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TEMP\Для Виолетты\"/>
    </mc:Choice>
  </mc:AlternateContent>
  <bookViews>
    <workbookView xWindow="0" yWindow="0" windowWidth="27840" windowHeight="12435" firstSheet="7" activeTab="12"/>
  </bookViews>
  <sheets>
    <sheet name="Декабрь 2020  " sheetId="11" r:id="rId1"/>
    <sheet name="Яблоко и ТП-7декабрь   " sheetId="12" r:id="rId2"/>
    <sheet name="Январь 2021  " sheetId="13" r:id="rId3"/>
    <sheet name="Яблоко и ТП-7январь   " sheetId="14" r:id="rId4"/>
    <sheet name="Февраль 2021  " sheetId="15" r:id="rId5"/>
    <sheet name="Яблоко и ТП-7февраль    " sheetId="16" r:id="rId6"/>
    <sheet name="Март 2021  " sheetId="17" r:id="rId7"/>
    <sheet name="Яблоко и ТП-7март" sheetId="18" r:id="rId8"/>
    <sheet name="Апрель 2021" sheetId="19" r:id="rId9"/>
    <sheet name="Яблоко и ТП-7апрель" sheetId="20" r:id="rId10"/>
    <sheet name="Май 2021" sheetId="21" r:id="rId11"/>
    <sheet name="Яблоко и ТП-7май" sheetId="22" r:id="rId12"/>
    <sheet name="Июнь 2021" sheetId="23" r:id="rId13"/>
    <sheet name="Яблоко и ТП-7июнь" sheetId="24" r:id="rId14"/>
  </sheets>
  <calcPr calcId="152511"/>
</workbook>
</file>

<file path=xl/calcChain.xml><?xml version="1.0" encoding="utf-8"?>
<calcChain xmlns="http://schemas.openxmlformats.org/spreadsheetml/2006/main">
  <c r="P362" i="23" l="1"/>
  <c r="O362" i="23"/>
  <c r="P345" i="23"/>
  <c r="O345" i="23"/>
  <c r="P343" i="23"/>
  <c r="O343" i="23"/>
  <c r="P341" i="23"/>
  <c r="O341" i="23"/>
  <c r="P353" i="23"/>
  <c r="O353" i="23"/>
  <c r="O336" i="23"/>
  <c r="P336" i="23"/>
  <c r="P122" i="23"/>
  <c r="O122" i="23"/>
  <c r="T102" i="23"/>
  <c r="T12" i="23"/>
  <c r="H12" i="23" s="1"/>
  <c r="P71" i="23"/>
  <c r="P70" i="23"/>
  <c r="P68" i="23"/>
  <c r="O71" i="23"/>
  <c r="O70" i="23"/>
  <c r="O68" i="23"/>
  <c r="T28" i="23"/>
  <c r="F12" i="23" l="1"/>
  <c r="G12" i="23"/>
  <c r="C12" i="23"/>
  <c r="I12" i="23" s="1"/>
  <c r="S85" i="24"/>
  <c r="G85" i="24"/>
  <c r="F85" i="24"/>
  <c r="E85" i="24"/>
  <c r="D85" i="24"/>
  <c r="B85" i="24"/>
  <c r="H85" i="24" s="1"/>
  <c r="S84" i="24"/>
  <c r="G84" i="24" s="1"/>
  <c r="S83" i="24"/>
  <c r="G83" i="24" s="1"/>
  <c r="E83" i="24" s="1"/>
  <c r="S82" i="24"/>
  <c r="G82" i="24"/>
  <c r="E82" i="24" s="1"/>
  <c r="F82" i="24"/>
  <c r="S80" i="24"/>
  <c r="G80" i="24" s="1"/>
  <c r="S79" i="24"/>
  <c r="G79" i="24" s="1"/>
  <c r="S78" i="24"/>
  <c r="G78" i="24"/>
  <c r="E78" i="24" s="1"/>
  <c r="F78" i="24"/>
  <c r="B78" i="24"/>
  <c r="H78" i="24" s="1"/>
  <c r="S66" i="24"/>
  <c r="S65" i="24"/>
  <c r="G65" i="24" s="1"/>
  <c r="F65" i="24" s="1"/>
  <c r="H65" i="24"/>
  <c r="S64" i="24"/>
  <c r="G64" i="24" s="1"/>
  <c r="S61" i="24"/>
  <c r="G61" i="24" s="1"/>
  <c r="S60" i="24"/>
  <c r="G60" i="24" s="1"/>
  <c r="S59" i="24"/>
  <c r="G59" i="24" s="1"/>
  <c r="S58" i="24"/>
  <c r="G58" i="24" s="1"/>
  <c r="F58" i="24" s="1"/>
  <c r="S57" i="24"/>
  <c r="G57" i="24"/>
  <c r="F57" i="24"/>
  <c r="E57" i="24"/>
  <c r="D57" i="24"/>
  <c r="B57" i="24"/>
  <c r="H57" i="24" s="1"/>
  <c r="S56" i="24"/>
  <c r="G56" i="24" s="1"/>
  <c r="S55" i="24"/>
  <c r="G55" i="24" s="1"/>
  <c r="S54" i="24"/>
  <c r="G54" i="24" s="1"/>
  <c r="S53" i="24"/>
  <c r="G53" i="24" s="1"/>
  <c r="S52" i="24"/>
  <c r="G52" i="24" s="1"/>
  <c r="F52" i="24" s="1"/>
  <c r="S51" i="24"/>
  <c r="G51" i="24"/>
  <c r="E51" i="24" s="1"/>
  <c r="D51" i="24" s="1"/>
  <c r="F51" i="24"/>
  <c r="S50" i="24"/>
  <c r="G50" i="24" s="1"/>
  <c r="S49" i="24"/>
  <c r="G49" i="24" s="1"/>
  <c r="F49" i="24" s="1"/>
  <c r="S47" i="24"/>
  <c r="G47" i="24"/>
  <c r="F47" i="24" s="1"/>
  <c r="S46" i="24"/>
  <c r="G46" i="24" s="1"/>
  <c r="S45" i="24"/>
  <c r="G45" i="24" s="1"/>
  <c r="S44" i="24"/>
  <c r="G44" i="24"/>
  <c r="E44" i="24" s="1"/>
  <c r="S43" i="24"/>
  <c r="G43" i="24"/>
  <c r="F43" i="24"/>
  <c r="E43" i="24"/>
  <c r="D43" i="24"/>
  <c r="B43" i="24" s="1"/>
  <c r="H43" i="24" s="1"/>
  <c r="S42" i="24"/>
  <c r="G42" i="24" s="1"/>
  <c r="S41" i="24"/>
  <c r="G41" i="24" s="1"/>
  <c r="S40" i="24"/>
  <c r="G40" i="24" s="1"/>
  <c r="F40" i="24" s="1"/>
  <c r="S39" i="24"/>
  <c r="G39" i="24" s="1"/>
  <c r="F39" i="24" s="1"/>
  <c r="S38" i="24"/>
  <c r="G38" i="24"/>
  <c r="F38" i="24" s="1"/>
  <c r="S37" i="24"/>
  <c r="G37" i="24" s="1"/>
  <c r="S36" i="24"/>
  <c r="G36" i="24" s="1"/>
  <c r="S35" i="24"/>
  <c r="G35" i="24"/>
  <c r="F35" i="24" s="1"/>
  <c r="S34" i="24"/>
  <c r="G34" i="24" s="1"/>
  <c r="S33" i="24"/>
  <c r="G33" i="24" s="1"/>
  <c r="T724" i="23"/>
  <c r="C724" i="23"/>
  <c r="T723" i="23"/>
  <c r="C723" i="23"/>
  <c r="T722" i="23"/>
  <c r="C722" i="23"/>
  <c r="T721" i="23"/>
  <c r="C721" i="23"/>
  <c r="T720" i="23"/>
  <c r="D720" i="23"/>
  <c r="D726" i="23" s="1"/>
  <c r="T719" i="23"/>
  <c r="C719" i="23" s="1"/>
  <c r="E718" i="23"/>
  <c r="E709" i="23"/>
  <c r="E729" i="23" s="1"/>
  <c r="D709" i="23"/>
  <c r="D729" i="23" s="1"/>
  <c r="T694" i="23"/>
  <c r="T693" i="23"/>
  <c r="H693" i="23"/>
  <c r="I693" i="23" s="1"/>
  <c r="G693" i="23"/>
  <c r="F693" i="23"/>
  <c r="E693" i="23"/>
  <c r="C693" i="23"/>
  <c r="T692" i="23"/>
  <c r="H692" i="23" s="1"/>
  <c r="T689" i="23"/>
  <c r="H689" i="23" s="1"/>
  <c r="T686" i="23"/>
  <c r="H686" i="23" s="1"/>
  <c r="G686" i="23"/>
  <c r="F686" i="23"/>
  <c r="E686" i="23"/>
  <c r="T685" i="23"/>
  <c r="H685" i="23"/>
  <c r="T684" i="23"/>
  <c r="H684" i="23" s="1"/>
  <c r="T683" i="23"/>
  <c r="T696" i="23" s="1"/>
  <c r="H683" i="23"/>
  <c r="I683" i="23" s="1"/>
  <c r="G683" i="23"/>
  <c r="F683" i="23"/>
  <c r="E683" i="23" s="1"/>
  <c r="C683" i="23" s="1"/>
  <c r="T682" i="23"/>
  <c r="G682" i="23" s="1"/>
  <c r="T681" i="23"/>
  <c r="H681" i="23" s="1"/>
  <c r="F681" i="23"/>
  <c r="T680" i="23"/>
  <c r="F680" i="23" s="1"/>
  <c r="H680" i="23"/>
  <c r="G680" i="23"/>
  <c r="T679" i="23"/>
  <c r="H679" i="23"/>
  <c r="G679" i="23"/>
  <c r="F679" i="23"/>
  <c r="E679" i="23"/>
  <c r="C679" i="23"/>
  <c r="I679" i="23" s="1"/>
  <c r="T678" i="23"/>
  <c r="H678" i="23" s="1"/>
  <c r="G678" i="23"/>
  <c r="F678" i="23"/>
  <c r="E678" i="23"/>
  <c r="T677" i="23"/>
  <c r="T676" i="23"/>
  <c r="H676" i="23" s="1"/>
  <c r="T675" i="23"/>
  <c r="H675" i="23"/>
  <c r="I675" i="23" s="1"/>
  <c r="G675" i="23"/>
  <c r="F675" i="23"/>
  <c r="E675" i="23" s="1"/>
  <c r="T674" i="23"/>
  <c r="H674" i="23" s="1"/>
  <c r="I674" i="23" s="1"/>
  <c r="T673" i="23"/>
  <c r="H673" i="23" s="1"/>
  <c r="G673" i="23"/>
  <c r="F673" i="23"/>
  <c r="E673" i="23"/>
  <c r="T672" i="23"/>
  <c r="T671" i="23"/>
  <c r="H671" i="23"/>
  <c r="I671" i="23" s="1"/>
  <c r="G671" i="23"/>
  <c r="F671" i="23"/>
  <c r="E671" i="23"/>
  <c r="C671" i="23"/>
  <c r="T670" i="23"/>
  <c r="H670" i="23" s="1"/>
  <c r="T669" i="23"/>
  <c r="H669" i="23" s="1"/>
  <c r="T668" i="23"/>
  <c r="H668" i="23"/>
  <c r="I668" i="23" s="1"/>
  <c r="G668" i="23"/>
  <c r="F668" i="23"/>
  <c r="E668" i="23"/>
  <c r="C668" i="23"/>
  <c r="T667" i="23"/>
  <c r="H667" i="23"/>
  <c r="T666" i="23"/>
  <c r="H666" i="23" s="1"/>
  <c r="T665" i="23"/>
  <c r="G665" i="23" s="1"/>
  <c r="T664" i="23"/>
  <c r="H664" i="23" s="1"/>
  <c r="T663" i="23"/>
  <c r="F663" i="23" s="1"/>
  <c r="E663" i="23" s="1"/>
  <c r="G663" i="23"/>
  <c r="T662" i="23"/>
  <c r="F662" i="23" s="1"/>
  <c r="H662" i="23"/>
  <c r="G662" i="23"/>
  <c r="T661" i="23"/>
  <c r="G661" i="23" s="1"/>
  <c r="H661" i="23"/>
  <c r="T660" i="23"/>
  <c r="H660" i="23" s="1"/>
  <c r="G660" i="23"/>
  <c r="F660" i="23"/>
  <c r="E660" i="23"/>
  <c r="T659" i="23"/>
  <c r="T658" i="23"/>
  <c r="H658" i="23"/>
  <c r="I658" i="23" s="1"/>
  <c r="G658" i="23"/>
  <c r="F658" i="23"/>
  <c r="E658" i="23"/>
  <c r="T657" i="23"/>
  <c r="H657" i="23" s="1"/>
  <c r="T653" i="23"/>
  <c r="H653" i="23"/>
  <c r="G653" i="23"/>
  <c r="F653" i="23"/>
  <c r="E653" i="23"/>
  <c r="C653" i="23" s="1"/>
  <c r="I653" i="23" s="1"/>
  <c r="T650" i="23"/>
  <c r="H650" i="23" s="1"/>
  <c r="G650" i="23" s="1"/>
  <c r="T647" i="23"/>
  <c r="H647" i="23"/>
  <c r="F647" i="23" s="1"/>
  <c r="G647" i="23"/>
  <c r="T646" i="23"/>
  <c r="H646" i="23" s="1"/>
  <c r="T643" i="23"/>
  <c r="H643" i="23" s="1"/>
  <c r="T642" i="23"/>
  <c r="H642" i="23"/>
  <c r="G642" i="23"/>
  <c r="F642" i="23"/>
  <c r="E642" i="23"/>
  <c r="C642" i="23"/>
  <c r="I642" i="23" s="1"/>
  <c r="T641" i="23"/>
  <c r="H641" i="23"/>
  <c r="G641" i="23" s="1"/>
  <c r="F641" i="23"/>
  <c r="T640" i="23"/>
  <c r="H640" i="23" s="1"/>
  <c r="G640" i="23" s="1"/>
  <c r="T639" i="23"/>
  <c r="H639" i="23" s="1"/>
  <c r="T638" i="23"/>
  <c r="H638" i="23" s="1"/>
  <c r="T637" i="23"/>
  <c r="H637" i="23" s="1"/>
  <c r="T636" i="23"/>
  <c r="H636" i="23" s="1"/>
  <c r="T635" i="23"/>
  <c r="H635" i="23" s="1"/>
  <c r="T634" i="23"/>
  <c r="H634" i="23"/>
  <c r="G634" i="23" s="1"/>
  <c r="E634" i="23" s="1"/>
  <c r="C634" i="23" s="1"/>
  <c r="I634" i="23" s="1"/>
  <c r="F634" i="23"/>
  <c r="T633" i="23"/>
  <c r="H633" i="23"/>
  <c r="T632" i="23"/>
  <c r="H632" i="23" s="1"/>
  <c r="T631" i="23"/>
  <c r="H631" i="23" s="1"/>
  <c r="T630" i="23"/>
  <c r="H630" i="23" s="1"/>
  <c r="T629" i="23"/>
  <c r="H629" i="23"/>
  <c r="G629" i="23" s="1"/>
  <c r="F629" i="23"/>
  <c r="T628" i="23"/>
  <c r="H628" i="23"/>
  <c r="G628" i="23"/>
  <c r="T627" i="23"/>
  <c r="H627" i="23" s="1"/>
  <c r="T626" i="23"/>
  <c r="H626" i="23"/>
  <c r="G626" i="23" s="1"/>
  <c r="T625" i="23"/>
  <c r="H625" i="23" s="1"/>
  <c r="T624" i="23"/>
  <c r="H624" i="23" s="1"/>
  <c r="T623" i="23"/>
  <c r="H623" i="23"/>
  <c r="G623" i="23"/>
  <c r="F623" i="23"/>
  <c r="E623" i="23" s="1"/>
  <c r="T622" i="23"/>
  <c r="H622" i="23"/>
  <c r="G622" i="23" s="1"/>
  <c r="T621" i="23"/>
  <c r="H621" i="23" s="1"/>
  <c r="T620" i="23"/>
  <c r="H620" i="23" s="1"/>
  <c r="T619" i="23"/>
  <c r="H619" i="23"/>
  <c r="F619" i="23" s="1"/>
  <c r="E619" i="23" s="1"/>
  <c r="G619" i="23"/>
  <c r="T618" i="23"/>
  <c r="H618" i="23"/>
  <c r="G618" i="23"/>
  <c r="F618" i="23"/>
  <c r="E618" i="23"/>
  <c r="T617" i="23"/>
  <c r="H617" i="23" s="1"/>
  <c r="T616" i="23"/>
  <c r="H616" i="23"/>
  <c r="G616" i="23" s="1"/>
  <c r="E616" i="23" s="1"/>
  <c r="C616" i="23" s="1"/>
  <c r="I616" i="23" s="1"/>
  <c r="F616" i="23"/>
  <c r="T615" i="23"/>
  <c r="H615" i="23" s="1"/>
  <c r="T613" i="23"/>
  <c r="T609" i="23"/>
  <c r="T606" i="23"/>
  <c r="T604" i="23"/>
  <c r="T583" i="23"/>
  <c r="T578" i="23"/>
  <c r="T553" i="23"/>
  <c r="T552" i="23"/>
  <c r="T551" i="23"/>
  <c r="T547" i="23"/>
  <c r="Z525" i="23"/>
  <c r="X496" i="23"/>
  <c r="W496" i="23"/>
  <c r="T476" i="23"/>
  <c r="T452" i="23"/>
  <c r="T437" i="23"/>
  <c r="T435" i="23"/>
  <c r="T418" i="23"/>
  <c r="T417" i="23"/>
  <c r="T416" i="23"/>
  <c r="T415" i="23"/>
  <c r="T414" i="23"/>
  <c r="T413" i="23"/>
  <c r="T406" i="23"/>
  <c r="T382" i="23"/>
  <c r="H382" i="23"/>
  <c r="G382" i="23"/>
  <c r="F382" i="23"/>
  <c r="E382" i="23"/>
  <c r="C382" i="23" s="1"/>
  <c r="I382" i="23" s="1"/>
  <c r="T377" i="23"/>
  <c r="H377" i="23" s="1"/>
  <c r="T376" i="23"/>
  <c r="H376" i="23" s="1"/>
  <c r="T375" i="23"/>
  <c r="H375" i="23"/>
  <c r="G375" i="23"/>
  <c r="T374" i="23"/>
  <c r="H374" i="23" s="1"/>
  <c r="G374" i="23" s="1"/>
  <c r="T373" i="23"/>
  <c r="H373" i="23" s="1"/>
  <c r="T372" i="23"/>
  <c r="H372" i="23" s="1"/>
  <c r="T371" i="23"/>
  <c r="H371" i="23"/>
  <c r="G371" i="23"/>
  <c r="F371" i="23"/>
  <c r="E371" i="23"/>
  <c r="C371" i="23"/>
  <c r="I371" i="23" s="1"/>
  <c r="T370" i="23"/>
  <c r="H370" i="23"/>
  <c r="G370" i="23"/>
  <c r="F370" i="23"/>
  <c r="E370" i="23"/>
  <c r="T369" i="23"/>
  <c r="H369" i="23" s="1"/>
  <c r="T368" i="23"/>
  <c r="H368" i="23"/>
  <c r="G368" i="23"/>
  <c r="F368" i="23"/>
  <c r="E368" i="23"/>
  <c r="C368" i="23"/>
  <c r="I368" i="23" s="1"/>
  <c r="T367" i="23"/>
  <c r="H367" i="23" s="1"/>
  <c r="T366" i="23"/>
  <c r="H366" i="23" s="1"/>
  <c r="T365" i="23"/>
  <c r="H365" i="23" s="1"/>
  <c r="T364" i="23"/>
  <c r="H364" i="23"/>
  <c r="G364" i="23" s="1"/>
  <c r="F364" i="23"/>
  <c r="E364" i="23" s="1"/>
  <c r="U363" i="23"/>
  <c r="T363" i="23"/>
  <c r="H363" i="23"/>
  <c r="G363" i="23"/>
  <c r="F363" i="23"/>
  <c r="E363" i="23"/>
  <c r="C363" i="23"/>
  <c r="I363" i="23" s="1"/>
  <c r="T362" i="23"/>
  <c r="H362" i="23" s="1"/>
  <c r="T361" i="23"/>
  <c r="H361" i="23" s="1"/>
  <c r="T360" i="23"/>
  <c r="H360" i="23"/>
  <c r="G360" i="23"/>
  <c r="F360" i="23"/>
  <c r="T359" i="23"/>
  <c r="H359" i="23"/>
  <c r="I359" i="23" s="1"/>
  <c r="T358" i="23"/>
  <c r="H358" i="23" s="1"/>
  <c r="T357" i="23"/>
  <c r="H357" i="23" s="1"/>
  <c r="T356" i="23"/>
  <c r="H356" i="23" s="1"/>
  <c r="T355" i="23"/>
  <c r="H355" i="23" s="1"/>
  <c r="T354" i="23"/>
  <c r="H354" i="23" s="1"/>
  <c r="T353" i="23"/>
  <c r="H353" i="23"/>
  <c r="G353" i="23"/>
  <c r="F353" i="23"/>
  <c r="E353" i="23"/>
  <c r="C353" i="23" s="1"/>
  <c r="I353" i="23" s="1"/>
  <c r="T352" i="23"/>
  <c r="H352" i="23"/>
  <c r="T351" i="23"/>
  <c r="H351" i="23" s="1"/>
  <c r="T350" i="23"/>
  <c r="H350" i="23"/>
  <c r="G350" i="23"/>
  <c r="F350" i="23"/>
  <c r="E350" i="23"/>
  <c r="C350" i="23"/>
  <c r="I350" i="23" s="1"/>
  <c r="T348" i="23"/>
  <c r="H348" i="23"/>
  <c r="G348" i="23"/>
  <c r="F348" i="23"/>
  <c r="E348" i="23"/>
  <c r="C348" i="23"/>
  <c r="I348" i="23" s="1"/>
  <c r="T347" i="23"/>
  <c r="T349" i="23" s="1"/>
  <c r="H349" i="23" s="1"/>
  <c r="T346" i="23"/>
  <c r="H346" i="23" s="1"/>
  <c r="T345" i="23"/>
  <c r="H345" i="23" s="1"/>
  <c r="T344" i="23"/>
  <c r="H344" i="23" s="1"/>
  <c r="T343" i="23"/>
  <c r="H343" i="23" s="1"/>
  <c r="G343" i="23" s="1"/>
  <c r="F343" i="23"/>
  <c r="E343" i="23"/>
  <c r="C343" i="23" s="1"/>
  <c r="I343" i="23" s="1"/>
  <c r="T342" i="23"/>
  <c r="H342" i="23" s="1"/>
  <c r="T341" i="23"/>
  <c r="H341" i="23" s="1"/>
  <c r="T340" i="23"/>
  <c r="H340" i="23"/>
  <c r="T339" i="23"/>
  <c r="H339" i="23" s="1"/>
  <c r="T338" i="23"/>
  <c r="H338" i="23"/>
  <c r="G338" i="23" s="1"/>
  <c r="T337" i="23"/>
  <c r="H337" i="23" s="1"/>
  <c r="T336" i="23"/>
  <c r="H336" i="23" s="1"/>
  <c r="T335" i="23"/>
  <c r="H335" i="23" s="1"/>
  <c r="T334" i="23"/>
  <c r="H334" i="23" s="1"/>
  <c r="T333" i="23"/>
  <c r="H333" i="23"/>
  <c r="G333" i="23"/>
  <c r="F333" i="23"/>
  <c r="E333" i="23"/>
  <c r="T326" i="23"/>
  <c r="H326" i="23" s="1"/>
  <c r="T325" i="23"/>
  <c r="H325" i="23"/>
  <c r="F325" i="23" s="1"/>
  <c r="G325" i="23"/>
  <c r="T324" i="23"/>
  <c r="H324" i="23" s="1"/>
  <c r="T322" i="23"/>
  <c r="H322" i="23" s="1"/>
  <c r="G322" i="23" s="1"/>
  <c r="T321" i="23"/>
  <c r="H321" i="23" s="1"/>
  <c r="T320" i="23"/>
  <c r="H320" i="23" s="1"/>
  <c r="G320" i="23" s="1"/>
  <c r="T319" i="23"/>
  <c r="H319" i="23" s="1"/>
  <c r="T318" i="23"/>
  <c r="H318" i="23"/>
  <c r="G318" i="23" s="1"/>
  <c r="T317" i="23"/>
  <c r="H317" i="23"/>
  <c r="G317" i="23"/>
  <c r="F317" i="23"/>
  <c r="E317" i="23" s="1"/>
  <c r="T316" i="23"/>
  <c r="H316" i="23"/>
  <c r="G316" i="23" s="1"/>
  <c r="T314" i="23"/>
  <c r="H314" i="23" s="1"/>
  <c r="T313" i="23"/>
  <c r="H313" i="23" s="1"/>
  <c r="T311" i="23"/>
  <c r="H311" i="23" s="1"/>
  <c r="T310" i="23"/>
  <c r="H310" i="23" s="1"/>
  <c r="T309" i="23"/>
  <c r="H309" i="23" s="1"/>
  <c r="T308" i="23"/>
  <c r="H308" i="23"/>
  <c r="G308" i="23"/>
  <c r="F308" i="23"/>
  <c r="E308" i="23"/>
  <c r="C308" i="23"/>
  <c r="I308" i="23" s="1"/>
  <c r="T307" i="23"/>
  <c r="H307" i="23" s="1"/>
  <c r="T306" i="23"/>
  <c r="H306" i="23" s="1"/>
  <c r="T305" i="23"/>
  <c r="H305" i="23"/>
  <c r="F305" i="23" s="1"/>
  <c r="E305" i="23" s="1"/>
  <c r="G305" i="23"/>
  <c r="T304" i="23"/>
  <c r="H304" i="23" s="1"/>
  <c r="T303" i="23"/>
  <c r="H303" i="23" s="1"/>
  <c r="T302" i="23"/>
  <c r="H302" i="23"/>
  <c r="G302" i="23"/>
  <c r="T301" i="23"/>
  <c r="H301" i="23" s="1"/>
  <c r="T300" i="23"/>
  <c r="H300" i="23"/>
  <c r="G300" i="23"/>
  <c r="F300" i="23"/>
  <c r="E300" i="23" s="1"/>
  <c r="T299" i="23"/>
  <c r="H299" i="23" s="1"/>
  <c r="T298" i="23"/>
  <c r="H298" i="23" s="1"/>
  <c r="T297" i="23"/>
  <c r="H297" i="23"/>
  <c r="F297" i="23" s="1"/>
  <c r="E297" i="23" s="1"/>
  <c r="G297" i="23"/>
  <c r="T296" i="23"/>
  <c r="H296" i="23" s="1"/>
  <c r="G296" i="23" s="1"/>
  <c r="T295" i="23"/>
  <c r="H295" i="23" s="1"/>
  <c r="T294" i="23"/>
  <c r="H294" i="23" s="1"/>
  <c r="T293" i="23"/>
  <c r="H293" i="23" s="1"/>
  <c r="G293" i="23" s="1"/>
  <c r="T292" i="23"/>
  <c r="H292" i="23"/>
  <c r="G292" i="23" s="1"/>
  <c r="T291" i="23"/>
  <c r="H291" i="23" s="1"/>
  <c r="T290" i="23"/>
  <c r="H290" i="23" s="1"/>
  <c r="T289" i="23"/>
  <c r="H289" i="23" s="1"/>
  <c r="T288" i="23"/>
  <c r="H288" i="23" s="1"/>
  <c r="T287" i="23"/>
  <c r="H287" i="23" s="1"/>
  <c r="G287" i="23" s="1"/>
  <c r="T286" i="23"/>
  <c r="H286" i="23"/>
  <c r="G286" i="23" s="1"/>
  <c r="T284" i="23"/>
  <c r="H284" i="23" s="1"/>
  <c r="T283" i="23"/>
  <c r="H283" i="23"/>
  <c r="G283" i="23"/>
  <c r="T280" i="23"/>
  <c r="H280" i="23" s="1"/>
  <c r="T279" i="23"/>
  <c r="H279" i="23"/>
  <c r="G279" i="23" s="1"/>
  <c r="E279" i="23" s="1"/>
  <c r="C279" i="23" s="1"/>
  <c r="I279" i="23" s="1"/>
  <c r="F279" i="23"/>
  <c r="T273" i="23"/>
  <c r="I273" i="23"/>
  <c r="G273" i="23"/>
  <c r="F273" i="23"/>
  <c r="E273" i="23" s="1"/>
  <c r="T271" i="23"/>
  <c r="H271" i="23" s="1"/>
  <c r="T270" i="23"/>
  <c r="H270" i="23" s="1"/>
  <c r="T268" i="23"/>
  <c r="H268" i="23" s="1"/>
  <c r="G268" i="23" s="1"/>
  <c r="T267" i="23"/>
  <c r="H267" i="23"/>
  <c r="F267" i="23" s="1"/>
  <c r="G267" i="23"/>
  <c r="T266" i="23"/>
  <c r="H266" i="23" s="1"/>
  <c r="T265" i="23"/>
  <c r="H265" i="23" s="1"/>
  <c r="T264" i="23"/>
  <c r="H264" i="23" s="1"/>
  <c r="T263" i="23"/>
  <c r="H263" i="23" s="1"/>
  <c r="G263" i="23" s="1"/>
  <c r="T262" i="23"/>
  <c r="H262" i="23" s="1"/>
  <c r="T261" i="23"/>
  <c r="H261" i="23"/>
  <c r="T260" i="23"/>
  <c r="H260" i="23" s="1"/>
  <c r="T259" i="23"/>
  <c r="H259" i="23" s="1"/>
  <c r="T258" i="23"/>
  <c r="H258" i="23" s="1"/>
  <c r="T257" i="23"/>
  <c r="H257" i="23" s="1"/>
  <c r="T256" i="23"/>
  <c r="H256" i="23" s="1"/>
  <c r="T255" i="23"/>
  <c r="H255" i="23" s="1"/>
  <c r="T254" i="23"/>
  <c r="H254" i="23" s="1"/>
  <c r="T253" i="23"/>
  <c r="H253" i="23" s="1"/>
  <c r="T252" i="23"/>
  <c r="H252" i="23" s="1"/>
  <c r="T251" i="23"/>
  <c r="H251" i="23" s="1"/>
  <c r="T250" i="23"/>
  <c r="H250" i="23" s="1"/>
  <c r="T249" i="23"/>
  <c r="H249" i="23" s="1"/>
  <c r="T248" i="23"/>
  <c r="H248" i="23" s="1"/>
  <c r="T247" i="23"/>
  <c r="H247" i="23" s="1"/>
  <c r="T246" i="23"/>
  <c r="H246" i="23" s="1"/>
  <c r="T245" i="23"/>
  <c r="H245" i="23" s="1"/>
  <c r="T244" i="23"/>
  <c r="H244" i="23" s="1"/>
  <c r="T243" i="23"/>
  <c r="H243" i="23" s="1"/>
  <c r="T232" i="23"/>
  <c r="H232" i="23" s="1"/>
  <c r="T231" i="23"/>
  <c r="H231" i="23" s="1"/>
  <c r="T230" i="23"/>
  <c r="H230" i="23" s="1"/>
  <c r="T229" i="23"/>
  <c r="H229" i="23" s="1"/>
  <c r="T228" i="23"/>
  <c r="T227" i="23"/>
  <c r="H227" i="23" s="1"/>
  <c r="T226" i="23"/>
  <c r="H226" i="23"/>
  <c r="G226" i="23" s="1"/>
  <c r="F226" i="23"/>
  <c r="T225" i="23"/>
  <c r="H225" i="23" s="1"/>
  <c r="T224" i="23"/>
  <c r="H224" i="23" s="1"/>
  <c r="T223" i="23"/>
  <c r="H223" i="23" s="1"/>
  <c r="T222" i="23"/>
  <c r="H222" i="23"/>
  <c r="G222" i="23" s="1"/>
  <c r="T221" i="23"/>
  <c r="H221" i="23" s="1"/>
  <c r="T220" i="23"/>
  <c r="H220" i="23" s="1"/>
  <c r="T219" i="23"/>
  <c r="H219" i="23" s="1"/>
  <c r="T218" i="23"/>
  <c r="H218" i="23"/>
  <c r="F218" i="23" s="1"/>
  <c r="T217" i="23"/>
  <c r="H217" i="23" s="1"/>
  <c r="T216" i="23"/>
  <c r="H216" i="23" s="1"/>
  <c r="T215" i="23"/>
  <c r="H215" i="23" s="1"/>
  <c r="G215" i="23" s="1"/>
  <c r="T214" i="23"/>
  <c r="H214" i="23" s="1"/>
  <c r="T213" i="23"/>
  <c r="H213" i="23" s="1"/>
  <c r="T212" i="23"/>
  <c r="H212" i="23" s="1"/>
  <c r="T211" i="23"/>
  <c r="H211" i="23" s="1"/>
  <c r="T210" i="23"/>
  <c r="H210" i="23" s="1"/>
  <c r="T209" i="23"/>
  <c r="H209" i="23"/>
  <c r="G209" i="23" s="1"/>
  <c r="T208" i="23"/>
  <c r="H208" i="23" s="1"/>
  <c r="T207" i="23"/>
  <c r="H207" i="23" s="1"/>
  <c r="T206" i="23"/>
  <c r="H206" i="23" s="1"/>
  <c r="T205" i="23"/>
  <c r="H205" i="23" s="1"/>
  <c r="T204" i="23"/>
  <c r="H204" i="23" s="1"/>
  <c r="G204" i="23" s="1"/>
  <c r="T203" i="23"/>
  <c r="H203" i="23" s="1"/>
  <c r="T202" i="23"/>
  <c r="H202" i="23" s="1"/>
  <c r="T201" i="23"/>
  <c r="H201" i="23" s="1"/>
  <c r="T200" i="23"/>
  <c r="H200" i="23" s="1"/>
  <c r="T199" i="23"/>
  <c r="H199" i="23" s="1"/>
  <c r="T198" i="23"/>
  <c r="H198" i="23" s="1"/>
  <c r="T197" i="23"/>
  <c r="H197" i="23" s="1"/>
  <c r="G197" i="23" s="1"/>
  <c r="T196" i="23"/>
  <c r="H196" i="23" s="1"/>
  <c r="T195" i="23"/>
  <c r="H195" i="23" s="1"/>
  <c r="T194" i="23"/>
  <c r="H194" i="23" s="1"/>
  <c r="T193" i="23"/>
  <c r="H193" i="23" s="1"/>
  <c r="T192" i="23"/>
  <c r="H192" i="23"/>
  <c r="G192" i="23" s="1"/>
  <c r="F192" i="23"/>
  <c r="T191" i="23"/>
  <c r="H191" i="23" s="1"/>
  <c r="G191" i="23" s="1"/>
  <c r="T190" i="23"/>
  <c r="H190" i="23" s="1"/>
  <c r="T189" i="23"/>
  <c r="H189" i="23" s="1"/>
  <c r="T188" i="23"/>
  <c r="H188" i="23" s="1"/>
  <c r="T187" i="23"/>
  <c r="H187" i="23" s="1"/>
  <c r="T186" i="23"/>
  <c r="H186" i="23" s="1"/>
  <c r="G186" i="23" s="1"/>
  <c r="T185" i="23"/>
  <c r="H185" i="23" s="1"/>
  <c r="T184" i="23"/>
  <c r="H184" i="23"/>
  <c r="T183" i="23"/>
  <c r="H183" i="23" s="1"/>
  <c r="T182" i="23"/>
  <c r="H182" i="23"/>
  <c r="G182" i="23" s="1"/>
  <c r="T181" i="23"/>
  <c r="H181" i="23" s="1"/>
  <c r="T180" i="23"/>
  <c r="H180" i="23" s="1"/>
  <c r="T179" i="23"/>
  <c r="H179" i="23"/>
  <c r="G179" i="23" s="1"/>
  <c r="T178" i="23"/>
  <c r="H178" i="23" s="1"/>
  <c r="T177" i="23"/>
  <c r="H177" i="23" s="1"/>
  <c r="G177" i="23" s="1"/>
  <c r="T176" i="23"/>
  <c r="H176" i="23" s="1"/>
  <c r="T175" i="23"/>
  <c r="I174" i="23" s="1"/>
  <c r="T174" i="23"/>
  <c r="H174" i="23" s="1"/>
  <c r="T173" i="23"/>
  <c r="H173" i="23"/>
  <c r="F173" i="23" s="1"/>
  <c r="T172" i="23"/>
  <c r="H172" i="23"/>
  <c r="G172" i="23" s="1"/>
  <c r="F172" i="23"/>
  <c r="T171" i="23"/>
  <c r="H171" i="23" s="1"/>
  <c r="F171" i="23" s="1"/>
  <c r="T170" i="23"/>
  <c r="H170" i="23" s="1"/>
  <c r="F170" i="23" s="1"/>
  <c r="G170" i="23"/>
  <c r="T169" i="23"/>
  <c r="H169" i="23" s="1"/>
  <c r="T168" i="23"/>
  <c r="H168" i="23" s="1"/>
  <c r="T167" i="23"/>
  <c r="H167" i="23" s="1"/>
  <c r="T166" i="23"/>
  <c r="H166" i="23" s="1"/>
  <c r="F166" i="23" s="1"/>
  <c r="T162" i="23"/>
  <c r="H162" i="23" s="1"/>
  <c r="I162" i="23"/>
  <c r="T161" i="23"/>
  <c r="I154" i="23" s="1"/>
  <c r="I161" i="23"/>
  <c r="T160" i="23"/>
  <c r="I160" i="23"/>
  <c r="T157" i="23"/>
  <c r="I157" i="23"/>
  <c r="T156" i="23"/>
  <c r="I156" i="23"/>
  <c r="I155" i="23"/>
  <c r="T151" i="23"/>
  <c r="I151" i="23"/>
  <c r="T150" i="23"/>
  <c r="D150" i="23" s="1"/>
  <c r="F150" i="23" s="1"/>
  <c r="H150" i="23"/>
  <c r="T148" i="23"/>
  <c r="H148" i="23" s="1"/>
  <c r="I148" i="23"/>
  <c r="T146" i="23"/>
  <c r="D146" i="23" s="1"/>
  <c r="T145" i="23"/>
  <c r="D145" i="23"/>
  <c r="I145" i="23" s="1"/>
  <c r="T144" i="23"/>
  <c r="T142" i="23" s="1"/>
  <c r="D142" i="23" s="1"/>
  <c r="I144" i="23"/>
  <c r="D144" i="23"/>
  <c r="F144" i="23" s="1"/>
  <c r="I142" i="23"/>
  <c r="T140" i="23"/>
  <c r="T139" i="23"/>
  <c r="D139" i="23" s="1"/>
  <c r="T138" i="23"/>
  <c r="T137" i="23"/>
  <c r="T136" i="23"/>
  <c r="T135" i="23"/>
  <c r="T134" i="23"/>
  <c r="D138" i="23" s="1"/>
  <c r="T130" i="23"/>
  <c r="H130" i="23"/>
  <c r="G130" i="23"/>
  <c r="F130" i="23"/>
  <c r="E130" i="23" s="1"/>
  <c r="C130" i="23" s="1"/>
  <c r="I130" i="23" s="1"/>
  <c r="T129" i="23"/>
  <c r="H129" i="23" s="1"/>
  <c r="T128" i="23"/>
  <c r="H128" i="23" s="1"/>
  <c r="T127" i="23"/>
  <c r="H127" i="23"/>
  <c r="G127" i="23"/>
  <c r="F127" i="23"/>
  <c r="E127" i="23"/>
  <c r="C127" i="23" s="1"/>
  <c r="I127" i="23" s="1"/>
  <c r="T126" i="23"/>
  <c r="H126" i="23" s="1"/>
  <c r="T124" i="23"/>
  <c r="I124" i="23"/>
  <c r="H124" i="23"/>
  <c r="G124" i="23" s="1"/>
  <c r="F124" i="23"/>
  <c r="T123" i="23"/>
  <c r="H123" i="23"/>
  <c r="G123" i="23" s="1"/>
  <c r="T122" i="23"/>
  <c r="H122" i="23" s="1"/>
  <c r="T121" i="23"/>
  <c r="H121" i="23" s="1"/>
  <c r="T120" i="23"/>
  <c r="H120" i="23"/>
  <c r="G120" i="23"/>
  <c r="F120" i="23"/>
  <c r="E120" i="23" s="1"/>
  <c r="T119" i="23"/>
  <c r="H119" i="23"/>
  <c r="G119" i="23"/>
  <c r="F119" i="23"/>
  <c r="E119" i="23" s="1"/>
  <c r="C119" i="23" s="1"/>
  <c r="I119" i="23" s="1"/>
  <c r="T118" i="23"/>
  <c r="H118" i="23" s="1"/>
  <c r="G118" i="23" s="1"/>
  <c r="T117" i="23"/>
  <c r="H117" i="23"/>
  <c r="G117" i="23" s="1"/>
  <c r="T115" i="23"/>
  <c r="H115" i="23" s="1"/>
  <c r="T114" i="23"/>
  <c r="H114" i="23"/>
  <c r="G114" i="23"/>
  <c r="F114" i="23"/>
  <c r="C114" i="23"/>
  <c r="M109" i="23"/>
  <c r="L109" i="23"/>
  <c r="K109" i="23"/>
  <c r="J109" i="23"/>
  <c r="T108" i="23"/>
  <c r="T107" i="23"/>
  <c r="T106" i="23"/>
  <c r="T105" i="23"/>
  <c r="T104" i="23"/>
  <c r="I101" i="23"/>
  <c r="I109" i="23" s="1"/>
  <c r="H101" i="23"/>
  <c r="C101" i="23" s="1"/>
  <c r="T101" i="23"/>
  <c r="G101" i="23"/>
  <c r="F101" i="23"/>
  <c r="E101" i="23" s="1"/>
  <c r="T99" i="23"/>
  <c r="H98" i="23" s="1"/>
  <c r="C98" i="23" s="1"/>
  <c r="I98" i="23" s="1"/>
  <c r="I99" i="23"/>
  <c r="T98" i="23"/>
  <c r="E98" i="23"/>
  <c r="I97" i="23"/>
  <c r="T96" i="23"/>
  <c r="H96" i="23"/>
  <c r="E96" i="23"/>
  <c r="C96" i="23"/>
  <c r="T90" i="23"/>
  <c r="H90" i="23"/>
  <c r="C90" i="23" s="1"/>
  <c r="E90" i="23"/>
  <c r="C89" i="23"/>
  <c r="T88" i="23"/>
  <c r="H88" i="23" s="1"/>
  <c r="I84" i="23"/>
  <c r="E84" i="23"/>
  <c r="T83" i="23"/>
  <c r="H83" i="23" s="1"/>
  <c r="C83" i="23" s="1"/>
  <c r="I83" i="23"/>
  <c r="E83" i="23"/>
  <c r="T80" i="23"/>
  <c r="H80" i="23"/>
  <c r="G80" i="23"/>
  <c r="F80" i="23"/>
  <c r="E80" i="23" s="1"/>
  <c r="C80" i="23" s="1"/>
  <c r="I80" i="23" s="1"/>
  <c r="T78" i="23"/>
  <c r="C77" i="23" s="1"/>
  <c r="C81" i="23" s="1"/>
  <c r="I78" i="23"/>
  <c r="H78" i="23"/>
  <c r="E78" i="23"/>
  <c r="T77" i="23"/>
  <c r="I77" i="23"/>
  <c r="I81" i="23" s="1"/>
  <c r="H77" i="23"/>
  <c r="E77" i="23"/>
  <c r="T73" i="23"/>
  <c r="H73" i="23" s="1"/>
  <c r="T72" i="23"/>
  <c r="H72" i="23" s="1"/>
  <c r="C72" i="23" s="1"/>
  <c r="I72" i="23" s="1"/>
  <c r="T71" i="23"/>
  <c r="C69" i="23" s="1"/>
  <c r="I71" i="23"/>
  <c r="T70" i="23"/>
  <c r="H70" i="23" s="1"/>
  <c r="T68" i="23"/>
  <c r="T65" i="23"/>
  <c r="I65" i="23" s="1"/>
  <c r="T64" i="23"/>
  <c r="I64" i="23" s="1"/>
  <c r="T62" i="23"/>
  <c r="H62" i="23" s="1"/>
  <c r="I62" i="23"/>
  <c r="T60" i="23"/>
  <c r="H60" i="23" s="1"/>
  <c r="T59" i="23"/>
  <c r="H59" i="23" s="1"/>
  <c r="T58" i="23"/>
  <c r="H58" i="23" s="1"/>
  <c r="C58" i="23" s="1"/>
  <c r="T57" i="23"/>
  <c r="H57" i="23" s="1"/>
  <c r="T53" i="23"/>
  <c r="H53" i="23" s="1"/>
  <c r="T48" i="23"/>
  <c r="H48" i="23" s="1"/>
  <c r="C48" i="23" s="1"/>
  <c r="I48" i="23" s="1"/>
  <c r="T47" i="23"/>
  <c r="H47" i="23" s="1"/>
  <c r="T46" i="23"/>
  <c r="H46" i="23" s="1"/>
  <c r="T45" i="23"/>
  <c r="H45" i="23" s="1"/>
  <c r="M45" i="23"/>
  <c r="L45" i="23"/>
  <c r="K45" i="23"/>
  <c r="J45" i="23"/>
  <c r="T44" i="23"/>
  <c r="I44" i="23"/>
  <c r="H44" i="23"/>
  <c r="G44" i="23"/>
  <c r="F44" i="23"/>
  <c r="E44" i="23"/>
  <c r="C44" i="23"/>
  <c r="T43" i="23"/>
  <c r="H43" i="23" s="1"/>
  <c r="M43" i="23"/>
  <c r="L43" i="23"/>
  <c r="K43" i="23"/>
  <c r="J43" i="23"/>
  <c r="T42" i="23"/>
  <c r="H42" i="23"/>
  <c r="C42" i="23" s="1"/>
  <c r="I42" i="23" s="1"/>
  <c r="G42" i="23"/>
  <c r="F42" i="23"/>
  <c r="E42" i="23" s="1"/>
  <c r="T41" i="23"/>
  <c r="H41" i="23" s="1"/>
  <c r="T40" i="23"/>
  <c r="H40" i="23" s="1"/>
  <c r="T39" i="23"/>
  <c r="T37" i="23"/>
  <c r="H37" i="23" s="1"/>
  <c r="T35" i="23"/>
  <c r="H35" i="23"/>
  <c r="C35" i="23"/>
  <c r="I35" i="23" s="1"/>
  <c r="T34" i="23"/>
  <c r="H34" i="23" s="1"/>
  <c r="T32" i="23"/>
  <c r="H32" i="23" s="1"/>
  <c r="T31" i="23"/>
  <c r="H31" i="23" s="1"/>
  <c r="C31" i="23"/>
  <c r="I31" i="23" s="1"/>
  <c r="T30" i="23"/>
  <c r="H30" i="23" s="1"/>
  <c r="T29" i="23"/>
  <c r="H29" i="23"/>
  <c r="C29" i="23" s="1"/>
  <c r="I29" i="23" s="1"/>
  <c r="T27" i="23"/>
  <c r="H27" i="23" s="1"/>
  <c r="C27" i="23" s="1"/>
  <c r="I27" i="23" s="1"/>
  <c r="T25" i="23"/>
  <c r="H25" i="23" s="1"/>
  <c r="C25" i="23" s="1"/>
  <c r="I25" i="23" s="1"/>
  <c r="T22" i="23"/>
  <c r="H22" i="23" s="1"/>
  <c r="T21" i="23"/>
  <c r="H21" i="23" s="1"/>
  <c r="C21" i="23" s="1"/>
  <c r="I21" i="23" s="1"/>
  <c r="P20" i="23"/>
  <c r="O20" i="23"/>
  <c r="T20" i="23" s="1"/>
  <c r="T19" i="23"/>
  <c r="E19" i="23"/>
  <c r="C19" i="23"/>
  <c r="T18" i="23"/>
  <c r="H18" i="23" s="1"/>
  <c r="C18" i="23" s="1"/>
  <c r="E18" i="23"/>
  <c r="T17" i="23"/>
  <c r="H17" i="23"/>
  <c r="C17" i="23"/>
  <c r="I17" i="23" s="1"/>
  <c r="T16" i="23"/>
  <c r="H16" i="23" s="1"/>
  <c r="T15" i="23"/>
  <c r="H15" i="23"/>
  <c r="C15" i="23"/>
  <c r="I15" i="23" s="1"/>
  <c r="T14" i="23"/>
  <c r="H14" i="23" s="1"/>
  <c r="C14" i="23" s="1"/>
  <c r="I14" i="23" s="1"/>
  <c r="T11" i="23"/>
  <c r="T10" i="23"/>
  <c r="E10" i="23"/>
  <c r="T9" i="23"/>
  <c r="T8" i="23"/>
  <c r="D82" i="24" l="1"/>
  <c r="F84" i="24"/>
  <c r="E84" i="24"/>
  <c r="D84" i="24" s="1"/>
  <c r="B84" i="24" s="1"/>
  <c r="F80" i="24"/>
  <c r="E80" i="24"/>
  <c r="D80" i="24" s="1"/>
  <c r="B80" i="24"/>
  <c r="D78" i="24"/>
  <c r="B82" i="24"/>
  <c r="C726" i="23"/>
  <c r="F692" i="23"/>
  <c r="G692" i="23"/>
  <c r="F689" i="23"/>
  <c r="G689" i="23"/>
  <c r="G681" i="23"/>
  <c r="E681" i="23" s="1"/>
  <c r="C681" i="23" s="1"/>
  <c r="I676" i="23"/>
  <c r="F676" i="23"/>
  <c r="G676" i="23"/>
  <c r="F669" i="23"/>
  <c r="H665" i="23"/>
  <c r="I665" i="23" s="1"/>
  <c r="H663" i="23"/>
  <c r="C658" i="23"/>
  <c r="I681" i="23"/>
  <c r="I678" i="23"/>
  <c r="C678" i="23"/>
  <c r="I660" i="23"/>
  <c r="C660" i="23"/>
  <c r="C661" i="23"/>
  <c r="I673" i="23"/>
  <c r="C673" i="23"/>
  <c r="I686" i="23"/>
  <c r="C686" i="23"/>
  <c r="I661" i="23"/>
  <c r="F664" i="23"/>
  <c r="E664" i="23" s="1"/>
  <c r="C664" i="23" s="1"/>
  <c r="G669" i="23"/>
  <c r="E669" i="23" s="1"/>
  <c r="C669" i="23" s="1"/>
  <c r="F657" i="23"/>
  <c r="E657" i="23" s="1"/>
  <c r="C657" i="23" s="1"/>
  <c r="F670" i="23"/>
  <c r="E670" i="23" s="1"/>
  <c r="C670" i="23" s="1"/>
  <c r="F674" i="23"/>
  <c r="G657" i="23"/>
  <c r="F661" i="23"/>
  <c r="E661" i="23" s="1"/>
  <c r="F665" i="23"/>
  <c r="E665" i="23" s="1"/>
  <c r="G670" i="23"/>
  <c r="G674" i="23"/>
  <c r="F682" i="23"/>
  <c r="E682" i="23" s="1"/>
  <c r="H682" i="23"/>
  <c r="I682" i="23" s="1"/>
  <c r="E647" i="23"/>
  <c r="C647" i="23" s="1"/>
  <c r="I647" i="23" s="1"/>
  <c r="G646" i="23"/>
  <c r="F646" i="23"/>
  <c r="E646" i="23" s="1"/>
  <c r="C646" i="23" s="1"/>
  <c r="I646" i="23" s="1"/>
  <c r="G637" i="23"/>
  <c r="F637" i="23"/>
  <c r="E637" i="23" s="1"/>
  <c r="C637" i="23"/>
  <c r="I637" i="23" s="1"/>
  <c r="G631" i="23"/>
  <c r="F631" i="23"/>
  <c r="E631" i="23" s="1"/>
  <c r="C631" i="23" s="1"/>
  <c r="I631" i="23" s="1"/>
  <c r="E629" i="23"/>
  <c r="C629" i="23" s="1"/>
  <c r="I629" i="23" s="1"/>
  <c r="G627" i="23"/>
  <c r="F627" i="23"/>
  <c r="E627" i="23" s="1"/>
  <c r="C627" i="23" s="1"/>
  <c r="I627" i="23" s="1"/>
  <c r="G624" i="23"/>
  <c r="F624" i="23"/>
  <c r="E624" i="23" s="1"/>
  <c r="C624" i="23"/>
  <c r="I624" i="23" s="1"/>
  <c r="C619" i="23"/>
  <c r="I619" i="23" s="1"/>
  <c r="G639" i="23"/>
  <c r="F639" i="23"/>
  <c r="G636" i="23"/>
  <c r="F636" i="23"/>
  <c r="E636" i="23" s="1"/>
  <c r="G621" i="23"/>
  <c r="F621" i="23"/>
  <c r="E621" i="23" s="1"/>
  <c r="C621" i="23"/>
  <c r="I621" i="23" s="1"/>
  <c r="F626" i="23"/>
  <c r="E626" i="23" s="1"/>
  <c r="C626" i="23" s="1"/>
  <c r="I626" i="23" s="1"/>
  <c r="E641" i="23"/>
  <c r="C641" i="23" s="1"/>
  <c r="I641" i="23" s="1"/>
  <c r="G376" i="23"/>
  <c r="F376" i="23"/>
  <c r="E376" i="23" s="1"/>
  <c r="C376" i="23"/>
  <c r="I376" i="23" s="1"/>
  <c r="G373" i="23"/>
  <c r="F373" i="23"/>
  <c r="G365" i="23"/>
  <c r="F365" i="23"/>
  <c r="E365" i="23" s="1"/>
  <c r="C365" i="23"/>
  <c r="I365" i="23" s="1"/>
  <c r="G361" i="23"/>
  <c r="F361" i="23"/>
  <c r="E361" i="23" s="1"/>
  <c r="C361" i="23" s="1"/>
  <c r="I361" i="23" s="1"/>
  <c r="F358" i="23"/>
  <c r="G358" i="23"/>
  <c r="I355" i="23"/>
  <c r="G355" i="23"/>
  <c r="F355" i="23"/>
  <c r="E355" i="23" s="1"/>
  <c r="C355" i="23" s="1"/>
  <c r="G345" i="23"/>
  <c r="F345" i="23"/>
  <c r="E345" i="23" s="1"/>
  <c r="F344" i="23"/>
  <c r="G344" i="23"/>
  <c r="F338" i="23"/>
  <c r="E338" i="23" s="1"/>
  <c r="C338" i="23" s="1"/>
  <c r="I338" i="23" s="1"/>
  <c r="E325" i="23"/>
  <c r="F314" i="23"/>
  <c r="G314" i="23"/>
  <c r="G303" i="23"/>
  <c r="F303" i="23"/>
  <c r="E303" i="23" s="1"/>
  <c r="C303" i="23"/>
  <c r="I303" i="23" s="1"/>
  <c r="F295" i="23"/>
  <c r="G295" i="23"/>
  <c r="F290" i="23"/>
  <c r="G290" i="23"/>
  <c r="C300" i="23"/>
  <c r="I300" i="23" s="1"/>
  <c r="G310" i="23"/>
  <c r="F310" i="23"/>
  <c r="G324" i="23"/>
  <c r="F324" i="23"/>
  <c r="E324" i="23" s="1"/>
  <c r="C324" i="23" s="1"/>
  <c r="I324" i="23" s="1"/>
  <c r="F320" i="23"/>
  <c r="E320" i="23" s="1"/>
  <c r="C320" i="23" s="1"/>
  <c r="I320" i="23" s="1"/>
  <c r="F292" i="23"/>
  <c r="E292" i="23" s="1"/>
  <c r="C305" i="23"/>
  <c r="I305" i="23" s="1"/>
  <c r="C325" i="23"/>
  <c r="I325" i="23" s="1"/>
  <c r="F287" i="23"/>
  <c r="E287" i="23" s="1"/>
  <c r="C287" i="23" s="1"/>
  <c r="I287" i="23" s="1"/>
  <c r="F318" i="23"/>
  <c r="E318" i="23" s="1"/>
  <c r="C318" i="23" s="1"/>
  <c r="I318" i="23" s="1"/>
  <c r="F293" i="23"/>
  <c r="E293" i="23" s="1"/>
  <c r="C293" i="23" s="1"/>
  <c r="I293" i="23" s="1"/>
  <c r="T36" i="23"/>
  <c r="H36" i="23" s="1"/>
  <c r="C36" i="23" s="1"/>
  <c r="I36" i="23" s="1"/>
  <c r="E267" i="23"/>
  <c r="C267" i="23" s="1"/>
  <c r="I267" i="23" s="1"/>
  <c r="G259" i="23"/>
  <c r="F259" i="23"/>
  <c r="E259" i="23" s="1"/>
  <c r="C259" i="23" s="1"/>
  <c r="F244" i="23"/>
  <c r="G244" i="23"/>
  <c r="T49" i="23"/>
  <c r="H49" i="23" s="1"/>
  <c r="G49" i="23" s="1"/>
  <c r="G198" i="23"/>
  <c r="F198" i="23"/>
  <c r="H175" i="23"/>
  <c r="G175" i="23" s="1"/>
  <c r="G174" i="23"/>
  <c r="F174" i="23"/>
  <c r="E174" i="23" s="1"/>
  <c r="G167" i="23"/>
  <c r="F167" i="23"/>
  <c r="E167" i="23" s="1"/>
  <c r="C167" i="23" s="1"/>
  <c r="I167" i="23" s="1"/>
  <c r="G221" i="23"/>
  <c r="F221" i="23"/>
  <c r="E221" i="23" s="1"/>
  <c r="C221" i="23" s="1"/>
  <c r="I221" i="23" s="1"/>
  <c r="G205" i="23"/>
  <c r="F205" i="23"/>
  <c r="E205" i="23" s="1"/>
  <c r="C205" i="23" s="1"/>
  <c r="I205" i="23" s="1"/>
  <c r="F168" i="23"/>
  <c r="G168" i="23"/>
  <c r="F208" i="23"/>
  <c r="G208" i="23"/>
  <c r="E208" i="23" s="1"/>
  <c r="C208" i="23"/>
  <c r="I208" i="23" s="1"/>
  <c r="E172" i="23"/>
  <c r="C172" i="23" s="1"/>
  <c r="I172" i="23" s="1"/>
  <c r="G195" i="23"/>
  <c r="F195" i="23"/>
  <c r="G210" i="23"/>
  <c r="F210" i="23"/>
  <c r="E210" i="23" s="1"/>
  <c r="C210" i="23" s="1"/>
  <c r="I210" i="23" s="1"/>
  <c r="E226" i="23"/>
  <c r="C226" i="23" s="1"/>
  <c r="I226" i="23" s="1"/>
  <c r="G250" i="23"/>
  <c r="F250" i="23"/>
  <c r="E250" i="23" s="1"/>
  <c r="C250" i="23" s="1"/>
  <c r="G264" i="23"/>
  <c r="F264" i="23"/>
  <c r="G193" i="23"/>
  <c r="F193" i="23"/>
  <c r="E198" i="23"/>
  <c r="C198" i="23" s="1"/>
  <c r="I198" i="23" s="1"/>
  <c r="G213" i="23"/>
  <c r="F213" i="23"/>
  <c r="F253" i="23"/>
  <c r="G253" i="23"/>
  <c r="G256" i="23"/>
  <c r="F256" i="23"/>
  <c r="E256" i="23" s="1"/>
  <c r="C256" i="23" s="1"/>
  <c r="G180" i="23"/>
  <c r="F180" i="23"/>
  <c r="G247" i="23"/>
  <c r="F247" i="23"/>
  <c r="G187" i="23"/>
  <c r="F187" i="23"/>
  <c r="E187" i="23" s="1"/>
  <c r="F270" i="23"/>
  <c r="G270" i="23"/>
  <c r="G223" i="23"/>
  <c r="F223" i="23"/>
  <c r="E223" i="23" s="1"/>
  <c r="C223" i="23" s="1"/>
  <c r="I223" i="23" s="1"/>
  <c r="F200" i="23"/>
  <c r="G200" i="23"/>
  <c r="G190" i="23"/>
  <c r="F190" i="23"/>
  <c r="E190" i="23" s="1"/>
  <c r="C190" i="23"/>
  <c r="I190" i="23" s="1"/>
  <c r="G166" i="23"/>
  <c r="E166" i="23" s="1"/>
  <c r="C166" i="23" s="1"/>
  <c r="I166" i="23" s="1"/>
  <c r="F177" i="23"/>
  <c r="E177" i="23" s="1"/>
  <c r="C177" i="23" s="1"/>
  <c r="I177" i="23" s="1"/>
  <c r="G218" i="23"/>
  <c r="E218" i="23" s="1"/>
  <c r="C218" i="23" s="1"/>
  <c r="I218" i="23" s="1"/>
  <c r="H228" i="23"/>
  <c r="G228" i="23" s="1"/>
  <c r="E192" i="23"/>
  <c r="C192" i="23" s="1"/>
  <c r="I192" i="23" s="1"/>
  <c r="F182" i="23"/>
  <c r="E182" i="23" s="1"/>
  <c r="C182" i="23" s="1"/>
  <c r="I182" i="23" s="1"/>
  <c r="F231" i="23"/>
  <c r="G231" i="23"/>
  <c r="G162" i="23"/>
  <c r="F162" i="23"/>
  <c r="G150" i="23"/>
  <c r="G148" i="23"/>
  <c r="F148" i="23"/>
  <c r="E148" i="23" s="1"/>
  <c r="D148" i="23"/>
  <c r="G129" i="23"/>
  <c r="F129" i="23"/>
  <c r="E129" i="23" s="1"/>
  <c r="C129" i="23" s="1"/>
  <c r="I129" i="23" s="1"/>
  <c r="G126" i="23"/>
  <c r="F126" i="23"/>
  <c r="E126" i="23" s="1"/>
  <c r="C126" i="23" s="1"/>
  <c r="I126" i="23" s="1"/>
  <c r="E124" i="23"/>
  <c r="C124" i="23" s="1"/>
  <c r="F123" i="23"/>
  <c r="G121" i="23"/>
  <c r="F121" i="23"/>
  <c r="E121" i="23" s="1"/>
  <c r="C121" i="23" s="1"/>
  <c r="I121" i="23" s="1"/>
  <c r="F118" i="23"/>
  <c r="E118" i="23" s="1"/>
  <c r="C118" i="23" s="1"/>
  <c r="G115" i="23"/>
  <c r="F115" i="23"/>
  <c r="C88" i="23"/>
  <c r="C92" i="23" s="1"/>
  <c r="G73" i="23"/>
  <c r="F73" i="23"/>
  <c r="C60" i="23"/>
  <c r="I61" i="23"/>
  <c r="C62" i="23"/>
  <c r="H65" i="23"/>
  <c r="C65" i="23" s="1"/>
  <c r="C49" i="23"/>
  <c r="I49" i="23" s="1"/>
  <c r="F49" i="23"/>
  <c r="E49" i="23" s="1"/>
  <c r="C46" i="23"/>
  <c r="I46" i="23" s="1"/>
  <c r="G46" i="23"/>
  <c r="F46" i="23"/>
  <c r="E46" i="23" s="1"/>
  <c r="G41" i="23"/>
  <c r="F41" i="23"/>
  <c r="E41" i="23" s="1"/>
  <c r="C41" i="23"/>
  <c r="I41" i="23" s="1"/>
  <c r="G34" i="23"/>
  <c r="F34" i="23"/>
  <c r="E34" i="23" s="1"/>
  <c r="C34" i="23"/>
  <c r="I34" i="23" s="1"/>
  <c r="F37" i="23"/>
  <c r="G37" i="23"/>
  <c r="I32" i="23"/>
  <c r="I30" i="23"/>
  <c r="G31" i="23"/>
  <c r="F31" i="23"/>
  <c r="E31" i="23" s="1"/>
  <c r="F30" i="23"/>
  <c r="G30" i="23"/>
  <c r="C16" i="23"/>
  <c r="I16" i="23" s="1"/>
  <c r="F16" i="23"/>
  <c r="G16" i="23"/>
  <c r="H10" i="23"/>
  <c r="C10" i="23" s="1"/>
  <c r="I10" i="23" s="1"/>
  <c r="H8" i="23"/>
  <c r="C8" i="23" s="1"/>
  <c r="E47" i="24"/>
  <c r="F34" i="24"/>
  <c r="E34" i="24"/>
  <c r="F42" i="24"/>
  <c r="E42" i="24"/>
  <c r="D42" i="24" s="1"/>
  <c r="B61" i="24"/>
  <c r="H61" i="24" s="1"/>
  <c r="F61" i="24"/>
  <c r="E61" i="24"/>
  <c r="D61" i="24" s="1"/>
  <c r="E46" i="24"/>
  <c r="F46" i="24"/>
  <c r="D47" i="24"/>
  <c r="B47" i="24" s="1"/>
  <c r="H47" i="24" s="1"/>
  <c r="D34" i="24"/>
  <c r="E52" i="24"/>
  <c r="D52" i="24" s="1"/>
  <c r="B52" i="24" s="1"/>
  <c r="H52" i="24" s="1"/>
  <c r="F64" i="24"/>
  <c r="E64" i="24"/>
  <c r="B64" i="24"/>
  <c r="H64" i="24" s="1"/>
  <c r="F53" i="24"/>
  <c r="E53" i="24"/>
  <c r="D53" i="24" s="1"/>
  <c r="B53" i="24" s="1"/>
  <c r="H53" i="24" s="1"/>
  <c r="F54" i="24"/>
  <c r="E54" i="24"/>
  <c r="E33" i="24"/>
  <c r="F33" i="24"/>
  <c r="F56" i="24"/>
  <c r="E56" i="24"/>
  <c r="B42" i="24"/>
  <c r="H42" i="24" s="1"/>
  <c r="B51" i="24"/>
  <c r="H51" i="24" s="1"/>
  <c r="F59" i="24"/>
  <c r="E59" i="24"/>
  <c r="D59" i="24" s="1"/>
  <c r="B59" i="24" s="1"/>
  <c r="H59" i="24" s="1"/>
  <c r="F37" i="24"/>
  <c r="E37" i="24"/>
  <c r="F45" i="24"/>
  <c r="E45" i="24"/>
  <c r="E38" i="24"/>
  <c r="D38" i="24" s="1"/>
  <c r="B38" i="24" s="1"/>
  <c r="H38" i="24" s="1"/>
  <c r="E35" i="24"/>
  <c r="D35" i="24" s="1"/>
  <c r="B35" i="24" s="1"/>
  <c r="H35" i="24" s="1"/>
  <c r="E40" i="24"/>
  <c r="D40" i="24" s="1"/>
  <c r="B40" i="24" s="1"/>
  <c r="H40" i="24" s="1"/>
  <c r="E49" i="24"/>
  <c r="D49" i="24" s="1"/>
  <c r="B49" i="24" s="1"/>
  <c r="H49" i="24" s="1"/>
  <c r="F36" i="24"/>
  <c r="E36" i="24"/>
  <c r="F41" i="24"/>
  <c r="E41" i="24"/>
  <c r="D41" i="24" s="1"/>
  <c r="B41" i="24" s="1"/>
  <c r="H41" i="24" s="1"/>
  <c r="F50" i="24"/>
  <c r="E50" i="24"/>
  <c r="D50" i="24" s="1"/>
  <c r="B50" i="24"/>
  <c r="H50" i="24" s="1"/>
  <c r="F55" i="24"/>
  <c r="E55" i="24"/>
  <c r="D55" i="24" s="1"/>
  <c r="B55" i="24"/>
  <c r="H55" i="24" s="1"/>
  <c r="F60" i="24"/>
  <c r="E60" i="24"/>
  <c r="D60" i="24" s="1"/>
  <c r="B60" i="24" s="1"/>
  <c r="H60" i="24" s="1"/>
  <c r="D83" i="24"/>
  <c r="B83" i="24" s="1"/>
  <c r="B34" i="24"/>
  <c r="H34" i="24" s="1"/>
  <c r="F79" i="24"/>
  <c r="E79" i="24"/>
  <c r="D79" i="24" s="1"/>
  <c r="B79" i="24"/>
  <c r="H79" i="24" s="1"/>
  <c r="E39" i="24"/>
  <c r="D39" i="24" s="1"/>
  <c r="B39" i="24" s="1"/>
  <c r="H39" i="24" s="1"/>
  <c r="F44" i="24"/>
  <c r="D44" i="24" s="1"/>
  <c r="B44" i="24" s="1"/>
  <c r="E58" i="24"/>
  <c r="D58" i="24" s="1"/>
  <c r="B58" i="24" s="1"/>
  <c r="H58" i="24" s="1"/>
  <c r="E65" i="24"/>
  <c r="D65" i="24" s="1"/>
  <c r="B65" i="24" s="1"/>
  <c r="F83" i="24"/>
  <c r="E150" i="23"/>
  <c r="C150" i="23" s="1"/>
  <c r="I150" i="23" s="1"/>
  <c r="F53" i="23"/>
  <c r="G53" i="23"/>
  <c r="G169" i="23"/>
  <c r="F169" i="23"/>
  <c r="E169" i="23" s="1"/>
  <c r="C169" i="23" s="1"/>
  <c r="I169" i="23" s="1"/>
  <c r="H39" i="23"/>
  <c r="G57" i="23"/>
  <c r="C57" i="23"/>
  <c r="F57" i="23"/>
  <c r="C45" i="23"/>
  <c r="I45" i="23" s="1"/>
  <c r="N45" i="23"/>
  <c r="C109" i="23"/>
  <c r="E123" i="23"/>
  <c r="C123" i="23" s="1"/>
  <c r="I123" i="23" s="1"/>
  <c r="G142" i="23"/>
  <c r="F142" i="23"/>
  <c r="E142" i="23" s="1"/>
  <c r="G122" i="23"/>
  <c r="F122" i="23"/>
  <c r="G362" i="23"/>
  <c r="F362" i="23"/>
  <c r="E362" i="23" s="1"/>
  <c r="C362" i="23"/>
  <c r="I362" i="23" s="1"/>
  <c r="G367" i="23"/>
  <c r="F367" i="23"/>
  <c r="E367" i="23" s="1"/>
  <c r="C367" i="23"/>
  <c r="I367" i="23" s="1"/>
  <c r="G70" i="23"/>
  <c r="F70" i="23"/>
  <c r="E70" i="23" s="1"/>
  <c r="C70" i="23"/>
  <c r="I70" i="23" s="1"/>
  <c r="C43" i="23"/>
  <c r="I43" i="23" s="1"/>
  <c r="N43" i="23"/>
  <c r="I146" i="23"/>
  <c r="F146" i="23"/>
  <c r="G146" i="23"/>
  <c r="G40" i="23"/>
  <c r="F40" i="23"/>
  <c r="F22" i="23"/>
  <c r="G22" i="23"/>
  <c r="G32" i="23"/>
  <c r="F32" i="23"/>
  <c r="E32" i="23" s="1"/>
  <c r="C32" i="23" s="1"/>
  <c r="T84" i="23"/>
  <c r="H84" i="23" s="1"/>
  <c r="C84" i="23" s="1"/>
  <c r="C120" i="23"/>
  <c r="I120" i="23" s="1"/>
  <c r="D134" i="23"/>
  <c r="G128" i="23"/>
  <c r="F128" i="23"/>
  <c r="I18" i="23"/>
  <c r="H20" i="23"/>
  <c r="G59" i="23"/>
  <c r="F59" i="23"/>
  <c r="E59" i="23" s="1"/>
  <c r="C59" i="23"/>
  <c r="I59" i="23" s="1"/>
  <c r="G47" i="23"/>
  <c r="F47" i="23"/>
  <c r="E47" i="23" s="1"/>
  <c r="C47" i="23"/>
  <c r="I47" i="23" s="1"/>
  <c r="I8" i="23"/>
  <c r="I670" i="23"/>
  <c r="G219" i="23"/>
  <c r="F219" i="23"/>
  <c r="G615" i="23"/>
  <c r="F615" i="23"/>
  <c r="F283" i="23"/>
  <c r="E283" i="23" s="1"/>
  <c r="C283" i="23"/>
  <c r="I283" i="23" s="1"/>
  <c r="G306" i="23"/>
  <c r="F306" i="23"/>
  <c r="G307" i="23"/>
  <c r="F307" i="23"/>
  <c r="G337" i="23"/>
  <c r="F337" i="23"/>
  <c r="E337" i="23" s="1"/>
  <c r="C337" i="23" s="1"/>
  <c r="I337" i="23" s="1"/>
  <c r="G372" i="23"/>
  <c r="F372" i="23"/>
  <c r="F628" i="23"/>
  <c r="E628" i="23" s="1"/>
  <c r="C628" i="23"/>
  <c r="I628" i="23" s="1"/>
  <c r="C148" i="23"/>
  <c r="G257" i="23"/>
  <c r="F257" i="23"/>
  <c r="E257" i="23" s="1"/>
  <c r="C257" i="23"/>
  <c r="F302" i="23"/>
  <c r="E302" i="23" s="1"/>
  <c r="C302" i="23"/>
  <c r="I302" i="23" s="1"/>
  <c r="G319" i="23"/>
  <c r="F319" i="23"/>
  <c r="E360" i="23"/>
  <c r="C360" i="23" s="1"/>
  <c r="I360" i="23" s="1"/>
  <c r="G377" i="23"/>
  <c r="F377" i="23"/>
  <c r="G620" i="23"/>
  <c r="F620" i="23"/>
  <c r="E620" i="23" s="1"/>
  <c r="C620" i="23" s="1"/>
  <c r="I620" i="23" s="1"/>
  <c r="I662" i="23"/>
  <c r="I667" i="23"/>
  <c r="G311" i="23"/>
  <c r="F311" i="23"/>
  <c r="E311" i="23" s="1"/>
  <c r="C311" i="23"/>
  <c r="I311" i="23" s="1"/>
  <c r="G178" i="23"/>
  <c r="F178" i="23"/>
  <c r="G632" i="23"/>
  <c r="F632" i="23"/>
  <c r="E632" i="23" s="1"/>
  <c r="C632" i="23" s="1"/>
  <c r="I632" i="23" s="1"/>
  <c r="G667" i="23"/>
  <c r="F667" i="23"/>
  <c r="I96" i="23"/>
  <c r="G144" i="23"/>
  <c r="E144" i="23" s="1"/>
  <c r="C144" i="23" s="1"/>
  <c r="G171" i="23"/>
  <c r="E171" i="23" s="1"/>
  <c r="C171" i="23" s="1"/>
  <c r="I171" i="23" s="1"/>
  <c r="C174" i="23"/>
  <c r="G185" i="23"/>
  <c r="F185" i="23"/>
  <c r="G202" i="23"/>
  <c r="F202" i="23"/>
  <c r="G214" i="23"/>
  <c r="F214" i="23"/>
  <c r="E214" i="23" s="1"/>
  <c r="C214" i="23" s="1"/>
  <c r="I214" i="23" s="1"/>
  <c r="G227" i="23"/>
  <c r="F227" i="23"/>
  <c r="E227" i="23" s="1"/>
  <c r="C227" i="23"/>
  <c r="I227" i="23" s="1"/>
  <c r="G251" i="23"/>
  <c r="F251" i="23"/>
  <c r="E251" i="23" s="1"/>
  <c r="C251" i="23" s="1"/>
  <c r="G291" i="23"/>
  <c r="F291" i="23"/>
  <c r="E291" i="23" s="1"/>
  <c r="C291" i="23" s="1"/>
  <c r="I291" i="23" s="1"/>
  <c r="G625" i="23"/>
  <c r="F625" i="23"/>
  <c r="G638" i="23"/>
  <c r="F638" i="23"/>
  <c r="H659" i="23"/>
  <c r="G659" i="23"/>
  <c r="F659" i="23"/>
  <c r="I689" i="23"/>
  <c r="G280" i="23"/>
  <c r="F280" i="23"/>
  <c r="I114" i="23"/>
  <c r="G201" i="23"/>
  <c r="F201" i="23"/>
  <c r="E201" i="23" s="1"/>
  <c r="C201" i="23"/>
  <c r="I201" i="23" s="1"/>
  <c r="C675" i="23"/>
  <c r="F154" i="23"/>
  <c r="F197" i="23"/>
  <c r="E197" i="23" s="1"/>
  <c r="C197" i="23"/>
  <c r="I197" i="23" s="1"/>
  <c r="G252" i="23"/>
  <c r="F252" i="23"/>
  <c r="G265" i="23"/>
  <c r="F265" i="23"/>
  <c r="H654" i="23"/>
  <c r="E170" i="23"/>
  <c r="C170" i="23" s="1"/>
  <c r="I170" i="23" s="1"/>
  <c r="D154" i="23"/>
  <c r="G354" i="23"/>
  <c r="F354" i="23"/>
  <c r="F650" i="23"/>
  <c r="E650" i="23" s="1"/>
  <c r="C650" i="23" s="1"/>
  <c r="G154" i="23"/>
  <c r="F215" i="23"/>
  <c r="E215" i="23" s="1"/>
  <c r="C215" i="23"/>
  <c r="I215" i="23" s="1"/>
  <c r="F228" i="23"/>
  <c r="E228" i="23" s="1"/>
  <c r="C228" i="23" s="1"/>
  <c r="I228" i="23" s="1"/>
  <c r="G245" i="23"/>
  <c r="F245" i="23"/>
  <c r="E245" i="23" s="1"/>
  <c r="C245" i="23" s="1"/>
  <c r="G326" i="23"/>
  <c r="F326" i="23"/>
  <c r="G369" i="23"/>
  <c r="F369" i="23"/>
  <c r="E369" i="23" s="1"/>
  <c r="C369" i="23"/>
  <c r="I369" i="23" s="1"/>
  <c r="G643" i="23"/>
  <c r="F643" i="23"/>
  <c r="G232" i="23"/>
  <c r="F232" i="23"/>
  <c r="G207" i="23"/>
  <c r="F207" i="23"/>
  <c r="E207" i="23" s="1"/>
  <c r="C207" i="23"/>
  <c r="I207" i="23" s="1"/>
  <c r="C13" i="23"/>
  <c r="T61" i="23"/>
  <c r="G246" i="23"/>
  <c r="F246" i="23"/>
  <c r="E246" i="23" s="1"/>
  <c r="C246" i="23" s="1"/>
  <c r="G266" i="23"/>
  <c r="F266" i="23"/>
  <c r="C297" i="23"/>
  <c r="I297" i="23" s="1"/>
  <c r="G617" i="23"/>
  <c r="F617" i="23"/>
  <c r="H672" i="23"/>
  <c r="G672" i="23"/>
  <c r="F672" i="23"/>
  <c r="E672" i="23" s="1"/>
  <c r="G184" i="23"/>
  <c r="F184" i="23"/>
  <c r="E184" i="23" s="1"/>
  <c r="C184" i="23" s="1"/>
  <c r="I184" i="23" s="1"/>
  <c r="G203" i="23"/>
  <c r="F203" i="23"/>
  <c r="C292" i="23"/>
  <c r="I292" i="23" s="1"/>
  <c r="G339" i="23"/>
  <c r="F339" i="23"/>
  <c r="I692" i="23"/>
  <c r="G243" i="23"/>
  <c r="F243" i="23"/>
  <c r="G284" i="23"/>
  <c r="F284" i="23"/>
  <c r="I58" i="23"/>
  <c r="G181" i="23"/>
  <c r="F181" i="23"/>
  <c r="E181" i="23" s="1"/>
  <c r="C181" i="23" s="1"/>
  <c r="I181" i="23" s="1"/>
  <c r="G216" i="23"/>
  <c r="F216" i="23"/>
  <c r="G229" i="23"/>
  <c r="F229" i="23"/>
  <c r="E229" i="23" s="1"/>
  <c r="C229" i="23" s="1"/>
  <c r="I229" i="23" s="1"/>
  <c r="G321" i="23"/>
  <c r="F321" i="23"/>
  <c r="E321" i="23" s="1"/>
  <c r="C321" i="23" s="1"/>
  <c r="I321" i="23" s="1"/>
  <c r="G340" i="23"/>
  <c r="F340" i="23"/>
  <c r="C345" i="23"/>
  <c r="I345" i="23" s="1"/>
  <c r="G356" i="23"/>
  <c r="F356" i="23"/>
  <c r="G635" i="23"/>
  <c r="F635" i="23"/>
  <c r="E635" i="23" s="1"/>
  <c r="C635" i="23" s="1"/>
  <c r="I635" i="23" s="1"/>
  <c r="H696" i="23"/>
  <c r="G696" i="23"/>
  <c r="F696" i="23"/>
  <c r="G206" i="23"/>
  <c r="F206" i="23"/>
  <c r="I666" i="23"/>
  <c r="G271" i="23"/>
  <c r="F271" i="23"/>
  <c r="E662" i="23"/>
  <c r="C662" i="23" s="1"/>
  <c r="F145" i="23"/>
  <c r="E145" i="23" s="1"/>
  <c r="G176" i="23"/>
  <c r="F176" i="23"/>
  <c r="E176" i="23" s="1"/>
  <c r="C176" i="23"/>
  <c r="I176" i="23" s="1"/>
  <c r="C187" i="23"/>
  <c r="I187" i="23" s="1"/>
  <c r="G217" i="23"/>
  <c r="F217" i="23"/>
  <c r="E217" i="23" s="1"/>
  <c r="C217" i="23" s="1"/>
  <c r="G230" i="23"/>
  <c r="F230" i="23"/>
  <c r="G260" i="23"/>
  <c r="F260" i="23"/>
  <c r="E260" i="23" s="1"/>
  <c r="C260" i="23" s="1"/>
  <c r="I260" i="23" s="1"/>
  <c r="G298" i="23"/>
  <c r="F298" i="23"/>
  <c r="E298" i="23" s="1"/>
  <c r="C298" i="23"/>
  <c r="I298" i="23" s="1"/>
  <c r="G309" i="23"/>
  <c r="F309" i="23"/>
  <c r="E309" i="23" s="1"/>
  <c r="C309" i="23"/>
  <c r="I309" i="23" s="1"/>
  <c r="C333" i="23"/>
  <c r="C370" i="23"/>
  <c r="I370" i="23" s="1"/>
  <c r="G630" i="23"/>
  <c r="F630" i="23"/>
  <c r="I680" i="23"/>
  <c r="I684" i="23"/>
  <c r="G336" i="23"/>
  <c r="F336" i="23"/>
  <c r="E336" i="23" s="1"/>
  <c r="H109" i="23"/>
  <c r="G145" i="23"/>
  <c r="G261" i="23"/>
  <c r="F261" i="23"/>
  <c r="G299" i="23"/>
  <c r="F299" i="23"/>
  <c r="E299" i="23" s="1"/>
  <c r="C299" i="23"/>
  <c r="I299" i="23" s="1"/>
  <c r="G304" i="23"/>
  <c r="F304" i="23"/>
  <c r="E304" i="23" s="1"/>
  <c r="C304" i="23" s="1"/>
  <c r="I304" i="23" s="1"/>
  <c r="C317" i="23"/>
  <c r="I317" i="23" s="1"/>
  <c r="F322" i="23"/>
  <c r="E322" i="23" s="1"/>
  <c r="C322" i="23" s="1"/>
  <c r="I322" i="23" s="1"/>
  <c r="G351" i="23"/>
  <c r="F351" i="23"/>
  <c r="G357" i="23"/>
  <c r="F357" i="23"/>
  <c r="F375" i="23"/>
  <c r="E375" i="23" s="1"/>
  <c r="C375" i="23"/>
  <c r="I375" i="23" s="1"/>
  <c r="C618" i="23"/>
  <c r="I618" i="23" s="1"/>
  <c r="I664" i="23"/>
  <c r="E680" i="23"/>
  <c r="C680" i="23" s="1"/>
  <c r="G349" i="23"/>
  <c r="F349" i="23"/>
  <c r="G220" i="23"/>
  <c r="F220" i="23"/>
  <c r="G254" i="23"/>
  <c r="F254" i="23"/>
  <c r="E254" i="23" s="1"/>
  <c r="C254" i="23"/>
  <c r="G288" i="23"/>
  <c r="F288" i="23"/>
  <c r="E288" i="23" s="1"/>
  <c r="C288" i="23"/>
  <c r="I288" i="23" s="1"/>
  <c r="G334" i="23"/>
  <c r="F334" i="23"/>
  <c r="E334" i="23" s="1"/>
  <c r="C334" i="23"/>
  <c r="I334" i="23" s="1"/>
  <c r="G346" i="23"/>
  <c r="F346" i="23"/>
  <c r="G352" i="23"/>
  <c r="F352" i="23"/>
  <c r="E352" i="23" s="1"/>
  <c r="C352" i="23"/>
  <c r="I352" i="23" s="1"/>
  <c r="I669" i="23"/>
  <c r="H677" i="23"/>
  <c r="G677" i="23"/>
  <c r="F677" i="23"/>
  <c r="E677" i="23" s="1"/>
  <c r="I685" i="23"/>
  <c r="G183" i="23"/>
  <c r="F183" i="23"/>
  <c r="E183" i="23" s="1"/>
  <c r="C183" i="23"/>
  <c r="I183" i="23" s="1"/>
  <c r="G301" i="23"/>
  <c r="F301" i="23"/>
  <c r="E301" i="23" s="1"/>
  <c r="C301" i="23" s="1"/>
  <c r="I301" i="23" s="1"/>
  <c r="G196" i="23"/>
  <c r="F196" i="23"/>
  <c r="G258" i="23"/>
  <c r="F258" i="23"/>
  <c r="E258" i="23" s="1"/>
  <c r="C258" i="23"/>
  <c r="H64" i="23"/>
  <c r="C64" i="23" s="1"/>
  <c r="G188" i="23"/>
  <c r="F188" i="23"/>
  <c r="G255" i="23"/>
  <c r="F255" i="23"/>
  <c r="E255" i="23" s="1"/>
  <c r="C255" i="23" s="1"/>
  <c r="G289" i="23"/>
  <c r="F289" i="23"/>
  <c r="E289" i="23" s="1"/>
  <c r="C289" i="23"/>
  <c r="I289" i="23" s="1"/>
  <c r="G341" i="23"/>
  <c r="F341" i="23"/>
  <c r="E341" i="23" s="1"/>
  <c r="C341" i="23" s="1"/>
  <c r="I341" i="23" s="1"/>
  <c r="C623" i="23"/>
  <c r="I623" i="23" s="1"/>
  <c r="C636" i="23"/>
  <c r="I636" i="23" s="1"/>
  <c r="G685" i="23"/>
  <c r="F685" i="23"/>
  <c r="E685" i="23" s="1"/>
  <c r="C685" i="23" s="1"/>
  <c r="G633" i="23"/>
  <c r="F633" i="23"/>
  <c r="F117" i="23"/>
  <c r="E117" i="23" s="1"/>
  <c r="C117" i="23" s="1"/>
  <c r="G194" i="23"/>
  <c r="F194" i="23"/>
  <c r="G199" i="23"/>
  <c r="F199" i="23"/>
  <c r="G211" i="23"/>
  <c r="F211" i="23"/>
  <c r="G224" i="23"/>
  <c r="F224" i="23"/>
  <c r="E224" i="23" s="1"/>
  <c r="C224" i="23" s="1"/>
  <c r="I224" i="23" s="1"/>
  <c r="I231" i="23"/>
  <c r="G248" i="23"/>
  <c r="F248" i="23"/>
  <c r="E248" i="23" s="1"/>
  <c r="C248" i="23"/>
  <c r="G294" i="23"/>
  <c r="F294" i="23"/>
  <c r="E294" i="23" s="1"/>
  <c r="C294" i="23" s="1"/>
  <c r="I294" i="23" s="1"/>
  <c r="G335" i="23"/>
  <c r="F335" i="23"/>
  <c r="H347" i="23"/>
  <c r="G366" i="23"/>
  <c r="F366" i="23"/>
  <c r="I657" i="23"/>
  <c r="H694" i="23"/>
  <c r="G694" i="23"/>
  <c r="F694" i="23"/>
  <c r="G313" i="23"/>
  <c r="F313" i="23"/>
  <c r="E313" i="23" s="1"/>
  <c r="C313" i="23" s="1"/>
  <c r="I313" i="23" s="1"/>
  <c r="F179" i="23"/>
  <c r="E179" i="23" s="1"/>
  <c r="C179" i="23" s="1"/>
  <c r="I179" i="23" s="1"/>
  <c r="H28" i="23"/>
  <c r="C28" i="23" s="1"/>
  <c r="I28" i="23" s="1"/>
  <c r="G173" i="23"/>
  <c r="E173" i="23" s="1"/>
  <c r="C173" i="23" s="1"/>
  <c r="I173" i="23" s="1"/>
  <c r="G189" i="23"/>
  <c r="F189" i="23"/>
  <c r="E189" i="23" s="1"/>
  <c r="C189" i="23"/>
  <c r="I189" i="23" s="1"/>
  <c r="G212" i="23"/>
  <c r="F212" i="23"/>
  <c r="E212" i="23" s="1"/>
  <c r="C212" i="23" s="1"/>
  <c r="I212" i="23" s="1"/>
  <c r="G225" i="23"/>
  <c r="F225" i="23"/>
  <c r="E225" i="23" s="1"/>
  <c r="C225" i="23" s="1"/>
  <c r="I225" i="23" s="1"/>
  <c r="G249" i="23"/>
  <c r="F249" i="23"/>
  <c r="E249" i="23" s="1"/>
  <c r="C249" i="23"/>
  <c r="G262" i="23"/>
  <c r="F262" i="23"/>
  <c r="E262" i="23" s="1"/>
  <c r="C262" i="23" s="1"/>
  <c r="I262" i="23" s="1"/>
  <c r="C336" i="23"/>
  <c r="I336" i="23" s="1"/>
  <c r="G342" i="23"/>
  <c r="F342" i="23"/>
  <c r="E342" i="23" s="1"/>
  <c r="C342" i="23"/>
  <c r="I342" i="23" s="1"/>
  <c r="C296" i="23"/>
  <c r="I296" i="23" s="1"/>
  <c r="C316" i="23"/>
  <c r="I316" i="23" s="1"/>
  <c r="F666" i="23"/>
  <c r="F684" i="23"/>
  <c r="T323" i="23"/>
  <c r="H323" i="23" s="1"/>
  <c r="G666" i="23"/>
  <c r="G684" i="23"/>
  <c r="F191" i="23"/>
  <c r="E191" i="23" s="1"/>
  <c r="C191" i="23" s="1"/>
  <c r="I191" i="23" s="1"/>
  <c r="F209" i="23"/>
  <c r="E209" i="23" s="1"/>
  <c r="C209" i="23" s="1"/>
  <c r="I209" i="23" s="1"/>
  <c r="F222" i="23"/>
  <c r="E222" i="23" s="1"/>
  <c r="C222" i="23" s="1"/>
  <c r="I222" i="23" s="1"/>
  <c r="F268" i="23"/>
  <c r="E268" i="23" s="1"/>
  <c r="C268" i="23" s="1"/>
  <c r="I268" i="23" s="1"/>
  <c r="F296" i="23"/>
  <c r="E296" i="23" s="1"/>
  <c r="F316" i="23"/>
  <c r="E316" i="23" s="1"/>
  <c r="F359" i="23"/>
  <c r="C364" i="23"/>
  <c r="I364" i="23" s="1"/>
  <c r="F374" i="23"/>
  <c r="E374" i="23" s="1"/>
  <c r="C374" i="23" s="1"/>
  <c r="F622" i="23"/>
  <c r="E622" i="23" s="1"/>
  <c r="C622" i="23" s="1"/>
  <c r="I622" i="23" s="1"/>
  <c r="F640" i="23"/>
  <c r="E640" i="23" s="1"/>
  <c r="C640" i="23" s="1"/>
  <c r="I640" i="23" s="1"/>
  <c r="F186" i="23"/>
  <c r="E186" i="23" s="1"/>
  <c r="C186" i="23" s="1"/>
  <c r="I186" i="23" s="1"/>
  <c r="F204" i="23"/>
  <c r="E204" i="23" s="1"/>
  <c r="C204" i="23" s="1"/>
  <c r="I204" i="23" s="1"/>
  <c r="F263" i="23"/>
  <c r="E263" i="23" s="1"/>
  <c r="C263" i="23" s="1"/>
  <c r="I263" i="23" s="1"/>
  <c r="G359" i="23"/>
  <c r="F286" i="23"/>
  <c r="E286" i="23" s="1"/>
  <c r="C286" i="23" s="1"/>
  <c r="G664" i="23"/>
  <c r="P362" i="21"/>
  <c r="O362" i="21"/>
  <c r="P345" i="21"/>
  <c r="O345" i="21"/>
  <c r="P343" i="21"/>
  <c r="O343" i="21"/>
  <c r="P341" i="21"/>
  <c r="O341" i="21"/>
  <c r="P336" i="21"/>
  <c r="O336" i="21"/>
  <c r="P122" i="21"/>
  <c r="O122" i="21"/>
  <c r="P71" i="21"/>
  <c r="P70" i="21"/>
  <c r="P68" i="21"/>
  <c r="O71" i="21"/>
  <c r="O70" i="21"/>
  <c r="O68" i="21"/>
  <c r="T34" i="21"/>
  <c r="I32" i="21"/>
  <c r="S65" i="22"/>
  <c r="S66" i="22"/>
  <c r="G65" i="22"/>
  <c r="E65" i="22"/>
  <c r="F65" i="22"/>
  <c r="D65" i="22"/>
  <c r="B65" i="22"/>
  <c r="S33" i="22"/>
  <c r="G33" i="22"/>
  <c r="E33" i="22"/>
  <c r="F33" i="22"/>
  <c r="D33" i="22"/>
  <c r="B33" i="22"/>
  <c r="S34" i="22"/>
  <c r="G34" i="22"/>
  <c r="E34" i="22"/>
  <c r="F34" i="22"/>
  <c r="D34" i="22"/>
  <c r="B34" i="22"/>
  <c r="S35" i="22"/>
  <c r="G35" i="22"/>
  <c r="E35" i="22"/>
  <c r="F35" i="22"/>
  <c r="D35" i="22"/>
  <c r="B35" i="22"/>
  <c r="S36" i="22"/>
  <c r="G36" i="22"/>
  <c r="E36" i="22"/>
  <c r="F36" i="22"/>
  <c r="D36" i="22"/>
  <c r="B36" i="22"/>
  <c r="S37" i="22"/>
  <c r="G37" i="22"/>
  <c r="E37" i="22"/>
  <c r="F37" i="22"/>
  <c r="D37" i="22"/>
  <c r="B37" i="22"/>
  <c r="S38" i="22"/>
  <c r="G38" i="22"/>
  <c r="E38" i="22"/>
  <c r="F38" i="22"/>
  <c r="D38" i="22"/>
  <c r="B38" i="22"/>
  <c r="S39" i="22"/>
  <c r="G39" i="22"/>
  <c r="E39" i="22"/>
  <c r="F39" i="22"/>
  <c r="D39" i="22"/>
  <c r="B39" i="22"/>
  <c r="S40" i="22"/>
  <c r="G40" i="22"/>
  <c r="E40" i="22"/>
  <c r="F40" i="22"/>
  <c r="D40" i="22"/>
  <c r="B40" i="22"/>
  <c r="S41" i="22"/>
  <c r="G41" i="22"/>
  <c r="E41" i="22"/>
  <c r="F41" i="22"/>
  <c r="D41" i="22"/>
  <c r="B41" i="22"/>
  <c r="S42" i="22"/>
  <c r="G42" i="22"/>
  <c r="E42" i="22"/>
  <c r="F42" i="22"/>
  <c r="D42" i="22"/>
  <c r="B42" i="22"/>
  <c r="S43" i="22"/>
  <c r="G43" i="22"/>
  <c r="E43" i="22"/>
  <c r="F43" i="22"/>
  <c r="D43" i="22"/>
  <c r="B43" i="22"/>
  <c r="S44" i="22"/>
  <c r="G44" i="22"/>
  <c r="E44" i="22"/>
  <c r="F44" i="22"/>
  <c r="D44" i="22"/>
  <c r="B44" i="22"/>
  <c r="S45" i="22"/>
  <c r="G45" i="22"/>
  <c r="E45" i="22"/>
  <c r="F45" i="22"/>
  <c r="D45" i="22"/>
  <c r="B45" i="22"/>
  <c r="S46" i="22"/>
  <c r="G46" i="22"/>
  <c r="E46" i="22"/>
  <c r="F46" i="22"/>
  <c r="D46" i="22"/>
  <c r="B46" i="22"/>
  <c r="S47" i="22"/>
  <c r="G47" i="22"/>
  <c r="E47" i="22"/>
  <c r="F47" i="22"/>
  <c r="D47" i="22"/>
  <c r="B47" i="22"/>
  <c r="S49" i="22"/>
  <c r="G49" i="22"/>
  <c r="E49" i="22"/>
  <c r="F49" i="22"/>
  <c r="D49" i="22"/>
  <c r="B49" i="22"/>
  <c r="S50" i="22"/>
  <c r="G50" i="22"/>
  <c r="E50" i="22"/>
  <c r="F50" i="22"/>
  <c r="D50" i="22"/>
  <c r="B50" i="22"/>
  <c r="S51" i="22"/>
  <c r="G51" i="22"/>
  <c r="E51" i="22"/>
  <c r="F51" i="22"/>
  <c r="D51" i="22"/>
  <c r="B51" i="22"/>
  <c r="S52" i="22"/>
  <c r="G52" i="22"/>
  <c r="E52" i="22"/>
  <c r="F52" i="22"/>
  <c r="D52" i="22"/>
  <c r="B52" i="22"/>
  <c r="S53" i="22"/>
  <c r="G53" i="22"/>
  <c r="E53" i="22"/>
  <c r="F53" i="22"/>
  <c r="D53" i="22"/>
  <c r="B53" i="22"/>
  <c r="S54" i="22"/>
  <c r="G54" i="22"/>
  <c r="E54" i="22"/>
  <c r="F54" i="22"/>
  <c r="D54" i="22"/>
  <c r="B54" i="22"/>
  <c r="S55" i="22"/>
  <c r="G55" i="22"/>
  <c r="E55" i="22"/>
  <c r="F55" i="22"/>
  <c r="D55" i="22"/>
  <c r="B55" i="22"/>
  <c r="S56" i="22"/>
  <c r="G56" i="22"/>
  <c r="E56" i="22"/>
  <c r="F56" i="22"/>
  <c r="D56" i="22"/>
  <c r="B56" i="22"/>
  <c r="S57" i="22"/>
  <c r="G57" i="22"/>
  <c r="E57" i="22"/>
  <c r="F57" i="22"/>
  <c r="D57" i="22"/>
  <c r="B57" i="22"/>
  <c r="S58" i="22"/>
  <c r="G58" i="22"/>
  <c r="E58" i="22"/>
  <c r="F58" i="22"/>
  <c r="D58" i="22"/>
  <c r="B58" i="22"/>
  <c r="S59" i="22"/>
  <c r="G59" i="22"/>
  <c r="E59" i="22"/>
  <c r="F59" i="22"/>
  <c r="D59" i="22"/>
  <c r="B59" i="22"/>
  <c r="S60" i="22"/>
  <c r="G60" i="22"/>
  <c r="E60" i="22"/>
  <c r="F60" i="22"/>
  <c r="D60" i="22"/>
  <c r="B60" i="22"/>
  <c r="S61" i="22"/>
  <c r="G61" i="22"/>
  <c r="B61" i="22"/>
  <c r="B62" i="22"/>
  <c r="S64" i="22"/>
  <c r="G64" i="22"/>
  <c r="B64" i="22"/>
  <c r="S78" i="22"/>
  <c r="G78" i="22"/>
  <c r="B78" i="22"/>
  <c r="S79" i="22"/>
  <c r="G79" i="22"/>
  <c r="E79" i="22"/>
  <c r="F79" i="22"/>
  <c r="D79" i="22"/>
  <c r="B79" i="22"/>
  <c r="S80" i="22"/>
  <c r="G80" i="22"/>
  <c r="E80" i="22"/>
  <c r="F80" i="22"/>
  <c r="D80" i="22"/>
  <c r="B80" i="22"/>
  <c r="S82" i="22"/>
  <c r="G82" i="22"/>
  <c r="E82" i="22"/>
  <c r="F82" i="22"/>
  <c r="D82" i="22"/>
  <c r="B82" i="22"/>
  <c r="S83" i="22"/>
  <c r="G83" i="22"/>
  <c r="E83" i="22"/>
  <c r="F83" i="22"/>
  <c r="D83" i="22"/>
  <c r="B83" i="22"/>
  <c r="S84" i="22"/>
  <c r="G84" i="22"/>
  <c r="E84" i="22"/>
  <c r="F84" i="22"/>
  <c r="D84" i="22"/>
  <c r="B84" i="22"/>
  <c r="S85" i="22"/>
  <c r="G85" i="22"/>
  <c r="B85" i="22"/>
  <c r="B86" i="22"/>
  <c r="T326" i="21"/>
  <c r="T286" i="21"/>
  <c r="T317" i="21"/>
  <c r="T324" i="21"/>
  <c r="T325" i="21"/>
  <c r="T167" i="21"/>
  <c r="T168" i="21"/>
  <c r="T173" i="21"/>
  <c r="T323" i="21"/>
  <c r="H323" i="21"/>
  <c r="F323" i="21"/>
  <c r="G323" i="21"/>
  <c r="E323" i="21"/>
  <c r="C323" i="21"/>
  <c r="H286" i="21"/>
  <c r="F286" i="21"/>
  <c r="G286" i="21"/>
  <c r="E286" i="21"/>
  <c r="C286" i="21"/>
  <c r="T287" i="21"/>
  <c r="H287" i="21"/>
  <c r="F287" i="21"/>
  <c r="G287" i="21"/>
  <c r="E287" i="21"/>
  <c r="C287" i="21"/>
  <c r="T288" i="21"/>
  <c r="H288" i="21"/>
  <c r="F288" i="21"/>
  <c r="G288" i="21"/>
  <c r="E288" i="21"/>
  <c r="C288" i="21"/>
  <c r="T289" i="21"/>
  <c r="H289" i="21"/>
  <c r="F289" i="21"/>
  <c r="G289" i="21"/>
  <c r="E289" i="21"/>
  <c r="C289" i="21"/>
  <c r="T290" i="21"/>
  <c r="H290" i="21"/>
  <c r="F290" i="21"/>
  <c r="G290" i="21"/>
  <c r="E290" i="21"/>
  <c r="C290" i="21"/>
  <c r="T291" i="21"/>
  <c r="H291" i="21"/>
  <c r="F291" i="21"/>
  <c r="G291" i="21"/>
  <c r="E291" i="21"/>
  <c r="C291" i="21"/>
  <c r="T292" i="21"/>
  <c r="H292" i="21"/>
  <c r="F292" i="21"/>
  <c r="G292" i="21"/>
  <c r="E292" i="21"/>
  <c r="C292" i="21"/>
  <c r="T293" i="21"/>
  <c r="H293" i="21"/>
  <c r="F293" i="21"/>
  <c r="G293" i="21"/>
  <c r="E293" i="21"/>
  <c r="C293" i="21"/>
  <c r="T294" i="21"/>
  <c r="H294" i="21"/>
  <c r="F294" i="21"/>
  <c r="G294" i="21"/>
  <c r="E294" i="21"/>
  <c r="C294" i="21"/>
  <c r="T295" i="21"/>
  <c r="H295" i="21"/>
  <c r="F295" i="21"/>
  <c r="G295" i="21"/>
  <c r="E295" i="21"/>
  <c r="C295" i="21"/>
  <c r="T296" i="21"/>
  <c r="H296" i="21"/>
  <c r="F296" i="21"/>
  <c r="G296" i="21"/>
  <c r="E296" i="21"/>
  <c r="C296" i="21"/>
  <c r="T297" i="21"/>
  <c r="H297" i="21"/>
  <c r="F297" i="21"/>
  <c r="G297" i="21"/>
  <c r="E297" i="21"/>
  <c r="C297" i="21"/>
  <c r="T298" i="21"/>
  <c r="H298" i="21"/>
  <c r="F298" i="21"/>
  <c r="G298" i="21"/>
  <c r="E298" i="21"/>
  <c r="C298" i="21"/>
  <c r="T299" i="21"/>
  <c r="H299" i="21"/>
  <c r="F299" i="21"/>
  <c r="G299" i="21"/>
  <c r="E299" i="21"/>
  <c r="C299" i="21"/>
  <c r="T300" i="21"/>
  <c r="H300" i="21"/>
  <c r="F300" i="21"/>
  <c r="G300" i="21"/>
  <c r="E300" i="21"/>
  <c r="C300" i="21"/>
  <c r="T301" i="21"/>
  <c r="H301" i="21"/>
  <c r="F301" i="21"/>
  <c r="G301" i="21"/>
  <c r="E301" i="21"/>
  <c r="C301" i="21"/>
  <c r="T302" i="21"/>
  <c r="H302" i="21"/>
  <c r="F302" i="21"/>
  <c r="G302" i="21"/>
  <c r="E302" i="21"/>
  <c r="C302" i="21"/>
  <c r="T303" i="21"/>
  <c r="H303" i="21"/>
  <c r="F303" i="21"/>
  <c r="G303" i="21"/>
  <c r="E303" i="21"/>
  <c r="C303" i="21"/>
  <c r="T304" i="21"/>
  <c r="H304" i="21"/>
  <c r="F304" i="21"/>
  <c r="G304" i="21"/>
  <c r="E304" i="21"/>
  <c r="C304" i="21"/>
  <c r="T305" i="21"/>
  <c r="H305" i="21"/>
  <c r="F305" i="21"/>
  <c r="G305" i="21"/>
  <c r="E305" i="21"/>
  <c r="C305" i="21"/>
  <c r="T306" i="21"/>
  <c r="H306" i="21"/>
  <c r="F306" i="21"/>
  <c r="G306" i="21"/>
  <c r="E306" i="21"/>
  <c r="C306" i="21"/>
  <c r="T307" i="21"/>
  <c r="H307" i="21"/>
  <c r="F307" i="21"/>
  <c r="G307" i="21"/>
  <c r="E307" i="21"/>
  <c r="C307" i="21"/>
  <c r="T308" i="21"/>
  <c r="H308" i="21"/>
  <c r="F308" i="21"/>
  <c r="G308" i="21"/>
  <c r="E308" i="21"/>
  <c r="C308" i="21"/>
  <c r="T309" i="21"/>
  <c r="H309" i="21"/>
  <c r="F309" i="21"/>
  <c r="G309" i="21"/>
  <c r="E309" i="21"/>
  <c r="C309" i="21"/>
  <c r="T310" i="21"/>
  <c r="H310" i="21"/>
  <c r="F310" i="21"/>
  <c r="G310" i="21"/>
  <c r="E310" i="21"/>
  <c r="C310" i="21"/>
  <c r="T311" i="21"/>
  <c r="H311" i="21"/>
  <c r="F311" i="21"/>
  <c r="G311" i="21"/>
  <c r="E311" i="21"/>
  <c r="C311" i="21"/>
  <c r="T313" i="21"/>
  <c r="H313" i="21"/>
  <c r="F313" i="21"/>
  <c r="G313" i="21"/>
  <c r="E313" i="21"/>
  <c r="C313" i="21"/>
  <c r="T314" i="21"/>
  <c r="H314" i="21"/>
  <c r="F314" i="21"/>
  <c r="G314" i="21"/>
  <c r="E314" i="21"/>
  <c r="C314" i="21"/>
  <c r="T316" i="21"/>
  <c r="H316" i="21"/>
  <c r="F316" i="21"/>
  <c r="G316" i="21"/>
  <c r="E316" i="21"/>
  <c r="C316" i="21"/>
  <c r="H317" i="21"/>
  <c r="F317" i="21"/>
  <c r="G317" i="21"/>
  <c r="E317" i="21"/>
  <c r="C317" i="21"/>
  <c r="T318" i="21"/>
  <c r="H318" i="21"/>
  <c r="F318" i="21"/>
  <c r="G318" i="21"/>
  <c r="E318" i="21"/>
  <c r="C318" i="21"/>
  <c r="T319" i="21"/>
  <c r="H319" i="21"/>
  <c r="F319" i="21"/>
  <c r="G319" i="21"/>
  <c r="E319" i="21"/>
  <c r="C319" i="21"/>
  <c r="T320" i="21"/>
  <c r="H320" i="21"/>
  <c r="F320" i="21"/>
  <c r="G320" i="21"/>
  <c r="E320" i="21"/>
  <c r="C320" i="21"/>
  <c r="T321" i="21"/>
  <c r="H321" i="21"/>
  <c r="F321" i="21"/>
  <c r="G321" i="21"/>
  <c r="E321" i="21"/>
  <c r="C321" i="21"/>
  <c r="T322" i="21"/>
  <c r="H322" i="21"/>
  <c r="F322" i="21"/>
  <c r="G322" i="21"/>
  <c r="E322" i="21"/>
  <c r="C322" i="21"/>
  <c r="H324" i="21"/>
  <c r="F324" i="21"/>
  <c r="G324" i="21"/>
  <c r="E324" i="21"/>
  <c r="C324" i="21"/>
  <c r="H325" i="21"/>
  <c r="F325" i="21"/>
  <c r="G325" i="21"/>
  <c r="E325" i="21"/>
  <c r="C325" i="21"/>
  <c r="H326" i="21"/>
  <c r="F326" i="21"/>
  <c r="G326" i="21"/>
  <c r="E326" i="21"/>
  <c r="C326" i="21"/>
  <c r="C328" i="21"/>
  <c r="B73" i="22"/>
  <c r="C278" i="21"/>
  <c r="C277" i="21"/>
  <c r="H85" i="22"/>
  <c r="F85" i="22"/>
  <c r="E85" i="22"/>
  <c r="D85" i="22"/>
  <c r="H83" i="22"/>
  <c r="H79" i="22"/>
  <c r="H78" i="22"/>
  <c r="F78" i="22"/>
  <c r="E78" i="22"/>
  <c r="D78" i="22"/>
  <c r="H65" i="22"/>
  <c r="H64" i="22"/>
  <c r="F64" i="22"/>
  <c r="E64" i="22"/>
  <c r="D64" i="22"/>
  <c r="H61" i="22"/>
  <c r="F61" i="22"/>
  <c r="E61" i="22"/>
  <c r="D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T616" i="21"/>
  <c r="H616" i="21"/>
  <c r="F616" i="21"/>
  <c r="G616" i="21"/>
  <c r="E616" i="21"/>
  <c r="C616" i="21"/>
  <c r="I616" i="21"/>
  <c r="T617" i="21"/>
  <c r="H617" i="21"/>
  <c r="F617" i="21"/>
  <c r="G617" i="21"/>
  <c r="E617" i="21"/>
  <c r="C617" i="21"/>
  <c r="I617" i="21"/>
  <c r="T618" i="21"/>
  <c r="H618" i="21"/>
  <c r="F618" i="21"/>
  <c r="G618" i="21"/>
  <c r="E618" i="21"/>
  <c r="C618" i="21"/>
  <c r="I618" i="21"/>
  <c r="T619" i="21"/>
  <c r="H619" i="21"/>
  <c r="F619" i="21"/>
  <c r="G619" i="21"/>
  <c r="E619" i="21"/>
  <c r="C619" i="21"/>
  <c r="I619" i="21"/>
  <c r="T620" i="21"/>
  <c r="H620" i="21"/>
  <c r="F620" i="21"/>
  <c r="G620" i="21"/>
  <c r="E620" i="21"/>
  <c r="C620" i="21"/>
  <c r="I620" i="21"/>
  <c r="T621" i="21"/>
  <c r="H621" i="21"/>
  <c r="F621" i="21"/>
  <c r="G621" i="21"/>
  <c r="E621" i="21"/>
  <c r="C621" i="21"/>
  <c r="I621" i="21"/>
  <c r="T622" i="21"/>
  <c r="H622" i="21"/>
  <c r="F622" i="21"/>
  <c r="G622" i="21"/>
  <c r="E622" i="21"/>
  <c r="C622" i="21"/>
  <c r="I622" i="21"/>
  <c r="T623" i="21"/>
  <c r="H623" i="21"/>
  <c r="F623" i="21"/>
  <c r="G623" i="21"/>
  <c r="E623" i="21"/>
  <c r="C623" i="21"/>
  <c r="I623" i="21"/>
  <c r="T624" i="21"/>
  <c r="H624" i="21"/>
  <c r="F624" i="21"/>
  <c r="G624" i="21"/>
  <c r="E624" i="21"/>
  <c r="C624" i="21"/>
  <c r="I624" i="21"/>
  <c r="T625" i="21"/>
  <c r="H625" i="21"/>
  <c r="F625" i="21"/>
  <c r="G625" i="21"/>
  <c r="E625" i="21"/>
  <c r="C625" i="21"/>
  <c r="I625" i="21"/>
  <c r="T626" i="21"/>
  <c r="H626" i="21"/>
  <c r="F626" i="21"/>
  <c r="G626" i="21"/>
  <c r="E626" i="21"/>
  <c r="C626" i="21"/>
  <c r="I626" i="21"/>
  <c r="T627" i="21"/>
  <c r="H627" i="21"/>
  <c r="F627" i="21"/>
  <c r="G627" i="21"/>
  <c r="E627" i="21"/>
  <c r="C627" i="21"/>
  <c r="I627" i="21"/>
  <c r="T628" i="21"/>
  <c r="H628" i="21"/>
  <c r="F628" i="21"/>
  <c r="G628" i="21"/>
  <c r="E628" i="21"/>
  <c r="C628" i="21"/>
  <c r="I628" i="21"/>
  <c r="T629" i="21"/>
  <c r="H629" i="21"/>
  <c r="F629" i="21"/>
  <c r="G629" i="21"/>
  <c r="E629" i="21"/>
  <c r="C629" i="21"/>
  <c r="I629" i="21"/>
  <c r="T630" i="21"/>
  <c r="H630" i="21"/>
  <c r="F630" i="21"/>
  <c r="G630" i="21"/>
  <c r="E630" i="21"/>
  <c r="C630" i="21"/>
  <c r="I630" i="21"/>
  <c r="T631" i="21"/>
  <c r="H631" i="21"/>
  <c r="F631" i="21"/>
  <c r="G631" i="21"/>
  <c r="E631" i="21"/>
  <c r="C631" i="21"/>
  <c r="I631" i="21"/>
  <c r="T632" i="21"/>
  <c r="H632" i="21"/>
  <c r="F632" i="21"/>
  <c r="G632" i="21"/>
  <c r="E632" i="21"/>
  <c r="C632" i="21"/>
  <c r="I632" i="21"/>
  <c r="T633" i="21"/>
  <c r="H633" i="21"/>
  <c r="F633" i="21"/>
  <c r="G633" i="21"/>
  <c r="E633" i="21"/>
  <c r="C633" i="21"/>
  <c r="I633" i="21"/>
  <c r="T634" i="21"/>
  <c r="H634" i="21"/>
  <c r="F634" i="21"/>
  <c r="G634" i="21"/>
  <c r="E634" i="21"/>
  <c r="C634" i="21"/>
  <c r="I634" i="21"/>
  <c r="T635" i="21"/>
  <c r="H635" i="21"/>
  <c r="F635" i="21"/>
  <c r="G635" i="21"/>
  <c r="E635" i="21"/>
  <c r="C635" i="21"/>
  <c r="I635" i="21"/>
  <c r="T636" i="21"/>
  <c r="H636" i="21"/>
  <c r="F636" i="21"/>
  <c r="G636" i="21"/>
  <c r="E636" i="21"/>
  <c r="C636" i="21"/>
  <c r="I636" i="21"/>
  <c r="T637" i="21"/>
  <c r="H637" i="21"/>
  <c r="F637" i="21"/>
  <c r="G637" i="21"/>
  <c r="E637" i="21"/>
  <c r="C637" i="21"/>
  <c r="I637" i="21"/>
  <c r="T638" i="21"/>
  <c r="H638" i="21"/>
  <c r="F638" i="21"/>
  <c r="G638" i="21"/>
  <c r="E638" i="21"/>
  <c r="C638" i="21"/>
  <c r="I638" i="21"/>
  <c r="T639" i="21"/>
  <c r="H639" i="21"/>
  <c r="F639" i="21"/>
  <c r="G639" i="21"/>
  <c r="E639" i="21"/>
  <c r="C639" i="21"/>
  <c r="I639" i="21"/>
  <c r="T640" i="21"/>
  <c r="H640" i="21"/>
  <c r="F640" i="21"/>
  <c r="G640" i="21"/>
  <c r="E640" i="21"/>
  <c r="C640" i="21"/>
  <c r="I640" i="21"/>
  <c r="T641" i="21"/>
  <c r="H641" i="21"/>
  <c r="F641" i="21"/>
  <c r="G641" i="21"/>
  <c r="E641" i="21"/>
  <c r="C641" i="21"/>
  <c r="I641" i="21"/>
  <c r="T642" i="21"/>
  <c r="H642" i="21"/>
  <c r="F642" i="21"/>
  <c r="G642" i="21"/>
  <c r="E642" i="21"/>
  <c r="C642" i="21"/>
  <c r="I642" i="21"/>
  <c r="T643" i="21"/>
  <c r="H643" i="21"/>
  <c r="F643" i="21"/>
  <c r="G643" i="21"/>
  <c r="E643" i="21"/>
  <c r="C643" i="21"/>
  <c r="I643" i="21"/>
  <c r="T646" i="21"/>
  <c r="H646" i="21"/>
  <c r="F646" i="21"/>
  <c r="G646" i="21"/>
  <c r="E646" i="21"/>
  <c r="C646" i="21"/>
  <c r="I646" i="21"/>
  <c r="T647" i="21"/>
  <c r="H647" i="21"/>
  <c r="G647" i="21"/>
  <c r="F647" i="21"/>
  <c r="E647" i="21"/>
  <c r="C647" i="21"/>
  <c r="I647" i="21"/>
  <c r="I654" i="21"/>
  <c r="T8" i="21"/>
  <c r="T9" i="21"/>
  <c r="H8" i="21"/>
  <c r="C8" i="21"/>
  <c r="I8" i="21"/>
  <c r="T10" i="21"/>
  <c r="T11" i="21"/>
  <c r="H10" i="21"/>
  <c r="E10" i="21"/>
  <c r="C10" i="21"/>
  <c r="I10" i="21"/>
  <c r="T14" i="21"/>
  <c r="H14" i="21"/>
  <c r="C14" i="21"/>
  <c r="I14" i="21"/>
  <c r="T15" i="21"/>
  <c r="H15" i="21"/>
  <c r="C15" i="21"/>
  <c r="I15" i="21"/>
  <c r="T16" i="21"/>
  <c r="H16" i="21"/>
  <c r="C16" i="21"/>
  <c r="I16" i="21"/>
  <c r="T17" i="21"/>
  <c r="H17" i="21"/>
  <c r="C17" i="21"/>
  <c r="I17" i="21"/>
  <c r="P20" i="21"/>
  <c r="O20" i="21"/>
  <c r="T20" i="21"/>
  <c r="I18" i="21"/>
  <c r="H20" i="21"/>
  <c r="F20" i="21"/>
  <c r="G20" i="21"/>
  <c r="E20" i="21"/>
  <c r="C20" i="21"/>
  <c r="I20" i="21"/>
  <c r="T21" i="21"/>
  <c r="H21" i="21"/>
  <c r="C21" i="21"/>
  <c r="I21" i="21"/>
  <c r="T22" i="21"/>
  <c r="H22" i="21"/>
  <c r="F22" i="21"/>
  <c r="G22" i="21"/>
  <c r="E22" i="21"/>
  <c r="C22" i="21"/>
  <c r="I22" i="21"/>
  <c r="T25" i="21"/>
  <c r="H25" i="21"/>
  <c r="C25" i="21"/>
  <c r="I25" i="21"/>
  <c r="T27" i="21"/>
  <c r="H27" i="21"/>
  <c r="C27" i="21"/>
  <c r="I27" i="21"/>
  <c r="T32" i="21"/>
  <c r="T28" i="21"/>
  <c r="H28" i="21"/>
  <c r="C28" i="21"/>
  <c r="I28" i="21"/>
  <c r="T29" i="21"/>
  <c r="H29" i="21"/>
  <c r="C29" i="21"/>
  <c r="I29" i="21"/>
  <c r="T31" i="21"/>
  <c r="I30" i="21"/>
  <c r="C31" i="21"/>
  <c r="I31" i="21"/>
  <c r="H34" i="21"/>
  <c r="F34" i="21"/>
  <c r="G34" i="21"/>
  <c r="E34" i="21"/>
  <c r="C34" i="21"/>
  <c r="I34" i="21"/>
  <c r="T35" i="21"/>
  <c r="H35" i="21"/>
  <c r="C35" i="21"/>
  <c r="I35" i="21"/>
  <c r="T271" i="21"/>
  <c r="T270" i="21"/>
  <c r="T279" i="21"/>
  <c r="T280" i="21"/>
  <c r="T284" i="21"/>
  <c r="T36" i="21"/>
  <c r="H36" i="21"/>
  <c r="C36" i="21"/>
  <c r="I36" i="21"/>
  <c r="T37" i="21"/>
  <c r="H37" i="21"/>
  <c r="F37" i="21"/>
  <c r="G37" i="21"/>
  <c r="E37" i="21"/>
  <c r="C37" i="21"/>
  <c r="I37" i="21"/>
  <c r="T39" i="21"/>
  <c r="T214" i="21"/>
  <c r="H214" i="21"/>
  <c r="T216" i="21"/>
  <c r="H216" i="21"/>
  <c r="T215" i="21"/>
  <c r="H215" i="21"/>
  <c r="T213" i="21"/>
  <c r="H213" i="21"/>
  <c r="T188" i="21"/>
  <c r="H188" i="21"/>
  <c r="T169" i="21"/>
  <c r="H169" i="21"/>
  <c r="T232" i="21"/>
  <c r="H232" i="21"/>
  <c r="H39" i="21"/>
  <c r="F39" i="21"/>
  <c r="G39" i="21"/>
  <c r="E39" i="21"/>
  <c r="C39" i="21"/>
  <c r="I39" i="21"/>
  <c r="T40" i="21"/>
  <c r="H40" i="21"/>
  <c r="F40" i="21"/>
  <c r="G40" i="21"/>
  <c r="E40" i="21"/>
  <c r="C40" i="21"/>
  <c r="I40" i="21"/>
  <c r="T41" i="21"/>
  <c r="H41" i="21"/>
  <c r="C41" i="21"/>
  <c r="I41" i="21"/>
  <c r="T42" i="21"/>
  <c r="H42" i="21"/>
  <c r="C42" i="21"/>
  <c r="I42" i="21"/>
  <c r="T43" i="21"/>
  <c r="H43" i="21"/>
  <c r="C43" i="21"/>
  <c r="I43" i="21"/>
  <c r="I77" i="21"/>
  <c r="I81" i="21"/>
  <c r="T57" i="21"/>
  <c r="H57" i="21"/>
  <c r="C57" i="21"/>
  <c r="I57" i="21"/>
  <c r="T59" i="21"/>
  <c r="I58" i="21"/>
  <c r="H59" i="21"/>
  <c r="C59" i="21"/>
  <c r="I59" i="21"/>
  <c r="T65" i="21"/>
  <c r="T62" i="21"/>
  <c r="T61" i="21"/>
  <c r="I60" i="21"/>
  <c r="I61" i="21"/>
  <c r="I62" i="21"/>
  <c r="T64" i="21"/>
  <c r="I64" i="21"/>
  <c r="I65" i="21"/>
  <c r="I66" i="21"/>
  <c r="I85" i="21"/>
  <c r="T103" i="21"/>
  <c r="T108" i="21"/>
  <c r="T105" i="21"/>
  <c r="I101" i="21"/>
  <c r="I99" i="21"/>
  <c r="I109" i="21"/>
  <c r="T657" i="21"/>
  <c r="H657" i="21"/>
  <c r="I657" i="21"/>
  <c r="T658" i="21"/>
  <c r="H658" i="21"/>
  <c r="I658" i="21"/>
  <c r="T659" i="21"/>
  <c r="H659" i="21"/>
  <c r="I659" i="21"/>
  <c r="T660" i="21"/>
  <c r="H660" i="21"/>
  <c r="I660" i="21"/>
  <c r="T661" i="21"/>
  <c r="H661" i="21"/>
  <c r="I661" i="21"/>
  <c r="T662" i="21"/>
  <c r="H662" i="21"/>
  <c r="I662" i="21"/>
  <c r="T663" i="21"/>
  <c r="H663" i="21"/>
  <c r="I663" i="21"/>
  <c r="T664" i="21"/>
  <c r="H664" i="21"/>
  <c r="I664" i="21"/>
  <c r="T665" i="21"/>
  <c r="F665" i="21" s="1"/>
  <c r="T666" i="21"/>
  <c r="H666" i="21"/>
  <c r="I666" i="21"/>
  <c r="T667" i="21"/>
  <c r="H667" i="21"/>
  <c r="I667" i="21"/>
  <c r="T668" i="21"/>
  <c r="H668" i="21"/>
  <c r="I668" i="21"/>
  <c r="T669" i="21"/>
  <c r="H669" i="21"/>
  <c r="I669" i="21"/>
  <c r="T670" i="21"/>
  <c r="H670" i="21"/>
  <c r="I670" i="21"/>
  <c r="T671" i="21"/>
  <c r="H671" i="21"/>
  <c r="I671" i="21"/>
  <c r="T672" i="21"/>
  <c r="H672" i="21"/>
  <c r="I672" i="21"/>
  <c r="T673" i="21"/>
  <c r="H673" i="21"/>
  <c r="I673" i="21"/>
  <c r="T674" i="21"/>
  <c r="H674" i="21"/>
  <c r="I674" i="21"/>
  <c r="T675" i="21"/>
  <c r="H675" i="21"/>
  <c r="I675" i="21"/>
  <c r="T676" i="21"/>
  <c r="H676" i="21"/>
  <c r="I676" i="21"/>
  <c r="T677" i="21"/>
  <c r="H677" i="21"/>
  <c r="I677" i="21"/>
  <c r="T678" i="21"/>
  <c r="H678" i="21"/>
  <c r="I678" i="21"/>
  <c r="T679" i="21"/>
  <c r="H679" i="21"/>
  <c r="F679" i="21"/>
  <c r="G679" i="21"/>
  <c r="E679" i="21"/>
  <c r="C679" i="21"/>
  <c r="I679" i="21"/>
  <c r="T680" i="21"/>
  <c r="H680" i="21"/>
  <c r="I680" i="21"/>
  <c r="T681" i="21"/>
  <c r="H681" i="21"/>
  <c r="I681" i="21"/>
  <c r="T682" i="21"/>
  <c r="H682" i="21"/>
  <c r="I682" i="21"/>
  <c r="T683" i="21"/>
  <c r="H683" i="21"/>
  <c r="I683" i="21"/>
  <c r="T684" i="21"/>
  <c r="H684" i="21"/>
  <c r="I684" i="21"/>
  <c r="T685" i="21"/>
  <c r="H685" i="21"/>
  <c r="I685" i="21"/>
  <c r="T686" i="21"/>
  <c r="H686" i="21"/>
  <c r="I686" i="21"/>
  <c r="T689" i="21"/>
  <c r="H689" i="21"/>
  <c r="I689" i="21"/>
  <c r="T102" i="21"/>
  <c r="H101" i="21"/>
  <c r="H109" i="21"/>
  <c r="H709" i="21"/>
  <c r="H729" i="21"/>
  <c r="E709" i="21"/>
  <c r="E729" i="21"/>
  <c r="D709" i="21"/>
  <c r="D720" i="21"/>
  <c r="D726" i="21"/>
  <c r="D729" i="21"/>
  <c r="T98" i="21"/>
  <c r="T99" i="21"/>
  <c r="H98" i="21"/>
  <c r="E98" i="21"/>
  <c r="C98" i="21"/>
  <c r="T46" i="21"/>
  <c r="H46" i="21"/>
  <c r="C46" i="21"/>
  <c r="T96" i="21"/>
  <c r="H96" i="21"/>
  <c r="E96" i="21"/>
  <c r="C96" i="21"/>
  <c r="C13" i="21"/>
  <c r="T18" i="21"/>
  <c r="H18" i="21"/>
  <c r="E18" i="21"/>
  <c r="C18" i="21"/>
  <c r="E19" i="21"/>
  <c r="C19" i="21"/>
  <c r="T30" i="21"/>
  <c r="H30" i="21"/>
  <c r="F30" i="21"/>
  <c r="G30" i="21"/>
  <c r="E30" i="21"/>
  <c r="C30" i="21"/>
  <c r="H32" i="21"/>
  <c r="F32" i="21"/>
  <c r="G32" i="21"/>
  <c r="E32" i="21"/>
  <c r="C32" i="21"/>
  <c r="T44" i="21"/>
  <c r="H44" i="21"/>
  <c r="F44" i="21"/>
  <c r="G44" i="21"/>
  <c r="E44" i="21"/>
  <c r="C44" i="21"/>
  <c r="T45" i="21"/>
  <c r="H45" i="21"/>
  <c r="C45" i="21"/>
  <c r="T47" i="21"/>
  <c r="H47" i="21"/>
  <c r="C47" i="21"/>
  <c r="T48" i="21"/>
  <c r="H48" i="21"/>
  <c r="C48" i="21"/>
  <c r="T225" i="21"/>
  <c r="T223" i="21"/>
  <c r="T227" i="21"/>
  <c r="T226" i="21"/>
  <c r="T228" i="21"/>
  <c r="T49" i="21"/>
  <c r="H49" i="21"/>
  <c r="C49" i="21"/>
  <c r="T53" i="21"/>
  <c r="H53" i="21"/>
  <c r="F53" i="21"/>
  <c r="G53" i="21"/>
  <c r="E53" i="21"/>
  <c r="C53" i="21"/>
  <c r="C54" i="21"/>
  <c r="T71" i="21"/>
  <c r="C69" i="21"/>
  <c r="T70" i="21"/>
  <c r="H70" i="21"/>
  <c r="C70" i="21"/>
  <c r="T72" i="21"/>
  <c r="T73" i="21"/>
  <c r="T68" i="21"/>
  <c r="F657" i="21"/>
  <c r="G657" i="21"/>
  <c r="E657" i="21"/>
  <c r="C657" i="21"/>
  <c r="F658" i="21"/>
  <c r="G658" i="21"/>
  <c r="E658" i="21"/>
  <c r="C658" i="21"/>
  <c r="F659" i="21"/>
  <c r="G659" i="21"/>
  <c r="E659" i="21"/>
  <c r="C659" i="21"/>
  <c r="F660" i="21"/>
  <c r="G660" i="21"/>
  <c r="E660" i="21"/>
  <c r="C660" i="21"/>
  <c r="F661" i="21"/>
  <c r="G661" i="21"/>
  <c r="E661" i="21"/>
  <c r="C661" i="21"/>
  <c r="F662" i="21"/>
  <c r="G662" i="21"/>
  <c r="E662" i="21"/>
  <c r="C662" i="21"/>
  <c r="F663" i="21"/>
  <c r="G663" i="21"/>
  <c r="E663" i="21"/>
  <c r="C663" i="21"/>
  <c r="F664" i="21"/>
  <c r="G664" i="21"/>
  <c r="E664" i="21"/>
  <c r="C664" i="21"/>
  <c r="F666" i="21"/>
  <c r="G666" i="21"/>
  <c r="E666" i="21"/>
  <c r="C666" i="21"/>
  <c r="F667" i="21"/>
  <c r="G667" i="21"/>
  <c r="E667" i="21"/>
  <c r="C667" i="21"/>
  <c r="F668" i="21"/>
  <c r="G668" i="21"/>
  <c r="E668" i="21"/>
  <c r="C668" i="21"/>
  <c r="F669" i="21"/>
  <c r="G669" i="21"/>
  <c r="E669" i="21"/>
  <c r="C669" i="21"/>
  <c r="F670" i="21"/>
  <c r="G670" i="21"/>
  <c r="E670" i="21"/>
  <c r="C670" i="21"/>
  <c r="F671" i="21"/>
  <c r="G671" i="21"/>
  <c r="E671" i="21"/>
  <c r="C671" i="21"/>
  <c r="F672" i="21"/>
  <c r="G672" i="21"/>
  <c r="E672" i="21"/>
  <c r="C672" i="21"/>
  <c r="F673" i="21"/>
  <c r="G673" i="21"/>
  <c r="E673" i="21"/>
  <c r="C673" i="21"/>
  <c r="F674" i="21"/>
  <c r="G674" i="21"/>
  <c r="E674" i="21"/>
  <c r="C674" i="21"/>
  <c r="F675" i="21"/>
  <c r="G675" i="21"/>
  <c r="E675" i="21"/>
  <c r="C675" i="21"/>
  <c r="F676" i="21"/>
  <c r="G676" i="21"/>
  <c r="E676" i="21"/>
  <c r="C676" i="21"/>
  <c r="F677" i="21"/>
  <c r="G677" i="21"/>
  <c r="E677" i="21"/>
  <c r="C677" i="21"/>
  <c r="F678" i="21"/>
  <c r="G678" i="21"/>
  <c r="E678" i="21"/>
  <c r="C678" i="21"/>
  <c r="F680" i="21"/>
  <c r="G680" i="21"/>
  <c r="E680" i="21"/>
  <c r="C680" i="21"/>
  <c r="F681" i="21"/>
  <c r="G681" i="21"/>
  <c r="E681" i="21"/>
  <c r="C681" i="21"/>
  <c r="F682" i="21"/>
  <c r="G682" i="21"/>
  <c r="E682" i="21"/>
  <c r="C682" i="21"/>
  <c r="F683" i="21"/>
  <c r="G683" i="21"/>
  <c r="E683" i="21"/>
  <c r="C683" i="21"/>
  <c r="F684" i="21"/>
  <c r="G684" i="21"/>
  <c r="E684" i="21"/>
  <c r="C684" i="21"/>
  <c r="F685" i="21"/>
  <c r="G685" i="21"/>
  <c r="E685" i="21"/>
  <c r="C685" i="21"/>
  <c r="F686" i="21"/>
  <c r="G686" i="21"/>
  <c r="E686" i="21"/>
  <c r="C686" i="21"/>
  <c r="F689" i="21"/>
  <c r="G689" i="21"/>
  <c r="E689" i="21"/>
  <c r="C689" i="21"/>
  <c r="T692" i="21"/>
  <c r="H692" i="21"/>
  <c r="F692" i="21"/>
  <c r="G692" i="21"/>
  <c r="E692" i="21"/>
  <c r="C692" i="21"/>
  <c r="T693" i="21"/>
  <c r="H693" i="21"/>
  <c r="F693" i="21"/>
  <c r="G693" i="21"/>
  <c r="E693" i="21"/>
  <c r="C693" i="21"/>
  <c r="T694" i="21"/>
  <c r="H694" i="21"/>
  <c r="F694" i="21"/>
  <c r="G694" i="21"/>
  <c r="E694" i="21"/>
  <c r="C694" i="21"/>
  <c r="T696" i="21"/>
  <c r="H696" i="21"/>
  <c r="F696" i="21"/>
  <c r="G696" i="21"/>
  <c r="E696" i="21"/>
  <c r="C696" i="21"/>
  <c r="H72" i="21"/>
  <c r="C72" i="21"/>
  <c r="H73" i="21"/>
  <c r="F73" i="21"/>
  <c r="G73" i="21"/>
  <c r="E73" i="21"/>
  <c r="C73" i="21"/>
  <c r="T77" i="21"/>
  <c r="T78" i="21"/>
  <c r="C77" i="21"/>
  <c r="C81" i="21"/>
  <c r="T58" i="21"/>
  <c r="H58" i="21"/>
  <c r="C58" i="21"/>
  <c r="T60" i="21"/>
  <c r="C60" i="21"/>
  <c r="H61" i="21"/>
  <c r="C61" i="21"/>
  <c r="C62" i="21"/>
  <c r="H64" i="21"/>
  <c r="C64" i="21"/>
  <c r="H65" i="21"/>
  <c r="C65" i="21"/>
  <c r="C66" i="21"/>
  <c r="T83" i="21"/>
  <c r="H83" i="21"/>
  <c r="E83" i="21"/>
  <c r="C83" i="21"/>
  <c r="T377" i="21"/>
  <c r="T343" i="21"/>
  <c r="T362" i="21"/>
  <c r="T376" i="21"/>
  <c r="T172" i="21"/>
  <c r="T84" i="21"/>
  <c r="H84" i="21"/>
  <c r="E84" i="21"/>
  <c r="C84" i="21"/>
  <c r="F101" i="21"/>
  <c r="G101" i="21"/>
  <c r="E101" i="21"/>
  <c r="C101" i="21"/>
  <c r="C109" i="21"/>
  <c r="T114" i="21"/>
  <c r="H114" i="21"/>
  <c r="C114" i="21"/>
  <c r="T115" i="21"/>
  <c r="H115" i="21"/>
  <c r="F115" i="21"/>
  <c r="G115" i="21"/>
  <c r="E115" i="21"/>
  <c r="C115" i="21"/>
  <c r="T129" i="21"/>
  <c r="H129" i="21"/>
  <c r="F129" i="21"/>
  <c r="G129" i="21"/>
  <c r="E129" i="21"/>
  <c r="C129" i="21"/>
  <c r="T117" i="21"/>
  <c r="H117" i="21"/>
  <c r="F117" i="21"/>
  <c r="G117" i="21"/>
  <c r="E117" i="21"/>
  <c r="C117" i="21"/>
  <c r="T118" i="21"/>
  <c r="H118" i="21"/>
  <c r="F118" i="21"/>
  <c r="G118" i="21"/>
  <c r="E118" i="21"/>
  <c r="C118" i="21"/>
  <c r="T119" i="21"/>
  <c r="H119" i="21"/>
  <c r="F119" i="21"/>
  <c r="G119" i="21"/>
  <c r="E119" i="21"/>
  <c r="C119" i="21"/>
  <c r="T121" i="21"/>
  <c r="H121" i="21"/>
  <c r="F121" i="21"/>
  <c r="G121" i="21"/>
  <c r="E121" i="21"/>
  <c r="C121" i="21"/>
  <c r="T122" i="21"/>
  <c r="H122" i="21"/>
  <c r="F122" i="21"/>
  <c r="G122" i="21"/>
  <c r="E122" i="21"/>
  <c r="C122" i="21"/>
  <c r="T123" i="21"/>
  <c r="H123" i="21"/>
  <c r="F123" i="21"/>
  <c r="G123" i="21"/>
  <c r="E123" i="21"/>
  <c r="C123" i="21"/>
  <c r="T124" i="21"/>
  <c r="H124" i="21"/>
  <c r="F124" i="21"/>
  <c r="G124" i="21"/>
  <c r="E124" i="21"/>
  <c r="C124" i="21"/>
  <c r="T126" i="21"/>
  <c r="H126" i="21"/>
  <c r="F126" i="21"/>
  <c r="G126" i="21"/>
  <c r="E126" i="21"/>
  <c r="C126" i="21"/>
  <c r="T127" i="21"/>
  <c r="H127" i="21"/>
  <c r="F127" i="21"/>
  <c r="G127" i="21"/>
  <c r="E127" i="21"/>
  <c r="C127" i="21"/>
  <c r="T128" i="21"/>
  <c r="H128" i="21"/>
  <c r="F128" i="21"/>
  <c r="G128" i="21"/>
  <c r="E128" i="21"/>
  <c r="C128" i="21"/>
  <c r="T120" i="21"/>
  <c r="H120" i="21"/>
  <c r="F120" i="21"/>
  <c r="G120" i="21"/>
  <c r="E120" i="21"/>
  <c r="C120" i="21"/>
  <c r="T130" i="21"/>
  <c r="H130" i="21"/>
  <c r="F130" i="21"/>
  <c r="G130" i="21"/>
  <c r="E130" i="21"/>
  <c r="C130" i="21"/>
  <c r="C132" i="21"/>
  <c r="T166" i="21"/>
  <c r="H166" i="21"/>
  <c r="F166" i="21"/>
  <c r="G166" i="21"/>
  <c r="E166" i="21"/>
  <c r="C166" i="21"/>
  <c r="H167" i="21"/>
  <c r="F167" i="21"/>
  <c r="G167" i="21"/>
  <c r="E167" i="21"/>
  <c r="C167" i="21"/>
  <c r="H168" i="21"/>
  <c r="F168" i="21"/>
  <c r="G168" i="21"/>
  <c r="E168" i="21"/>
  <c r="C168" i="21"/>
  <c r="F169" i="21"/>
  <c r="G169" i="21"/>
  <c r="E169" i="21"/>
  <c r="C169" i="21"/>
  <c r="T170" i="21"/>
  <c r="H170" i="21"/>
  <c r="F170" i="21"/>
  <c r="G170" i="21"/>
  <c r="E170" i="21"/>
  <c r="C170" i="21"/>
  <c r="T171" i="21"/>
  <c r="H171" i="21"/>
  <c r="F171" i="21"/>
  <c r="G171" i="21"/>
  <c r="E171" i="21"/>
  <c r="C171" i="21"/>
  <c r="H172" i="21"/>
  <c r="F172" i="21"/>
  <c r="G172" i="21"/>
  <c r="E172" i="21"/>
  <c r="C172" i="21"/>
  <c r="H173" i="21"/>
  <c r="F173" i="21"/>
  <c r="G173" i="21"/>
  <c r="E173" i="21"/>
  <c r="C173" i="21"/>
  <c r="T174" i="21"/>
  <c r="H174" i="21"/>
  <c r="F174" i="21"/>
  <c r="G174" i="21"/>
  <c r="E174" i="21"/>
  <c r="C174" i="21"/>
  <c r="T175" i="21"/>
  <c r="H175" i="21"/>
  <c r="F175" i="21"/>
  <c r="G175" i="21"/>
  <c r="E175" i="21"/>
  <c r="C175" i="21"/>
  <c r="T176" i="21"/>
  <c r="H176" i="21"/>
  <c r="F176" i="21"/>
  <c r="G176" i="21"/>
  <c r="E176" i="21"/>
  <c r="C176" i="21"/>
  <c r="T177" i="21"/>
  <c r="H177" i="21"/>
  <c r="F177" i="21"/>
  <c r="G177" i="21"/>
  <c r="E177" i="21"/>
  <c r="C177" i="21"/>
  <c r="T178" i="21"/>
  <c r="H178" i="21"/>
  <c r="G178" i="21"/>
  <c r="F178" i="21"/>
  <c r="E178" i="21"/>
  <c r="C178" i="21"/>
  <c r="T179" i="21"/>
  <c r="H179" i="21"/>
  <c r="F179" i="21"/>
  <c r="G179" i="21"/>
  <c r="E179" i="21"/>
  <c r="C179" i="21"/>
  <c r="T180" i="21"/>
  <c r="H180" i="21"/>
  <c r="F180" i="21"/>
  <c r="G180" i="21"/>
  <c r="E180" i="21"/>
  <c r="C180" i="21"/>
  <c r="T181" i="21"/>
  <c r="H181" i="21"/>
  <c r="F181" i="21"/>
  <c r="G181" i="21"/>
  <c r="E181" i="21"/>
  <c r="C181" i="21"/>
  <c r="T182" i="21"/>
  <c r="H182" i="21"/>
  <c r="F182" i="21"/>
  <c r="G182" i="21"/>
  <c r="E182" i="21"/>
  <c r="C182" i="21"/>
  <c r="T183" i="21"/>
  <c r="H183" i="21"/>
  <c r="F183" i="21"/>
  <c r="G183" i="21"/>
  <c r="E183" i="21"/>
  <c r="C183" i="21"/>
  <c r="T184" i="21"/>
  <c r="H184" i="21"/>
  <c r="F184" i="21"/>
  <c r="G184" i="21"/>
  <c r="E184" i="21"/>
  <c r="C184" i="21"/>
  <c r="T185" i="21"/>
  <c r="H185" i="21"/>
  <c r="G185" i="21"/>
  <c r="F185" i="21"/>
  <c r="E185" i="21"/>
  <c r="C185" i="21"/>
  <c r="T186" i="21"/>
  <c r="H186" i="21"/>
  <c r="F186" i="21"/>
  <c r="G186" i="21"/>
  <c r="E186" i="21"/>
  <c r="C186" i="21"/>
  <c r="T187" i="21"/>
  <c r="H187" i="21"/>
  <c r="F187" i="21"/>
  <c r="G187" i="21"/>
  <c r="E187" i="21"/>
  <c r="C187" i="21"/>
  <c r="F188" i="21"/>
  <c r="G188" i="21"/>
  <c r="E188" i="21"/>
  <c r="C188" i="21"/>
  <c r="T189" i="21"/>
  <c r="H189" i="21"/>
  <c r="F189" i="21"/>
  <c r="G189" i="21"/>
  <c r="E189" i="21"/>
  <c r="C189" i="21"/>
  <c r="T190" i="21"/>
  <c r="H190" i="21"/>
  <c r="F190" i="21"/>
  <c r="G190" i="21"/>
  <c r="E190" i="21"/>
  <c r="C190" i="21"/>
  <c r="T191" i="21"/>
  <c r="H191" i="21"/>
  <c r="F191" i="21"/>
  <c r="G191" i="21"/>
  <c r="E191" i="21"/>
  <c r="C191" i="21"/>
  <c r="T192" i="21"/>
  <c r="H192" i="21"/>
  <c r="F192" i="21"/>
  <c r="G192" i="21"/>
  <c r="E192" i="21"/>
  <c r="C192" i="21"/>
  <c r="T193" i="21"/>
  <c r="H193" i="21"/>
  <c r="F193" i="21"/>
  <c r="G193" i="21"/>
  <c r="E193" i="21"/>
  <c r="C193" i="21"/>
  <c r="T194" i="21"/>
  <c r="H194" i="21"/>
  <c r="G194" i="21"/>
  <c r="F194" i="21"/>
  <c r="E194" i="21"/>
  <c r="C194" i="21"/>
  <c r="T195" i="21"/>
  <c r="H195" i="21"/>
  <c r="G195" i="21"/>
  <c r="F195" i="21"/>
  <c r="E195" i="21"/>
  <c r="C195" i="21"/>
  <c r="T196" i="21"/>
  <c r="H196" i="21"/>
  <c r="F196" i="21"/>
  <c r="G196" i="21"/>
  <c r="E196" i="21"/>
  <c r="C196" i="21"/>
  <c r="T197" i="21"/>
  <c r="H197" i="21"/>
  <c r="F197" i="21"/>
  <c r="G197" i="21"/>
  <c r="E197" i="21"/>
  <c r="C197" i="21"/>
  <c r="T198" i="21"/>
  <c r="H198" i="21"/>
  <c r="F198" i="21"/>
  <c r="G198" i="21"/>
  <c r="E198" i="21"/>
  <c r="C198" i="21"/>
  <c r="T199" i="21"/>
  <c r="H199" i="21"/>
  <c r="G199" i="21"/>
  <c r="F199" i="21"/>
  <c r="E199" i="21"/>
  <c r="C199" i="21"/>
  <c r="T200" i="21"/>
  <c r="H200" i="21"/>
  <c r="F200" i="21"/>
  <c r="G200" i="21"/>
  <c r="E200" i="21"/>
  <c r="C200" i="21"/>
  <c r="T201" i="21"/>
  <c r="H201" i="21"/>
  <c r="F201" i="21"/>
  <c r="G201" i="21"/>
  <c r="E201" i="21"/>
  <c r="C201" i="21"/>
  <c r="T202" i="21"/>
  <c r="H202" i="21"/>
  <c r="F202" i="21"/>
  <c r="G202" i="21"/>
  <c r="E202" i="21"/>
  <c r="C202" i="21"/>
  <c r="T203" i="21"/>
  <c r="H203" i="21"/>
  <c r="F203" i="21"/>
  <c r="G203" i="21"/>
  <c r="E203" i="21"/>
  <c r="C203" i="21"/>
  <c r="T204" i="21"/>
  <c r="H204" i="21"/>
  <c r="F204" i="21"/>
  <c r="G204" i="21"/>
  <c r="E204" i="21"/>
  <c r="C204" i="21"/>
  <c r="T205" i="21"/>
  <c r="H205" i="21"/>
  <c r="F205" i="21"/>
  <c r="G205" i="21"/>
  <c r="E205" i="21"/>
  <c r="C205" i="21"/>
  <c r="T206" i="21"/>
  <c r="H206" i="21"/>
  <c r="F206" i="21"/>
  <c r="G206" i="21"/>
  <c r="E206" i="21"/>
  <c r="C206" i="21"/>
  <c r="T207" i="21"/>
  <c r="H207" i="21"/>
  <c r="F207" i="21"/>
  <c r="G207" i="21"/>
  <c r="E207" i="21"/>
  <c r="C207" i="21"/>
  <c r="T208" i="21"/>
  <c r="H208" i="21"/>
  <c r="G208" i="21"/>
  <c r="F208" i="21"/>
  <c r="E208" i="21"/>
  <c r="C208" i="21"/>
  <c r="T209" i="21"/>
  <c r="H209" i="21"/>
  <c r="F209" i="21"/>
  <c r="G209" i="21"/>
  <c r="E209" i="21"/>
  <c r="C209" i="21"/>
  <c r="T210" i="21"/>
  <c r="H210" i="21"/>
  <c r="F210" i="21"/>
  <c r="G210" i="21"/>
  <c r="E210" i="21"/>
  <c r="C210" i="21"/>
  <c r="T211" i="21"/>
  <c r="H211" i="21"/>
  <c r="F211" i="21"/>
  <c r="G211" i="21"/>
  <c r="E211" i="21"/>
  <c r="C211" i="21"/>
  <c r="T212" i="21"/>
  <c r="H212" i="21"/>
  <c r="F212" i="21"/>
  <c r="G212" i="21"/>
  <c r="E212" i="21"/>
  <c r="C212" i="21"/>
  <c r="G213" i="21"/>
  <c r="F213" i="21"/>
  <c r="E213" i="21"/>
  <c r="C213" i="21"/>
  <c r="F214" i="21"/>
  <c r="G214" i="21"/>
  <c r="E214" i="21"/>
  <c r="C214" i="21"/>
  <c r="F215" i="21"/>
  <c r="G215" i="21"/>
  <c r="E215" i="21"/>
  <c r="C215" i="21"/>
  <c r="F216" i="21"/>
  <c r="G216" i="21"/>
  <c r="E216" i="21"/>
  <c r="C216" i="21"/>
  <c r="T217" i="21"/>
  <c r="H217" i="21"/>
  <c r="F217" i="21"/>
  <c r="G217" i="21"/>
  <c r="E217" i="21"/>
  <c r="C217" i="21"/>
  <c r="T218" i="21"/>
  <c r="H218" i="21"/>
  <c r="G218" i="21"/>
  <c r="F218" i="21"/>
  <c r="E218" i="21"/>
  <c r="C218" i="21"/>
  <c r="T219" i="21"/>
  <c r="H219" i="21"/>
  <c r="F219" i="21"/>
  <c r="G219" i="21"/>
  <c r="E219" i="21"/>
  <c r="C219" i="21"/>
  <c r="T220" i="21"/>
  <c r="H220" i="21"/>
  <c r="G220" i="21"/>
  <c r="F220" i="21"/>
  <c r="E220" i="21"/>
  <c r="C220" i="21"/>
  <c r="T221" i="21"/>
  <c r="H221" i="21"/>
  <c r="F221" i="21"/>
  <c r="G221" i="21"/>
  <c r="E221" i="21"/>
  <c r="C221" i="21"/>
  <c r="T222" i="21"/>
  <c r="H222" i="21"/>
  <c r="F222" i="21"/>
  <c r="G222" i="21"/>
  <c r="E222" i="21"/>
  <c r="C222" i="21"/>
  <c r="H223" i="21"/>
  <c r="F223" i="21"/>
  <c r="G223" i="21"/>
  <c r="E223" i="21"/>
  <c r="C223" i="21"/>
  <c r="T224" i="21"/>
  <c r="H224" i="21"/>
  <c r="F224" i="21"/>
  <c r="G224" i="21"/>
  <c r="E224" i="21"/>
  <c r="C224" i="21"/>
  <c r="H225" i="21"/>
  <c r="F225" i="21"/>
  <c r="G225" i="21"/>
  <c r="E225" i="21"/>
  <c r="C225" i="21"/>
  <c r="H226" i="21"/>
  <c r="F226" i="21"/>
  <c r="G226" i="21"/>
  <c r="E226" i="21"/>
  <c r="C226" i="21"/>
  <c r="H227" i="21"/>
  <c r="F227" i="21"/>
  <c r="G227" i="21"/>
  <c r="E227" i="21"/>
  <c r="C227" i="21"/>
  <c r="H228" i="21"/>
  <c r="F228" i="21"/>
  <c r="G228" i="21"/>
  <c r="E228" i="21"/>
  <c r="C228" i="21"/>
  <c r="T229" i="21"/>
  <c r="H229" i="21"/>
  <c r="F229" i="21"/>
  <c r="G229" i="21"/>
  <c r="E229" i="21"/>
  <c r="C229" i="21"/>
  <c r="T230" i="21"/>
  <c r="H230" i="21"/>
  <c r="F230" i="21"/>
  <c r="G230" i="21"/>
  <c r="E230" i="21"/>
  <c r="C230" i="21"/>
  <c r="T231" i="21"/>
  <c r="H231" i="21"/>
  <c r="F231" i="21"/>
  <c r="G231" i="21"/>
  <c r="E231" i="21"/>
  <c r="C231" i="21"/>
  <c r="G232" i="21"/>
  <c r="F232" i="21"/>
  <c r="E232" i="21"/>
  <c r="C232" i="21"/>
  <c r="T243" i="21"/>
  <c r="H243" i="21"/>
  <c r="F243" i="21"/>
  <c r="G243" i="21"/>
  <c r="E243" i="21"/>
  <c r="C243" i="21"/>
  <c r="T244" i="21"/>
  <c r="H244" i="21"/>
  <c r="F244" i="21"/>
  <c r="G244" i="21"/>
  <c r="E244" i="21"/>
  <c r="C244" i="21"/>
  <c r="T245" i="21"/>
  <c r="H245" i="21"/>
  <c r="F245" i="21"/>
  <c r="G245" i="21"/>
  <c r="E245" i="21"/>
  <c r="C245" i="21"/>
  <c r="T246" i="21"/>
  <c r="H246" i="21"/>
  <c r="F246" i="21"/>
  <c r="G246" i="21"/>
  <c r="E246" i="21"/>
  <c r="C246" i="21"/>
  <c r="T247" i="21"/>
  <c r="H247" i="21"/>
  <c r="F247" i="21"/>
  <c r="G247" i="21"/>
  <c r="E247" i="21"/>
  <c r="C247" i="21"/>
  <c r="T248" i="21"/>
  <c r="H248" i="21"/>
  <c r="F248" i="21"/>
  <c r="G248" i="21"/>
  <c r="E248" i="21"/>
  <c r="C248" i="21"/>
  <c r="T249" i="21"/>
  <c r="H249" i="21"/>
  <c r="F249" i="21"/>
  <c r="G249" i="21"/>
  <c r="E249" i="21"/>
  <c r="C249" i="21"/>
  <c r="T250" i="21"/>
  <c r="H250" i="21"/>
  <c r="F250" i="21"/>
  <c r="G250" i="21"/>
  <c r="E250" i="21"/>
  <c r="C250" i="21"/>
  <c r="T251" i="21"/>
  <c r="H251" i="21"/>
  <c r="F251" i="21"/>
  <c r="G251" i="21"/>
  <c r="E251" i="21"/>
  <c r="C251" i="21"/>
  <c r="T252" i="21"/>
  <c r="H252" i="21"/>
  <c r="F252" i="21"/>
  <c r="G252" i="21"/>
  <c r="E252" i="21"/>
  <c r="C252" i="21"/>
  <c r="T253" i="21"/>
  <c r="H253" i="21"/>
  <c r="F253" i="21"/>
  <c r="G253" i="21"/>
  <c r="E253" i="21"/>
  <c r="C253" i="21"/>
  <c r="T254" i="21"/>
  <c r="H254" i="21"/>
  <c r="F254" i="21"/>
  <c r="G254" i="21"/>
  <c r="E254" i="21"/>
  <c r="C254" i="21"/>
  <c r="T255" i="21"/>
  <c r="H255" i="21"/>
  <c r="F255" i="21"/>
  <c r="G255" i="21"/>
  <c r="E255" i="21"/>
  <c r="C255" i="21"/>
  <c r="T256" i="21"/>
  <c r="H256" i="21"/>
  <c r="F256" i="21"/>
  <c r="G256" i="21"/>
  <c r="E256" i="21"/>
  <c r="C256" i="21"/>
  <c r="T257" i="21"/>
  <c r="H257" i="21"/>
  <c r="F257" i="21"/>
  <c r="G257" i="21"/>
  <c r="E257" i="21"/>
  <c r="C257" i="21"/>
  <c r="T258" i="21"/>
  <c r="H258" i="21"/>
  <c r="F258" i="21"/>
  <c r="G258" i="21"/>
  <c r="E258" i="21"/>
  <c r="C258" i="21"/>
  <c r="T259" i="21"/>
  <c r="H259" i="21"/>
  <c r="F259" i="21"/>
  <c r="G259" i="21"/>
  <c r="E259" i="21"/>
  <c r="C259" i="21"/>
  <c r="T260" i="21"/>
  <c r="H260" i="21"/>
  <c r="F260" i="21"/>
  <c r="G260" i="21"/>
  <c r="E260" i="21"/>
  <c r="C260" i="21"/>
  <c r="T261" i="21"/>
  <c r="H261" i="21"/>
  <c r="F261" i="21"/>
  <c r="G261" i="21"/>
  <c r="E261" i="21"/>
  <c r="C261" i="21"/>
  <c r="T262" i="21"/>
  <c r="H262" i="21"/>
  <c r="F262" i="21"/>
  <c r="G262" i="21"/>
  <c r="E262" i="21"/>
  <c r="C262" i="21"/>
  <c r="T263" i="21"/>
  <c r="H263" i="21"/>
  <c r="F263" i="21"/>
  <c r="G263" i="21"/>
  <c r="E263" i="21"/>
  <c r="C263" i="21"/>
  <c r="T264" i="21"/>
  <c r="H264" i="21"/>
  <c r="F264" i="21"/>
  <c r="G264" i="21"/>
  <c r="E264" i="21"/>
  <c r="C264" i="21"/>
  <c r="T265" i="21"/>
  <c r="H265" i="21"/>
  <c r="F265" i="21"/>
  <c r="G265" i="21"/>
  <c r="E265" i="21"/>
  <c r="C265" i="21"/>
  <c r="T266" i="21"/>
  <c r="H266" i="21"/>
  <c r="F266" i="21"/>
  <c r="G266" i="21"/>
  <c r="E266" i="21"/>
  <c r="C266" i="21"/>
  <c r="T267" i="21"/>
  <c r="H267" i="21"/>
  <c r="F267" i="21"/>
  <c r="G267" i="21"/>
  <c r="E267" i="21"/>
  <c r="C267" i="21"/>
  <c r="T268" i="21"/>
  <c r="H268" i="21"/>
  <c r="F268" i="21"/>
  <c r="G268" i="21"/>
  <c r="E268" i="21"/>
  <c r="C268" i="21"/>
  <c r="H270" i="21"/>
  <c r="F270" i="21"/>
  <c r="G270" i="21"/>
  <c r="E270" i="21"/>
  <c r="C270" i="21"/>
  <c r="H271" i="21"/>
  <c r="F271" i="21"/>
  <c r="G271" i="21"/>
  <c r="E271" i="21"/>
  <c r="C271" i="21"/>
  <c r="H279" i="21"/>
  <c r="G279" i="21"/>
  <c r="F279" i="21"/>
  <c r="E279" i="21"/>
  <c r="C279" i="21"/>
  <c r="H280" i="21"/>
  <c r="F280" i="21"/>
  <c r="G280" i="21"/>
  <c r="E280" i="21"/>
  <c r="C280" i="21"/>
  <c r="T283" i="21"/>
  <c r="H283" i="21"/>
  <c r="F283" i="21"/>
  <c r="G283" i="21"/>
  <c r="E283" i="21"/>
  <c r="C283" i="21"/>
  <c r="H284" i="21"/>
  <c r="F284" i="21"/>
  <c r="G284" i="21"/>
  <c r="E284" i="21"/>
  <c r="C284" i="21"/>
  <c r="C329" i="21"/>
  <c r="T333" i="21"/>
  <c r="H333" i="21"/>
  <c r="F333" i="21"/>
  <c r="G333" i="21"/>
  <c r="E333" i="21"/>
  <c r="C333" i="21"/>
  <c r="T334" i="21"/>
  <c r="H334" i="21"/>
  <c r="F334" i="21"/>
  <c r="G334" i="21"/>
  <c r="E334" i="21"/>
  <c r="C334" i="21"/>
  <c r="T335" i="21"/>
  <c r="H335" i="21"/>
  <c r="F335" i="21"/>
  <c r="G335" i="21"/>
  <c r="E335" i="21"/>
  <c r="C335" i="21"/>
  <c r="T336" i="21"/>
  <c r="H336" i="21"/>
  <c r="F336" i="21"/>
  <c r="G336" i="21"/>
  <c r="E336" i="21"/>
  <c r="C336" i="21"/>
  <c r="T337" i="21"/>
  <c r="H337" i="21"/>
  <c r="F337" i="21"/>
  <c r="G337" i="21"/>
  <c r="E337" i="21"/>
  <c r="C337" i="21"/>
  <c r="T338" i="21"/>
  <c r="H338" i="21"/>
  <c r="F338" i="21"/>
  <c r="G338" i="21"/>
  <c r="E338" i="21"/>
  <c r="C338" i="21"/>
  <c r="T339" i="21"/>
  <c r="H339" i="21"/>
  <c r="F339" i="21"/>
  <c r="G339" i="21"/>
  <c r="E339" i="21"/>
  <c r="C339" i="21"/>
  <c r="T340" i="21"/>
  <c r="H340" i="21"/>
  <c r="F340" i="21"/>
  <c r="G340" i="21"/>
  <c r="E340" i="21"/>
  <c r="C340" i="21"/>
  <c r="T341" i="21"/>
  <c r="H341" i="21"/>
  <c r="F341" i="21"/>
  <c r="G341" i="21"/>
  <c r="E341" i="21"/>
  <c r="C341" i="21"/>
  <c r="T342" i="21"/>
  <c r="H342" i="21"/>
  <c r="F342" i="21"/>
  <c r="G342" i="21"/>
  <c r="E342" i="21"/>
  <c r="C342" i="21"/>
  <c r="H343" i="21"/>
  <c r="F343" i="21"/>
  <c r="G343" i="21"/>
  <c r="E343" i="21"/>
  <c r="C343" i="21"/>
  <c r="T344" i="21"/>
  <c r="H344" i="21"/>
  <c r="F344" i="21"/>
  <c r="G344" i="21"/>
  <c r="E344" i="21"/>
  <c r="C344" i="21"/>
  <c r="T345" i="21"/>
  <c r="H345" i="21"/>
  <c r="F345" i="21"/>
  <c r="G345" i="21"/>
  <c r="E345" i="21"/>
  <c r="C345" i="21"/>
  <c r="T346" i="21"/>
  <c r="H346" i="21"/>
  <c r="F346" i="21"/>
  <c r="G346" i="21"/>
  <c r="E346" i="21"/>
  <c r="C346" i="21"/>
  <c r="T347" i="21"/>
  <c r="H347" i="21"/>
  <c r="F347" i="21"/>
  <c r="G347" i="21"/>
  <c r="E347" i="21"/>
  <c r="C347" i="21"/>
  <c r="T348" i="21"/>
  <c r="H348" i="21"/>
  <c r="F348" i="21"/>
  <c r="G348" i="21"/>
  <c r="E348" i="21"/>
  <c r="C348" i="21"/>
  <c r="T349" i="21"/>
  <c r="H349" i="21"/>
  <c r="F349" i="21"/>
  <c r="G349" i="21"/>
  <c r="E349" i="21"/>
  <c r="C349" i="21"/>
  <c r="T350" i="21"/>
  <c r="H350" i="21"/>
  <c r="F350" i="21"/>
  <c r="G350" i="21"/>
  <c r="E350" i="21"/>
  <c r="C350" i="21"/>
  <c r="T351" i="21"/>
  <c r="H351" i="21"/>
  <c r="F351" i="21"/>
  <c r="G351" i="21"/>
  <c r="E351" i="21"/>
  <c r="C351" i="21"/>
  <c r="T352" i="21"/>
  <c r="H352" i="21"/>
  <c r="F352" i="21"/>
  <c r="G352" i="21"/>
  <c r="E352" i="21"/>
  <c r="C352" i="21"/>
  <c r="T353" i="21"/>
  <c r="H353" i="21"/>
  <c r="F353" i="21"/>
  <c r="G353" i="21"/>
  <c r="E353" i="21"/>
  <c r="C353" i="21"/>
  <c r="T354" i="21"/>
  <c r="H354" i="21"/>
  <c r="F354" i="21"/>
  <c r="G354" i="21"/>
  <c r="E354" i="21"/>
  <c r="C354" i="21"/>
  <c r="T355" i="21"/>
  <c r="H355" i="21"/>
  <c r="F355" i="21"/>
  <c r="G355" i="21"/>
  <c r="E355" i="21"/>
  <c r="C355" i="21"/>
  <c r="T356" i="21"/>
  <c r="H356" i="21"/>
  <c r="G356" i="21"/>
  <c r="F356" i="21"/>
  <c r="E356" i="21"/>
  <c r="C356" i="21"/>
  <c r="T357" i="21"/>
  <c r="H357" i="21"/>
  <c r="G357" i="21"/>
  <c r="F357" i="21"/>
  <c r="E357" i="21"/>
  <c r="C357" i="21"/>
  <c r="T358" i="21"/>
  <c r="H358" i="21"/>
  <c r="F358" i="21"/>
  <c r="G358" i="21"/>
  <c r="E358" i="21"/>
  <c r="C358" i="21"/>
  <c r="T359" i="21"/>
  <c r="H359" i="21"/>
  <c r="F359" i="21"/>
  <c r="G359" i="21"/>
  <c r="E359" i="21"/>
  <c r="C359" i="21"/>
  <c r="T360" i="21"/>
  <c r="H360" i="21"/>
  <c r="F360" i="21"/>
  <c r="G360" i="21"/>
  <c r="E360" i="21"/>
  <c r="C360" i="21"/>
  <c r="T361" i="21"/>
  <c r="H361" i="21"/>
  <c r="F361" i="21"/>
  <c r="G361" i="21"/>
  <c r="E361" i="21"/>
  <c r="C361" i="21"/>
  <c r="H362" i="21"/>
  <c r="F362" i="21"/>
  <c r="G362" i="21"/>
  <c r="E362" i="21"/>
  <c r="C362" i="21"/>
  <c r="T363" i="21"/>
  <c r="H363" i="21"/>
  <c r="F363" i="21"/>
  <c r="G363" i="21"/>
  <c r="E363" i="21"/>
  <c r="C363" i="21"/>
  <c r="T364" i="21"/>
  <c r="H364" i="21"/>
  <c r="F364" i="21"/>
  <c r="G364" i="21"/>
  <c r="E364" i="21"/>
  <c r="C364" i="21"/>
  <c r="T365" i="21"/>
  <c r="H365" i="21"/>
  <c r="F365" i="21"/>
  <c r="G365" i="21"/>
  <c r="E365" i="21"/>
  <c r="C365" i="21"/>
  <c r="T366" i="21"/>
  <c r="H366" i="21"/>
  <c r="F366" i="21"/>
  <c r="G366" i="21"/>
  <c r="E366" i="21"/>
  <c r="C366" i="21"/>
  <c r="T367" i="21"/>
  <c r="H367" i="21"/>
  <c r="F367" i="21"/>
  <c r="G367" i="21"/>
  <c r="E367" i="21"/>
  <c r="C367" i="21"/>
  <c r="T368" i="21"/>
  <c r="H368" i="21"/>
  <c r="F368" i="21"/>
  <c r="G368" i="21"/>
  <c r="E368" i="21"/>
  <c r="C368" i="21"/>
  <c r="T369" i="21"/>
  <c r="H369" i="21"/>
  <c r="F369" i="21"/>
  <c r="G369" i="21"/>
  <c r="E369" i="21"/>
  <c r="C369" i="21"/>
  <c r="T370" i="21"/>
  <c r="H370" i="21"/>
  <c r="G370" i="21"/>
  <c r="F370" i="21"/>
  <c r="E370" i="21"/>
  <c r="C370" i="21"/>
  <c r="T371" i="21"/>
  <c r="H371" i="21"/>
  <c r="F371" i="21"/>
  <c r="G371" i="21"/>
  <c r="E371" i="21"/>
  <c r="C371" i="21"/>
  <c r="T372" i="21"/>
  <c r="H372" i="21"/>
  <c r="F372" i="21"/>
  <c r="G372" i="21"/>
  <c r="E372" i="21"/>
  <c r="C372" i="21"/>
  <c r="T373" i="21"/>
  <c r="H373" i="21"/>
  <c r="F373" i="21"/>
  <c r="G373" i="21"/>
  <c r="E373" i="21"/>
  <c r="C373" i="21"/>
  <c r="T374" i="21"/>
  <c r="H374" i="21"/>
  <c r="F374" i="21"/>
  <c r="G374" i="21"/>
  <c r="E374" i="21"/>
  <c r="C374" i="21"/>
  <c r="T375" i="21"/>
  <c r="H375" i="21"/>
  <c r="F375" i="21"/>
  <c r="G375" i="21"/>
  <c r="E375" i="21"/>
  <c r="C375" i="21"/>
  <c r="H376" i="21"/>
  <c r="F376" i="21"/>
  <c r="G376" i="21"/>
  <c r="E376" i="21"/>
  <c r="C376" i="21"/>
  <c r="H377" i="21"/>
  <c r="G377" i="21"/>
  <c r="F377" i="21"/>
  <c r="E377" i="21"/>
  <c r="C377" i="21"/>
  <c r="C379" i="21"/>
  <c r="T615" i="21"/>
  <c r="H615" i="21"/>
  <c r="F615" i="21"/>
  <c r="G615" i="21"/>
  <c r="E615" i="21"/>
  <c r="C615" i="21"/>
  <c r="T650" i="21"/>
  <c r="H650" i="21"/>
  <c r="F650" i="21"/>
  <c r="G650" i="21"/>
  <c r="E650" i="21"/>
  <c r="C650" i="21"/>
  <c r="T653" i="21"/>
  <c r="H653" i="21"/>
  <c r="F653" i="21"/>
  <c r="G653" i="21"/>
  <c r="E653" i="21"/>
  <c r="C653" i="21"/>
  <c r="C654" i="21"/>
  <c r="T134" i="21"/>
  <c r="T135" i="21"/>
  <c r="T136" i="21"/>
  <c r="T137" i="21"/>
  <c r="T138" i="21"/>
  <c r="T139" i="21"/>
  <c r="T140" i="21"/>
  <c r="D139" i="21"/>
  <c r="T144" i="21"/>
  <c r="T142" i="21"/>
  <c r="D142" i="21"/>
  <c r="F142" i="21"/>
  <c r="G142" i="21"/>
  <c r="E142" i="21"/>
  <c r="D144" i="21"/>
  <c r="F144" i="21"/>
  <c r="G144" i="21"/>
  <c r="E144" i="21"/>
  <c r="C144" i="21"/>
  <c r="C142" i="21"/>
  <c r="T145" i="21"/>
  <c r="D145" i="21"/>
  <c r="F145" i="21"/>
  <c r="G145" i="21"/>
  <c r="E145" i="21"/>
  <c r="T146" i="21"/>
  <c r="D146" i="21"/>
  <c r="F146" i="21"/>
  <c r="G146" i="21"/>
  <c r="E146" i="21"/>
  <c r="C145" i="21"/>
  <c r="T148" i="21"/>
  <c r="H148" i="21"/>
  <c r="F148" i="21"/>
  <c r="G148" i="21"/>
  <c r="C148" i="21"/>
  <c r="H150" i="21"/>
  <c r="T150" i="21"/>
  <c r="T151" i="21"/>
  <c r="D150" i="21"/>
  <c r="F150" i="21"/>
  <c r="G150" i="21"/>
  <c r="E150" i="21"/>
  <c r="C150" i="21"/>
  <c r="T160" i="21"/>
  <c r="T161" i="21"/>
  <c r="G154" i="21"/>
  <c r="F154" i="21"/>
  <c r="E154" i="21"/>
  <c r="C154" i="21"/>
  <c r="T162" i="21"/>
  <c r="H162" i="21"/>
  <c r="F162" i="21"/>
  <c r="G162" i="21"/>
  <c r="C162" i="21"/>
  <c r="T88" i="21"/>
  <c r="H88" i="21"/>
  <c r="C89" i="21"/>
  <c r="T90" i="21"/>
  <c r="H90" i="21"/>
  <c r="E90" i="21"/>
  <c r="C90" i="21"/>
  <c r="T719" i="21"/>
  <c r="C719" i="21"/>
  <c r="C721" i="21"/>
  <c r="T723" i="21"/>
  <c r="C723" i="21"/>
  <c r="C722" i="21"/>
  <c r="T724" i="21"/>
  <c r="C724" i="21"/>
  <c r="C726" i="21"/>
  <c r="C88" i="21"/>
  <c r="C92" i="21"/>
  <c r="T722" i="21"/>
  <c r="T721" i="21"/>
  <c r="T720" i="21"/>
  <c r="E718" i="21"/>
  <c r="I696" i="21"/>
  <c r="I694" i="21"/>
  <c r="I693" i="21"/>
  <c r="I692" i="21"/>
  <c r="H654" i="21"/>
  <c r="G654" i="21"/>
  <c r="F654" i="21"/>
  <c r="E654" i="21"/>
  <c r="I653" i="21"/>
  <c r="I615" i="21"/>
  <c r="T613" i="21"/>
  <c r="T609" i="21"/>
  <c r="T606" i="21"/>
  <c r="T604" i="21"/>
  <c r="T583" i="21"/>
  <c r="T578" i="21"/>
  <c r="T553" i="21"/>
  <c r="T552" i="21"/>
  <c r="T551" i="21"/>
  <c r="T547" i="21"/>
  <c r="Z525" i="21"/>
  <c r="X496" i="21"/>
  <c r="W496" i="21"/>
  <c r="T476" i="21"/>
  <c r="T452" i="21"/>
  <c r="T437" i="21"/>
  <c r="T435" i="21"/>
  <c r="T418" i="21"/>
  <c r="T417" i="21"/>
  <c r="T416" i="21"/>
  <c r="T415" i="21"/>
  <c r="T414" i="21"/>
  <c r="T413" i="21"/>
  <c r="T406" i="21"/>
  <c r="T382" i="21"/>
  <c r="H382" i="21"/>
  <c r="F382" i="21"/>
  <c r="G382" i="21"/>
  <c r="E382" i="21"/>
  <c r="C382" i="21"/>
  <c r="I382" i="21"/>
  <c r="I377" i="21"/>
  <c r="I376" i="21"/>
  <c r="I375" i="21"/>
  <c r="I373" i="21"/>
  <c r="I372" i="21"/>
  <c r="I371" i="21"/>
  <c r="I370" i="21"/>
  <c r="I369" i="21"/>
  <c r="I368" i="21"/>
  <c r="I367" i="21"/>
  <c r="I366" i="21"/>
  <c r="I365" i="21"/>
  <c r="I364" i="21"/>
  <c r="U363" i="21"/>
  <c r="I363" i="21"/>
  <c r="I362" i="21"/>
  <c r="I361" i="21"/>
  <c r="I360" i="21"/>
  <c r="I359" i="21"/>
  <c r="I358" i="21"/>
  <c r="I357" i="21"/>
  <c r="I356" i="21"/>
  <c r="I355" i="21"/>
  <c r="I354" i="21"/>
  <c r="I353" i="21"/>
  <c r="I352" i="21"/>
  <c r="I351" i="21"/>
  <c r="I350" i="21"/>
  <c r="I349" i="21"/>
  <c r="I348" i="21"/>
  <c r="I347" i="21"/>
  <c r="I346" i="21"/>
  <c r="I345" i="21"/>
  <c r="I344" i="21"/>
  <c r="I343" i="21"/>
  <c r="I342" i="21"/>
  <c r="I341" i="21"/>
  <c r="I340" i="21"/>
  <c r="I339" i="21"/>
  <c r="I338" i="21"/>
  <c r="I337" i="21"/>
  <c r="I336" i="21"/>
  <c r="I335" i="21"/>
  <c r="I334" i="21"/>
  <c r="I333" i="21"/>
  <c r="I328" i="21"/>
  <c r="I326" i="21"/>
  <c r="I325" i="21"/>
  <c r="I324" i="21"/>
  <c r="I323" i="21"/>
  <c r="I322" i="21"/>
  <c r="I321" i="21"/>
  <c r="I320" i="21"/>
  <c r="I319" i="21"/>
  <c r="I318" i="21"/>
  <c r="I317" i="21"/>
  <c r="I316" i="21"/>
  <c r="I314" i="21"/>
  <c r="I313" i="21"/>
  <c r="I311" i="21"/>
  <c r="I310" i="21"/>
  <c r="I309" i="21"/>
  <c r="I308" i="21"/>
  <c r="I307" i="21"/>
  <c r="I306" i="21"/>
  <c r="I305" i="21"/>
  <c r="I304" i="21"/>
  <c r="I303" i="21"/>
  <c r="I302" i="21"/>
  <c r="I301" i="21"/>
  <c r="I300" i="21"/>
  <c r="I299" i="21"/>
  <c r="I298" i="21"/>
  <c r="I297" i="21"/>
  <c r="I296" i="21"/>
  <c r="I295" i="21"/>
  <c r="I294" i="21"/>
  <c r="I293" i="21"/>
  <c r="I292" i="21"/>
  <c r="I291" i="21"/>
  <c r="I290" i="21"/>
  <c r="I289" i="21"/>
  <c r="I288" i="21"/>
  <c r="I287" i="21"/>
  <c r="I286" i="21"/>
  <c r="I284" i="21"/>
  <c r="I283" i="21"/>
  <c r="I280" i="21"/>
  <c r="I279" i="21"/>
  <c r="T273" i="21"/>
  <c r="I273" i="21"/>
  <c r="G273" i="21"/>
  <c r="F273" i="21"/>
  <c r="E273" i="21"/>
  <c r="I271" i="21"/>
  <c r="I270" i="21"/>
  <c r="I268" i="21"/>
  <c r="I267" i="21"/>
  <c r="I266" i="21"/>
  <c r="I265" i="21"/>
  <c r="I264" i="21"/>
  <c r="I263" i="21"/>
  <c r="I262" i="21"/>
  <c r="I261" i="21"/>
  <c r="I260" i="21"/>
  <c r="I232" i="21"/>
  <c r="I231" i="21"/>
  <c r="I229" i="21"/>
  <c r="I228" i="21"/>
  <c r="I227" i="21"/>
  <c r="I226" i="21"/>
  <c r="I225" i="21"/>
  <c r="I224" i="21"/>
  <c r="I223" i="21"/>
  <c r="I222" i="21"/>
  <c r="I221" i="21"/>
  <c r="I220" i="21"/>
  <c r="I219" i="21"/>
  <c r="I218" i="21"/>
  <c r="I216" i="21"/>
  <c r="I215" i="21"/>
  <c r="I214" i="21"/>
  <c r="I213" i="21"/>
  <c r="I212" i="21"/>
  <c r="I211" i="21"/>
  <c r="I210" i="21"/>
  <c r="I209" i="21"/>
  <c r="I208" i="21"/>
  <c r="I207" i="21"/>
  <c r="I206" i="21"/>
  <c r="I205" i="21"/>
  <c r="I204" i="21"/>
  <c r="I203" i="21"/>
  <c r="I202" i="21"/>
  <c r="I201" i="21"/>
  <c r="I200" i="21"/>
  <c r="I199" i="21"/>
  <c r="I198" i="21"/>
  <c r="I197" i="21"/>
  <c r="I196" i="21"/>
  <c r="I195" i="21"/>
  <c r="I194" i="21"/>
  <c r="I193" i="21"/>
  <c r="I192" i="21"/>
  <c r="I191" i="21"/>
  <c r="I190" i="21"/>
  <c r="I189" i="21"/>
  <c r="I188" i="21"/>
  <c r="I187" i="21"/>
  <c r="I186" i="21"/>
  <c r="I185" i="21"/>
  <c r="I184" i="21"/>
  <c r="I183" i="21"/>
  <c r="I182" i="21"/>
  <c r="I181" i="21"/>
  <c r="I180" i="21"/>
  <c r="I179" i="21"/>
  <c r="I178" i="21"/>
  <c r="I177" i="21"/>
  <c r="I176" i="21"/>
  <c r="I175" i="21"/>
  <c r="I174" i="21"/>
  <c r="I173" i="21"/>
  <c r="I172" i="21"/>
  <c r="I171" i="21"/>
  <c r="I170" i="21"/>
  <c r="I169" i="21"/>
  <c r="I168" i="21"/>
  <c r="I167" i="21"/>
  <c r="I166" i="21"/>
  <c r="D148" i="21"/>
  <c r="T156" i="21"/>
  <c r="T157" i="21"/>
  <c r="D154" i="21"/>
  <c r="E162" i="21"/>
  <c r="D162" i="21"/>
  <c r="I162" i="21"/>
  <c r="I161" i="21"/>
  <c r="I160" i="21"/>
  <c r="I157" i="21"/>
  <c r="I156" i="21"/>
  <c r="I155" i="21"/>
  <c r="I154" i="21"/>
  <c r="I151" i="21"/>
  <c r="I150" i="21"/>
  <c r="I148" i="21"/>
  <c r="E148" i="21"/>
  <c r="I146" i="21"/>
  <c r="I145" i="21"/>
  <c r="I144" i="21"/>
  <c r="I142" i="21"/>
  <c r="I130" i="21"/>
  <c r="I120" i="21"/>
  <c r="I128" i="21"/>
  <c r="I127" i="21"/>
  <c r="I126" i="21"/>
  <c r="I124" i="21"/>
  <c r="I123" i="21"/>
  <c r="I122" i="21"/>
  <c r="I121" i="21"/>
  <c r="I119" i="21"/>
  <c r="I117" i="21"/>
  <c r="I129" i="21"/>
  <c r="I115" i="21"/>
  <c r="I114" i="21"/>
  <c r="G114" i="21"/>
  <c r="F114" i="21"/>
  <c r="M109" i="21"/>
  <c r="L109" i="21"/>
  <c r="K109" i="21"/>
  <c r="J109" i="21"/>
  <c r="T107" i="21"/>
  <c r="T106" i="21"/>
  <c r="T104" i="21"/>
  <c r="T101" i="21"/>
  <c r="I98" i="21"/>
  <c r="I97" i="21"/>
  <c r="I96" i="21"/>
  <c r="I84" i="21"/>
  <c r="I83" i="21"/>
  <c r="T80" i="21"/>
  <c r="H80" i="21"/>
  <c r="F80" i="21"/>
  <c r="G80" i="21"/>
  <c r="E80" i="21"/>
  <c r="C80" i="21"/>
  <c r="I80" i="21"/>
  <c r="I78" i="21"/>
  <c r="H78" i="21"/>
  <c r="E78" i="21"/>
  <c r="H77" i="21"/>
  <c r="E77" i="21"/>
  <c r="I73" i="21"/>
  <c r="I72" i="21"/>
  <c r="I71" i="21"/>
  <c r="I70" i="21"/>
  <c r="G70" i="21"/>
  <c r="F70" i="21"/>
  <c r="E70" i="21"/>
  <c r="H62" i="21"/>
  <c r="H60" i="21"/>
  <c r="G59" i="21"/>
  <c r="F59" i="21"/>
  <c r="E59" i="21"/>
  <c r="G57" i="21"/>
  <c r="F57" i="21"/>
  <c r="E57" i="21"/>
  <c r="I53" i="21"/>
  <c r="I49" i="21"/>
  <c r="G49" i="21"/>
  <c r="F49" i="21"/>
  <c r="E49" i="21"/>
  <c r="I48" i="21"/>
  <c r="I47" i="21"/>
  <c r="G47" i="21"/>
  <c r="F47" i="21"/>
  <c r="E47" i="21"/>
  <c r="I46" i="21"/>
  <c r="G46" i="21"/>
  <c r="F46" i="21"/>
  <c r="E46" i="21"/>
  <c r="N45" i="21"/>
  <c r="M45" i="21"/>
  <c r="L45" i="21"/>
  <c r="K45" i="21"/>
  <c r="J45" i="21"/>
  <c r="I45" i="21"/>
  <c r="I44" i="21"/>
  <c r="N43" i="21"/>
  <c r="M43" i="21"/>
  <c r="L43" i="21"/>
  <c r="K43" i="21"/>
  <c r="J43" i="21"/>
  <c r="G42" i="21"/>
  <c r="F42" i="21"/>
  <c r="E42" i="21"/>
  <c r="G41" i="21"/>
  <c r="F41" i="21"/>
  <c r="E41" i="21"/>
  <c r="H31" i="21"/>
  <c r="G31" i="21"/>
  <c r="F31" i="21"/>
  <c r="E31" i="21"/>
  <c r="T19" i="21"/>
  <c r="G16" i="21"/>
  <c r="F16" i="21"/>
  <c r="E16" i="21"/>
  <c r="T283" i="19"/>
  <c r="H283" i="19"/>
  <c r="F283" i="19"/>
  <c r="G283" i="19"/>
  <c r="E283" i="19"/>
  <c r="C283" i="19"/>
  <c r="I283" i="19"/>
  <c r="T349" i="19"/>
  <c r="H349" i="19"/>
  <c r="F349" i="19"/>
  <c r="G349" i="19"/>
  <c r="E349" i="19"/>
  <c r="C349" i="19"/>
  <c r="P362" i="19"/>
  <c r="O362" i="19"/>
  <c r="P345" i="19"/>
  <c r="O345" i="19"/>
  <c r="P343" i="19"/>
  <c r="O343" i="19"/>
  <c r="P341" i="19"/>
  <c r="O341" i="19"/>
  <c r="P336" i="19"/>
  <c r="O336" i="19"/>
  <c r="T293" i="19"/>
  <c r="H293" i="19"/>
  <c r="F293" i="19"/>
  <c r="G293" i="19"/>
  <c r="T692" i="19"/>
  <c r="H692" i="19"/>
  <c r="I692" i="19"/>
  <c r="G692" i="19"/>
  <c r="F692" i="19"/>
  <c r="E692" i="19"/>
  <c r="C692" i="19"/>
  <c r="T658" i="19"/>
  <c r="H658" i="19"/>
  <c r="I658" i="19"/>
  <c r="G658" i="19"/>
  <c r="F658" i="19"/>
  <c r="E658" i="19"/>
  <c r="C658" i="19"/>
  <c r="T626" i="19"/>
  <c r="H626" i="19"/>
  <c r="G626" i="19"/>
  <c r="T625" i="19"/>
  <c r="H625" i="19"/>
  <c r="T298" i="19"/>
  <c r="H298" i="19"/>
  <c r="T289" i="19"/>
  <c r="P122" i="19"/>
  <c r="O122" i="19"/>
  <c r="P71" i="19"/>
  <c r="P70" i="19"/>
  <c r="P68" i="19"/>
  <c r="O71" i="19"/>
  <c r="O70" i="19"/>
  <c r="O68" i="19"/>
  <c r="E293" i="19"/>
  <c r="C293" i="19"/>
  <c r="I293" i="19"/>
  <c r="F626" i="19"/>
  <c r="E626" i="19"/>
  <c r="C626" i="19"/>
  <c r="I626" i="19"/>
  <c r="G625" i="19"/>
  <c r="F625" i="19"/>
  <c r="E625" i="19"/>
  <c r="C625" i="19"/>
  <c r="I625" i="19"/>
  <c r="G298" i="19"/>
  <c r="F298" i="19"/>
  <c r="E298" i="19"/>
  <c r="C298" i="19"/>
  <c r="I298" i="19"/>
  <c r="S85" i="20"/>
  <c r="G85" i="20"/>
  <c r="F85" i="20"/>
  <c r="E85" i="20"/>
  <c r="D85" i="20"/>
  <c r="B85" i="20"/>
  <c r="H85" i="20"/>
  <c r="S84" i="20"/>
  <c r="G84" i="20"/>
  <c r="F84" i="20"/>
  <c r="E84" i="20"/>
  <c r="D84" i="20"/>
  <c r="B84" i="20"/>
  <c r="S83" i="20"/>
  <c r="G83" i="20"/>
  <c r="S82" i="20"/>
  <c r="G82" i="20"/>
  <c r="F82" i="20"/>
  <c r="S80" i="20"/>
  <c r="G80" i="20"/>
  <c r="F80" i="20"/>
  <c r="E80" i="20"/>
  <c r="D80" i="20"/>
  <c r="B80" i="20"/>
  <c r="S79" i="20"/>
  <c r="G79" i="20"/>
  <c r="F79" i="20"/>
  <c r="S78" i="20"/>
  <c r="G78" i="20"/>
  <c r="F78" i="20"/>
  <c r="E78" i="20"/>
  <c r="D78" i="20"/>
  <c r="B78" i="20"/>
  <c r="H78" i="20"/>
  <c r="S66" i="20"/>
  <c r="S65" i="20"/>
  <c r="G65" i="20"/>
  <c r="E65" i="20"/>
  <c r="H65" i="20"/>
  <c r="S64" i="20"/>
  <c r="G64" i="20"/>
  <c r="S61" i="20"/>
  <c r="G61" i="20"/>
  <c r="F61" i="20"/>
  <c r="E61" i="20"/>
  <c r="B61" i="20"/>
  <c r="H61" i="20"/>
  <c r="S60" i="20"/>
  <c r="G60" i="20"/>
  <c r="S59" i="20"/>
  <c r="G59" i="20"/>
  <c r="F59" i="20"/>
  <c r="E59" i="20"/>
  <c r="S58" i="20"/>
  <c r="G58" i="20"/>
  <c r="E58" i="20"/>
  <c r="S57" i="20"/>
  <c r="G57" i="20"/>
  <c r="F57" i="20"/>
  <c r="S56" i="20"/>
  <c r="G56" i="20"/>
  <c r="E56" i="20"/>
  <c r="F56" i="20"/>
  <c r="S55" i="20"/>
  <c r="G55" i="20"/>
  <c r="S54" i="20"/>
  <c r="G54" i="20"/>
  <c r="F54" i="20"/>
  <c r="E54" i="20"/>
  <c r="S53" i="20"/>
  <c r="G53" i="20"/>
  <c r="S52" i="20"/>
  <c r="G52" i="20"/>
  <c r="S51" i="20"/>
  <c r="G51" i="20"/>
  <c r="S50" i="20"/>
  <c r="G50" i="20"/>
  <c r="F50" i="20"/>
  <c r="S49" i="20"/>
  <c r="G49" i="20"/>
  <c r="F49" i="20"/>
  <c r="S47" i="20"/>
  <c r="G47" i="20"/>
  <c r="F47" i="20"/>
  <c r="E47" i="20"/>
  <c r="D47" i="20"/>
  <c r="B47" i="20"/>
  <c r="H47" i="20"/>
  <c r="S46" i="20"/>
  <c r="G46" i="20"/>
  <c r="S45" i="20"/>
  <c r="G45" i="20"/>
  <c r="S44" i="20"/>
  <c r="G44" i="20"/>
  <c r="S43" i="20"/>
  <c r="G43" i="20"/>
  <c r="E43" i="20"/>
  <c r="D43" i="20"/>
  <c r="F43" i="20"/>
  <c r="S42" i="20"/>
  <c r="G42" i="20"/>
  <c r="F42" i="20"/>
  <c r="S41" i="20"/>
  <c r="G41" i="20"/>
  <c r="S40" i="20"/>
  <c r="G40" i="20"/>
  <c r="F40" i="20"/>
  <c r="S39" i="20"/>
  <c r="G39" i="20"/>
  <c r="E39" i="20"/>
  <c r="S38" i="20"/>
  <c r="G38" i="20"/>
  <c r="S37" i="20"/>
  <c r="G37" i="20"/>
  <c r="S36" i="20"/>
  <c r="G36" i="20"/>
  <c r="S35" i="20"/>
  <c r="G35" i="20"/>
  <c r="F35" i="20"/>
  <c r="E35" i="20"/>
  <c r="S34" i="20"/>
  <c r="G34" i="20"/>
  <c r="S33" i="20"/>
  <c r="G33" i="20"/>
  <c r="T724" i="19"/>
  <c r="C724" i="19"/>
  <c r="T723" i="19"/>
  <c r="C723" i="19"/>
  <c r="T722" i="19"/>
  <c r="C722" i="19"/>
  <c r="T721" i="19"/>
  <c r="C721" i="19"/>
  <c r="T720" i="19"/>
  <c r="D720" i="19"/>
  <c r="D726" i="19"/>
  <c r="T719" i="19"/>
  <c r="C719" i="19"/>
  <c r="E718" i="19"/>
  <c r="E709" i="19"/>
  <c r="E729" i="19"/>
  <c r="D709" i="19"/>
  <c r="T694" i="19"/>
  <c r="H694" i="19"/>
  <c r="T693" i="19"/>
  <c r="H693" i="19"/>
  <c r="I693" i="19"/>
  <c r="T689" i="19"/>
  <c r="H689" i="19"/>
  <c r="I689" i="19"/>
  <c r="G689" i="19"/>
  <c r="T686" i="19"/>
  <c r="H686" i="19"/>
  <c r="T685" i="19"/>
  <c r="H685" i="19"/>
  <c r="I685" i="19"/>
  <c r="T684" i="19"/>
  <c r="H684" i="19"/>
  <c r="T683" i="19"/>
  <c r="H683" i="19"/>
  <c r="T682" i="19"/>
  <c r="G682" i="19"/>
  <c r="H682" i="19"/>
  <c r="I682" i="19"/>
  <c r="T681" i="19"/>
  <c r="G681" i="19"/>
  <c r="H681" i="19"/>
  <c r="I681" i="19"/>
  <c r="T680" i="19"/>
  <c r="H680" i="19"/>
  <c r="T679" i="19"/>
  <c r="H679" i="19"/>
  <c r="G679" i="19"/>
  <c r="T678" i="19"/>
  <c r="H678" i="19"/>
  <c r="I678" i="19"/>
  <c r="G678" i="19"/>
  <c r="F678" i="19"/>
  <c r="E678" i="19"/>
  <c r="T677" i="19"/>
  <c r="H677" i="19"/>
  <c r="I677" i="19"/>
  <c r="T676" i="19"/>
  <c r="T675" i="19"/>
  <c r="H675" i="19"/>
  <c r="I675" i="19"/>
  <c r="T674" i="19"/>
  <c r="G674" i="19"/>
  <c r="T673" i="19"/>
  <c r="H673" i="19"/>
  <c r="I673" i="19"/>
  <c r="T672" i="19"/>
  <c r="H672" i="19"/>
  <c r="G672" i="19"/>
  <c r="T671" i="19"/>
  <c r="H671" i="19"/>
  <c r="I671" i="19"/>
  <c r="T670" i="19"/>
  <c r="H670" i="19"/>
  <c r="I670" i="19"/>
  <c r="F670" i="19"/>
  <c r="T669" i="19"/>
  <c r="H669" i="19"/>
  <c r="I669" i="19"/>
  <c r="G669" i="19"/>
  <c r="T668" i="19"/>
  <c r="H668" i="19"/>
  <c r="T667" i="19"/>
  <c r="F667" i="19"/>
  <c r="H667" i="19"/>
  <c r="I667" i="19"/>
  <c r="T666" i="19"/>
  <c r="H666" i="19"/>
  <c r="T665" i="19"/>
  <c r="G665" i="19" s="1"/>
  <c r="H665" i="19"/>
  <c r="I665" i="19" s="1"/>
  <c r="I706" i="19" s="1"/>
  <c r="I709" i="19" s="1"/>
  <c r="I729" i="19" s="1"/>
  <c r="T664" i="19"/>
  <c r="G664" i="19"/>
  <c r="T663" i="19"/>
  <c r="G663" i="19"/>
  <c r="T662" i="19"/>
  <c r="H662" i="19"/>
  <c r="F662" i="19"/>
  <c r="T661" i="19"/>
  <c r="F661" i="19"/>
  <c r="H661" i="19"/>
  <c r="I661" i="19"/>
  <c r="T660" i="19"/>
  <c r="G660" i="19"/>
  <c r="T659" i="19"/>
  <c r="H659" i="19"/>
  <c r="I659" i="19"/>
  <c r="T657" i="19"/>
  <c r="T653" i="19"/>
  <c r="H653" i="19"/>
  <c r="G653" i="19"/>
  <c r="T650" i="19"/>
  <c r="H650" i="19"/>
  <c r="T647" i="19"/>
  <c r="H647" i="19"/>
  <c r="T646" i="19"/>
  <c r="H646" i="19"/>
  <c r="F646" i="19"/>
  <c r="T643" i="19"/>
  <c r="H643" i="19"/>
  <c r="G643" i="19"/>
  <c r="T642" i="19"/>
  <c r="H642" i="19"/>
  <c r="G642" i="19"/>
  <c r="T640" i="19"/>
  <c r="H640" i="19"/>
  <c r="T639" i="19"/>
  <c r="H639" i="19"/>
  <c r="T638" i="19"/>
  <c r="H638" i="19"/>
  <c r="F638" i="19"/>
  <c r="T637" i="19"/>
  <c r="H637" i="19"/>
  <c r="G637" i="19"/>
  <c r="T636" i="19"/>
  <c r="H636" i="19"/>
  <c r="G636" i="19"/>
  <c r="T634" i="19"/>
  <c r="H634" i="19"/>
  <c r="T633" i="19"/>
  <c r="H633" i="19"/>
  <c r="T632" i="19"/>
  <c r="H632" i="19"/>
  <c r="G632" i="19"/>
  <c r="T631" i="19"/>
  <c r="H631" i="19"/>
  <c r="T630" i="19"/>
  <c r="H630" i="19"/>
  <c r="F630" i="19"/>
  <c r="T629" i="19"/>
  <c r="H629" i="19"/>
  <c r="T628" i="19"/>
  <c r="H628" i="19"/>
  <c r="T627" i="19"/>
  <c r="H627" i="19"/>
  <c r="G627" i="19"/>
  <c r="T641" i="19"/>
  <c r="H641" i="19"/>
  <c r="T635" i="19"/>
  <c r="H635" i="19"/>
  <c r="T624" i="19"/>
  <c r="H624" i="19"/>
  <c r="T623" i="19"/>
  <c r="H623" i="19"/>
  <c r="G623" i="19"/>
  <c r="T622" i="19"/>
  <c r="H622" i="19"/>
  <c r="G622" i="19"/>
  <c r="T621" i="19"/>
  <c r="H621" i="19"/>
  <c r="T620" i="19"/>
  <c r="H620" i="19"/>
  <c r="T619" i="19"/>
  <c r="H619" i="19"/>
  <c r="F619" i="19"/>
  <c r="T618" i="19"/>
  <c r="H618" i="19"/>
  <c r="G618" i="19"/>
  <c r="T617" i="19"/>
  <c r="H617" i="19"/>
  <c r="G617" i="19"/>
  <c r="T616" i="19"/>
  <c r="H616" i="19"/>
  <c r="T615" i="19"/>
  <c r="H615" i="19"/>
  <c r="T613" i="19"/>
  <c r="T609" i="19"/>
  <c r="T606" i="19"/>
  <c r="T604" i="19"/>
  <c r="T583" i="19"/>
  <c r="T578" i="19"/>
  <c r="T553" i="19"/>
  <c r="T552" i="19"/>
  <c r="T551" i="19"/>
  <c r="T547" i="19"/>
  <c r="Z525" i="19"/>
  <c r="I148" i="19"/>
  <c r="X496" i="19"/>
  <c r="W496" i="19"/>
  <c r="T476" i="19"/>
  <c r="T452" i="19"/>
  <c r="T437" i="19"/>
  <c r="T435" i="19"/>
  <c r="T418" i="19"/>
  <c r="T417" i="19"/>
  <c r="T416" i="19"/>
  <c r="T415" i="19"/>
  <c r="T414" i="19"/>
  <c r="T413" i="19"/>
  <c r="T406" i="19"/>
  <c r="T382" i="19"/>
  <c r="H382" i="19"/>
  <c r="T377" i="19"/>
  <c r="H377" i="19"/>
  <c r="F377" i="19"/>
  <c r="G377" i="19"/>
  <c r="E377" i="19"/>
  <c r="T376" i="19"/>
  <c r="H376" i="19"/>
  <c r="T375" i="19"/>
  <c r="H375" i="19"/>
  <c r="T374" i="19"/>
  <c r="H374" i="19"/>
  <c r="G374" i="19"/>
  <c r="T373" i="19"/>
  <c r="H373" i="19"/>
  <c r="T372" i="19"/>
  <c r="H372" i="19"/>
  <c r="G372" i="19"/>
  <c r="F372" i="19"/>
  <c r="E372" i="19"/>
  <c r="C372" i="19"/>
  <c r="I372" i="19"/>
  <c r="T371" i="19"/>
  <c r="H371" i="19"/>
  <c r="F371" i="19"/>
  <c r="T370" i="19"/>
  <c r="H370" i="19"/>
  <c r="G370" i="19"/>
  <c r="T369" i="19"/>
  <c r="H369" i="19"/>
  <c r="G369" i="19"/>
  <c r="T368" i="19"/>
  <c r="H368" i="19"/>
  <c r="T367" i="19"/>
  <c r="H367" i="19"/>
  <c r="T366" i="19"/>
  <c r="H366" i="19"/>
  <c r="G366" i="19"/>
  <c r="T365" i="19"/>
  <c r="H365" i="19"/>
  <c r="T364" i="19"/>
  <c r="H364" i="19"/>
  <c r="G364" i="19"/>
  <c r="F364" i="19"/>
  <c r="E364" i="19"/>
  <c r="U363" i="19"/>
  <c r="T363" i="19"/>
  <c r="H363" i="19"/>
  <c r="T362" i="19"/>
  <c r="H362" i="19"/>
  <c r="T361" i="19"/>
  <c r="H361" i="19"/>
  <c r="T360" i="19"/>
  <c r="H360" i="19"/>
  <c r="G360" i="19"/>
  <c r="T359" i="19"/>
  <c r="H359" i="19"/>
  <c r="F359" i="19"/>
  <c r="G359" i="19"/>
  <c r="T358" i="19"/>
  <c r="H358" i="19"/>
  <c r="T357" i="19"/>
  <c r="H357" i="19"/>
  <c r="F357" i="19"/>
  <c r="T356" i="19"/>
  <c r="H356" i="19"/>
  <c r="F356" i="19"/>
  <c r="T355" i="19"/>
  <c r="H355" i="19"/>
  <c r="I355" i="19"/>
  <c r="T354" i="19"/>
  <c r="H354" i="19"/>
  <c r="T353" i="19"/>
  <c r="H353" i="19"/>
  <c r="T352" i="19"/>
  <c r="H352" i="19"/>
  <c r="T351" i="19"/>
  <c r="H351" i="19"/>
  <c r="G351" i="19"/>
  <c r="T350" i="19"/>
  <c r="H350" i="19"/>
  <c r="T348" i="19"/>
  <c r="H348" i="19"/>
  <c r="T347" i="19"/>
  <c r="H347" i="19"/>
  <c r="T346" i="19"/>
  <c r="H346" i="19"/>
  <c r="G346" i="19"/>
  <c r="F346" i="19"/>
  <c r="E346" i="19"/>
  <c r="C346" i="19"/>
  <c r="I346" i="19"/>
  <c r="T345" i="19"/>
  <c r="H345" i="19"/>
  <c r="T344" i="19"/>
  <c r="H344" i="19"/>
  <c r="T342" i="19"/>
  <c r="H342" i="19"/>
  <c r="G342" i="19"/>
  <c r="F342" i="19"/>
  <c r="T341" i="19"/>
  <c r="H341" i="19"/>
  <c r="T340" i="19"/>
  <c r="H340" i="19"/>
  <c r="T339" i="19"/>
  <c r="H339" i="19"/>
  <c r="T338" i="19"/>
  <c r="H338" i="19"/>
  <c r="T337" i="19"/>
  <c r="H337" i="19"/>
  <c r="T336" i="19"/>
  <c r="H336" i="19"/>
  <c r="T335" i="19"/>
  <c r="H335" i="19"/>
  <c r="G335" i="19"/>
  <c r="T334" i="19"/>
  <c r="H334" i="19"/>
  <c r="T333" i="19"/>
  <c r="H333" i="19"/>
  <c r="G333" i="19"/>
  <c r="T326" i="19"/>
  <c r="H326" i="19"/>
  <c r="G326" i="19"/>
  <c r="T325" i="19"/>
  <c r="H325" i="19"/>
  <c r="T324" i="19"/>
  <c r="H324" i="19"/>
  <c r="T322" i="19"/>
  <c r="H322" i="19"/>
  <c r="T321" i="19"/>
  <c r="H321" i="19"/>
  <c r="T320" i="19"/>
  <c r="H320" i="19"/>
  <c r="T319" i="19"/>
  <c r="H319" i="19"/>
  <c r="T318" i="19"/>
  <c r="H318" i="19"/>
  <c r="T317" i="19"/>
  <c r="H317" i="19"/>
  <c r="G317" i="19"/>
  <c r="T316" i="19"/>
  <c r="H316" i="19"/>
  <c r="T314" i="19"/>
  <c r="H314" i="19"/>
  <c r="T313" i="19"/>
  <c r="H313" i="19"/>
  <c r="T311" i="19"/>
  <c r="H311" i="19"/>
  <c r="F311" i="19"/>
  <c r="T310" i="19"/>
  <c r="H310" i="19"/>
  <c r="G310" i="19"/>
  <c r="T309" i="19"/>
  <c r="H309" i="19"/>
  <c r="G309" i="19"/>
  <c r="T307" i="19"/>
  <c r="H307" i="19"/>
  <c r="T306" i="19"/>
  <c r="H306" i="19"/>
  <c r="T305" i="19"/>
  <c r="H305" i="19"/>
  <c r="G305" i="19"/>
  <c r="T304" i="19"/>
  <c r="H304" i="19"/>
  <c r="T303" i="19"/>
  <c r="H303" i="19"/>
  <c r="T302" i="19"/>
  <c r="H302" i="19"/>
  <c r="T301" i="19"/>
  <c r="H301" i="19"/>
  <c r="T300" i="19"/>
  <c r="H300" i="19"/>
  <c r="G300" i="19"/>
  <c r="T299" i="19"/>
  <c r="H299" i="19"/>
  <c r="T308" i="19"/>
  <c r="H308" i="19"/>
  <c r="G308" i="19"/>
  <c r="F308" i="19"/>
  <c r="T297" i="19"/>
  <c r="H297" i="19"/>
  <c r="T296" i="19"/>
  <c r="H296" i="19"/>
  <c r="T295" i="19"/>
  <c r="H295" i="19"/>
  <c r="G295" i="19"/>
  <c r="T294" i="19"/>
  <c r="H294" i="19"/>
  <c r="T292" i="19"/>
  <c r="H292" i="19"/>
  <c r="T291" i="19"/>
  <c r="H291" i="19"/>
  <c r="T290" i="19"/>
  <c r="H290" i="19"/>
  <c r="H289" i="19"/>
  <c r="G289" i="19"/>
  <c r="F289" i="19"/>
  <c r="E289" i="19"/>
  <c r="C289" i="19"/>
  <c r="I289" i="19"/>
  <c r="T288" i="19"/>
  <c r="H288" i="19"/>
  <c r="F288" i="19"/>
  <c r="T287" i="19"/>
  <c r="H287" i="19"/>
  <c r="T286" i="19"/>
  <c r="H286" i="19"/>
  <c r="F286" i="19"/>
  <c r="T284" i="19"/>
  <c r="H284" i="19"/>
  <c r="G284" i="19"/>
  <c r="T280" i="19"/>
  <c r="H280" i="19"/>
  <c r="G280" i="19"/>
  <c r="T279" i="19"/>
  <c r="H279" i="19"/>
  <c r="T273" i="19"/>
  <c r="I273" i="19"/>
  <c r="G273" i="19"/>
  <c r="F273" i="19"/>
  <c r="E273" i="19"/>
  <c r="T271" i="19"/>
  <c r="H271" i="19"/>
  <c r="F271" i="19"/>
  <c r="T270" i="19"/>
  <c r="H270" i="19"/>
  <c r="T268" i="19"/>
  <c r="H268" i="19"/>
  <c r="T267" i="19"/>
  <c r="H267" i="19"/>
  <c r="T266" i="19"/>
  <c r="H266" i="19"/>
  <c r="T265" i="19"/>
  <c r="H265" i="19"/>
  <c r="G265" i="19"/>
  <c r="T264" i="19"/>
  <c r="H264" i="19"/>
  <c r="T263" i="19"/>
  <c r="H263" i="19"/>
  <c r="G263" i="19"/>
  <c r="T262" i="19"/>
  <c r="H262" i="19"/>
  <c r="T261" i="19"/>
  <c r="H261" i="19"/>
  <c r="T260" i="19"/>
  <c r="H260" i="19"/>
  <c r="T259" i="19"/>
  <c r="H259" i="19"/>
  <c r="T258" i="19"/>
  <c r="H258" i="19"/>
  <c r="G258" i="19"/>
  <c r="T257" i="19"/>
  <c r="H257" i="19"/>
  <c r="G257" i="19"/>
  <c r="T256" i="19"/>
  <c r="H256" i="19"/>
  <c r="T255" i="19"/>
  <c r="H255" i="19"/>
  <c r="T254" i="19"/>
  <c r="H254" i="19"/>
  <c r="T253" i="19"/>
  <c r="H253" i="19"/>
  <c r="T252" i="19"/>
  <c r="H252" i="19"/>
  <c r="T251" i="19"/>
  <c r="H251" i="19"/>
  <c r="T250" i="19"/>
  <c r="H250" i="19"/>
  <c r="T249" i="19"/>
  <c r="H249" i="19"/>
  <c r="T248" i="19"/>
  <c r="H248" i="19"/>
  <c r="T247" i="19"/>
  <c r="H247" i="19"/>
  <c r="T246" i="19"/>
  <c r="H246" i="19"/>
  <c r="G246" i="19"/>
  <c r="T245" i="19"/>
  <c r="H245" i="19"/>
  <c r="G245" i="19"/>
  <c r="T244" i="19"/>
  <c r="H244" i="19"/>
  <c r="G244" i="19"/>
  <c r="T243" i="19"/>
  <c r="H243" i="19"/>
  <c r="T232" i="19"/>
  <c r="H232" i="19"/>
  <c r="G232" i="19"/>
  <c r="T231" i="19"/>
  <c r="H231" i="19"/>
  <c r="T230" i="19"/>
  <c r="H230" i="19"/>
  <c r="F230" i="19"/>
  <c r="T229" i="19"/>
  <c r="H229" i="19"/>
  <c r="G229" i="19"/>
  <c r="T228" i="19"/>
  <c r="H228" i="19"/>
  <c r="T227" i="19"/>
  <c r="H227" i="19"/>
  <c r="T226" i="19"/>
  <c r="H226" i="19"/>
  <c r="T225" i="19"/>
  <c r="H225" i="19"/>
  <c r="G225" i="19"/>
  <c r="F225" i="19"/>
  <c r="E225" i="19"/>
  <c r="T224" i="19"/>
  <c r="H224" i="19"/>
  <c r="T223" i="19"/>
  <c r="H223" i="19"/>
  <c r="T222" i="19"/>
  <c r="H222" i="19"/>
  <c r="T221" i="19"/>
  <c r="H221" i="19"/>
  <c r="T220" i="19"/>
  <c r="H220" i="19"/>
  <c r="T219" i="19"/>
  <c r="H219" i="19"/>
  <c r="T218" i="19"/>
  <c r="H218" i="19"/>
  <c r="T217" i="19"/>
  <c r="H217" i="19"/>
  <c r="T216" i="19"/>
  <c r="H216" i="19"/>
  <c r="G216" i="19"/>
  <c r="T215" i="19"/>
  <c r="H215" i="19"/>
  <c r="T214" i="19"/>
  <c r="H214" i="19"/>
  <c r="T213" i="19"/>
  <c r="H213" i="19"/>
  <c r="T212" i="19"/>
  <c r="H212" i="19"/>
  <c r="G212" i="19"/>
  <c r="F212" i="19"/>
  <c r="E212" i="19"/>
  <c r="C212" i="19"/>
  <c r="I212" i="19"/>
  <c r="T211" i="19"/>
  <c r="H211" i="19"/>
  <c r="T210" i="19"/>
  <c r="H210" i="19"/>
  <c r="T209" i="19"/>
  <c r="H209" i="19"/>
  <c r="C209" i="19"/>
  <c r="I209" i="19"/>
  <c r="G209" i="19"/>
  <c r="F209" i="19"/>
  <c r="E209" i="19"/>
  <c r="T208" i="19"/>
  <c r="H208" i="19"/>
  <c r="T207" i="19"/>
  <c r="H207" i="19"/>
  <c r="T206" i="19"/>
  <c r="H206" i="19"/>
  <c r="G206" i="19"/>
  <c r="T205" i="19"/>
  <c r="H205" i="19"/>
  <c r="G205" i="19"/>
  <c r="T204" i="19"/>
  <c r="H204" i="19"/>
  <c r="G204" i="19"/>
  <c r="T203" i="19"/>
  <c r="H203" i="19"/>
  <c r="T202" i="19"/>
  <c r="H202" i="19"/>
  <c r="T201" i="19"/>
  <c r="H201" i="19"/>
  <c r="T200" i="19"/>
  <c r="H200" i="19"/>
  <c r="F200" i="19"/>
  <c r="T199" i="19"/>
  <c r="H199" i="19"/>
  <c r="G199" i="19"/>
  <c r="T198" i="19"/>
  <c r="H198" i="19"/>
  <c r="G198" i="19"/>
  <c r="T197" i="19"/>
  <c r="H197" i="19"/>
  <c r="T196" i="19"/>
  <c r="H196" i="19"/>
  <c r="T195" i="19"/>
  <c r="H195" i="19"/>
  <c r="T194" i="19"/>
  <c r="H194" i="19"/>
  <c r="G194" i="19"/>
  <c r="T193" i="19"/>
  <c r="H193" i="19"/>
  <c r="T192" i="19"/>
  <c r="H192" i="19"/>
  <c r="T191" i="19"/>
  <c r="H191" i="19"/>
  <c r="F191" i="19"/>
  <c r="G191" i="19"/>
  <c r="T190" i="19"/>
  <c r="H190" i="19"/>
  <c r="T189" i="19"/>
  <c r="H189" i="19"/>
  <c r="G189" i="19"/>
  <c r="T188" i="19"/>
  <c r="H188" i="19"/>
  <c r="G188" i="19"/>
  <c r="T187" i="19"/>
  <c r="H187" i="19"/>
  <c r="G187" i="19"/>
  <c r="T186" i="19"/>
  <c r="H186" i="19"/>
  <c r="T185" i="19"/>
  <c r="H185" i="19"/>
  <c r="T184" i="19"/>
  <c r="H184" i="19"/>
  <c r="T183" i="19"/>
  <c r="H183" i="19"/>
  <c r="T182" i="19"/>
  <c r="H182" i="19"/>
  <c r="F182" i="19"/>
  <c r="T181" i="19"/>
  <c r="H181" i="19"/>
  <c r="T180" i="19"/>
  <c r="H180" i="19"/>
  <c r="G180" i="19"/>
  <c r="T179" i="19"/>
  <c r="H179" i="19"/>
  <c r="T178" i="19"/>
  <c r="H178" i="19"/>
  <c r="T177" i="19"/>
  <c r="H177" i="19"/>
  <c r="T176" i="19"/>
  <c r="H176" i="19"/>
  <c r="G176" i="19"/>
  <c r="T175" i="19"/>
  <c r="I174" i="19"/>
  <c r="T174" i="19"/>
  <c r="H174" i="19"/>
  <c r="T173" i="19"/>
  <c r="H173" i="19"/>
  <c r="G173" i="19"/>
  <c r="T172" i="19"/>
  <c r="H172" i="19"/>
  <c r="T171" i="19"/>
  <c r="H171" i="19"/>
  <c r="T170" i="19"/>
  <c r="H170" i="19"/>
  <c r="T169" i="19"/>
  <c r="H169" i="19"/>
  <c r="G169" i="19"/>
  <c r="T168" i="19"/>
  <c r="H168" i="19"/>
  <c r="T167" i="19"/>
  <c r="H167" i="19"/>
  <c r="T166" i="19"/>
  <c r="H166" i="19"/>
  <c r="T162" i="19"/>
  <c r="H162" i="19"/>
  <c r="I162" i="19"/>
  <c r="T161" i="19"/>
  <c r="I161" i="19"/>
  <c r="T160" i="19"/>
  <c r="I160" i="19"/>
  <c r="T157" i="19"/>
  <c r="I157" i="19"/>
  <c r="T156" i="19"/>
  <c r="I156" i="19"/>
  <c r="I155" i="19"/>
  <c r="I154" i="19"/>
  <c r="G154" i="19"/>
  <c r="F154" i="19"/>
  <c r="E154" i="19"/>
  <c r="D154" i="19"/>
  <c r="C154" i="19"/>
  <c r="T151" i="19"/>
  <c r="I151" i="19"/>
  <c r="T150" i="19"/>
  <c r="H150" i="19"/>
  <c r="T148" i="19"/>
  <c r="D148" i="19"/>
  <c r="T146" i="19"/>
  <c r="D146" i="19"/>
  <c r="I146" i="19"/>
  <c r="T145" i="19"/>
  <c r="D145" i="19"/>
  <c r="T144" i="19"/>
  <c r="D144" i="19"/>
  <c r="F144" i="19"/>
  <c r="I142" i="19"/>
  <c r="T140" i="19"/>
  <c r="T139" i="19"/>
  <c r="D139" i="19"/>
  <c r="T138" i="19"/>
  <c r="T137" i="19"/>
  <c r="T136" i="19"/>
  <c r="T135" i="19"/>
  <c r="T134" i="19"/>
  <c r="D138" i="19"/>
  <c r="T130" i="19"/>
  <c r="H130" i="19"/>
  <c r="G130" i="19"/>
  <c r="T129" i="19"/>
  <c r="H129" i="19"/>
  <c r="T128" i="19"/>
  <c r="H128" i="19"/>
  <c r="T127" i="19"/>
  <c r="H127" i="19"/>
  <c r="G127" i="19"/>
  <c r="E127" i="19"/>
  <c r="F127" i="19"/>
  <c r="T126" i="19"/>
  <c r="H126" i="19"/>
  <c r="T124" i="19"/>
  <c r="H124" i="19"/>
  <c r="I124" i="19"/>
  <c r="T123" i="19"/>
  <c r="H123" i="19"/>
  <c r="T122" i="19"/>
  <c r="H122" i="19"/>
  <c r="T121" i="19"/>
  <c r="H121" i="19"/>
  <c r="F121" i="19"/>
  <c r="T119" i="19"/>
  <c r="H119" i="19"/>
  <c r="T118" i="19"/>
  <c r="H118" i="19"/>
  <c r="G118" i="19"/>
  <c r="T117" i="19"/>
  <c r="H117" i="19"/>
  <c r="T116" i="19"/>
  <c r="H116" i="19"/>
  <c r="G116" i="19"/>
  <c r="T115" i="19"/>
  <c r="H115" i="19"/>
  <c r="T114" i="19"/>
  <c r="H114" i="19"/>
  <c r="M109" i="19"/>
  <c r="L109" i="19"/>
  <c r="K109" i="19"/>
  <c r="J109" i="19"/>
  <c r="T108" i="19"/>
  <c r="T107" i="19"/>
  <c r="T106" i="19"/>
  <c r="T105" i="19"/>
  <c r="T104" i="19"/>
  <c r="T103" i="19"/>
  <c r="T102" i="19"/>
  <c r="H101" i="19"/>
  <c r="H109" i="19"/>
  <c r="T101" i="19"/>
  <c r="I101" i="19"/>
  <c r="G101" i="19"/>
  <c r="E101" i="19"/>
  <c r="F101" i="19"/>
  <c r="T99" i="19"/>
  <c r="I99" i="19"/>
  <c r="T98" i="19"/>
  <c r="E98" i="19"/>
  <c r="I97" i="19"/>
  <c r="T96" i="19"/>
  <c r="H96" i="19"/>
  <c r="C96" i="19"/>
  <c r="I96" i="19"/>
  <c r="E96" i="19"/>
  <c r="T90" i="19"/>
  <c r="H90" i="19"/>
  <c r="C90" i="19"/>
  <c r="E90" i="19"/>
  <c r="C89" i="19"/>
  <c r="T88" i="19"/>
  <c r="H88" i="19"/>
  <c r="I84" i="19"/>
  <c r="E84" i="19"/>
  <c r="T83" i="19"/>
  <c r="I83" i="19"/>
  <c r="E83" i="19"/>
  <c r="T80" i="19"/>
  <c r="H80" i="19"/>
  <c r="I78" i="19"/>
  <c r="E78" i="19"/>
  <c r="T77" i="19"/>
  <c r="I77" i="19"/>
  <c r="I81" i="19"/>
  <c r="E77" i="19"/>
  <c r="T73" i="19"/>
  <c r="H73" i="19"/>
  <c r="T72" i="19"/>
  <c r="H72" i="19"/>
  <c r="C72" i="19"/>
  <c r="I72" i="19"/>
  <c r="T71" i="19"/>
  <c r="C69" i="19"/>
  <c r="I71" i="19"/>
  <c r="T70" i="19"/>
  <c r="H70" i="19"/>
  <c r="T65" i="19"/>
  <c r="H65" i="19"/>
  <c r="C65" i="19"/>
  <c r="T64" i="19"/>
  <c r="I64" i="19"/>
  <c r="T62" i="19"/>
  <c r="H62" i="19"/>
  <c r="I62" i="19"/>
  <c r="T60" i="19"/>
  <c r="C60" i="19"/>
  <c r="H60" i="19"/>
  <c r="T59" i="19"/>
  <c r="H59" i="19"/>
  <c r="T57" i="19"/>
  <c r="H57" i="19"/>
  <c r="G57" i="19"/>
  <c r="T53" i="19"/>
  <c r="H53" i="19"/>
  <c r="T48" i="19"/>
  <c r="H48" i="19"/>
  <c r="C48" i="19"/>
  <c r="I48" i="19"/>
  <c r="T47" i="19"/>
  <c r="H47" i="19"/>
  <c r="G47" i="19"/>
  <c r="T46" i="19"/>
  <c r="H46" i="19"/>
  <c r="T45" i="19"/>
  <c r="H45" i="19"/>
  <c r="M45" i="19"/>
  <c r="L45" i="19"/>
  <c r="K45" i="19"/>
  <c r="J45" i="19"/>
  <c r="T44" i="19"/>
  <c r="H44" i="19"/>
  <c r="I44" i="19"/>
  <c r="T43" i="19"/>
  <c r="H43" i="19"/>
  <c r="M43" i="19"/>
  <c r="L43" i="19"/>
  <c r="K43" i="19"/>
  <c r="J43" i="19"/>
  <c r="T42" i="19"/>
  <c r="H42" i="19"/>
  <c r="F42" i="19"/>
  <c r="T41" i="19"/>
  <c r="H41" i="19"/>
  <c r="T40" i="19"/>
  <c r="T39" i="19"/>
  <c r="T37" i="19"/>
  <c r="H37" i="19"/>
  <c r="T35" i="19"/>
  <c r="T33" i="19"/>
  <c r="I32" i="19"/>
  <c r="T32" i="19"/>
  <c r="H32" i="19"/>
  <c r="T31" i="19"/>
  <c r="H31" i="19"/>
  <c r="T30" i="19"/>
  <c r="H30" i="19"/>
  <c r="F30" i="19"/>
  <c r="I30" i="19"/>
  <c r="T29" i="19"/>
  <c r="H29" i="19"/>
  <c r="C29" i="19"/>
  <c r="I29" i="19"/>
  <c r="T27" i="19"/>
  <c r="T28" i="19"/>
  <c r="H28" i="19"/>
  <c r="C28" i="19"/>
  <c r="I28" i="19"/>
  <c r="T25" i="19"/>
  <c r="H25" i="19"/>
  <c r="C25" i="19"/>
  <c r="I25" i="19"/>
  <c r="T22" i="19"/>
  <c r="H22" i="19"/>
  <c r="T21" i="19"/>
  <c r="H21" i="19"/>
  <c r="C21" i="19"/>
  <c r="I21" i="19"/>
  <c r="P20" i="19"/>
  <c r="T20" i="19"/>
  <c r="O20" i="19"/>
  <c r="T19" i="19"/>
  <c r="E19" i="19"/>
  <c r="C19" i="19"/>
  <c r="T18" i="19"/>
  <c r="H18" i="19"/>
  <c r="E18" i="19"/>
  <c r="T17" i="19"/>
  <c r="H17" i="19"/>
  <c r="C17" i="19"/>
  <c r="I17" i="19"/>
  <c r="T16" i="19"/>
  <c r="H16" i="19"/>
  <c r="G16" i="19"/>
  <c r="T15" i="19"/>
  <c r="H15" i="19"/>
  <c r="C15" i="19"/>
  <c r="T14" i="19"/>
  <c r="H14" i="19"/>
  <c r="C14" i="19"/>
  <c r="I14" i="19"/>
  <c r="T11" i="19"/>
  <c r="T10" i="19"/>
  <c r="H10" i="19"/>
  <c r="C10" i="19"/>
  <c r="I10" i="19"/>
  <c r="E10" i="19"/>
  <c r="T9" i="19"/>
  <c r="T8" i="19"/>
  <c r="G357" i="19"/>
  <c r="E357" i="19"/>
  <c r="C357" i="19"/>
  <c r="I357" i="19"/>
  <c r="F335" i="19"/>
  <c r="E335" i="19"/>
  <c r="C335" i="19"/>
  <c r="I335" i="19"/>
  <c r="F673" i="19"/>
  <c r="G673" i="19"/>
  <c r="F663" i="19"/>
  <c r="H663" i="19"/>
  <c r="I663" i="19"/>
  <c r="I662" i="19"/>
  <c r="G662" i="19"/>
  <c r="C678" i="19"/>
  <c r="E662" i="19"/>
  <c r="C662" i="19"/>
  <c r="H660" i="19"/>
  <c r="F668" i="19"/>
  <c r="G677" i="19"/>
  <c r="F685" i="19"/>
  <c r="G668" i="19"/>
  <c r="G685" i="19"/>
  <c r="G661" i="19"/>
  <c r="E661" i="19"/>
  <c r="C661" i="19"/>
  <c r="G337" i="19"/>
  <c r="F337" i="19"/>
  <c r="E337" i="19"/>
  <c r="C337" i="19"/>
  <c r="I337" i="19"/>
  <c r="G179" i="19"/>
  <c r="F179" i="19"/>
  <c r="E179" i="19"/>
  <c r="C179" i="19"/>
  <c r="I179" i="19"/>
  <c r="G224" i="19"/>
  <c r="F224" i="19"/>
  <c r="F362" i="19"/>
  <c r="G362" i="19"/>
  <c r="G354" i="19"/>
  <c r="F354" i="19"/>
  <c r="E354" i="19"/>
  <c r="C354" i="19"/>
  <c r="I354" i="19"/>
  <c r="F361" i="19"/>
  <c r="G361" i="19"/>
  <c r="G46" i="19"/>
  <c r="F46" i="19"/>
  <c r="E46" i="19"/>
  <c r="C46" i="19"/>
  <c r="G344" i="19"/>
  <c r="F344" i="19"/>
  <c r="G117" i="19"/>
  <c r="F117" i="19"/>
  <c r="E117" i="19"/>
  <c r="C117" i="19"/>
  <c r="I117" i="19"/>
  <c r="G128" i="19"/>
  <c r="E128" i="19"/>
  <c r="F128" i="19"/>
  <c r="F201" i="19"/>
  <c r="G201" i="19"/>
  <c r="E201" i="19"/>
  <c r="C201" i="19"/>
  <c r="I201" i="19"/>
  <c r="G218" i="19"/>
  <c r="E218" i="19"/>
  <c r="C218" i="19"/>
  <c r="I218" i="19"/>
  <c r="F218" i="19"/>
  <c r="G230" i="19"/>
  <c r="E230" i="19"/>
  <c r="C230" i="19"/>
  <c r="G667" i="19"/>
  <c r="E667" i="19"/>
  <c r="C667" i="19"/>
  <c r="H674" i="19"/>
  <c r="I674" i="19"/>
  <c r="G680" i="19"/>
  <c r="F675" i="19"/>
  <c r="F116" i="19"/>
  <c r="E116" i="19"/>
  <c r="C116" i="19"/>
  <c r="I116" i="19"/>
  <c r="G675" i="19"/>
  <c r="C127" i="19"/>
  <c r="I127" i="19"/>
  <c r="F258" i="19"/>
  <c r="F682" i="19"/>
  <c r="E682" i="19"/>
  <c r="C682" i="19"/>
  <c r="D729" i="19"/>
  <c r="E342" i="19"/>
  <c r="C342" i="19"/>
  <c r="I342" i="19"/>
  <c r="C18" i="19"/>
  <c r="C726" i="19"/>
  <c r="E359" i="19"/>
  <c r="C359" i="19"/>
  <c r="T343" i="19"/>
  <c r="H343" i="19"/>
  <c r="G343" i="19"/>
  <c r="I359" i="19"/>
  <c r="E191" i="19"/>
  <c r="C191" i="19"/>
  <c r="I191" i="19"/>
  <c r="I109" i="19"/>
  <c r="E673" i="19"/>
  <c r="C673" i="19"/>
  <c r="F130" i="19"/>
  <c r="E130" i="19"/>
  <c r="C130" i="19"/>
  <c r="I130" i="19"/>
  <c r="D150" i="19"/>
  <c r="G659" i="19"/>
  <c r="F686" i="19"/>
  <c r="F680" i="19"/>
  <c r="G686" i="19"/>
  <c r="I680" i="19"/>
  <c r="I672" i="19"/>
  <c r="I660" i="19"/>
  <c r="F672" i="19"/>
  <c r="E672" i="19"/>
  <c r="C672" i="19"/>
  <c r="F693" i="19"/>
  <c r="F660" i="19"/>
  <c r="E660" i="19"/>
  <c r="C660" i="19"/>
  <c r="F664" i="19"/>
  <c r="E664" i="19"/>
  <c r="H664" i="19"/>
  <c r="I664" i="19"/>
  <c r="F681" i="19"/>
  <c r="E681" i="19"/>
  <c r="C681" i="19"/>
  <c r="G647" i="19"/>
  <c r="E647" i="19"/>
  <c r="C647" i="19"/>
  <c r="I647" i="19"/>
  <c r="F647" i="19"/>
  <c r="G630" i="19"/>
  <c r="E630" i="19"/>
  <c r="C630" i="19"/>
  <c r="I630" i="19"/>
  <c r="G620" i="19"/>
  <c r="F620" i="19"/>
  <c r="E620" i="19"/>
  <c r="C620" i="19"/>
  <c r="I620" i="19"/>
  <c r="G639" i="19"/>
  <c r="F639" i="19"/>
  <c r="E639" i="19"/>
  <c r="C639" i="19"/>
  <c r="I639" i="19"/>
  <c r="G635" i="19"/>
  <c r="F635" i="19"/>
  <c r="E635" i="19"/>
  <c r="C635" i="19"/>
  <c r="I635" i="19"/>
  <c r="F624" i="19"/>
  <c r="G624" i="19"/>
  <c r="F636" i="19"/>
  <c r="E636" i="19"/>
  <c r="C636" i="19"/>
  <c r="I636" i="19"/>
  <c r="G646" i="19"/>
  <c r="E646" i="19"/>
  <c r="C646" i="19"/>
  <c r="I646" i="19"/>
  <c r="T58" i="19"/>
  <c r="H58" i="19"/>
  <c r="C58" i="19"/>
  <c r="E82" i="20"/>
  <c r="D82" i="20"/>
  <c r="B82" i="20"/>
  <c r="D61" i="20"/>
  <c r="E57" i="20"/>
  <c r="D57" i="20"/>
  <c r="B57" i="20"/>
  <c r="H57" i="20"/>
  <c r="F52" i="20"/>
  <c r="D52" i="20"/>
  <c r="B52" i="20"/>
  <c r="H52" i="20"/>
  <c r="E52" i="20"/>
  <c r="E51" i="20"/>
  <c r="F51" i="20"/>
  <c r="F45" i="20"/>
  <c r="E45" i="20"/>
  <c r="D45" i="20"/>
  <c r="B45" i="20"/>
  <c r="H45" i="20"/>
  <c r="B43" i="20"/>
  <c r="H43" i="20"/>
  <c r="F38" i="20"/>
  <c r="E38" i="20"/>
  <c r="D38" i="20"/>
  <c r="B38" i="20"/>
  <c r="H38" i="20"/>
  <c r="E37" i="20"/>
  <c r="F37" i="20"/>
  <c r="F33" i="20"/>
  <c r="E33" i="20"/>
  <c r="F324" i="19"/>
  <c r="G324" i="19"/>
  <c r="F316" i="19"/>
  <c r="E316" i="19"/>
  <c r="C316" i="19"/>
  <c r="I316" i="19"/>
  <c r="G316" i="19"/>
  <c r="G303" i="19"/>
  <c r="F303" i="19"/>
  <c r="F294" i="19"/>
  <c r="G294" i="19"/>
  <c r="F318" i="19"/>
  <c r="G318" i="19"/>
  <c r="E308" i="19"/>
  <c r="C308" i="19"/>
  <c r="I308" i="19"/>
  <c r="T36" i="19"/>
  <c r="H36" i="19"/>
  <c r="C36" i="19"/>
  <c r="I36" i="19"/>
  <c r="G266" i="19"/>
  <c r="F266" i="19"/>
  <c r="E266" i="19"/>
  <c r="C266" i="19"/>
  <c r="I266" i="19"/>
  <c r="G264" i="19"/>
  <c r="F264" i="19"/>
  <c r="E258" i="19"/>
  <c r="C258" i="19"/>
  <c r="F257" i="19"/>
  <c r="E257" i="19"/>
  <c r="C257" i="19"/>
  <c r="F246" i="19"/>
  <c r="E246" i="19"/>
  <c r="C246" i="19"/>
  <c r="F244" i="19"/>
  <c r="E244" i="19"/>
  <c r="C244" i="19"/>
  <c r="F232" i="19"/>
  <c r="E232" i="19"/>
  <c r="C232" i="19"/>
  <c r="I232" i="19"/>
  <c r="F231" i="19"/>
  <c r="G231" i="19"/>
  <c r="C225" i="19"/>
  <c r="I225" i="19"/>
  <c r="G215" i="19"/>
  <c r="F215" i="19"/>
  <c r="E215" i="19"/>
  <c r="C215" i="19"/>
  <c r="I215" i="19"/>
  <c r="G214" i="19"/>
  <c r="F214" i="19"/>
  <c r="G207" i="19"/>
  <c r="F207" i="19"/>
  <c r="F196" i="19"/>
  <c r="G196" i="19"/>
  <c r="G193" i="19"/>
  <c r="F193" i="19"/>
  <c r="E193" i="19"/>
  <c r="C193" i="19"/>
  <c r="I193" i="19"/>
  <c r="G183" i="19"/>
  <c r="F183" i="19"/>
  <c r="E183" i="19"/>
  <c r="C183" i="19"/>
  <c r="I183" i="19"/>
  <c r="G181" i="19"/>
  <c r="F181" i="19"/>
  <c r="E181" i="19"/>
  <c r="C181" i="19"/>
  <c r="I181" i="19"/>
  <c r="G171" i="19"/>
  <c r="F171" i="19"/>
  <c r="F170" i="19"/>
  <c r="G170" i="19"/>
  <c r="F287" i="19"/>
  <c r="G287" i="19"/>
  <c r="G197" i="19"/>
  <c r="F197" i="19"/>
  <c r="E197" i="19"/>
  <c r="C197" i="19"/>
  <c r="I197" i="19"/>
  <c r="G168" i="19"/>
  <c r="F168" i="19"/>
  <c r="G319" i="19"/>
  <c r="F319" i="19"/>
  <c r="G260" i="19"/>
  <c r="F260" i="19"/>
  <c r="E260" i="19"/>
  <c r="C260" i="19"/>
  <c r="I260" i="19"/>
  <c r="F313" i="19"/>
  <c r="G313" i="19"/>
  <c r="C268" i="19"/>
  <c r="I268" i="19"/>
  <c r="G268" i="19"/>
  <c r="F268" i="19"/>
  <c r="E268" i="19"/>
  <c r="G247" i="19"/>
  <c r="F247" i="19"/>
  <c r="G220" i="19"/>
  <c r="F220" i="19"/>
  <c r="G249" i="19"/>
  <c r="F249" i="19"/>
  <c r="G222" i="19"/>
  <c r="F222" i="19"/>
  <c r="G248" i="19"/>
  <c r="F248" i="19"/>
  <c r="G292" i="19"/>
  <c r="F292" i="19"/>
  <c r="E292" i="19"/>
  <c r="C292" i="19"/>
  <c r="I292" i="19"/>
  <c r="G255" i="19"/>
  <c r="F255" i="19"/>
  <c r="F186" i="19"/>
  <c r="G186" i="19"/>
  <c r="G243" i="19"/>
  <c r="F243" i="19"/>
  <c r="G217" i="19"/>
  <c r="F217" i="19"/>
  <c r="E217" i="19"/>
  <c r="C217" i="19"/>
  <c r="G228" i="19"/>
  <c r="F228" i="19"/>
  <c r="E228" i="19"/>
  <c r="C228" i="19"/>
  <c r="I228" i="19"/>
  <c r="G251" i="19"/>
  <c r="F251" i="19"/>
  <c r="G252" i="19"/>
  <c r="F252" i="19"/>
  <c r="F178" i="19"/>
  <c r="G178" i="19"/>
  <c r="E207" i="19"/>
  <c r="C207" i="19"/>
  <c r="I207" i="19"/>
  <c r="T323" i="19"/>
  <c r="H323" i="19"/>
  <c r="F323" i="19"/>
  <c r="F189" i="19"/>
  <c r="E189" i="19"/>
  <c r="C189" i="19"/>
  <c r="I189" i="19"/>
  <c r="F204" i="19"/>
  <c r="E204" i="19"/>
  <c r="C204" i="19"/>
  <c r="I204" i="19"/>
  <c r="G286" i="19"/>
  <c r="F263" i="19"/>
  <c r="E263" i="19"/>
  <c r="C263" i="19"/>
  <c r="I263" i="19"/>
  <c r="H175" i="19"/>
  <c r="F188" i="19"/>
  <c r="E188" i="19"/>
  <c r="C188" i="19"/>
  <c r="I188" i="19"/>
  <c r="F199" i="19"/>
  <c r="E199" i="19"/>
  <c r="C199" i="19"/>
  <c r="I199" i="19"/>
  <c r="F206" i="19"/>
  <c r="E206" i="19"/>
  <c r="C206" i="19"/>
  <c r="I206" i="19"/>
  <c r="H148" i="19"/>
  <c r="G145" i="19"/>
  <c r="I145" i="19"/>
  <c r="I144" i="19"/>
  <c r="T142" i="19"/>
  <c r="D142" i="19"/>
  <c r="G142" i="19"/>
  <c r="G144" i="19"/>
  <c r="E144" i="19"/>
  <c r="C144" i="19"/>
  <c r="G126" i="19"/>
  <c r="F126" i="19"/>
  <c r="E126" i="19"/>
  <c r="C126" i="19"/>
  <c r="I126" i="19"/>
  <c r="G124" i="19"/>
  <c r="F124" i="19"/>
  <c r="E124" i="19"/>
  <c r="C124" i="19"/>
  <c r="G123" i="19"/>
  <c r="F123" i="19"/>
  <c r="E123" i="19"/>
  <c r="C123" i="19"/>
  <c r="I123" i="19"/>
  <c r="G121" i="19"/>
  <c r="E121" i="19"/>
  <c r="C121" i="19"/>
  <c r="I121" i="19"/>
  <c r="G115" i="19"/>
  <c r="F115" i="19"/>
  <c r="F114" i="19"/>
  <c r="G114" i="19"/>
  <c r="H98" i="19"/>
  <c r="C98" i="19"/>
  <c r="I98" i="19"/>
  <c r="T78" i="19"/>
  <c r="H78" i="19"/>
  <c r="C88" i="19"/>
  <c r="C92" i="19"/>
  <c r="H83" i="19"/>
  <c r="C83" i="19"/>
  <c r="G80" i="19"/>
  <c r="F80" i="19"/>
  <c r="H77" i="19"/>
  <c r="F73" i="19"/>
  <c r="G73" i="19"/>
  <c r="T68" i="19"/>
  <c r="C62" i="19"/>
  <c r="I61" i="19"/>
  <c r="C57" i="19"/>
  <c r="I57" i="19"/>
  <c r="F57" i="19"/>
  <c r="E57" i="19"/>
  <c r="G59" i="19"/>
  <c r="F59" i="19"/>
  <c r="C59" i="19"/>
  <c r="I59" i="19"/>
  <c r="H64" i="19"/>
  <c r="C64" i="19"/>
  <c r="I58" i="19"/>
  <c r="I65" i="19"/>
  <c r="F53" i="19"/>
  <c r="G53" i="19"/>
  <c r="C47" i="19"/>
  <c r="I47" i="19"/>
  <c r="F47" i="19"/>
  <c r="E47" i="19"/>
  <c r="G44" i="19"/>
  <c r="F44" i="19"/>
  <c r="G42" i="19"/>
  <c r="E42" i="19"/>
  <c r="C42" i="19"/>
  <c r="I42" i="19"/>
  <c r="G41" i="19"/>
  <c r="F41" i="19"/>
  <c r="E41" i="19"/>
  <c r="C41" i="19"/>
  <c r="I41" i="19"/>
  <c r="F37" i="19"/>
  <c r="G37" i="19"/>
  <c r="H35" i="19"/>
  <c r="C35" i="19"/>
  <c r="I35" i="19"/>
  <c r="H33" i="19"/>
  <c r="G32" i="19"/>
  <c r="F32" i="19"/>
  <c r="C31" i="19"/>
  <c r="I31" i="19"/>
  <c r="G31" i="19"/>
  <c r="F31" i="19"/>
  <c r="G30" i="19"/>
  <c r="E30" i="19"/>
  <c r="C30" i="19"/>
  <c r="H27" i="19"/>
  <c r="C27" i="19"/>
  <c r="I27" i="19"/>
  <c r="H8" i="19"/>
  <c r="C8" i="19"/>
  <c r="I8" i="19"/>
  <c r="F46" i="20"/>
  <c r="E46" i="20"/>
  <c r="D46" i="20"/>
  <c r="B46" i="20"/>
  <c r="H46" i="20"/>
  <c r="F64" i="20"/>
  <c r="E64" i="20"/>
  <c r="D64" i="20"/>
  <c r="B64" i="20"/>
  <c r="H64" i="20"/>
  <c r="D54" i="20"/>
  <c r="B54" i="20"/>
  <c r="H54" i="20"/>
  <c r="D35" i="20"/>
  <c r="B35" i="20"/>
  <c r="H35" i="20"/>
  <c r="D51" i="20"/>
  <c r="B51" i="20"/>
  <c r="H51" i="20"/>
  <c r="D59" i="20"/>
  <c r="B59" i="20"/>
  <c r="H59" i="20"/>
  <c r="D37" i="20"/>
  <c r="B37" i="20"/>
  <c r="H37" i="20"/>
  <c r="D56" i="20"/>
  <c r="B56" i="20"/>
  <c r="H56" i="20"/>
  <c r="E49" i="20"/>
  <c r="D49" i="20"/>
  <c r="B49" i="20"/>
  <c r="H49" i="20"/>
  <c r="E40" i="20"/>
  <c r="D40" i="20"/>
  <c r="B40" i="20"/>
  <c r="H40" i="20"/>
  <c r="F55" i="20"/>
  <c r="E55" i="20"/>
  <c r="F36" i="20"/>
  <c r="E36" i="20"/>
  <c r="D36" i="20"/>
  <c r="B36" i="20"/>
  <c r="H36" i="20"/>
  <c r="F60" i="20"/>
  <c r="E60" i="20"/>
  <c r="D60" i="20"/>
  <c r="B60" i="20"/>
  <c r="H60" i="20"/>
  <c r="F41" i="20"/>
  <c r="E41" i="20"/>
  <c r="E83" i="20"/>
  <c r="F83" i="20"/>
  <c r="F34" i="20"/>
  <c r="E34" i="20"/>
  <c r="D34" i="20"/>
  <c r="B34" i="20"/>
  <c r="H34" i="20"/>
  <c r="E44" i="20"/>
  <c r="F44" i="20"/>
  <c r="F53" i="20"/>
  <c r="E53" i="20"/>
  <c r="F39" i="20"/>
  <c r="D39" i="20"/>
  <c r="B39" i="20"/>
  <c r="H39" i="20"/>
  <c r="F58" i="20"/>
  <c r="D58" i="20"/>
  <c r="B58" i="20"/>
  <c r="H58" i="20"/>
  <c r="F65" i="20"/>
  <c r="D65" i="20"/>
  <c r="B65" i="20"/>
  <c r="E42" i="20"/>
  <c r="D42" i="20"/>
  <c r="B42" i="20"/>
  <c r="H42" i="20"/>
  <c r="E50" i="20"/>
  <c r="D50" i="20"/>
  <c r="B50" i="20"/>
  <c r="H50" i="20"/>
  <c r="E79" i="20"/>
  <c r="D79" i="20"/>
  <c r="B79" i="20"/>
  <c r="D134" i="19"/>
  <c r="G119" i="19"/>
  <c r="F119" i="19"/>
  <c r="G211" i="19"/>
  <c r="F211" i="19"/>
  <c r="G70" i="19"/>
  <c r="F70" i="19"/>
  <c r="C70" i="19"/>
  <c r="I70" i="19"/>
  <c r="G321" i="19"/>
  <c r="F321" i="19"/>
  <c r="G122" i="19"/>
  <c r="F122" i="19"/>
  <c r="E122" i="19"/>
  <c r="C122" i="19"/>
  <c r="I122" i="19"/>
  <c r="G323" i="19"/>
  <c r="G336" i="19"/>
  <c r="F336" i="19"/>
  <c r="E336" i="19"/>
  <c r="C336" i="19"/>
  <c r="I336" i="19"/>
  <c r="C43" i="19"/>
  <c r="I43" i="19"/>
  <c r="N43" i="19"/>
  <c r="G203" i="19"/>
  <c r="F203" i="19"/>
  <c r="G22" i="19"/>
  <c r="F22" i="19"/>
  <c r="G227" i="19"/>
  <c r="F227" i="19"/>
  <c r="I18" i="19"/>
  <c r="H20" i="19"/>
  <c r="G262" i="19"/>
  <c r="F262" i="19"/>
  <c r="C45" i="19"/>
  <c r="I45" i="19"/>
  <c r="N45" i="19"/>
  <c r="G129" i="19"/>
  <c r="F129" i="19"/>
  <c r="G376" i="19"/>
  <c r="F376" i="19"/>
  <c r="G254" i="19"/>
  <c r="F254" i="19"/>
  <c r="I684" i="19"/>
  <c r="G345" i="19"/>
  <c r="F345" i="19"/>
  <c r="G182" i="19"/>
  <c r="E182" i="19"/>
  <c r="C182" i="19"/>
  <c r="I182" i="19"/>
  <c r="G195" i="19"/>
  <c r="F195" i="19"/>
  <c r="F216" i="19"/>
  <c r="E216" i="19"/>
  <c r="C216" i="19"/>
  <c r="I216" i="19"/>
  <c r="E224" i="19"/>
  <c r="C224" i="19"/>
  <c r="I224" i="19"/>
  <c r="F280" i="19"/>
  <c r="E280" i="19"/>
  <c r="C280" i="19"/>
  <c r="I280" i="19"/>
  <c r="G301" i="19"/>
  <c r="F301" i="19"/>
  <c r="E301" i="19"/>
  <c r="C301" i="19"/>
  <c r="I301" i="19"/>
  <c r="F309" i="19"/>
  <c r="E309" i="19"/>
  <c r="C309" i="19"/>
  <c r="I309" i="19"/>
  <c r="G638" i="19"/>
  <c r="E638" i="19"/>
  <c r="C638" i="19"/>
  <c r="I638" i="19"/>
  <c r="F339" i="19"/>
  <c r="G174" i="19"/>
  <c r="F174" i="19"/>
  <c r="G302" i="19"/>
  <c r="F302" i="19"/>
  <c r="G340" i="19"/>
  <c r="F340" i="19"/>
  <c r="F679" i="19"/>
  <c r="E679" i="19"/>
  <c r="C679" i="19"/>
  <c r="I679" i="19"/>
  <c r="F187" i="19"/>
  <c r="E187" i="19"/>
  <c r="C187" i="19"/>
  <c r="I187" i="19"/>
  <c r="G250" i="19"/>
  <c r="F250" i="19"/>
  <c r="G259" i="19"/>
  <c r="F259" i="19"/>
  <c r="G270" i="19"/>
  <c r="F270" i="19"/>
  <c r="E270" i="19"/>
  <c r="C270" i="19"/>
  <c r="I270" i="19"/>
  <c r="F295" i="19"/>
  <c r="E295" i="19"/>
  <c r="C295" i="19"/>
  <c r="I295" i="19"/>
  <c r="G631" i="19"/>
  <c r="F631" i="19"/>
  <c r="G322" i="19"/>
  <c r="F322" i="19"/>
  <c r="F142" i="19"/>
  <c r="E142" i="19"/>
  <c r="G208" i="19"/>
  <c r="F208" i="19"/>
  <c r="C364" i="19"/>
  <c r="I364" i="19"/>
  <c r="G371" i="19"/>
  <c r="E371" i="19"/>
  <c r="C371" i="19"/>
  <c r="I371" i="19"/>
  <c r="G382" i="19"/>
  <c r="F382" i="19"/>
  <c r="E382" i="19"/>
  <c r="C382" i="19"/>
  <c r="I382" i="19"/>
  <c r="G619" i="19"/>
  <c r="E619" i="19"/>
  <c r="C619" i="19"/>
  <c r="I619" i="19"/>
  <c r="G288" i="19"/>
  <c r="E288" i="19"/>
  <c r="C288" i="19"/>
  <c r="I288" i="19"/>
  <c r="G166" i="19"/>
  <c r="F166" i="19"/>
  <c r="E166" i="19"/>
  <c r="C166" i="19"/>
  <c r="G296" i="19"/>
  <c r="F296" i="19"/>
  <c r="E318" i="19"/>
  <c r="C318" i="19"/>
  <c r="I318" i="19"/>
  <c r="G341" i="19"/>
  <c r="F341" i="19"/>
  <c r="G347" i="19"/>
  <c r="F347" i="19"/>
  <c r="T61" i="19"/>
  <c r="G167" i="19"/>
  <c r="F167" i="19"/>
  <c r="G200" i="19"/>
  <c r="E200" i="19"/>
  <c r="C200" i="19"/>
  <c r="I200" i="19"/>
  <c r="G213" i="19"/>
  <c r="F213" i="19"/>
  <c r="F229" i="19"/>
  <c r="E229" i="19"/>
  <c r="C229" i="19"/>
  <c r="I229" i="19"/>
  <c r="G271" i="19"/>
  <c r="E271" i="19"/>
  <c r="C271" i="19"/>
  <c r="I271" i="19"/>
  <c r="G290" i="19"/>
  <c r="F290" i="19"/>
  <c r="G348" i="19"/>
  <c r="F348" i="19"/>
  <c r="G365" i="19"/>
  <c r="F365" i="19"/>
  <c r="G650" i="19"/>
  <c r="F650" i="19"/>
  <c r="I666" i="19"/>
  <c r="H676" i="19"/>
  <c r="G676" i="19"/>
  <c r="F676" i="19"/>
  <c r="H39" i="19"/>
  <c r="G192" i="19"/>
  <c r="F192" i="19"/>
  <c r="F265" i="19"/>
  <c r="E265" i="19"/>
  <c r="C265" i="19"/>
  <c r="I265" i="19"/>
  <c r="G291" i="19"/>
  <c r="F291" i="19"/>
  <c r="G311" i="19"/>
  <c r="E311" i="19"/>
  <c r="C311" i="19"/>
  <c r="I311" i="19"/>
  <c r="F632" i="19"/>
  <c r="E632" i="19"/>
  <c r="C632" i="19"/>
  <c r="I632" i="19"/>
  <c r="G666" i="19"/>
  <c r="F666" i="19"/>
  <c r="G353" i="19"/>
  <c r="F353" i="19"/>
  <c r="E353" i="19"/>
  <c r="C353" i="19"/>
  <c r="I353" i="19"/>
  <c r="I46" i="19"/>
  <c r="T49" i="19"/>
  <c r="H49" i="19"/>
  <c r="F118" i="19"/>
  <c r="E118" i="19"/>
  <c r="C118" i="19"/>
  <c r="F205" i="19"/>
  <c r="E205" i="19"/>
  <c r="C205" i="19"/>
  <c r="I205" i="19"/>
  <c r="E286" i="19"/>
  <c r="C286" i="19"/>
  <c r="G297" i="19"/>
  <c r="F297" i="19"/>
  <c r="E297" i="19"/>
  <c r="C297" i="19"/>
  <c r="I297" i="19"/>
  <c r="G325" i="19"/>
  <c r="F325" i="19"/>
  <c r="E325" i="19"/>
  <c r="C325" i="19"/>
  <c r="I325" i="19"/>
  <c r="G356" i="19"/>
  <c r="E356" i="19"/>
  <c r="C356" i="19"/>
  <c r="I356" i="19"/>
  <c r="G640" i="19"/>
  <c r="F640" i="19"/>
  <c r="I686" i="19"/>
  <c r="G363" i="19"/>
  <c r="F363" i="19"/>
  <c r="C128" i="19"/>
  <c r="I128" i="19"/>
  <c r="F180" i="19"/>
  <c r="E180" i="19"/>
  <c r="C180" i="19"/>
  <c r="I180" i="19"/>
  <c r="G221" i="19"/>
  <c r="F221" i="19"/>
  <c r="E221" i="19"/>
  <c r="C221" i="19"/>
  <c r="I221" i="19"/>
  <c r="G256" i="19"/>
  <c r="F256" i="19"/>
  <c r="E256" i="19"/>
  <c r="C256" i="19"/>
  <c r="G304" i="19"/>
  <c r="F304" i="19"/>
  <c r="G641" i="19"/>
  <c r="F641" i="19"/>
  <c r="G633" i="19"/>
  <c r="F633" i="19"/>
  <c r="G334" i="19"/>
  <c r="G684" i="19"/>
  <c r="F684" i="19"/>
  <c r="E684" i="19"/>
  <c r="C684" i="19"/>
  <c r="G184" i="19"/>
  <c r="F184" i="19"/>
  <c r="G261" i="19"/>
  <c r="F261" i="19"/>
  <c r="E261" i="19"/>
  <c r="C261" i="19"/>
  <c r="I261" i="19"/>
  <c r="G350" i="19"/>
  <c r="F350" i="19"/>
  <c r="E350" i="19"/>
  <c r="C350" i="19"/>
  <c r="I350" i="19"/>
  <c r="F366" i="19"/>
  <c r="E366" i="19"/>
  <c r="C366" i="19"/>
  <c r="I366" i="19"/>
  <c r="F653" i="19"/>
  <c r="E653" i="19"/>
  <c r="C653" i="19"/>
  <c r="I653" i="19"/>
  <c r="I231" i="19"/>
  <c r="I15" i="19"/>
  <c r="F176" i="19"/>
  <c r="E176" i="19"/>
  <c r="C176" i="19"/>
  <c r="I176" i="19"/>
  <c r="G185" i="19"/>
  <c r="F185" i="19"/>
  <c r="G226" i="19"/>
  <c r="F226" i="19"/>
  <c r="E226" i="19"/>
  <c r="C226" i="19"/>
  <c r="I226" i="19"/>
  <c r="G373" i="19"/>
  <c r="F373" i="19"/>
  <c r="E373" i="19"/>
  <c r="C373" i="19"/>
  <c r="I373" i="19"/>
  <c r="G621" i="19"/>
  <c r="F621" i="19"/>
  <c r="F627" i="19"/>
  <c r="E627" i="19"/>
  <c r="C627" i="19"/>
  <c r="I627" i="19"/>
  <c r="G634" i="19"/>
  <c r="F634" i="19"/>
  <c r="E634" i="19"/>
  <c r="C634" i="19"/>
  <c r="I634" i="19"/>
  <c r="G210" i="19"/>
  <c r="F210" i="19"/>
  <c r="E210" i="19"/>
  <c r="C210" i="19"/>
  <c r="I210" i="19"/>
  <c r="F326" i="19"/>
  <c r="E326" i="19"/>
  <c r="C326" i="19"/>
  <c r="I326" i="19"/>
  <c r="G367" i="19"/>
  <c r="F367" i="19"/>
  <c r="G615" i="19"/>
  <c r="F615" i="19"/>
  <c r="F642" i="19"/>
  <c r="E642" i="19"/>
  <c r="C642" i="19"/>
  <c r="I642" i="19"/>
  <c r="H657" i="19"/>
  <c r="G657" i="19"/>
  <c r="F657" i="19"/>
  <c r="G223" i="19"/>
  <c r="F223" i="19"/>
  <c r="G172" i="19"/>
  <c r="F172" i="19"/>
  <c r="E172" i="19"/>
  <c r="C172" i="19"/>
  <c r="I172" i="19"/>
  <c r="C16" i="19"/>
  <c r="I16" i="19"/>
  <c r="C101" i="19"/>
  <c r="C109" i="19"/>
  <c r="F305" i="19"/>
  <c r="E305" i="19"/>
  <c r="C305" i="19"/>
  <c r="I305" i="19"/>
  <c r="G320" i="19"/>
  <c r="F320" i="19"/>
  <c r="H40" i="19"/>
  <c r="G150" i="19"/>
  <c r="F150" i="19"/>
  <c r="G177" i="19"/>
  <c r="F177" i="19"/>
  <c r="F198" i="19"/>
  <c r="E198" i="19"/>
  <c r="C198" i="19"/>
  <c r="I198" i="19"/>
  <c r="G299" i="19"/>
  <c r="F299" i="19"/>
  <c r="G314" i="19"/>
  <c r="F314" i="19"/>
  <c r="E314" i="19"/>
  <c r="C314" i="19"/>
  <c r="I314" i="19"/>
  <c r="G338" i="19"/>
  <c r="F338" i="19"/>
  <c r="F351" i="19"/>
  <c r="E351" i="19"/>
  <c r="C351" i="19"/>
  <c r="I351" i="19"/>
  <c r="G368" i="19"/>
  <c r="F368" i="19"/>
  <c r="E368" i="19"/>
  <c r="C368" i="19"/>
  <c r="I368" i="19"/>
  <c r="F374" i="19"/>
  <c r="E374" i="19"/>
  <c r="C374" i="19"/>
  <c r="G616" i="19"/>
  <c r="F616" i="19"/>
  <c r="H654" i="19"/>
  <c r="G628" i="19"/>
  <c r="F628" i="19"/>
  <c r="F16" i="19"/>
  <c r="E16" i="19"/>
  <c r="C114" i="19"/>
  <c r="F162" i="19"/>
  <c r="F173" i="19"/>
  <c r="E173" i="19"/>
  <c r="C173" i="19"/>
  <c r="I173" i="19"/>
  <c r="G202" i="19"/>
  <c r="F202" i="19"/>
  <c r="F219" i="19"/>
  <c r="G253" i="19"/>
  <c r="F253" i="19"/>
  <c r="G267" i="19"/>
  <c r="F267" i="19"/>
  <c r="G306" i="19"/>
  <c r="F306" i="19"/>
  <c r="G358" i="19"/>
  <c r="F358" i="19"/>
  <c r="C369" i="19"/>
  <c r="I369" i="19"/>
  <c r="G375" i="19"/>
  <c r="F375" i="19"/>
  <c r="F622" i="19"/>
  <c r="E622" i="19"/>
  <c r="C622" i="19"/>
  <c r="I622" i="19"/>
  <c r="G629" i="19"/>
  <c r="F629" i="19"/>
  <c r="E663" i="19"/>
  <c r="C663" i="19"/>
  <c r="I668" i="19"/>
  <c r="G190" i="19"/>
  <c r="F190" i="19"/>
  <c r="G307" i="19"/>
  <c r="F307" i="19"/>
  <c r="F145" i="19"/>
  <c r="G162" i="19"/>
  <c r="F169" i="19"/>
  <c r="E169" i="19"/>
  <c r="C169" i="19"/>
  <c r="I169" i="19"/>
  <c r="F194" i="19"/>
  <c r="E194" i="19"/>
  <c r="C194" i="19"/>
  <c r="I194" i="19"/>
  <c r="G219" i="19"/>
  <c r="F245" i="19"/>
  <c r="E245" i="19"/>
  <c r="C245" i="19"/>
  <c r="G279" i="19"/>
  <c r="F279" i="19"/>
  <c r="F300" i="19"/>
  <c r="E300" i="19"/>
  <c r="C300" i="19"/>
  <c r="I300" i="19"/>
  <c r="F334" i="19"/>
  <c r="G339" i="19"/>
  <c r="G352" i="19"/>
  <c r="F352" i="19"/>
  <c r="F369" i="19"/>
  <c r="E369" i="19"/>
  <c r="F617" i="19"/>
  <c r="E617" i="19"/>
  <c r="C617" i="19"/>
  <c r="I617" i="19"/>
  <c r="F674" i="19"/>
  <c r="E674" i="19"/>
  <c r="I683" i="19"/>
  <c r="I694" i="19"/>
  <c r="F669" i="19"/>
  <c r="E669" i="19"/>
  <c r="C669" i="19"/>
  <c r="F689" i="19"/>
  <c r="E689" i="19"/>
  <c r="C689" i="19"/>
  <c r="C377" i="19"/>
  <c r="I377" i="19"/>
  <c r="F659" i="19"/>
  <c r="F677" i="19"/>
  <c r="E677" i="19"/>
  <c r="C677" i="19"/>
  <c r="T696" i="19"/>
  <c r="G670" i="19"/>
  <c r="E670" i="19"/>
  <c r="C670" i="19"/>
  <c r="F683" i="19"/>
  <c r="G693" i="19"/>
  <c r="F284" i="19"/>
  <c r="E284" i="19"/>
  <c r="C284" i="19"/>
  <c r="I284" i="19"/>
  <c r="F317" i="19"/>
  <c r="E317" i="19"/>
  <c r="C317" i="19"/>
  <c r="I317" i="19"/>
  <c r="F360" i="19"/>
  <c r="E360" i="19"/>
  <c r="C360" i="19"/>
  <c r="I360" i="19"/>
  <c r="F623" i="19"/>
  <c r="E623" i="19"/>
  <c r="C623" i="19"/>
  <c r="I623" i="19"/>
  <c r="F643" i="19"/>
  <c r="E643" i="19"/>
  <c r="C643" i="19"/>
  <c r="I643" i="19"/>
  <c r="G683" i="19"/>
  <c r="F310" i="19"/>
  <c r="E310" i="19"/>
  <c r="C310" i="19"/>
  <c r="I310" i="19"/>
  <c r="F333" i="19"/>
  <c r="E333" i="19"/>
  <c r="C333" i="19"/>
  <c r="F355" i="19"/>
  <c r="F370" i="19"/>
  <c r="E370" i="19"/>
  <c r="C370" i="19"/>
  <c r="I370" i="19"/>
  <c r="F618" i="19"/>
  <c r="E618" i="19"/>
  <c r="C618" i="19"/>
  <c r="I618" i="19"/>
  <c r="F637" i="19"/>
  <c r="E637" i="19"/>
  <c r="C637" i="19"/>
  <c r="I637" i="19"/>
  <c r="G355" i="19"/>
  <c r="F146" i="19"/>
  <c r="G146" i="19"/>
  <c r="F671" i="19"/>
  <c r="F694" i="19"/>
  <c r="G671" i="19"/>
  <c r="G694" i="19"/>
  <c r="P345" i="17"/>
  <c r="O345" i="17"/>
  <c r="P362" i="17"/>
  <c r="O362" i="17"/>
  <c r="P343" i="17"/>
  <c r="O343" i="17"/>
  <c r="P341" i="17"/>
  <c r="O341" i="17"/>
  <c r="P336" i="17"/>
  <c r="O336" i="17"/>
  <c r="P122" i="17"/>
  <c r="O122" i="17"/>
  <c r="P71" i="17"/>
  <c r="P70" i="17"/>
  <c r="P68" i="17"/>
  <c r="O71" i="17"/>
  <c r="O70" i="17"/>
  <c r="O68" i="17"/>
  <c r="O20" i="17"/>
  <c r="P297" i="17"/>
  <c r="O297" i="17"/>
  <c r="S33" i="18"/>
  <c r="G33" i="18"/>
  <c r="E33" i="18"/>
  <c r="F33" i="18"/>
  <c r="D33" i="18"/>
  <c r="B33" i="18"/>
  <c r="S34" i="18"/>
  <c r="G34" i="18"/>
  <c r="E34" i="18"/>
  <c r="F34" i="18"/>
  <c r="D34" i="18"/>
  <c r="B34" i="18"/>
  <c r="S35" i="18"/>
  <c r="G35" i="18"/>
  <c r="E35" i="18"/>
  <c r="F35" i="18"/>
  <c r="D35" i="18"/>
  <c r="B35" i="18"/>
  <c r="S36" i="18"/>
  <c r="G36" i="18"/>
  <c r="E36" i="18"/>
  <c r="F36" i="18"/>
  <c r="D36" i="18"/>
  <c r="B36" i="18"/>
  <c r="S37" i="18"/>
  <c r="G37" i="18"/>
  <c r="E37" i="18"/>
  <c r="F37" i="18"/>
  <c r="D37" i="18"/>
  <c r="B37" i="18"/>
  <c r="S38" i="18"/>
  <c r="G38" i="18"/>
  <c r="E38" i="18"/>
  <c r="F38" i="18"/>
  <c r="D38" i="18"/>
  <c r="B38" i="18"/>
  <c r="S39" i="18"/>
  <c r="G39" i="18"/>
  <c r="E39" i="18"/>
  <c r="F39" i="18"/>
  <c r="D39" i="18"/>
  <c r="B39" i="18"/>
  <c r="S40" i="18"/>
  <c r="G40" i="18"/>
  <c r="E40" i="18"/>
  <c r="F40" i="18"/>
  <c r="D40" i="18"/>
  <c r="B40" i="18"/>
  <c r="S41" i="18"/>
  <c r="G41" i="18"/>
  <c r="E41" i="18"/>
  <c r="F41" i="18"/>
  <c r="D41" i="18"/>
  <c r="B41" i="18"/>
  <c r="S42" i="18"/>
  <c r="G42" i="18"/>
  <c r="E42" i="18"/>
  <c r="F42" i="18"/>
  <c r="D42" i="18"/>
  <c r="B42" i="18"/>
  <c r="S43" i="18"/>
  <c r="G43" i="18"/>
  <c r="E43" i="18"/>
  <c r="F43" i="18"/>
  <c r="D43" i="18"/>
  <c r="B43" i="18"/>
  <c r="S44" i="18"/>
  <c r="G44" i="18"/>
  <c r="E44" i="18"/>
  <c r="F44" i="18"/>
  <c r="D44" i="18"/>
  <c r="B44" i="18"/>
  <c r="S45" i="18"/>
  <c r="G45" i="18"/>
  <c r="E45" i="18"/>
  <c r="F45" i="18"/>
  <c r="D45" i="18"/>
  <c r="B45" i="18"/>
  <c r="S46" i="18"/>
  <c r="G46" i="18"/>
  <c r="E46" i="18"/>
  <c r="F46" i="18"/>
  <c r="D46" i="18"/>
  <c r="B46" i="18"/>
  <c r="S47" i="18"/>
  <c r="G47" i="18"/>
  <c r="E47" i="18"/>
  <c r="F47" i="18"/>
  <c r="D47" i="18"/>
  <c r="B47" i="18"/>
  <c r="S49" i="18"/>
  <c r="G49" i="18"/>
  <c r="E49" i="18"/>
  <c r="F49" i="18"/>
  <c r="D49" i="18"/>
  <c r="B49" i="18"/>
  <c r="S50" i="18"/>
  <c r="G50" i="18"/>
  <c r="E50" i="18"/>
  <c r="F50" i="18"/>
  <c r="D50" i="18"/>
  <c r="B50" i="18"/>
  <c r="S51" i="18"/>
  <c r="G51" i="18"/>
  <c r="E51" i="18"/>
  <c r="F51" i="18"/>
  <c r="D51" i="18"/>
  <c r="B51" i="18"/>
  <c r="S52" i="18"/>
  <c r="G52" i="18"/>
  <c r="E52" i="18"/>
  <c r="F52" i="18"/>
  <c r="D52" i="18"/>
  <c r="B52" i="18"/>
  <c r="S53" i="18"/>
  <c r="G53" i="18"/>
  <c r="E53" i="18"/>
  <c r="F53" i="18"/>
  <c r="D53" i="18"/>
  <c r="B53" i="18"/>
  <c r="S54" i="18"/>
  <c r="G54" i="18"/>
  <c r="E54" i="18"/>
  <c r="F54" i="18"/>
  <c r="D54" i="18"/>
  <c r="B54" i="18"/>
  <c r="S55" i="18"/>
  <c r="G55" i="18"/>
  <c r="E55" i="18"/>
  <c r="F55" i="18"/>
  <c r="D55" i="18"/>
  <c r="B55" i="18"/>
  <c r="S56" i="18"/>
  <c r="G56" i="18"/>
  <c r="E56" i="18"/>
  <c r="F56" i="18"/>
  <c r="D56" i="18"/>
  <c r="B56" i="18"/>
  <c r="S57" i="18"/>
  <c r="G57" i="18"/>
  <c r="E57" i="18"/>
  <c r="F57" i="18"/>
  <c r="D57" i="18"/>
  <c r="B57" i="18"/>
  <c r="S58" i="18"/>
  <c r="G58" i="18"/>
  <c r="E58" i="18"/>
  <c r="F58" i="18"/>
  <c r="D58" i="18"/>
  <c r="B58" i="18"/>
  <c r="S59" i="18"/>
  <c r="G59" i="18"/>
  <c r="E59" i="18"/>
  <c r="F59" i="18"/>
  <c r="D59" i="18"/>
  <c r="B59" i="18"/>
  <c r="S60" i="18"/>
  <c r="G60" i="18"/>
  <c r="E60" i="18"/>
  <c r="F60" i="18"/>
  <c r="D60" i="18"/>
  <c r="B60" i="18"/>
  <c r="S61" i="18"/>
  <c r="G61" i="18"/>
  <c r="B61" i="18"/>
  <c r="B62" i="18"/>
  <c r="C278" i="17"/>
  <c r="S65" i="18"/>
  <c r="S66" i="18"/>
  <c r="G65" i="18"/>
  <c r="E65" i="18"/>
  <c r="F65" i="18"/>
  <c r="D65" i="18"/>
  <c r="B65" i="18"/>
  <c r="S64" i="18"/>
  <c r="G64" i="18"/>
  <c r="B64" i="18"/>
  <c r="S78" i="18"/>
  <c r="G78" i="18"/>
  <c r="B78" i="18"/>
  <c r="S79" i="18"/>
  <c r="G79" i="18"/>
  <c r="E79" i="18"/>
  <c r="F79" i="18"/>
  <c r="D79" i="18"/>
  <c r="B79" i="18"/>
  <c r="S80" i="18"/>
  <c r="G80" i="18"/>
  <c r="E80" i="18"/>
  <c r="F80" i="18"/>
  <c r="D80" i="18"/>
  <c r="B80" i="18"/>
  <c r="S82" i="18"/>
  <c r="G82" i="18"/>
  <c r="E82" i="18"/>
  <c r="F82" i="18"/>
  <c r="D82" i="18"/>
  <c r="B82" i="18"/>
  <c r="S83" i="18"/>
  <c r="G83" i="18"/>
  <c r="E83" i="18"/>
  <c r="F83" i="18"/>
  <c r="D83" i="18"/>
  <c r="B83" i="18"/>
  <c r="S84" i="18"/>
  <c r="G84" i="18"/>
  <c r="E84" i="18"/>
  <c r="F84" i="18"/>
  <c r="D84" i="18"/>
  <c r="B84" i="18"/>
  <c r="S85" i="18"/>
  <c r="G85" i="18"/>
  <c r="B85" i="18"/>
  <c r="B86" i="18"/>
  <c r="T286" i="17"/>
  <c r="H286" i="17"/>
  <c r="F286" i="17"/>
  <c r="G286" i="17"/>
  <c r="E286" i="17"/>
  <c r="C286" i="17"/>
  <c r="T287" i="17"/>
  <c r="H287" i="17"/>
  <c r="F287" i="17"/>
  <c r="G287" i="17"/>
  <c r="E287" i="17"/>
  <c r="C287" i="17"/>
  <c r="T288" i="17"/>
  <c r="H288" i="17"/>
  <c r="F288" i="17"/>
  <c r="G288" i="17"/>
  <c r="E288" i="17"/>
  <c r="C288" i="17"/>
  <c r="T289" i="17"/>
  <c r="H289" i="17"/>
  <c r="F289" i="17"/>
  <c r="G289" i="17"/>
  <c r="E289" i="17"/>
  <c r="C289" i="17"/>
  <c r="T290" i="17"/>
  <c r="H290" i="17"/>
  <c r="F290" i="17"/>
  <c r="G290" i="17"/>
  <c r="E290" i="17"/>
  <c r="C290" i="17"/>
  <c r="T291" i="17"/>
  <c r="H291" i="17"/>
  <c r="F291" i="17"/>
  <c r="G291" i="17"/>
  <c r="E291" i="17"/>
  <c r="C291" i="17"/>
  <c r="T292" i="17"/>
  <c r="H292" i="17"/>
  <c r="F292" i="17"/>
  <c r="G292" i="17"/>
  <c r="E292" i="17"/>
  <c r="C292" i="17"/>
  <c r="T294" i="17"/>
  <c r="H294" i="17"/>
  <c r="F294" i="17"/>
  <c r="G294" i="17"/>
  <c r="E294" i="17"/>
  <c r="C294" i="17"/>
  <c r="T295" i="17"/>
  <c r="H295" i="17"/>
  <c r="F295" i="17"/>
  <c r="G295" i="17"/>
  <c r="E295" i="17"/>
  <c r="C295" i="17"/>
  <c r="T296" i="17"/>
  <c r="H296" i="17"/>
  <c r="F296" i="17"/>
  <c r="G296" i="17"/>
  <c r="E296" i="17"/>
  <c r="C296" i="17"/>
  <c r="T297" i="17"/>
  <c r="H297" i="17"/>
  <c r="F297" i="17"/>
  <c r="G297" i="17"/>
  <c r="E297" i="17"/>
  <c r="C297" i="17"/>
  <c r="T298" i="17"/>
  <c r="H298" i="17"/>
  <c r="F298" i="17"/>
  <c r="G298" i="17"/>
  <c r="E298" i="17"/>
  <c r="C298" i="17"/>
  <c r="T299" i="17"/>
  <c r="H299" i="17"/>
  <c r="F299" i="17"/>
  <c r="G299" i="17"/>
  <c r="E299" i="17"/>
  <c r="C299" i="17"/>
  <c r="T300" i="17"/>
  <c r="H300" i="17"/>
  <c r="F300" i="17"/>
  <c r="G300" i="17"/>
  <c r="E300" i="17"/>
  <c r="C300" i="17"/>
  <c r="T301" i="17"/>
  <c r="H301" i="17"/>
  <c r="F301" i="17"/>
  <c r="G301" i="17"/>
  <c r="E301" i="17"/>
  <c r="C301" i="17"/>
  <c r="T302" i="17"/>
  <c r="H302" i="17"/>
  <c r="F302" i="17"/>
  <c r="G302" i="17"/>
  <c r="E302" i="17"/>
  <c r="C302" i="17"/>
  <c r="T303" i="17"/>
  <c r="H303" i="17"/>
  <c r="F303" i="17"/>
  <c r="G303" i="17"/>
  <c r="E303" i="17"/>
  <c r="C303" i="17"/>
  <c r="T304" i="17"/>
  <c r="H304" i="17"/>
  <c r="F304" i="17"/>
  <c r="G304" i="17"/>
  <c r="E304" i="17"/>
  <c r="C304" i="17"/>
  <c r="T305" i="17"/>
  <c r="H305" i="17"/>
  <c r="F305" i="17"/>
  <c r="G305" i="17"/>
  <c r="E305" i="17"/>
  <c r="C305" i="17"/>
  <c r="T306" i="17"/>
  <c r="H306" i="17"/>
  <c r="F306" i="17"/>
  <c r="G306" i="17"/>
  <c r="E306" i="17"/>
  <c r="C306" i="17"/>
  <c r="T307" i="17"/>
  <c r="H307" i="17"/>
  <c r="F307" i="17"/>
  <c r="G307" i="17"/>
  <c r="E307" i="17"/>
  <c r="C307" i="17"/>
  <c r="T309" i="17"/>
  <c r="H309" i="17"/>
  <c r="F309" i="17"/>
  <c r="G309" i="17"/>
  <c r="E309" i="17"/>
  <c r="C309" i="17"/>
  <c r="T310" i="17"/>
  <c r="H310" i="17"/>
  <c r="F310" i="17"/>
  <c r="G310" i="17"/>
  <c r="E310" i="17"/>
  <c r="C310" i="17"/>
  <c r="T311" i="17"/>
  <c r="H311" i="17"/>
  <c r="F311" i="17"/>
  <c r="G311" i="17"/>
  <c r="E311" i="17"/>
  <c r="C311" i="17"/>
  <c r="T313" i="17"/>
  <c r="H313" i="17"/>
  <c r="F313" i="17"/>
  <c r="G313" i="17"/>
  <c r="E313" i="17"/>
  <c r="C313" i="17"/>
  <c r="T314" i="17"/>
  <c r="H314" i="17"/>
  <c r="F314" i="17"/>
  <c r="G314" i="17"/>
  <c r="E314" i="17"/>
  <c r="C314" i="17"/>
  <c r="T316" i="17"/>
  <c r="H316" i="17"/>
  <c r="F316" i="17"/>
  <c r="G316" i="17"/>
  <c r="E316" i="17"/>
  <c r="C316" i="17"/>
  <c r="T317" i="17"/>
  <c r="H317" i="17"/>
  <c r="F317" i="17"/>
  <c r="G317" i="17"/>
  <c r="E317" i="17"/>
  <c r="C317" i="17"/>
  <c r="T318" i="17"/>
  <c r="H318" i="17"/>
  <c r="F318" i="17"/>
  <c r="G318" i="17"/>
  <c r="E318" i="17"/>
  <c r="C318" i="17"/>
  <c r="T319" i="17"/>
  <c r="H319" i="17"/>
  <c r="F319" i="17"/>
  <c r="G319" i="17"/>
  <c r="E319" i="17"/>
  <c r="C319" i="17"/>
  <c r="T320" i="17"/>
  <c r="H320" i="17"/>
  <c r="F320" i="17"/>
  <c r="G320" i="17"/>
  <c r="E320" i="17"/>
  <c r="C320" i="17"/>
  <c r="T321" i="17"/>
  <c r="H321" i="17"/>
  <c r="F321" i="17"/>
  <c r="G321" i="17"/>
  <c r="E321" i="17"/>
  <c r="C321" i="17"/>
  <c r="T322" i="17"/>
  <c r="H322" i="17"/>
  <c r="F322" i="17"/>
  <c r="G322" i="17"/>
  <c r="E322" i="17"/>
  <c r="C322" i="17"/>
  <c r="T326" i="17"/>
  <c r="T324" i="17"/>
  <c r="T325" i="17"/>
  <c r="T167" i="17"/>
  <c r="T168" i="17"/>
  <c r="T173" i="17"/>
  <c r="T323" i="17"/>
  <c r="H323" i="17"/>
  <c r="F323" i="17"/>
  <c r="G323" i="17"/>
  <c r="E323" i="17"/>
  <c r="C323" i="17"/>
  <c r="H324" i="17"/>
  <c r="F324" i="17"/>
  <c r="G324" i="17"/>
  <c r="E324" i="17"/>
  <c r="C324" i="17"/>
  <c r="H325" i="17"/>
  <c r="F325" i="17"/>
  <c r="G325" i="17"/>
  <c r="E325" i="17"/>
  <c r="C325" i="17"/>
  <c r="H326" i="17"/>
  <c r="F326" i="17"/>
  <c r="G326" i="17"/>
  <c r="E326" i="17"/>
  <c r="C326" i="17"/>
  <c r="C328" i="17"/>
  <c r="B73" i="18"/>
  <c r="C277" i="17"/>
  <c r="H85" i="18"/>
  <c r="F85" i="18"/>
  <c r="E85" i="18"/>
  <c r="D85" i="18"/>
  <c r="H83" i="18"/>
  <c r="H79" i="18"/>
  <c r="H78" i="18"/>
  <c r="F78" i="18"/>
  <c r="E78" i="18"/>
  <c r="D78" i="18"/>
  <c r="H65" i="18"/>
  <c r="H64" i="18"/>
  <c r="F64" i="18"/>
  <c r="E64" i="18"/>
  <c r="D64" i="18"/>
  <c r="H61" i="18"/>
  <c r="F61" i="18"/>
  <c r="E61" i="18"/>
  <c r="D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T616" i="17"/>
  <c r="H616" i="17"/>
  <c r="F616" i="17"/>
  <c r="G616" i="17"/>
  <c r="E616" i="17"/>
  <c r="C616" i="17"/>
  <c r="I616" i="17"/>
  <c r="T617" i="17"/>
  <c r="H617" i="17"/>
  <c r="F617" i="17"/>
  <c r="G617" i="17"/>
  <c r="E617" i="17"/>
  <c r="C617" i="17"/>
  <c r="I617" i="17"/>
  <c r="T618" i="17"/>
  <c r="H618" i="17"/>
  <c r="F618" i="17"/>
  <c r="G618" i="17"/>
  <c r="E618" i="17"/>
  <c r="C618" i="17"/>
  <c r="I618" i="17"/>
  <c r="T619" i="17"/>
  <c r="H619" i="17"/>
  <c r="F619" i="17"/>
  <c r="G619" i="17"/>
  <c r="E619" i="17"/>
  <c r="C619" i="17"/>
  <c r="I619" i="17"/>
  <c r="T620" i="17"/>
  <c r="H620" i="17"/>
  <c r="F620" i="17"/>
  <c r="G620" i="17"/>
  <c r="E620" i="17"/>
  <c r="C620" i="17"/>
  <c r="I620" i="17"/>
  <c r="T621" i="17"/>
  <c r="H621" i="17"/>
  <c r="F621" i="17"/>
  <c r="G621" i="17"/>
  <c r="E621" i="17"/>
  <c r="C621" i="17"/>
  <c r="I621" i="17"/>
  <c r="T622" i="17"/>
  <c r="H622" i="17"/>
  <c r="F622" i="17"/>
  <c r="G622" i="17"/>
  <c r="E622" i="17"/>
  <c r="C622" i="17"/>
  <c r="I622" i="17"/>
  <c r="T623" i="17"/>
  <c r="H623" i="17"/>
  <c r="F623" i="17"/>
  <c r="G623" i="17"/>
  <c r="E623" i="17"/>
  <c r="C623" i="17"/>
  <c r="I623" i="17"/>
  <c r="T624" i="17"/>
  <c r="H624" i="17"/>
  <c r="F624" i="17"/>
  <c r="G624" i="17"/>
  <c r="E624" i="17"/>
  <c r="C624" i="17"/>
  <c r="I624" i="17"/>
  <c r="T625" i="17"/>
  <c r="H625" i="17"/>
  <c r="F625" i="17"/>
  <c r="G625" i="17"/>
  <c r="E625" i="17"/>
  <c r="C625" i="17"/>
  <c r="I625" i="17"/>
  <c r="T626" i="17"/>
  <c r="H626" i="17"/>
  <c r="F626" i="17"/>
  <c r="G626" i="17"/>
  <c r="E626" i="17"/>
  <c r="C626" i="17"/>
  <c r="I626" i="17"/>
  <c r="T627" i="17"/>
  <c r="H627" i="17"/>
  <c r="F627" i="17"/>
  <c r="G627" i="17"/>
  <c r="E627" i="17"/>
  <c r="C627" i="17"/>
  <c r="I627" i="17"/>
  <c r="T628" i="17"/>
  <c r="H628" i="17"/>
  <c r="F628" i="17"/>
  <c r="G628" i="17"/>
  <c r="E628" i="17"/>
  <c r="C628" i="17"/>
  <c r="I628" i="17"/>
  <c r="T629" i="17"/>
  <c r="H629" i="17"/>
  <c r="F629" i="17"/>
  <c r="G629" i="17"/>
  <c r="E629" i="17"/>
  <c r="C629" i="17"/>
  <c r="I629" i="17"/>
  <c r="T630" i="17"/>
  <c r="H630" i="17"/>
  <c r="F630" i="17"/>
  <c r="G630" i="17"/>
  <c r="E630" i="17"/>
  <c r="C630" i="17"/>
  <c r="I630" i="17"/>
  <c r="T631" i="17"/>
  <c r="H631" i="17"/>
  <c r="F631" i="17"/>
  <c r="G631" i="17"/>
  <c r="E631" i="17"/>
  <c r="C631" i="17"/>
  <c r="I631" i="17"/>
  <c r="T632" i="17"/>
  <c r="H632" i="17"/>
  <c r="F632" i="17"/>
  <c r="G632" i="17"/>
  <c r="E632" i="17"/>
  <c r="C632" i="17"/>
  <c r="I632" i="17"/>
  <c r="T633" i="17"/>
  <c r="H633" i="17"/>
  <c r="F633" i="17"/>
  <c r="G633" i="17"/>
  <c r="E633" i="17"/>
  <c r="C633" i="17"/>
  <c r="I633" i="17"/>
  <c r="T634" i="17"/>
  <c r="H634" i="17"/>
  <c r="F634" i="17"/>
  <c r="G634" i="17"/>
  <c r="E634" i="17"/>
  <c r="C634" i="17"/>
  <c r="I634" i="17"/>
  <c r="T636" i="17"/>
  <c r="H636" i="17"/>
  <c r="F636" i="17"/>
  <c r="G636" i="17"/>
  <c r="E636" i="17"/>
  <c r="C636" i="17"/>
  <c r="I636" i="17"/>
  <c r="T637" i="17"/>
  <c r="H637" i="17"/>
  <c r="F637" i="17"/>
  <c r="G637" i="17"/>
  <c r="E637" i="17"/>
  <c r="C637" i="17"/>
  <c r="I637" i="17"/>
  <c r="T638" i="17"/>
  <c r="H638" i="17"/>
  <c r="F638" i="17"/>
  <c r="G638" i="17"/>
  <c r="E638" i="17"/>
  <c r="C638" i="17"/>
  <c r="I638" i="17"/>
  <c r="T639" i="17"/>
  <c r="H639" i="17"/>
  <c r="F639" i="17"/>
  <c r="G639" i="17"/>
  <c r="E639" i="17"/>
  <c r="C639" i="17"/>
  <c r="I639" i="17"/>
  <c r="T640" i="17"/>
  <c r="H640" i="17"/>
  <c r="F640" i="17"/>
  <c r="G640" i="17"/>
  <c r="E640" i="17"/>
  <c r="C640" i="17"/>
  <c r="I640" i="17"/>
  <c r="T642" i="17"/>
  <c r="H642" i="17"/>
  <c r="F642" i="17"/>
  <c r="G642" i="17"/>
  <c r="E642" i="17"/>
  <c r="C642" i="17"/>
  <c r="I642" i="17"/>
  <c r="T643" i="17"/>
  <c r="H643" i="17"/>
  <c r="F643" i="17"/>
  <c r="G643" i="17"/>
  <c r="E643" i="17"/>
  <c r="C643" i="17"/>
  <c r="I643" i="17"/>
  <c r="T646" i="17"/>
  <c r="H646" i="17"/>
  <c r="F646" i="17"/>
  <c r="G646" i="17"/>
  <c r="E646" i="17"/>
  <c r="C646" i="17"/>
  <c r="I646" i="17"/>
  <c r="T647" i="17"/>
  <c r="H647" i="17"/>
  <c r="G647" i="17"/>
  <c r="F647" i="17"/>
  <c r="E647" i="17"/>
  <c r="C647" i="17"/>
  <c r="I647" i="17"/>
  <c r="I654" i="17"/>
  <c r="T8" i="17"/>
  <c r="T9" i="17"/>
  <c r="H8" i="17"/>
  <c r="C8" i="17"/>
  <c r="I8" i="17"/>
  <c r="T10" i="17"/>
  <c r="T11" i="17"/>
  <c r="H10" i="17"/>
  <c r="E10" i="17"/>
  <c r="C10" i="17"/>
  <c r="I10" i="17"/>
  <c r="T14" i="17"/>
  <c r="H14" i="17"/>
  <c r="C14" i="17"/>
  <c r="I14" i="17"/>
  <c r="T15" i="17"/>
  <c r="H15" i="17"/>
  <c r="C15" i="17"/>
  <c r="I15" i="17"/>
  <c r="T16" i="17"/>
  <c r="H16" i="17"/>
  <c r="C16" i="17"/>
  <c r="I16" i="17"/>
  <c r="T17" i="17"/>
  <c r="H17" i="17"/>
  <c r="C17" i="17"/>
  <c r="I17" i="17"/>
  <c r="P20" i="17"/>
  <c r="T20" i="17"/>
  <c r="I18" i="17"/>
  <c r="H20" i="17"/>
  <c r="F20" i="17"/>
  <c r="G20" i="17"/>
  <c r="E20" i="17"/>
  <c r="C20" i="17"/>
  <c r="I20" i="17"/>
  <c r="T21" i="17"/>
  <c r="H21" i="17"/>
  <c r="C21" i="17"/>
  <c r="I21" i="17"/>
  <c r="T22" i="17"/>
  <c r="H22" i="17"/>
  <c r="F22" i="17"/>
  <c r="G22" i="17"/>
  <c r="E22" i="17"/>
  <c r="C22" i="17"/>
  <c r="I22" i="17"/>
  <c r="T25" i="17"/>
  <c r="H25" i="17"/>
  <c r="C25" i="17"/>
  <c r="I25" i="17"/>
  <c r="T27" i="17"/>
  <c r="H27" i="17"/>
  <c r="C27" i="17"/>
  <c r="I27" i="17"/>
  <c r="T32" i="17"/>
  <c r="T28" i="17"/>
  <c r="H28" i="17"/>
  <c r="C28" i="17"/>
  <c r="I28" i="17"/>
  <c r="T29" i="17"/>
  <c r="H29" i="17"/>
  <c r="C29" i="17"/>
  <c r="I29" i="17"/>
  <c r="T31" i="17"/>
  <c r="I30" i="17"/>
  <c r="C31" i="17"/>
  <c r="I31" i="17"/>
  <c r="T33" i="17"/>
  <c r="I32" i="17"/>
  <c r="H33" i="17"/>
  <c r="F33" i="17"/>
  <c r="G33" i="17"/>
  <c r="E33" i="17"/>
  <c r="C33" i="17"/>
  <c r="I33" i="17"/>
  <c r="T35" i="17"/>
  <c r="H35" i="17"/>
  <c r="C35" i="17"/>
  <c r="I35" i="17"/>
  <c r="T271" i="17"/>
  <c r="T270" i="17"/>
  <c r="T279" i="17"/>
  <c r="T280" i="17"/>
  <c r="T284" i="17"/>
  <c r="T36" i="17"/>
  <c r="H36" i="17"/>
  <c r="C36" i="17"/>
  <c r="I36" i="17"/>
  <c r="T37" i="17"/>
  <c r="H37" i="17"/>
  <c r="F37" i="17"/>
  <c r="G37" i="17"/>
  <c r="E37" i="17"/>
  <c r="C37" i="17"/>
  <c r="I37" i="17"/>
  <c r="T39" i="17"/>
  <c r="T214" i="17"/>
  <c r="H214" i="17"/>
  <c r="T216" i="17"/>
  <c r="H216" i="17"/>
  <c r="T215" i="17"/>
  <c r="H215" i="17"/>
  <c r="T213" i="17"/>
  <c r="H213" i="17"/>
  <c r="T188" i="17"/>
  <c r="H188" i="17"/>
  <c r="T169" i="17"/>
  <c r="H169" i="17"/>
  <c r="T232" i="17"/>
  <c r="H232" i="17"/>
  <c r="H39" i="17"/>
  <c r="F39" i="17"/>
  <c r="G39" i="17"/>
  <c r="E39" i="17"/>
  <c r="C39" i="17"/>
  <c r="I39" i="17"/>
  <c r="T40" i="17"/>
  <c r="H40" i="17"/>
  <c r="F40" i="17"/>
  <c r="G40" i="17"/>
  <c r="E40" i="17"/>
  <c r="C40" i="17"/>
  <c r="I40" i="17"/>
  <c r="T41" i="17"/>
  <c r="H41" i="17"/>
  <c r="C41" i="17"/>
  <c r="I41" i="17"/>
  <c r="T42" i="17"/>
  <c r="H42" i="17"/>
  <c r="C42" i="17"/>
  <c r="I42" i="17"/>
  <c r="T43" i="17"/>
  <c r="H43" i="17"/>
  <c r="C43" i="17"/>
  <c r="I43" i="17"/>
  <c r="I77" i="17"/>
  <c r="I81" i="17"/>
  <c r="T57" i="17"/>
  <c r="H57" i="17"/>
  <c r="C57" i="17"/>
  <c r="I57" i="17"/>
  <c r="T59" i="17"/>
  <c r="I58" i="17"/>
  <c r="H59" i="17"/>
  <c r="C59" i="17"/>
  <c r="I59" i="17"/>
  <c r="T65" i="17"/>
  <c r="T62" i="17"/>
  <c r="T61" i="17"/>
  <c r="I60" i="17"/>
  <c r="I61" i="17"/>
  <c r="I62" i="17"/>
  <c r="T64" i="17"/>
  <c r="I64" i="17"/>
  <c r="I65" i="17"/>
  <c r="I66" i="17"/>
  <c r="I85" i="17"/>
  <c r="T103" i="17"/>
  <c r="T108" i="17"/>
  <c r="T105" i="17"/>
  <c r="I101" i="17"/>
  <c r="I99" i="17"/>
  <c r="I109" i="17"/>
  <c r="T658" i="17"/>
  <c r="H658" i="17"/>
  <c r="I658" i="17"/>
  <c r="T659" i="17"/>
  <c r="H659" i="17"/>
  <c r="I659" i="17"/>
  <c r="T660" i="17"/>
  <c r="H660" i="17"/>
  <c r="I660" i="17"/>
  <c r="T661" i="17"/>
  <c r="H661" i="17"/>
  <c r="I661" i="17"/>
  <c r="T662" i="17"/>
  <c r="H662" i="17"/>
  <c r="I662" i="17"/>
  <c r="T663" i="17"/>
  <c r="H663" i="17"/>
  <c r="I663" i="17"/>
  <c r="T664" i="17"/>
  <c r="H664" i="17"/>
  <c r="I664" i="17"/>
  <c r="T665" i="17"/>
  <c r="H665" i="17"/>
  <c r="I665" i="17"/>
  <c r="T666" i="17"/>
  <c r="H666" i="17"/>
  <c r="I666" i="17"/>
  <c r="T667" i="17"/>
  <c r="H667" i="17"/>
  <c r="I667" i="17"/>
  <c r="T668" i="17"/>
  <c r="H668" i="17"/>
  <c r="I668" i="17"/>
  <c r="T669" i="17"/>
  <c r="H669" i="17"/>
  <c r="I669" i="17"/>
  <c r="T670" i="17"/>
  <c r="H670" i="17"/>
  <c r="I670" i="17"/>
  <c r="T671" i="17"/>
  <c r="H671" i="17"/>
  <c r="I671" i="17"/>
  <c r="T672" i="17"/>
  <c r="H672" i="17"/>
  <c r="I672" i="17"/>
  <c r="T673" i="17"/>
  <c r="H673" i="17"/>
  <c r="I673" i="17"/>
  <c r="T674" i="17"/>
  <c r="H674" i="17"/>
  <c r="I674" i="17"/>
  <c r="T675" i="17"/>
  <c r="H675" i="17"/>
  <c r="I675" i="17"/>
  <c r="T676" i="17"/>
  <c r="H676" i="17"/>
  <c r="I676" i="17"/>
  <c r="T677" i="17"/>
  <c r="H677" i="17"/>
  <c r="I677" i="17"/>
  <c r="T678" i="17"/>
  <c r="H678" i="17"/>
  <c r="I678" i="17"/>
  <c r="T679" i="17"/>
  <c r="H679" i="17"/>
  <c r="F679" i="17"/>
  <c r="G679" i="17"/>
  <c r="E679" i="17"/>
  <c r="C679" i="17"/>
  <c r="I679" i="17"/>
  <c r="T680" i="17"/>
  <c r="H680" i="17"/>
  <c r="I680" i="17"/>
  <c r="T681" i="17"/>
  <c r="H681" i="17"/>
  <c r="I681" i="17"/>
  <c r="T682" i="17"/>
  <c r="H682" i="17"/>
  <c r="I682" i="17"/>
  <c r="T683" i="17"/>
  <c r="H683" i="17"/>
  <c r="I683" i="17"/>
  <c r="T684" i="17"/>
  <c r="H684" i="17"/>
  <c r="I684" i="17"/>
  <c r="T685" i="17"/>
  <c r="H685" i="17"/>
  <c r="I685" i="17"/>
  <c r="T686" i="17"/>
  <c r="H686" i="17"/>
  <c r="I686" i="17"/>
  <c r="T689" i="17"/>
  <c r="H689" i="17"/>
  <c r="I689" i="17"/>
  <c r="I706" i="17"/>
  <c r="I709" i="17"/>
  <c r="I729" i="17"/>
  <c r="T102" i="17"/>
  <c r="H101" i="17"/>
  <c r="H109" i="17"/>
  <c r="H709" i="17"/>
  <c r="H729" i="17"/>
  <c r="E709" i="17"/>
  <c r="E729" i="17"/>
  <c r="D709" i="17"/>
  <c r="D720" i="17"/>
  <c r="D726" i="17"/>
  <c r="D729" i="17"/>
  <c r="T98" i="17"/>
  <c r="T99" i="17"/>
  <c r="H98" i="17"/>
  <c r="E98" i="17"/>
  <c r="C98" i="17"/>
  <c r="T46" i="17"/>
  <c r="H46" i="17"/>
  <c r="C46" i="17"/>
  <c r="T96" i="17"/>
  <c r="H96" i="17"/>
  <c r="E96" i="17"/>
  <c r="C96" i="17"/>
  <c r="C13" i="17"/>
  <c r="T18" i="17"/>
  <c r="H18" i="17"/>
  <c r="E18" i="17"/>
  <c r="C18" i="17"/>
  <c r="E19" i="17"/>
  <c r="C19" i="17"/>
  <c r="T30" i="17"/>
  <c r="H30" i="17"/>
  <c r="F30" i="17"/>
  <c r="G30" i="17"/>
  <c r="E30" i="17"/>
  <c r="C30" i="17"/>
  <c r="H32" i="17"/>
  <c r="F32" i="17"/>
  <c r="G32" i="17"/>
  <c r="E32" i="17"/>
  <c r="C32" i="17"/>
  <c r="T44" i="17"/>
  <c r="H44" i="17"/>
  <c r="F44" i="17"/>
  <c r="G44" i="17"/>
  <c r="E44" i="17"/>
  <c r="C44" i="17"/>
  <c r="T45" i="17"/>
  <c r="H45" i="17"/>
  <c r="C45" i="17"/>
  <c r="T47" i="17"/>
  <c r="H47" i="17"/>
  <c r="C47" i="17"/>
  <c r="T48" i="17"/>
  <c r="H48" i="17"/>
  <c r="C48" i="17"/>
  <c r="T225" i="17"/>
  <c r="T223" i="17"/>
  <c r="T227" i="17"/>
  <c r="T226" i="17"/>
  <c r="T228" i="17"/>
  <c r="T49" i="17"/>
  <c r="H49" i="17"/>
  <c r="C49" i="17"/>
  <c r="T53" i="17"/>
  <c r="H53" i="17"/>
  <c r="F53" i="17"/>
  <c r="G53" i="17"/>
  <c r="E53" i="17"/>
  <c r="C53" i="17"/>
  <c r="C54" i="17"/>
  <c r="T71" i="17"/>
  <c r="C69" i="17"/>
  <c r="T70" i="17"/>
  <c r="H70" i="17"/>
  <c r="C70" i="17"/>
  <c r="T72" i="17"/>
  <c r="T73" i="17"/>
  <c r="T68" i="17"/>
  <c r="F658" i="17"/>
  <c r="G658" i="17"/>
  <c r="E658" i="17"/>
  <c r="C658" i="17"/>
  <c r="F659" i="17"/>
  <c r="G659" i="17"/>
  <c r="E659" i="17"/>
  <c r="C659" i="17"/>
  <c r="F660" i="17"/>
  <c r="G660" i="17"/>
  <c r="E660" i="17"/>
  <c r="C660" i="17"/>
  <c r="F661" i="17"/>
  <c r="G661" i="17"/>
  <c r="E661" i="17"/>
  <c r="C661" i="17"/>
  <c r="F662" i="17"/>
  <c r="G662" i="17"/>
  <c r="E662" i="17"/>
  <c r="C662" i="17"/>
  <c r="F663" i="17"/>
  <c r="G663" i="17"/>
  <c r="E663" i="17"/>
  <c r="C663" i="17"/>
  <c r="F664" i="17"/>
  <c r="G664" i="17"/>
  <c r="E664" i="17"/>
  <c r="C664" i="17"/>
  <c r="F665" i="17"/>
  <c r="G665" i="17"/>
  <c r="E665" i="17"/>
  <c r="C665" i="17"/>
  <c r="F666" i="17"/>
  <c r="G666" i="17"/>
  <c r="E666" i="17"/>
  <c r="C666" i="17"/>
  <c r="F667" i="17"/>
  <c r="G667" i="17"/>
  <c r="E667" i="17"/>
  <c r="C667" i="17"/>
  <c r="F668" i="17"/>
  <c r="G668" i="17"/>
  <c r="E668" i="17"/>
  <c r="C668" i="17"/>
  <c r="F669" i="17"/>
  <c r="G669" i="17"/>
  <c r="E669" i="17"/>
  <c r="C669" i="17"/>
  <c r="F670" i="17"/>
  <c r="G670" i="17"/>
  <c r="E670" i="17"/>
  <c r="C670" i="17"/>
  <c r="F671" i="17"/>
  <c r="G671" i="17"/>
  <c r="E671" i="17"/>
  <c r="C671" i="17"/>
  <c r="F672" i="17"/>
  <c r="G672" i="17"/>
  <c r="E672" i="17"/>
  <c r="C672" i="17"/>
  <c r="F673" i="17"/>
  <c r="G673" i="17"/>
  <c r="E673" i="17"/>
  <c r="C673" i="17"/>
  <c r="F674" i="17"/>
  <c r="G674" i="17"/>
  <c r="E674" i="17"/>
  <c r="C674" i="17"/>
  <c r="F675" i="17"/>
  <c r="G675" i="17"/>
  <c r="E675" i="17"/>
  <c r="C675" i="17"/>
  <c r="F676" i="17"/>
  <c r="G676" i="17"/>
  <c r="E676" i="17"/>
  <c r="C676" i="17"/>
  <c r="F677" i="17"/>
  <c r="G677" i="17"/>
  <c r="E677" i="17"/>
  <c r="C677" i="17"/>
  <c r="F678" i="17"/>
  <c r="G678" i="17"/>
  <c r="E678" i="17"/>
  <c r="C678" i="17"/>
  <c r="F680" i="17"/>
  <c r="G680" i="17"/>
  <c r="E680" i="17"/>
  <c r="C680" i="17"/>
  <c r="F681" i="17"/>
  <c r="G681" i="17"/>
  <c r="E681" i="17"/>
  <c r="C681" i="17"/>
  <c r="F682" i="17"/>
  <c r="G682" i="17"/>
  <c r="E682" i="17"/>
  <c r="C682" i="17"/>
  <c r="F683" i="17"/>
  <c r="G683" i="17"/>
  <c r="E683" i="17"/>
  <c r="C683" i="17"/>
  <c r="F684" i="17"/>
  <c r="G684" i="17"/>
  <c r="E684" i="17"/>
  <c r="C684" i="17"/>
  <c r="F685" i="17"/>
  <c r="G685" i="17"/>
  <c r="E685" i="17"/>
  <c r="C685" i="17"/>
  <c r="F686" i="17"/>
  <c r="G686" i="17"/>
  <c r="E686" i="17"/>
  <c r="C686" i="17"/>
  <c r="F689" i="17"/>
  <c r="G689" i="17"/>
  <c r="E689" i="17"/>
  <c r="C689" i="17"/>
  <c r="T693" i="17"/>
  <c r="H693" i="17"/>
  <c r="F693" i="17"/>
  <c r="G693" i="17"/>
  <c r="E693" i="17"/>
  <c r="C693" i="17"/>
  <c r="T694" i="17"/>
  <c r="H694" i="17"/>
  <c r="F694" i="17"/>
  <c r="G694" i="17"/>
  <c r="E694" i="17"/>
  <c r="C694" i="17"/>
  <c r="T696" i="17"/>
  <c r="H696" i="17"/>
  <c r="F696" i="17"/>
  <c r="G696" i="17"/>
  <c r="E696" i="17"/>
  <c r="C696" i="17"/>
  <c r="C706" i="17"/>
  <c r="C71" i="17"/>
  <c r="H72" i="17"/>
  <c r="C72" i="17"/>
  <c r="H73" i="17"/>
  <c r="F73" i="17"/>
  <c r="G73" i="17"/>
  <c r="E73" i="17"/>
  <c r="C73" i="17"/>
  <c r="C74" i="17"/>
  <c r="T77" i="17"/>
  <c r="T78" i="17"/>
  <c r="C77" i="17"/>
  <c r="C81" i="17"/>
  <c r="T58" i="17"/>
  <c r="H58" i="17"/>
  <c r="C58" i="17"/>
  <c r="T60" i="17"/>
  <c r="C60" i="17"/>
  <c r="H61" i="17"/>
  <c r="C61" i="17"/>
  <c r="C62" i="17"/>
  <c r="H64" i="17"/>
  <c r="C64" i="17"/>
  <c r="H65" i="17"/>
  <c r="C65" i="17"/>
  <c r="C66" i="17"/>
  <c r="T83" i="17"/>
  <c r="H83" i="17"/>
  <c r="E83" i="17"/>
  <c r="C83" i="17"/>
  <c r="T377" i="17"/>
  <c r="T343" i="17"/>
  <c r="T362" i="17"/>
  <c r="T376" i="17"/>
  <c r="T172" i="17"/>
  <c r="T84" i="17"/>
  <c r="H84" i="17"/>
  <c r="E84" i="17"/>
  <c r="C84" i="17"/>
  <c r="C85" i="17"/>
  <c r="F101" i="17"/>
  <c r="G101" i="17"/>
  <c r="E101" i="17"/>
  <c r="C101" i="17"/>
  <c r="C109" i="17"/>
  <c r="T114" i="17"/>
  <c r="H114" i="17"/>
  <c r="C114" i="17"/>
  <c r="T115" i="17"/>
  <c r="H115" i="17"/>
  <c r="F115" i="17"/>
  <c r="G115" i="17"/>
  <c r="E115" i="17"/>
  <c r="C115" i="17"/>
  <c r="T116" i="17"/>
  <c r="H116" i="17"/>
  <c r="F116" i="17"/>
  <c r="G116" i="17"/>
  <c r="E116" i="17"/>
  <c r="C116" i="17"/>
  <c r="T117" i="17"/>
  <c r="H117" i="17"/>
  <c r="F117" i="17"/>
  <c r="G117" i="17"/>
  <c r="E117" i="17"/>
  <c r="C117" i="17"/>
  <c r="T118" i="17"/>
  <c r="H118" i="17"/>
  <c r="F118" i="17"/>
  <c r="G118" i="17"/>
  <c r="E118" i="17"/>
  <c r="C118" i="17"/>
  <c r="T119" i="17"/>
  <c r="H119" i="17"/>
  <c r="F119" i="17"/>
  <c r="G119" i="17"/>
  <c r="E119" i="17"/>
  <c r="C119" i="17"/>
  <c r="T121" i="17"/>
  <c r="H121" i="17"/>
  <c r="F121" i="17"/>
  <c r="G121" i="17"/>
  <c r="E121" i="17"/>
  <c r="C121" i="17"/>
  <c r="T122" i="17"/>
  <c r="H122" i="17"/>
  <c r="F122" i="17"/>
  <c r="G122" i="17"/>
  <c r="E122" i="17"/>
  <c r="C122" i="17"/>
  <c r="T123" i="17"/>
  <c r="H123" i="17"/>
  <c r="F123" i="17"/>
  <c r="G123" i="17"/>
  <c r="E123" i="17"/>
  <c r="C123" i="17"/>
  <c r="T124" i="17"/>
  <c r="H124" i="17"/>
  <c r="F124" i="17"/>
  <c r="G124" i="17"/>
  <c r="E124" i="17"/>
  <c r="C124" i="17"/>
  <c r="T126" i="17"/>
  <c r="H126" i="17"/>
  <c r="F126" i="17"/>
  <c r="G126" i="17"/>
  <c r="E126" i="17"/>
  <c r="C126" i="17"/>
  <c r="T127" i="17"/>
  <c r="H127" i="17"/>
  <c r="F127" i="17"/>
  <c r="G127" i="17"/>
  <c r="E127" i="17"/>
  <c r="C127" i="17"/>
  <c r="T128" i="17"/>
  <c r="H128" i="17"/>
  <c r="F128" i="17"/>
  <c r="G128" i="17"/>
  <c r="E128" i="17"/>
  <c r="C128" i="17"/>
  <c r="T129" i="17"/>
  <c r="H129" i="17"/>
  <c r="F129" i="17"/>
  <c r="G129" i="17"/>
  <c r="E129" i="17"/>
  <c r="C129" i="17"/>
  <c r="T130" i="17"/>
  <c r="H130" i="17"/>
  <c r="F130" i="17"/>
  <c r="G130" i="17"/>
  <c r="E130" i="17"/>
  <c r="C130" i="17"/>
  <c r="C132" i="17"/>
  <c r="T166" i="17"/>
  <c r="H166" i="17"/>
  <c r="F166" i="17"/>
  <c r="G166" i="17"/>
  <c r="E166" i="17"/>
  <c r="C166" i="17"/>
  <c r="H167" i="17"/>
  <c r="F167" i="17"/>
  <c r="G167" i="17"/>
  <c r="E167" i="17"/>
  <c r="C167" i="17"/>
  <c r="H168" i="17"/>
  <c r="F168" i="17"/>
  <c r="G168" i="17"/>
  <c r="E168" i="17"/>
  <c r="C168" i="17"/>
  <c r="F169" i="17"/>
  <c r="G169" i="17"/>
  <c r="E169" i="17"/>
  <c r="C169" i="17"/>
  <c r="T170" i="17"/>
  <c r="H170" i="17"/>
  <c r="F170" i="17"/>
  <c r="G170" i="17"/>
  <c r="E170" i="17"/>
  <c r="C170" i="17"/>
  <c r="T171" i="17"/>
  <c r="H171" i="17"/>
  <c r="F171" i="17"/>
  <c r="G171" i="17"/>
  <c r="E171" i="17"/>
  <c r="C171" i="17"/>
  <c r="H172" i="17"/>
  <c r="F172" i="17"/>
  <c r="G172" i="17"/>
  <c r="E172" i="17"/>
  <c r="C172" i="17"/>
  <c r="H173" i="17"/>
  <c r="F173" i="17"/>
  <c r="G173" i="17"/>
  <c r="E173" i="17"/>
  <c r="C173" i="17"/>
  <c r="T174" i="17"/>
  <c r="H174" i="17"/>
  <c r="F174" i="17"/>
  <c r="G174" i="17"/>
  <c r="E174" i="17"/>
  <c r="C174" i="17"/>
  <c r="T175" i="17"/>
  <c r="H175" i="17"/>
  <c r="F175" i="17"/>
  <c r="G175" i="17"/>
  <c r="E175" i="17"/>
  <c r="C175" i="17"/>
  <c r="T176" i="17"/>
  <c r="H176" i="17"/>
  <c r="F176" i="17"/>
  <c r="G176" i="17"/>
  <c r="E176" i="17"/>
  <c r="C176" i="17"/>
  <c r="T177" i="17"/>
  <c r="H177" i="17"/>
  <c r="F177" i="17"/>
  <c r="G177" i="17"/>
  <c r="E177" i="17"/>
  <c r="C177" i="17"/>
  <c r="T178" i="17"/>
  <c r="H178" i="17"/>
  <c r="G178" i="17"/>
  <c r="F178" i="17"/>
  <c r="E178" i="17"/>
  <c r="C178" i="17"/>
  <c r="T179" i="17"/>
  <c r="H179" i="17"/>
  <c r="F179" i="17"/>
  <c r="G179" i="17"/>
  <c r="E179" i="17"/>
  <c r="C179" i="17"/>
  <c r="T180" i="17"/>
  <c r="H180" i="17"/>
  <c r="F180" i="17"/>
  <c r="G180" i="17"/>
  <c r="E180" i="17"/>
  <c r="C180" i="17"/>
  <c r="T181" i="17"/>
  <c r="H181" i="17"/>
  <c r="F181" i="17"/>
  <c r="G181" i="17"/>
  <c r="E181" i="17"/>
  <c r="C181" i="17"/>
  <c r="T182" i="17"/>
  <c r="H182" i="17"/>
  <c r="F182" i="17"/>
  <c r="G182" i="17"/>
  <c r="E182" i="17"/>
  <c r="C182" i="17"/>
  <c r="T183" i="17"/>
  <c r="H183" i="17"/>
  <c r="F183" i="17"/>
  <c r="G183" i="17"/>
  <c r="E183" i="17"/>
  <c r="C183" i="17"/>
  <c r="T184" i="17"/>
  <c r="H184" i="17"/>
  <c r="F184" i="17"/>
  <c r="G184" i="17"/>
  <c r="E184" i="17"/>
  <c r="C184" i="17"/>
  <c r="T185" i="17"/>
  <c r="H185" i="17"/>
  <c r="G185" i="17"/>
  <c r="F185" i="17"/>
  <c r="E185" i="17"/>
  <c r="C185" i="17"/>
  <c r="T186" i="17"/>
  <c r="H186" i="17"/>
  <c r="F186" i="17"/>
  <c r="G186" i="17"/>
  <c r="E186" i="17"/>
  <c r="C186" i="17"/>
  <c r="T187" i="17"/>
  <c r="H187" i="17"/>
  <c r="F187" i="17"/>
  <c r="G187" i="17"/>
  <c r="E187" i="17"/>
  <c r="C187" i="17"/>
  <c r="F188" i="17"/>
  <c r="G188" i="17"/>
  <c r="E188" i="17"/>
  <c r="C188" i="17"/>
  <c r="T189" i="17"/>
  <c r="H189" i="17"/>
  <c r="F189" i="17"/>
  <c r="G189" i="17"/>
  <c r="E189" i="17"/>
  <c r="C189" i="17"/>
  <c r="T190" i="17"/>
  <c r="H190" i="17"/>
  <c r="F190" i="17"/>
  <c r="G190" i="17"/>
  <c r="E190" i="17"/>
  <c r="C190" i="17"/>
  <c r="T191" i="17"/>
  <c r="H191" i="17"/>
  <c r="F191" i="17"/>
  <c r="G191" i="17"/>
  <c r="E191" i="17"/>
  <c r="C191" i="17"/>
  <c r="T192" i="17"/>
  <c r="H192" i="17"/>
  <c r="F192" i="17"/>
  <c r="G192" i="17"/>
  <c r="E192" i="17"/>
  <c r="C192" i="17"/>
  <c r="T193" i="17"/>
  <c r="H193" i="17"/>
  <c r="F193" i="17"/>
  <c r="G193" i="17"/>
  <c r="E193" i="17"/>
  <c r="C193" i="17"/>
  <c r="T194" i="17"/>
  <c r="H194" i="17"/>
  <c r="G194" i="17"/>
  <c r="F194" i="17"/>
  <c r="E194" i="17"/>
  <c r="C194" i="17"/>
  <c r="T195" i="17"/>
  <c r="H195" i="17"/>
  <c r="G195" i="17"/>
  <c r="F195" i="17"/>
  <c r="E195" i="17"/>
  <c r="C195" i="17"/>
  <c r="T196" i="17"/>
  <c r="H196" i="17"/>
  <c r="F196" i="17"/>
  <c r="G196" i="17"/>
  <c r="E196" i="17"/>
  <c r="C196" i="17"/>
  <c r="T197" i="17"/>
  <c r="H197" i="17"/>
  <c r="F197" i="17"/>
  <c r="G197" i="17"/>
  <c r="E197" i="17"/>
  <c r="C197" i="17"/>
  <c r="T198" i="17"/>
  <c r="H198" i="17"/>
  <c r="F198" i="17"/>
  <c r="G198" i="17"/>
  <c r="E198" i="17"/>
  <c r="C198" i="17"/>
  <c r="T199" i="17"/>
  <c r="H199" i="17"/>
  <c r="G199" i="17"/>
  <c r="F199" i="17"/>
  <c r="E199" i="17"/>
  <c r="C199" i="17"/>
  <c r="T200" i="17"/>
  <c r="H200" i="17"/>
  <c r="F200" i="17"/>
  <c r="G200" i="17"/>
  <c r="E200" i="17"/>
  <c r="C200" i="17"/>
  <c r="T201" i="17"/>
  <c r="H201" i="17"/>
  <c r="F201" i="17"/>
  <c r="G201" i="17"/>
  <c r="E201" i="17"/>
  <c r="C201" i="17"/>
  <c r="T202" i="17"/>
  <c r="H202" i="17"/>
  <c r="F202" i="17"/>
  <c r="G202" i="17"/>
  <c r="E202" i="17"/>
  <c r="C202" i="17"/>
  <c r="T203" i="17"/>
  <c r="H203" i="17"/>
  <c r="F203" i="17"/>
  <c r="G203" i="17"/>
  <c r="E203" i="17"/>
  <c r="C203" i="17"/>
  <c r="T204" i="17"/>
  <c r="H204" i="17"/>
  <c r="F204" i="17"/>
  <c r="G204" i="17"/>
  <c r="E204" i="17"/>
  <c r="C204" i="17"/>
  <c r="T205" i="17"/>
  <c r="H205" i="17"/>
  <c r="F205" i="17"/>
  <c r="G205" i="17"/>
  <c r="E205" i="17"/>
  <c r="C205" i="17"/>
  <c r="T206" i="17"/>
  <c r="H206" i="17"/>
  <c r="F206" i="17"/>
  <c r="G206" i="17"/>
  <c r="E206" i="17"/>
  <c r="C206" i="17"/>
  <c r="T207" i="17"/>
  <c r="H207" i="17"/>
  <c r="F207" i="17"/>
  <c r="G207" i="17"/>
  <c r="E207" i="17"/>
  <c r="C207" i="17"/>
  <c r="T208" i="17"/>
  <c r="H208" i="17"/>
  <c r="G208" i="17"/>
  <c r="F208" i="17"/>
  <c r="E208" i="17"/>
  <c r="C208" i="17"/>
  <c r="T209" i="17"/>
  <c r="H209" i="17"/>
  <c r="F209" i="17"/>
  <c r="G209" i="17"/>
  <c r="E209" i="17"/>
  <c r="C209" i="17"/>
  <c r="T210" i="17"/>
  <c r="H210" i="17"/>
  <c r="F210" i="17"/>
  <c r="G210" i="17"/>
  <c r="E210" i="17"/>
  <c r="C210" i="17"/>
  <c r="T211" i="17"/>
  <c r="H211" i="17"/>
  <c r="F211" i="17"/>
  <c r="G211" i="17"/>
  <c r="E211" i="17"/>
  <c r="C211" i="17"/>
  <c r="T212" i="17"/>
  <c r="H212" i="17"/>
  <c r="F212" i="17"/>
  <c r="G212" i="17"/>
  <c r="E212" i="17"/>
  <c r="C212" i="17"/>
  <c r="G213" i="17"/>
  <c r="F213" i="17"/>
  <c r="E213" i="17"/>
  <c r="C213" i="17"/>
  <c r="F214" i="17"/>
  <c r="G214" i="17"/>
  <c r="E214" i="17"/>
  <c r="C214" i="17"/>
  <c r="F215" i="17"/>
  <c r="G215" i="17"/>
  <c r="E215" i="17"/>
  <c r="C215" i="17"/>
  <c r="F216" i="17"/>
  <c r="G216" i="17"/>
  <c r="E216" i="17"/>
  <c r="C216" i="17"/>
  <c r="T217" i="17"/>
  <c r="H217" i="17"/>
  <c r="F217" i="17"/>
  <c r="G217" i="17"/>
  <c r="E217" i="17"/>
  <c r="C217" i="17"/>
  <c r="T218" i="17"/>
  <c r="H218" i="17"/>
  <c r="G218" i="17"/>
  <c r="F218" i="17"/>
  <c r="E218" i="17"/>
  <c r="C218" i="17"/>
  <c r="T219" i="17"/>
  <c r="H219" i="17"/>
  <c r="F219" i="17"/>
  <c r="G219" i="17"/>
  <c r="E219" i="17"/>
  <c r="C219" i="17"/>
  <c r="T220" i="17"/>
  <c r="H220" i="17"/>
  <c r="G220" i="17"/>
  <c r="F220" i="17"/>
  <c r="E220" i="17"/>
  <c r="C220" i="17"/>
  <c r="T221" i="17"/>
  <c r="H221" i="17"/>
  <c r="F221" i="17"/>
  <c r="G221" i="17"/>
  <c r="E221" i="17"/>
  <c r="C221" i="17"/>
  <c r="T222" i="17"/>
  <c r="H222" i="17"/>
  <c r="F222" i="17"/>
  <c r="G222" i="17"/>
  <c r="E222" i="17"/>
  <c r="C222" i="17"/>
  <c r="H223" i="17"/>
  <c r="F223" i="17"/>
  <c r="G223" i="17"/>
  <c r="E223" i="17"/>
  <c r="C223" i="17"/>
  <c r="T224" i="17"/>
  <c r="H224" i="17"/>
  <c r="F224" i="17"/>
  <c r="G224" i="17"/>
  <c r="E224" i="17"/>
  <c r="C224" i="17"/>
  <c r="H225" i="17"/>
  <c r="F225" i="17"/>
  <c r="G225" i="17"/>
  <c r="E225" i="17"/>
  <c r="C225" i="17"/>
  <c r="H226" i="17"/>
  <c r="F226" i="17"/>
  <c r="G226" i="17"/>
  <c r="E226" i="17"/>
  <c r="C226" i="17"/>
  <c r="H227" i="17"/>
  <c r="F227" i="17"/>
  <c r="G227" i="17"/>
  <c r="E227" i="17"/>
  <c r="C227" i="17"/>
  <c r="H228" i="17"/>
  <c r="F228" i="17"/>
  <c r="G228" i="17"/>
  <c r="E228" i="17"/>
  <c r="C228" i="17"/>
  <c r="T229" i="17"/>
  <c r="H229" i="17"/>
  <c r="F229" i="17"/>
  <c r="G229" i="17"/>
  <c r="E229" i="17"/>
  <c r="C229" i="17"/>
  <c r="T230" i="17"/>
  <c r="H230" i="17"/>
  <c r="F230" i="17"/>
  <c r="G230" i="17"/>
  <c r="E230" i="17"/>
  <c r="C230" i="17"/>
  <c r="T231" i="17"/>
  <c r="H231" i="17"/>
  <c r="F231" i="17"/>
  <c r="G231" i="17"/>
  <c r="E231" i="17"/>
  <c r="C231" i="17"/>
  <c r="G232" i="17"/>
  <c r="F232" i="17"/>
  <c r="E232" i="17"/>
  <c r="C232" i="17"/>
  <c r="T243" i="17"/>
  <c r="H243" i="17"/>
  <c r="F243" i="17"/>
  <c r="G243" i="17"/>
  <c r="E243" i="17"/>
  <c r="C243" i="17"/>
  <c r="T244" i="17"/>
  <c r="H244" i="17"/>
  <c r="F244" i="17"/>
  <c r="G244" i="17"/>
  <c r="E244" i="17"/>
  <c r="C244" i="17"/>
  <c r="T245" i="17"/>
  <c r="H245" i="17"/>
  <c r="F245" i="17"/>
  <c r="G245" i="17"/>
  <c r="E245" i="17"/>
  <c r="C245" i="17"/>
  <c r="T246" i="17"/>
  <c r="H246" i="17"/>
  <c r="F246" i="17"/>
  <c r="G246" i="17"/>
  <c r="E246" i="17"/>
  <c r="C246" i="17"/>
  <c r="T247" i="17"/>
  <c r="H247" i="17"/>
  <c r="F247" i="17"/>
  <c r="G247" i="17"/>
  <c r="E247" i="17"/>
  <c r="C247" i="17"/>
  <c r="T248" i="17"/>
  <c r="H248" i="17"/>
  <c r="F248" i="17"/>
  <c r="G248" i="17"/>
  <c r="E248" i="17"/>
  <c r="C248" i="17"/>
  <c r="T249" i="17"/>
  <c r="H249" i="17"/>
  <c r="F249" i="17"/>
  <c r="G249" i="17"/>
  <c r="E249" i="17"/>
  <c r="C249" i="17"/>
  <c r="T250" i="17"/>
  <c r="H250" i="17"/>
  <c r="F250" i="17"/>
  <c r="G250" i="17"/>
  <c r="E250" i="17"/>
  <c r="C250" i="17"/>
  <c r="T251" i="17"/>
  <c r="H251" i="17"/>
  <c r="F251" i="17"/>
  <c r="G251" i="17"/>
  <c r="E251" i="17"/>
  <c r="C251" i="17"/>
  <c r="T252" i="17"/>
  <c r="H252" i="17"/>
  <c r="F252" i="17"/>
  <c r="G252" i="17"/>
  <c r="E252" i="17"/>
  <c r="C252" i="17"/>
  <c r="T253" i="17"/>
  <c r="H253" i="17"/>
  <c r="F253" i="17"/>
  <c r="G253" i="17"/>
  <c r="E253" i="17"/>
  <c r="C253" i="17"/>
  <c r="T254" i="17"/>
  <c r="H254" i="17"/>
  <c r="F254" i="17"/>
  <c r="G254" i="17"/>
  <c r="E254" i="17"/>
  <c r="C254" i="17"/>
  <c r="T255" i="17"/>
  <c r="H255" i="17"/>
  <c r="F255" i="17"/>
  <c r="G255" i="17"/>
  <c r="E255" i="17"/>
  <c r="C255" i="17"/>
  <c r="T256" i="17"/>
  <c r="H256" i="17"/>
  <c r="F256" i="17"/>
  <c r="G256" i="17"/>
  <c r="E256" i="17"/>
  <c r="C256" i="17"/>
  <c r="T257" i="17"/>
  <c r="H257" i="17"/>
  <c r="F257" i="17"/>
  <c r="G257" i="17"/>
  <c r="E257" i="17"/>
  <c r="C257" i="17"/>
  <c r="T258" i="17"/>
  <c r="H258" i="17"/>
  <c r="F258" i="17"/>
  <c r="G258" i="17"/>
  <c r="E258" i="17"/>
  <c r="C258" i="17"/>
  <c r="T259" i="17"/>
  <c r="H259" i="17"/>
  <c r="F259" i="17"/>
  <c r="G259" i="17"/>
  <c r="E259" i="17"/>
  <c r="C259" i="17"/>
  <c r="T260" i="17"/>
  <c r="H260" i="17"/>
  <c r="F260" i="17"/>
  <c r="G260" i="17"/>
  <c r="E260" i="17"/>
  <c r="C260" i="17"/>
  <c r="T261" i="17"/>
  <c r="H261" i="17"/>
  <c r="F261" i="17"/>
  <c r="G261" i="17"/>
  <c r="E261" i="17"/>
  <c r="C261" i="17"/>
  <c r="T262" i="17"/>
  <c r="H262" i="17"/>
  <c r="F262" i="17"/>
  <c r="G262" i="17"/>
  <c r="E262" i="17"/>
  <c r="C262" i="17"/>
  <c r="T263" i="17"/>
  <c r="H263" i="17"/>
  <c r="F263" i="17"/>
  <c r="G263" i="17"/>
  <c r="E263" i="17"/>
  <c r="C263" i="17"/>
  <c r="T264" i="17"/>
  <c r="H264" i="17"/>
  <c r="F264" i="17"/>
  <c r="G264" i="17"/>
  <c r="E264" i="17"/>
  <c r="C264" i="17"/>
  <c r="T265" i="17"/>
  <c r="H265" i="17"/>
  <c r="F265" i="17"/>
  <c r="G265" i="17"/>
  <c r="E265" i="17"/>
  <c r="C265" i="17"/>
  <c r="T266" i="17"/>
  <c r="H266" i="17"/>
  <c r="F266" i="17"/>
  <c r="G266" i="17"/>
  <c r="E266" i="17"/>
  <c r="C266" i="17"/>
  <c r="T267" i="17"/>
  <c r="H267" i="17"/>
  <c r="F267" i="17"/>
  <c r="G267" i="17"/>
  <c r="E267" i="17"/>
  <c r="C267" i="17"/>
  <c r="T268" i="17"/>
  <c r="H268" i="17"/>
  <c r="F268" i="17"/>
  <c r="G268" i="17"/>
  <c r="E268" i="17"/>
  <c r="C268" i="17"/>
  <c r="H270" i="17"/>
  <c r="F270" i="17"/>
  <c r="G270" i="17"/>
  <c r="E270" i="17"/>
  <c r="C270" i="17"/>
  <c r="H271" i="17"/>
  <c r="F271" i="17"/>
  <c r="G271" i="17"/>
  <c r="E271" i="17"/>
  <c r="C271" i="17"/>
  <c r="H279" i="17"/>
  <c r="G279" i="17"/>
  <c r="F279" i="17"/>
  <c r="E279" i="17"/>
  <c r="C279" i="17"/>
  <c r="H280" i="17"/>
  <c r="F280" i="17"/>
  <c r="G280" i="17"/>
  <c r="E280" i="17"/>
  <c r="C280" i="17"/>
  <c r="H284" i="17"/>
  <c r="F284" i="17"/>
  <c r="G284" i="17"/>
  <c r="E284" i="17"/>
  <c r="C284" i="17"/>
  <c r="C329" i="17"/>
  <c r="T333" i="17"/>
  <c r="H333" i="17"/>
  <c r="F333" i="17"/>
  <c r="G333" i="17"/>
  <c r="E333" i="17"/>
  <c r="C333" i="17"/>
  <c r="T334" i="17"/>
  <c r="H334" i="17"/>
  <c r="F334" i="17"/>
  <c r="G334" i="17"/>
  <c r="E334" i="17"/>
  <c r="C334" i="17"/>
  <c r="T335" i="17"/>
  <c r="H335" i="17"/>
  <c r="F335" i="17"/>
  <c r="G335" i="17"/>
  <c r="E335" i="17"/>
  <c r="C335" i="17"/>
  <c r="T336" i="17"/>
  <c r="H336" i="17"/>
  <c r="F336" i="17"/>
  <c r="G336" i="17"/>
  <c r="E336" i="17"/>
  <c r="C336" i="17"/>
  <c r="T337" i="17"/>
  <c r="H337" i="17"/>
  <c r="F337" i="17"/>
  <c r="G337" i="17"/>
  <c r="E337" i="17"/>
  <c r="C337" i="17"/>
  <c r="T338" i="17"/>
  <c r="H338" i="17"/>
  <c r="F338" i="17"/>
  <c r="G338" i="17"/>
  <c r="E338" i="17"/>
  <c r="C338" i="17"/>
  <c r="T339" i="17"/>
  <c r="H339" i="17"/>
  <c r="F339" i="17"/>
  <c r="G339" i="17"/>
  <c r="E339" i="17"/>
  <c r="C339" i="17"/>
  <c r="T340" i="17"/>
  <c r="H340" i="17"/>
  <c r="F340" i="17"/>
  <c r="G340" i="17"/>
  <c r="E340" i="17"/>
  <c r="C340" i="17"/>
  <c r="T341" i="17"/>
  <c r="H341" i="17"/>
  <c r="F341" i="17"/>
  <c r="G341" i="17"/>
  <c r="E341" i="17"/>
  <c r="C341" i="17"/>
  <c r="T342" i="17"/>
  <c r="H342" i="17"/>
  <c r="F342" i="17"/>
  <c r="G342" i="17"/>
  <c r="E342" i="17"/>
  <c r="C342" i="17"/>
  <c r="H343" i="17"/>
  <c r="F343" i="17"/>
  <c r="G343" i="17"/>
  <c r="E343" i="17"/>
  <c r="C343" i="17"/>
  <c r="T344" i="17"/>
  <c r="H344" i="17"/>
  <c r="F344" i="17"/>
  <c r="G344" i="17"/>
  <c r="E344" i="17"/>
  <c r="C344" i="17"/>
  <c r="T345" i="17"/>
  <c r="H345" i="17"/>
  <c r="F345" i="17"/>
  <c r="G345" i="17"/>
  <c r="E345" i="17"/>
  <c r="C345" i="17"/>
  <c r="T346" i="17"/>
  <c r="H346" i="17"/>
  <c r="F346" i="17"/>
  <c r="G346" i="17"/>
  <c r="E346" i="17"/>
  <c r="C346" i="17"/>
  <c r="T347" i="17"/>
  <c r="H347" i="17"/>
  <c r="F347" i="17"/>
  <c r="G347" i="17"/>
  <c r="E347" i="17"/>
  <c r="C347" i="17"/>
  <c r="T348" i="17"/>
  <c r="H348" i="17"/>
  <c r="F348" i="17"/>
  <c r="G348" i="17"/>
  <c r="E348" i="17"/>
  <c r="C348" i="17"/>
  <c r="T349" i="17"/>
  <c r="H349" i="17"/>
  <c r="F349" i="17"/>
  <c r="G349" i="17"/>
  <c r="E349" i="17"/>
  <c r="C349" i="17"/>
  <c r="T350" i="17"/>
  <c r="H350" i="17"/>
  <c r="F350" i="17"/>
  <c r="G350" i="17"/>
  <c r="E350" i="17"/>
  <c r="C350" i="17"/>
  <c r="T351" i="17"/>
  <c r="H351" i="17"/>
  <c r="F351" i="17"/>
  <c r="G351" i="17"/>
  <c r="E351" i="17"/>
  <c r="C351" i="17"/>
  <c r="T352" i="17"/>
  <c r="H352" i="17"/>
  <c r="T353" i="17"/>
  <c r="H353" i="17"/>
  <c r="F353" i="17"/>
  <c r="G353" i="17"/>
  <c r="E353" i="17"/>
  <c r="C353" i="17"/>
  <c r="T354" i="17"/>
  <c r="H354" i="17"/>
  <c r="F354" i="17"/>
  <c r="G354" i="17"/>
  <c r="E354" i="17"/>
  <c r="C354" i="17"/>
  <c r="T355" i="17"/>
  <c r="H355" i="17"/>
  <c r="F355" i="17"/>
  <c r="G355" i="17"/>
  <c r="E355" i="17"/>
  <c r="C355" i="17"/>
  <c r="T356" i="17"/>
  <c r="H356" i="17"/>
  <c r="G356" i="17"/>
  <c r="F356" i="17"/>
  <c r="E356" i="17"/>
  <c r="C356" i="17"/>
  <c r="T357" i="17"/>
  <c r="H357" i="17"/>
  <c r="G357" i="17"/>
  <c r="F357" i="17"/>
  <c r="E357" i="17"/>
  <c r="C357" i="17"/>
  <c r="T358" i="17"/>
  <c r="H358" i="17"/>
  <c r="F358" i="17"/>
  <c r="G358" i="17"/>
  <c r="E358" i="17"/>
  <c r="C358" i="17"/>
  <c r="T359" i="17"/>
  <c r="H359" i="17"/>
  <c r="F359" i="17"/>
  <c r="G359" i="17"/>
  <c r="E359" i="17"/>
  <c r="C359" i="17"/>
  <c r="T360" i="17"/>
  <c r="H360" i="17"/>
  <c r="F360" i="17"/>
  <c r="G360" i="17"/>
  <c r="E360" i="17"/>
  <c r="C360" i="17"/>
  <c r="T361" i="17"/>
  <c r="H361" i="17"/>
  <c r="F361" i="17"/>
  <c r="G361" i="17"/>
  <c r="E361" i="17"/>
  <c r="C361" i="17"/>
  <c r="H362" i="17"/>
  <c r="F362" i="17"/>
  <c r="G362" i="17"/>
  <c r="E362" i="17"/>
  <c r="C362" i="17"/>
  <c r="T363" i="17"/>
  <c r="H363" i="17"/>
  <c r="F363" i="17"/>
  <c r="G363" i="17"/>
  <c r="E363" i="17"/>
  <c r="C363" i="17"/>
  <c r="T364" i="17"/>
  <c r="H364" i="17"/>
  <c r="F364" i="17"/>
  <c r="G364" i="17"/>
  <c r="E364" i="17"/>
  <c r="C364" i="17"/>
  <c r="T365" i="17"/>
  <c r="H365" i="17"/>
  <c r="F365" i="17"/>
  <c r="G365" i="17"/>
  <c r="E365" i="17"/>
  <c r="C365" i="17"/>
  <c r="T366" i="17"/>
  <c r="H366" i="17"/>
  <c r="F366" i="17"/>
  <c r="G366" i="17"/>
  <c r="E366" i="17"/>
  <c r="C366" i="17"/>
  <c r="T367" i="17"/>
  <c r="H367" i="17"/>
  <c r="F367" i="17"/>
  <c r="G367" i="17"/>
  <c r="E367" i="17"/>
  <c r="C367" i="17"/>
  <c r="T368" i="17"/>
  <c r="H368" i="17"/>
  <c r="F368" i="17"/>
  <c r="G368" i="17"/>
  <c r="E368" i="17"/>
  <c r="C368" i="17"/>
  <c r="T369" i="17"/>
  <c r="H369" i="17"/>
  <c r="F369" i="17"/>
  <c r="G369" i="17"/>
  <c r="E369" i="17"/>
  <c r="C369" i="17"/>
  <c r="T370" i="17"/>
  <c r="H370" i="17"/>
  <c r="G370" i="17"/>
  <c r="F370" i="17"/>
  <c r="E370" i="17"/>
  <c r="C370" i="17"/>
  <c r="T371" i="17"/>
  <c r="H371" i="17"/>
  <c r="F371" i="17"/>
  <c r="G371" i="17"/>
  <c r="E371" i="17"/>
  <c r="C371" i="17"/>
  <c r="T372" i="17"/>
  <c r="H372" i="17"/>
  <c r="F372" i="17"/>
  <c r="G372" i="17"/>
  <c r="E372" i="17"/>
  <c r="C372" i="17"/>
  <c r="T373" i="17"/>
  <c r="H373" i="17"/>
  <c r="F373" i="17"/>
  <c r="G373" i="17"/>
  <c r="E373" i="17"/>
  <c r="C373" i="17"/>
  <c r="T374" i="17"/>
  <c r="H374" i="17"/>
  <c r="F374" i="17"/>
  <c r="G374" i="17"/>
  <c r="E374" i="17"/>
  <c r="C374" i="17"/>
  <c r="T375" i="17"/>
  <c r="H375" i="17"/>
  <c r="F375" i="17"/>
  <c r="G375" i="17"/>
  <c r="E375" i="17"/>
  <c r="C375" i="17"/>
  <c r="H376" i="17"/>
  <c r="F376" i="17"/>
  <c r="G376" i="17"/>
  <c r="E376" i="17"/>
  <c r="C376" i="17"/>
  <c r="H377" i="17"/>
  <c r="G377" i="17"/>
  <c r="F377" i="17"/>
  <c r="E377" i="17"/>
  <c r="C377" i="17"/>
  <c r="T615" i="17"/>
  <c r="H615" i="17"/>
  <c r="F615" i="17"/>
  <c r="G615" i="17"/>
  <c r="E615" i="17"/>
  <c r="C615" i="17"/>
  <c r="T650" i="17"/>
  <c r="H650" i="17"/>
  <c r="F650" i="17"/>
  <c r="G650" i="17"/>
  <c r="E650" i="17"/>
  <c r="C650" i="17"/>
  <c r="T653" i="17"/>
  <c r="H653" i="17"/>
  <c r="F653" i="17"/>
  <c r="G653" i="17"/>
  <c r="E653" i="17"/>
  <c r="C653" i="17"/>
  <c r="C654" i="17"/>
  <c r="T134" i="17"/>
  <c r="T135" i="17"/>
  <c r="T136" i="17"/>
  <c r="T137" i="17"/>
  <c r="T138" i="17"/>
  <c r="T139" i="17"/>
  <c r="D139" i="17"/>
  <c r="T140" i="17"/>
  <c r="T144" i="17"/>
  <c r="T142" i="17"/>
  <c r="D142" i="17"/>
  <c r="D144" i="17"/>
  <c r="F144" i="17"/>
  <c r="G144" i="17"/>
  <c r="E144" i="17"/>
  <c r="C144" i="17"/>
  <c r="T145" i="17"/>
  <c r="D145" i="17"/>
  <c r="F145" i="17"/>
  <c r="G145" i="17"/>
  <c r="E145" i="17"/>
  <c r="T146" i="17"/>
  <c r="D146" i="17"/>
  <c r="F146" i="17"/>
  <c r="G146" i="17"/>
  <c r="E146" i="17"/>
  <c r="C145" i="17"/>
  <c r="T148" i="17"/>
  <c r="H148" i="17"/>
  <c r="F148" i="17"/>
  <c r="G148" i="17"/>
  <c r="C148" i="17"/>
  <c r="H150" i="17"/>
  <c r="T150" i="17"/>
  <c r="T151" i="17"/>
  <c r="D150" i="17"/>
  <c r="F150" i="17"/>
  <c r="G150" i="17"/>
  <c r="E150" i="17"/>
  <c r="C150" i="17"/>
  <c r="T160" i="17"/>
  <c r="T161" i="17"/>
  <c r="T162" i="17"/>
  <c r="H162" i="17"/>
  <c r="F162" i="17"/>
  <c r="G162" i="17"/>
  <c r="C162" i="17"/>
  <c r="T88" i="17"/>
  <c r="H88" i="17"/>
  <c r="C89" i="17"/>
  <c r="T90" i="17"/>
  <c r="H90" i="17"/>
  <c r="E90" i="17"/>
  <c r="C90" i="17"/>
  <c r="T719" i="17"/>
  <c r="C719" i="17"/>
  <c r="C721" i="17"/>
  <c r="T723" i="17"/>
  <c r="C723" i="17"/>
  <c r="C722" i="17"/>
  <c r="T724" i="17"/>
  <c r="C724" i="17"/>
  <c r="C726" i="17"/>
  <c r="C88" i="17"/>
  <c r="C92" i="17"/>
  <c r="T722" i="17"/>
  <c r="T721" i="17"/>
  <c r="T720" i="17"/>
  <c r="E718" i="17"/>
  <c r="I696" i="17"/>
  <c r="I694" i="17"/>
  <c r="I693" i="17"/>
  <c r="H654" i="17"/>
  <c r="G654" i="17"/>
  <c r="F654" i="17"/>
  <c r="E654" i="17"/>
  <c r="I653" i="17"/>
  <c r="I615" i="17"/>
  <c r="T613" i="17"/>
  <c r="T609" i="17"/>
  <c r="T606" i="17"/>
  <c r="T604" i="17"/>
  <c r="T583" i="17"/>
  <c r="T578" i="17"/>
  <c r="T553" i="17"/>
  <c r="T552" i="17"/>
  <c r="T551" i="17"/>
  <c r="T547" i="17"/>
  <c r="Z525" i="17"/>
  <c r="X496" i="17"/>
  <c r="W496" i="17"/>
  <c r="T476" i="17"/>
  <c r="T452" i="17"/>
  <c r="T437" i="17"/>
  <c r="T435" i="17"/>
  <c r="T418" i="17"/>
  <c r="T417" i="17"/>
  <c r="T416" i="17"/>
  <c r="T415" i="17"/>
  <c r="T414" i="17"/>
  <c r="T413" i="17"/>
  <c r="T406" i="17"/>
  <c r="T382" i="17"/>
  <c r="H382" i="17"/>
  <c r="F382" i="17"/>
  <c r="G382" i="17"/>
  <c r="E382" i="17"/>
  <c r="C382" i="17"/>
  <c r="I382" i="17"/>
  <c r="I377" i="17"/>
  <c r="I376" i="17"/>
  <c r="I375" i="17"/>
  <c r="I373" i="17"/>
  <c r="I372" i="17"/>
  <c r="I371" i="17"/>
  <c r="I370" i="17"/>
  <c r="I369" i="17"/>
  <c r="I368" i="17"/>
  <c r="I367" i="17"/>
  <c r="I366" i="17"/>
  <c r="I365" i="17"/>
  <c r="I364" i="17"/>
  <c r="U363" i="17"/>
  <c r="I363" i="17"/>
  <c r="I362" i="17"/>
  <c r="I361" i="17"/>
  <c r="I360" i="17"/>
  <c r="I359" i="17"/>
  <c r="I358" i="17"/>
  <c r="I357" i="17"/>
  <c r="I356" i="17"/>
  <c r="I355" i="17"/>
  <c r="I354" i="17"/>
  <c r="I353" i="17"/>
  <c r="I351" i="17"/>
  <c r="I350" i="17"/>
  <c r="I349" i="17"/>
  <c r="I348" i="17"/>
  <c r="I347" i="17"/>
  <c r="I346" i="17"/>
  <c r="I345" i="17"/>
  <c r="I344" i="17"/>
  <c r="I343" i="17"/>
  <c r="I342" i="17"/>
  <c r="I341" i="17"/>
  <c r="I340" i="17"/>
  <c r="I339" i="17"/>
  <c r="I338" i="17"/>
  <c r="I337" i="17"/>
  <c r="I336" i="17"/>
  <c r="I335" i="17"/>
  <c r="I334" i="17"/>
  <c r="I333" i="17"/>
  <c r="I328" i="17"/>
  <c r="I326" i="17"/>
  <c r="I325" i="17"/>
  <c r="I324" i="17"/>
  <c r="I323" i="17"/>
  <c r="I322" i="17"/>
  <c r="I321" i="17"/>
  <c r="I320" i="17"/>
  <c r="I319" i="17"/>
  <c r="I318" i="17"/>
  <c r="I317" i="17"/>
  <c r="I316" i="17"/>
  <c r="I314" i="17"/>
  <c r="I313" i="17"/>
  <c r="I311" i="17"/>
  <c r="I310" i="17"/>
  <c r="I309" i="17"/>
  <c r="I307" i="17"/>
  <c r="I306" i="17"/>
  <c r="I305" i="17"/>
  <c r="I304" i="17"/>
  <c r="I303" i="17"/>
  <c r="I302" i="17"/>
  <c r="I301" i="17"/>
  <c r="I300" i="17"/>
  <c r="I299" i="17"/>
  <c r="I298" i="17"/>
  <c r="I297" i="17"/>
  <c r="I296" i="17"/>
  <c r="I295" i="17"/>
  <c r="I294" i="17"/>
  <c r="I292" i="17"/>
  <c r="I291" i="17"/>
  <c r="I290" i="17"/>
  <c r="I289" i="17"/>
  <c r="I288" i="17"/>
  <c r="I287" i="17"/>
  <c r="I286" i="17"/>
  <c r="I284" i="17"/>
  <c r="I280" i="17"/>
  <c r="I279" i="17"/>
  <c r="T273" i="17"/>
  <c r="I273" i="17"/>
  <c r="G273" i="17"/>
  <c r="F273" i="17"/>
  <c r="E273" i="17"/>
  <c r="I271" i="17"/>
  <c r="I270" i="17"/>
  <c r="I268" i="17"/>
  <c r="I267" i="17"/>
  <c r="I266" i="17"/>
  <c r="I265" i="17"/>
  <c r="I264" i="17"/>
  <c r="I263" i="17"/>
  <c r="I262" i="17"/>
  <c r="I261" i="17"/>
  <c r="I260" i="17"/>
  <c r="I232" i="17"/>
  <c r="I231" i="17"/>
  <c r="I229" i="17"/>
  <c r="I228" i="17"/>
  <c r="I227" i="17"/>
  <c r="I226" i="17"/>
  <c r="I225" i="17"/>
  <c r="I224" i="17"/>
  <c r="I223" i="17"/>
  <c r="I222" i="17"/>
  <c r="I221" i="17"/>
  <c r="I220" i="17"/>
  <c r="I219" i="17"/>
  <c r="I218" i="17"/>
  <c r="I216" i="17"/>
  <c r="I215" i="17"/>
  <c r="I214" i="17"/>
  <c r="I213" i="17"/>
  <c r="I212" i="17"/>
  <c r="I211" i="17"/>
  <c r="I210" i="17"/>
  <c r="I209" i="17"/>
  <c r="I208" i="17"/>
  <c r="I207" i="17"/>
  <c r="I206" i="17"/>
  <c r="I205" i="17"/>
  <c r="I204" i="17"/>
  <c r="I203" i="17"/>
  <c r="I202" i="17"/>
  <c r="I201" i="17"/>
  <c r="I200" i="17"/>
  <c r="I199" i="17"/>
  <c r="I198" i="17"/>
  <c r="I197" i="17"/>
  <c r="I196" i="17"/>
  <c r="I195" i="17"/>
  <c r="I194" i="17"/>
  <c r="I193" i="17"/>
  <c r="I192" i="17"/>
  <c r="I191" i="17"/>
  <c r="I190" i="17"/>
  <c r="I189" i="17"/>
  <c r="I188" i="17"/>
  <c r="I187" i="17"/>
  <c r="I186" i="17"/>
  <c r="I185" i="17"/>
  <c r="I184" i="17"/>
  <c r="I183" i="17"/>
  <c r="I182" i="17"/>
  <c r="I181" i="17"/>
  <c r="I180" i="17"/>
  <c r="I179" i="17"/>
  <c r="I178" i="17"/>
  <c r="I177" i="17"/>
  <c r="I176" i="17"/>
  <c r="I175" i="17"/>
  <c r="I174" i="17"/>
  <c r="I173" i="17"/>
  <c r="I172" i="17"/>
  <c r="I171" i="17"/>
  <c r="I170" i="17"/>
  <c r="I169" i="17"/>
  <c r="I168" i="17"/>
  <c r="I167" i="17"/>
  <c r="I166" i="17"/>
  <c r="D148" i="17"/>
  <c r="T156" i="17"/>
  <c r="T157" i="17"/>
  <c r="E162" i="17"/>
  <c r="D162" i="17"/>
  <c r="I162" i="17"/>
  <c r="I161" i="17"/>
  <c r="I160" i="17"/>
  <c r="I157" i="17"/>
  <c r="I156" i="17"/>
  <c r="I155" i="17"/>
  <c r="I151" i="17"/>
  <c r="I150" i="17"/>
  <c r="I148" i="17"/>
  <c r="E148" i="17"/>
  <c r="I146" i="17"/>
  <c r="I145" i="17"/>
  <c r="I144" i="17"/>
  <c r="I142" i="17"/>
  <c r="I130" i="17"/>
  <c r="I129" i="17"/>
  <c r="I128" i="17"/>
  <c r="I127" i="17"/>
  <c r="I126" i="17"/>
  <c r="I124" i="17"/>
  <c r="I123" i="17"/>
  <c r="I122" i="17"/>
  <c r="I121" i="17"/>
  <c r="I119" i="17"/>
  <c r="I117" i="17"/>
  <c r="I116" i="17"/>
  <c r="I115" i="17"/>
  <c r="I114" i="17"/>
  <c r="G114" i="17"/>
  <c r="F114" i="17"/>
  <c r="M109" i="17"/>
  <c r="L109" i="17"/>
  <c r="K109" i="17"/>
  <c r="J109" i="17"/>
  <c r="T107" i="17"/>
  <c r="T106" i="17"/>
  <c r="T104" i="17"/>
  <c r="T101" i="17"/>
  <c r="I98" i="17"/>
  <c r="I97" i="17"/>
  <c r="I96" i="17"/>
  <c r="I84" i="17"/>
  <c r="I83" i="17"/>
  <c r="T80" i="17"/>
  <c r="H80" i="17"/>
  <c r="F80" i="17"/>
  <c r="G80" i="17"/>
  <c r="E80" i="17"/>
  <c r="C80" i="17"/>
  <c r="I80" i="17"/>
  <c r="I78" i="17"/>
  <c r="H78" i="17"/>
  <c r="E78" i="17"/>
  <c r="H77" i="17"/>
  <c r="E77" i="17"/>
  <c r="I73" i="17"/>
  <c r="I72" i="17"/>
  <c r="I71" i="17"/>
  <c r="I70" i="17"/>
  <c r="G70" i="17"/>
  <c r="F70" i="17"/>
  <c r="E70" i="17"/>
  <c r="H62" i="17"/>
  <c r="H60" i="17"/>
  <c r="G59" i="17"/>
  <c r="F59" i="17"/>
  <c r="E59" i="17"/>
  <c r="G57" i="17"/>
  <c r="F57" i="17"/>
  <c r="E57" i="17"/>
  <c r="I53" i="17"/>
  <c r="I49" i="17"/>
  <c r="G49" i="17"/>
  <c r="F49" i="17"/>
  <c r="E49" i="17"/>
  <c r="I48" i="17"/>
  <c r="I47" i="17"/>
  <c r="G47" i="17"/>
  <c r="F47" i="17"/>
  <c r="E47" i="17"/>
  <c r="I46" i="17"/>
  <c r="G46" i="17"/>
  <c r="F46" i="17"/>
  <c r="E46" i="17"/>
  <c r="N45" i="17"/>
  <c r="M45" i="17"/>
  <c r="L45" i="17"/>
  <c r="K45" i="17"/>
  <c r="J45" i="17"/>
  <c r="I45" i="17"/>
  <c r="I44" i="17"/>
  <c r="N43" i="17"/>
  <c r="M43" i="17"/>
  <c r="L43" i="17"/>
  <c r="K43" i="17"/>
  <c r="J43" i="17"/>
  <c r="G42" i="17"/>
  <c r="F42" i="17"/>
  <c r="E42" i="17"/>
  <c r="G41" i="17"/>
  <c r="F41" i="17"/>
  <c r="E41" i="17"/>
  <c r="H31" i="17"/>
  <c r="G31" i="17"/>
  <c r="F31" i="17"/>
  <c r="E31" i="17"/>
  <c r="T19" i="17"/>
  <c r="G16" i="17"/>
  <c r="F16" i="17"/>
  <c r="E16" i="17"/>
  <c r="P374" i="15"/>
  <c r="O374" i="15"/>
  <c r="C54" i="15"/>
  <c r="P345" i="15"/>
  <c r="O345" i="15"/>
  <c r="P362" i="15"/>
  <c r="O362" i="15"/>
  <c r="P343" i="15"/>
  <c r="O343" i="15"/>
  <c r="P341" i="15"/>
  <c r="O341" i="15"/>
  <c r="P336" i="15"/>
  <c r="O336" i="15"/>
  <c r="P297" i="15"/>
  <c r="O297" i="15"/>
  <c r="T212" i="15"/>
  <c r="H212" i="15"/>
  <c r="P122" i="15"/>
  <c r="O122" i="15"/>
  <c r="P71" i="15"/>
  <c r="P70" i="15"/>
  <c r="P68" i="15"/>
  <c r="O71" i="15"/>
  <c r="O70" i="15"/>
  <c r="O68" i="15"/>
  <c r="C16" i="15"/>
  <c r="T15" i="15"/>
  <c r="H15" i="15"/>
  <c r="C15" i="15"/>
  <c r="I15" i="15"/>
  <c r="S33" i="16"/>
  <c r="G33" i="16"/>
  <c r="E33" i="16"/>
  <c r="F33" i="16"/>
  <c r="D33" i="16"/>
  <c r="B33" i="16"/>
  <c r="S34" i="16"/>
  <c r="G34" i="16"/>
  <c r="E34" i="16"/>
  <c r="F34" i="16"/>
  <c r="D34" i="16"/>
  <c r="B34" i="16"/>
  <c r="S35" i="16"/>
  <c r="G35" i="16"/>
  <c r="E35" i="16"/>
  <c r="F35" i="16"/>
  <c r="D35" i="16"/>
  <c r="B35" i="16"/>
  <c r="S36" i="16"/>
  <c r="G36" i="16"/>
  <c r="E36" i="16"/>
  <c r="F36" i="16"/>
  <c r="D36" i="16"/>
  <c r="B36" i="16"/>
  <c r="S37" i="16"/>
  <c r="G37" i="16"/>
  <c r="E37" i="16"/>
  <c r="F37" i="16"/>
  <c r="D37" i="16"/>
  <c r="B37" i="16"/>
  <c r="S38" i="16"/>
  <c r="G38" i="16"/>
  <c r="E38" i="16"/>
  <c r="F38" i="16"/>
  <c r="D38" i="16"/>
  <c r="B38" i="16"/>
  <c r="S39" i="16"/>
  <c r="G39" i="16"/>
  <c r="E39" i="16"/>
  <c r="F39" i="16"/>
  <c r="D39" i="16"/>
  <c r="B39" i="16"/>
  <c r="S40" i="16"/>
  <c r="G40" i="16"/>
  <c r="E40" i="16"/>
  <c r="F40" i="16"/>
  <c r="D40" i="16"/>
  <c r="B40" i="16"/>
  <c r="S41" i="16"/>
  <c r="G41" i="16"/>
  <c r="E41" i="16"/>
  <c r="F41" i="16"/>
  <c r="D41" i="16"/>
  <c r="B41" i="16"/>
  <c r="S42" i="16"/>
  <c r="G42" i="16"/>
  <c r="E42" i="16"/>
  <c r="F42" i="16"/>
  <c r="D42" i="16"/>
  <c r="B42" i="16"/>
  <c r="S43" i="16"/>
  <c r="G43" i="16"/>
  <c r="E43" i="16"/>
  <c r="F43" i="16"/>
  <c r="D43" i="16"/>
  <c r="B43" i="16"/>
  <c r="S44" i="16"/>
  <c r="G44" i="16"/>
  <c r="E44" i="16"/>
  <c r="F44" i="16"/>
  <c r="D44" i="16"/>
  <c r="B44" i="16"/>
  <c r="S45" i="16"/>
  <c r="G45" i="16"/>
  <c r="E45" i="16"/>
  <c r="F45" i="16"/>
  <c r="D45" i="16"/>
  <c r="B45" i="16"/>
  <c r="S46" i="16"/>
  <c r="G46" i="16"/>
  <c r="E46" i="16"/>
  <c r="F46" i="16"/>
  <c r="D46" i="16"/>
  <c r="B46" i="16"/>
  <c r="S47" i="16"/>
  <c r="G47" i="16"/>
  <c r="E47" i="16"/>
  <c r="F47" i="16"/>
  <c r="D47" i="16"/>
  <c r="B47" i="16"/>
  <c r="S49" i="16"/>
  <c r="G49" i="16"/>
  <c r="E49" i="16"/>
  <c r="F49" i="16"/>
  <c r="D49" i="16"/>
  <c r="B49" i="16"/>
  <c r="S50" i="16"/>
  <c r="G50" i="16"/>
  <c r="E50" i="16"/>
  <c r="F50" i="16"/>
  <c r="D50" i="16"/>
  <c r="B50" i="16"/>
  <c r="S51" i="16"/>
  <c r="G51" i="16"/>
  <c r="E51" i="16"/>
  <c r="F51" i="16"/>
  <c r="D51" i="16"/>
  <c r="B51" i="16"/>
  <c r="S52" i="16"/>
  <c r="G52" i="16"/>
  <c r="E52" i="16"/>
  <c r="F52" i="16"/>
  <c r="D52" i="16"/>
  <c r="B52" i="16"/>
  <c r="S53" i="16"/>
  <c r="G53" i="16"/>
  <c r="E53" i="16"/>
  <c r="F53" i="16"/>
  <c r="D53" i="16"/>
  <c r="B53" i="16"/>
  <c r="S54" i="16"/>
  <c r="G54" i="16"/>
  <c r="E54" i="16"/>
  <c r="F54" i="16"/>
  <c r="D54" i="16"/>
  <c r="B54" i="16"/>
  <c r="S55" i="16"/>
  <c r="G55" i="16"/>
  <c r="E55" i="16"/>
  <c r="F55" i="16"/>
  <c r="D55" i="16"/>
  <c r="B55" i="16"/>
  <c r="S56" i="16"/>
  <c r="G56" i="16"/>
  <c r="E56" i="16"/>
  <c r="F56" i="16"/>
  <c r="D56" i="16"/>
  <c r="B56" i="16"/>
  <c r="S57" i="16"/>
  <c r="G57" i="16"/>
  <c r="E57" i="16"/>
  <c r="F57" i="16"/>
  <c r="D57" i="16"/>
  <c r="B57" i="16"/>
  <c r="S58" i="16"/>
  <c r="G58" i="16"/>
  <c r="E58" i="16"/>
  <c r="F58" i="16"/>
  <c r="D58" i="16"/>
  <c r="B58" i="16"/>
  <c r="S59" i="16"/>
  <c r="G59" i="16"/>
  <c r="E59" i="16"/>
  <c r="F59" i="16"/>
  <c r="D59" i="16"/>
  <c r="B59" i="16"/>
  <c r="S60" i="16"/>
  <c r="G60" i="16"/>
  <c r="E60" i="16"/>
  <c r="F60" i="16"/>
  <c r="D60" i="16"/>
  <c r="B60" i="16"/>
  <c r="S61" i="16"/>
  <c r="G61" i="16"/>
  <c r="B61" i="16"/>
  <c r="B62" i="16"/>
  <c r="C278" i="15"/>
  <c r="S65" i="16"/>
  <c r="S66" i="16"/>
  <c r="G65" i="16"/>
  <c r="E65" i="16"/>
  <c r="F65" i="16"/>
  <c r="D65" i="16"/>
  <c r="B65" i="16"/>
  <c r="S64" i="16"/>
  <c r="G64" i="16"/>
  <c r="B64" i="16"/>
  <c r="S78" i="16"/>
  <c r="G78" i="16"/>
  <c r="B78" i="16"/>
  <c r="S79" i="16"/>
  <c r="G79" i="16"/>
  <c r="E79" i="16"/>
  <c r="F79" i="16"/>
  <c r="D79" i="16"/>
  <c r="B79" i="16"/>
  <c r="S80" i="16"/>
  <c r="G80" i="16"/>
  <c r="E80" i="16"/>
  <c r="F80" i="16"/>
  <c r="D80" i="16"/>
  <c r="B80" i="16"/>
  <c r="S82" i="16"/>
  <c r="G82" i="16"/>
  <c r="E82" i="16"/>
  <c r="F82" i="16"/>
  <c r="D82" i="16"/>
  <c r="B82" i="16"/>
  <c r="S83" i="16"/>
  <c r="G83" i="16"/>
  <c r="E83" i="16"/>
  <c r="F83" i="16"/>
  <c r="D83" i="16"/>
  <c r="B83" i="16"/>
  <c r="S84" i="16"/>
  <c r="G84" i="16"/>
  <c r="E84" i="16"/>
  <c r="F84" i="16"/>
  <c r="D84" i="16"/>
  <c r="B84" i="16"/>
  <c r="S85" i="16"/>
  <c r="G85" i="16"/>
  <c r="B85" i="16"/>
  <c r="B86" i="16"/>
  <c r="T167" i="15"/>
  <c r="T168" i="15"/>
  <c r="T173" i="15"/>
  <c r="T326" i="15"/>
  <c r="T286" i="15"/>
  <c r="T317" i="15"/>
  <c r="T324" i="15"/>
  <c r="T325" i="15"/>
  <c r="T323" i="15"/>
  <c r="H323" i="15"/>
  <c r="F323" i="15"/>
  <c r="G323" i="15"/>
  <c r="E323" i="15"/>
  <c r="C323" i="15"/>
  <c r="H286" i="15"/>
  <c r="F286" i="15"/>
  <c r="G286" i="15"/>
  <c r="E286" i="15"/>
  <c r="C286" i="15"/>
  <c r="T287" i="15"/>
  <c r="H287" i="15"/>
  <c r="F287" i="15"/>
  <c r="G287" i="15"/>
  <c r="E287" i="15"/>
  <c r="C287" i="15"/>
  <c r="T288" i="15"/>
  <c r="H288" i="15"/>
  <c r="F288" i="15"/>
  <c r="G288" i="15"/>
  <c r="E288" i="15"/>
  <c r="C288" i="15"/>
  <c r="T289" i="15"/>
  <c r="H289" i="15"/>
  <c r="F289" i="15"/>
  <c r="G289" i="15"/>
  <c r="E289" i="15"/>
  <c r="C289" i="15"/>
  <c r="T290" i="15"/>
  <c r="H290" i="15"/>
  <c r="F290" i="15"/>
  <c r="G290" i="15"/>
  <c r="E290" i="15"/>
  <c r="C290" i="15"/>
  <c r="T291" i="15"/>
  <c r="H291" i="15"/>
  <c r="F291" i="15"/>
  <c r="G291" i="15"/>
  <c r="E291" i="15"/>
  <c r="C291" i="15"/>
  <c r="T292" i="15"/>
  <c r="H292" i="15"/>
  <c r="F292" i="15"/>
  <c r="G292" i="15"/>
  <c r="E292" i="15"/>
  <c r="C292" i="15"/>
  <c r="T294" i="15"/>
  <c r="H294" i="15"/>
  <c r="F294" i="15"/>
  <c r="G294" i="15"/>
  <c r="E294" i="15"/>
  <c r="C294" i="15"/>
  <c r="T295" i="15"/>
  <c r="H295" i="15"/>
  <c r="F295" i="15"/>
  <c r="G295" i="15"/>
  <c r="E295" i="15"/>
  <c r="C295" i="15"/>
  <c r="T296" i="15"/>
  <c r="H296" i="15"/>
  <c r="F296" i="15"/>
  <c r="G296" i="15"/>
  <c r="E296" i="15"/>
  <c r="C296" i="15"/>
  <c r="T297" i="15"/>
  <c r="H297" i="15"/>
  <c r="F297" i="15"/>
  <c r="G297" i="15"/>
  <c r="E297" i="15"/>
  <c r="C297" i="15"/>
  <c r="T298" i="15"/>
  <c r="H298" i="15"/>
  <c r="F298" i="15"/>
  <c r="G298" i="15"/>
  <c r="E298" i="15"/>
  <c r="C298" i="15"/>
  <c r="T299" i="15"/>
  <c r="H299" i="15"/>
  <c r="F299" i="15"/>
  <c r="G299" i="15"/>
  <c r="E299" i="15"/>
  <c r="C299" i="15"/>
  <c r="T300" i="15"/>
  <c r="H300" i="15"/>
  <c r="F300" i="15"/>
  <c r="G300" i="15"/>
  <c r="E300" i="15"/>
  <c r="C300" i="15"/>
  <c r="T301" i="15"/>
  <c r="H301" i="15"/>
  <c r="F301" i="15"/>
  <c r="G301" i="15"/>
  <c r="E301" i="15"/>
  <c r="C301" i="15"/>
  <c r="T302" i="15"/>
  <c r="H302" i="15"/>
  <c r="F302" i="15"/>
  <c r="G302" i="15"/>
  <c r="E302" i="15"/>
  <c r="C302" i="15"/>
  <c r="T303" i="15"/>
  <c r="H303" i="15"/>
  <c r="F303" i="15"/>
  <c r="G303" i="15"/>
  <c r="E303" i="15"/>
  <c r="C303" i="15"/>
  <c r="T304" i="15"/>
  <c r="H304" i="15"/>
  <c r="F304" i="15"/>
  <c r="G304" i="15"/>
  <c r="E304" i="15"/>
  <c r="C304" i="15"/>
  <c r="T305" i="15"/>
  <c r="H305" i="15"/>
  <c r="F305" i="15"/>
  <c r="G305" i="15"/>
  <c r="E305" i="15"/>
  <c r="C305" i="15"/>
  <c r="T306" i="15"/>
  <c r="H306" i="15"/>
  <c r="F306" i="15"/>
  <c r="G306" i="15"/>
  <c r="E306" i="15"/>
  <c r="C306" i="15"/>
  <c r="T307" i="15"/>
  <c r="H307" i="15"/>
  <c r="F307" i="15"/>
  <c r="G307" i="15"/>
  <c r="E307" i="15"/>
  <c r="C307" i="15"/>
  <c r="T309" i="15"/>
  <c r="H309" i="15"/>
  <c r="F309" i="15"/>
  <c r="G309" i="15"/>
  <c r="E309" i="15"/>
  <c r="C309" i="15"/>
  <c r="T310" i="15"/>
  <c r="H310" i="15"/>
  <c r="F310" i="15"/>
  <c r="G310" i="15"/>
  <c r="E310" i="15"/>
  <c r="C310" i="15"/>
  <c r="T311" i="15"/>
  <c r="H311" i="15"/>
  <c r="F311" i="15"/>
  <c r="G311" i="15"/>
  <c r="E311" i="15"/>
  <c r="C311" i="15"/>
  <c r="T313" i="15"/>
  <c r="H313" i="15"/>
  <c r="F313" i="15"/>
  <c r="G313" i="15"/>
  <c r="E313" i="15"/>
  <c r="C313" i="15"/>
  <c r="T314" i="15"/>
  <c r="H314" i="15"/>
  <c r="F314" i="15"/>
  <c r="G314" i="15"/>
  <c r="E314" i="15"/>
  <c r="C314" i="15"/>
  <c r="T316" i="15"/>
  <c r="H316" i="15"/>
  <c r="F316" i="15"/>
  <c r="G316" i="15"/>
  <c r="E316" i="15"/>
  <c r="C316" i="15"/>
  <c r="H317" i="15"/>
  <c r="F317" i="15"/>
  <c r="G317" i="15"/>
  <c r="E317" i="15"/>
  <c r="C317" i="15"/>
  <c r="T318" i="15"/>
  <c r="H318" i="15"/>
  <c r="F318" i="15"/>
  <c r="G318" i="15"/>
  <c r="E318" i="15"/>
  <c r="C318" i="15"/>
  <c r="T319" i="15"/>
  <c r="H319" i="15"/>
  <c r="F319" i="15"/>
  <c r="G319" i="15"/>
  <c r="E319" i="15"/>
  <c r="C319" i="15"/>
  <c r="T320" i="15"/>
  <c r="H320" i="15"/>
  <c r="F320" i="15"/>
  <c r="G320" i="15"/>
  <c r="E320" i="15"/>
  <c r="C320" i="15"/>
  <c r="T321" i="15"/>
  <c r="H321" i="15"/>
  <c r="F321" i="15"/>
  <c r="G321" i="15"/>
  <c r="E321" i="15"/>
  <c r="C321" i="15"/>
  <c r="T322" i="15"/>
  <c r="H322" i="15"/>
  <c r="F322" i="15"/>
  <c r="G322" i="15"/>
  <c r="E322" i="15"/>
  <c r="C322" i="15"/>
  <c r="H324" i="15"/>
  <c r="F324" i="15"/>
  <c r="G324" i="15"/>
  <c r="E324" i="15"/>
  <c r="C324" i="15"/>
  <c r="H325" i="15"/>
  <c r="F325" i="15"/>
  <c r="G325" i="15"/>
  <c r="E325" i="15"/>
  <c r="C325" i="15"/>
  <c r="H326" i="15"/>
  <c r="F326" i="15"/>
  <c r="G326" i="15"/>
  <c r="E326" i="15"/>
  <c r="C326" i="15"/>
  <c r="C328" i="15"/>
  <c r="B73" i="16"/>
  <c r="C277" i="15"/>
  <c r="H85" i="16"/>
  <c r="F85" i="16"/>
  <c r="E85" i="16"/>
  <c r="D85" i="16"/>
  <c r="H83" i="16"/>
  <c r="H79" i="16"/>
  <c r="H78" i="16"/>
  <c r="F78" i="16"/>
  <c r="E78" i="16"/>
  <c r="D78" i="16"/>
  <c r="H65" i="16"/>
  <c r="H64" i="16"/>
  <c r="F64" i="16"/>
  <c r="E64" i="16"/>
  <c r="D64" i="16"/>
  <c r="H61" i="16"/>
  <c r="F61" i="16"/>
  <c r="E61" i="16"/>
  <c r="D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T616" i="15"/>
  <c r="H616" i="15"/>
  <c r="F616" i="15"/>
  <c r="G616" i="15"/>
  <c r="E616" i="15"/>
  <c r="C616" i="15"/>
  <c r="I616" i="15"/>
  <c r="T617" i="15"/>
  <c r="H617" i="15"/>
  <c r="F617" i="15"/>
  <c r="G617" i="15"/>
  <c r="E617" i="15"/>
  <c r="C617" i="15"/>
  <c r="I617" i="15"/>
  <c r="T618" i="15"/>
  <c r="H618" i="15"/>
  <c r="F618" i="15"/>
  <c r="G618" i="15"/>
  <c r="E618" i="15"/>
  <c r="C618" i="15"/>
  <c r="I618" i="15"/>
  <c r="T619" i="15"/>
  <c r="H619" i="15"/>
  <c r="F619" i="15"/>
  <c r="G619" i="15"/>
  <c r="E619" i="15"/>
  <c r="C619" i="15"/>
  <c r="I619" i="15"/>
  <c r="T620" i="15"/>
  <c r="H620" i="15"/>
  <c r="F620" i="15"/>
  <c r="G620" i="15"/>
  <c r="E620" i="15"/>
  <c r="C620" i="15"/>
  <c r="I620" i="15"/>
  <c r="T621" i="15"/>
  <c r="H621" i="15"/>
  <c r="F621" i="15"/>
  <c r="G621" i="15"/>
  <c r="E621" i="15"/>
  <c r="C621" i="15"/>
  <c r="I621" i="15"/>
  <c r="T622" i="15"/>
  <c r="H622" i="15"/>
  <c r="F622" i="15"/>
  <c r="G622" i="15"/>
  <c r="E622" i="15"/>
  <c r="C622" i="15"/>
  <c r="I622" i="15"/>
  <c r="T623" i="15"/>
  <c r="H623" i="15"/>
  <c r="F623" i="15"/>
  <c r="G623" i="15"/>
  <c r="E623" i="15"/>
  <c r="C623" i="15"/>
  <c r="I623" i="15"/>
  <c r="T624" i="15"/>
  <c r="H624" i="15"/>
  <c r="F624" i="15"/>
  <c r="G624" i="15"/>
  <c r="E624" i="15"/>
  <c r="C624" i="15"/>
  <c r="I624" i="15"/>
  <c r="T625" i="15"/>
  <c r="H625" i="15"/>
  <c r="F625" i="15"/>
  <c r="G625" i="15"/>
  <c r="E625" i="15"/>
  <c r="C625" i="15"/>
  <c r="I625" i="15"/>
  <c r="T626" i="15"/>
  <c r="H626" i="15"/>
  <c r="F626" i="15"/>
  <c r="G626" i="15"/>
  <c r="E626" i="15"/>
  <c r="C626" i="15"/>
  <c r="I626" i="15"/>
  <c r="T627" i="15"/>
  <c r="H627" i="15"/>
  <c r="F627" i="15"/>
  <c r="G627" i="15"/>
  <c r="E627" i="15"/>
  <c r="C627" i="15"/>
  <c r="I627" i="15"/>
  <c r="T628" i="15"/>
  <c r="H628" i="15"/>
  <c r="F628" i="15"/>
  <c r="G628" i="15"/>
  <c r="E628" i="15"/>
  <c r="C628" i="15"/>
  <c r="I628" i="15"/>
  <c r="T629" i="15"/>
  <c r="H629" i="15"/>
  <c r="F629" i="15"/>
  <c r="G629" i="15"/>
  <c r="E629" i="15"/>
  <c r="C629" i="15"/>
  <c r="I629" i="15"/>
  <c r="T630" i="15"/>
  <c r="H630" i="15"/>
  <c r="F630" i="15"/>
  <c r="G630" i="15"/>
  <c r="E630" i="15"/>
  <c r="C630" i="15"/>
  <c r="I630" i="15"/>
  <c r="T631" i="15"/>
  <c r="H631" i="15"/>
  <c r="F631" i="15"/>
  <c r="G631" i="15"/>
  <c r="E631" i="15"/>
  <c r="C631" i="15"/>
  <c r="I631" i="15"/>
  <c r="T632" i="15"/>
  <c r="H632" i="15"/>
  <c r="F632" i="15"/>
  <c r="G632" i="15"/>
  <c r="E632" i="15"/>
  <c r="C632" i="15"/>
  <c r="I632" i="15"/>
  <c r="T633" i="15"/>
  <c r="H633" i="15"/>
  <c r="F633" i="15"/>
  <c r="G633" i="15"/>
  <c r="E633" i="15"/>
  <c r="C633" i="15"/>
  <c r="I633" i="15"/>
  <c r="T634" i="15"/>
  <c r="H634" i="15"/>
  <c r="F634" i="15"/>
  <c r="G634" i="15"/>
  <c r="E634" i="15"/>
  <c r="C634" i="15"/>
  <c r="I634" i="15"/>
  <c r="T636" i="15"/>
  <c r="H636" i="15"/>
  <c r="F636" i="15"/>
  <c r="G636" i="15"/>
  <c r="E636" i="15"/>
  <c r="C636" i="15"/>
  <c r="I636" i="15"/>
  <c r="T637" i="15"/>
  <c r="H637" i="15"/>
  <c r="F637" i="15"/>
  <c r="G637" i="15"/>
  <c r="E637" i="15"/>
  <c r="C637" i="15"/>
  <c r="I637" i="15"/>
  <c r="T638" i="15"/>
  <c r="H638" i="15"/>
  <c r="F638" i="15"/>
  <c r="G638" i="15"/>
  <c r="E638" i="15"/>
  <c r="C638" i="15"/>
  <c r="I638" i="15"/>
  <c r="T639" i="15"/>
  <c r="H639" i="15"/>
  <c r="F639" i="15"/>
  <c r="G639" i="15"/>
  <c r="E639" i="15"/>
  <c r="C639" i="15"/>
  <c r="I639" i="15"/>
  <c r="T640" i="15"/>
  <c r="H640" i="15"/>
  <c r="F640" i="15"/>
  <c r="G640" i="15"/>
  <c r="E640" i="15"/>
  <c r="C640" i="15"/>
  <c r="I640" i="15"/>
  <c r="T642" i="15"/>
  <c r="H642" i="15"/>
  <c r="F642" i="15"/>
  <c r="G642" i="15"/>
  <c r="E642" i="15"/>
  <c r="C642" i="15"/>
  <c r="I642" i="15"/>
  <c r="T643" i="15"/>
  <c r="H643" i="15"/>
  <c r="F643" i="15"/>
  <c r="G643" i="15"/>
  <c r="E643" i="15"/>
  <c r="C643" i="15"/>
  <c r="I643" i="15"/>
  <c r="T644" i="15"/>
  <c r="H644" i="15"/>
  <c r="F644" i="15"/>
  <c r="G644" i="15"/>
  <c r="E644" i="15"/>
  <c r="C644" i="15"/>
  <c r="I644" i="15"/>
  <c r="T646" i="15"/>
  <c r="H646" i="15"/>
  <c r="F646" i="15"/>
  <c r="G646" i="15"/>
  <c r="E646" i="15"/>
  <c r="C646" i="15"/>
  <c r="I646" i="15"/>
  <c r="T647" i="15"/>
  <c r="H647" i="15"/>
  <c r="G647" i="15"/>
  <c r="F647" i="15"/>
  <c r="E647" i="15"/>
  <c r="C647" i="15"/>
  <c r="I647" i="15"/>
  <c r="I654" i="15"/>
  <c r="T8" i="15"/>
  <c r="T9" i="15"/>
  <c r="H8" i="15"/>
  <c r="C8" i="15"/>
  <c r="I8" i="15"/>
  <c r="T10" i="15"/>
  <c r="T11" i="15"/>
  <c r="H10" i="15"/>
  <c r="E10" i="15"/>
  <c r="C10" i="15"/>
  <c r="I10" i="15"/>
  <c r="T14" i="15"/>
  <c r="H14" i="15"/>
  <c r="C14" i="15"/>
  <c r="I14" i="15"/>
  <c r="T16" i="15"/>
  <c r="H16" i="15"/>
  <c r="F16" i="15"/>
  <c r="G16" i="15"/>
  <c r="E16" i="15"/>
  <c r="I16" i="15"/>
  <c r="T17" i="15"/>
  <c r="H17" i="15"/>
  <c r="C17" i="15"/>
  <c r="I17" i="15"/>
  <c r="P20" i="15"/>
  <c r="O20" i="15"/>
  <c r="T20" i="15"/>
  <c r="I18" i="15"/>
  <c r="H20" i="15"/>
  <c r="F20" i="15"/>
  <c r="G20" i="15"/>
  <c r="E20" i="15"/>
  <c r="C20" i="15"/>
  <c r="I20" i="15"/>
  <c r="T21" i="15"/>
  <c r="H21" i="15"/>
  <c r="C21" i="15"/>
  <c r="I21" i="15"/>
  <c r="T22" i="15"/>
  <c r="H22" i="15"/>
  <c r="F22" i="15"/>
  <c r="G22" i="15"/>
  <c r="E22" i="15"/>
  <c r="C22" i="15"/>
  <c r="I22" i="15"/>
  <c r="T25" i="15"/>
  <c r="H25" i="15"/>
  <c r="C25" i="15"/>
  <c r="I25" i="15"/>
  <c r="T27" i="15"/>
  <c r="H27" i="15"/>
  <c r="C27" i="15"/>
  <c r="I27" i="15"/>
  <c r="T32" i="15"/>
  <c r="T28" i="15"/>
  <c r="H28" i="15"/>
  <c r="C28" i="15"/>
  <c r="I28" i="15"/>
  <c r="T29" i="15"/>
  <c r="H29" i="15"/>
  <c r="C29" i="15"/>
  <c r="I29" i="15"/>
  <c r="T31" i="15"/>
  <c r="I30" i="15"/>
  <c r="C31" i="15"/>
  <c r="I31" i="15"/>
  <c r="T33" i="15"/>
  <c r="I32" i="15"/>
  <c r="H33" i="15"/>
  <c r="F33" i="15"/>
  <c r="G33" i="15"/>
  <c r="E33" i="15"/>
  <c r="C33" i="15"/>
  <c r="I33" i="15"/>
  <c r="T35" i="15"/>
  <c r="H35" i="15"/>
  <c r="C35" i="15"/>
  <c r="I35" i="15"/>
  <c r="T271" i="15"/>
  <c r="T270" i="15"/>
  <c r="T279" i="15"/>
  <c r="T280" i="15"/>
  <c r="T284" i="15"/>
  <c r="T36" i="15"/>
  <c r="H36" i="15"/>
  <c r="C36" i="15"/>
  <c r="I36" i="15"/>
  <c r="T37" i="15"/>
  <c r="H37" i="15"/>
  <c r="F37" i="15"/>
  <c r="G37" i="15"/>
  <c r="E37" i="15"/>
  <c r="C37" i="15"/>
  <c r="I37" i="15"/>
  <c r="T39" i="15"/>
  <c r="T214" i="15"/>
  <c r="H214" i="15"/>
  <c r="T216" i="15"/>
  <c r="H216" i="15"/>
  <c r="T215" i="15"/>
  <c r="H215" i="15"/>
  <c r="T213" i="15"/>
  <c r="H213" i="15"/>
  <c r="T188" i="15"/>
  <c r="H188" i="15"/>
  <c r="T169" i="15"/>
  <c r="H169" i="15"/>
  <c r="T232" i="15"/>
  <c r="H232" i="15"/>
  <c r="H39" i="15"/>
  <c r="F39" i="15"/>
  <c r="G39" i="15"/>
  <c r="E39" i="15"/>
  <c r="C39" i="15"/>
  <c r="I39" i="15"/>
  <c r="T40" i="15"/>
  <c r="H40" i="15"/>
  <c r="F40" i="15"/>
  <c r="G40" i="15"/>
  <c r="E40" i="15"/>
  <c r="C40" i="15"/>
  <c r="I40" i="15"/>
  <c r="T41" i="15"/>
  <c r="H41" i="15"/>
  <c r="C41" i="15"/>
  <c r="I41" i="15"/>
  <c r="T42" i="15"/>
  <c r="H42" i="15"/>
  <c r="C42" i="15"/>
  <c r="I42" i="15"/>
  <c r="T43" i="15"/>
  <c r="H43" i="15"/>
  <c r="C43" i="15"/>
  <c r="I43" i="15"/>
  <c r="I77" i="15"/>
  <c r="I81" i="15"/>
  <c r="T57" i="15"/>
  <c r="H57" i="15"/>
  <c r="C57" i="15"/>
  <c r="I57" i="15"/>
  <c r="T59" i="15"/>
  <c r="I58" i="15"/>
  <c r="H59" i="15"/>
  <c r="C59" i="15"/>
  <c r="I59" i="15"/>
  <c r="T65" i="15"/>
  <c r="T62" i="15"/>
  <c r="T61" i="15"/>
  <c r="I60" i="15"/>
  <c r="I61" i="15"/>
  <c r="I62" i="15"/>
  <c r="T64" i="15"/>
  <c r="I64" i="15"/>
  <c r="I65" i="15"/>
  <c r="I66" i="15"/>
  <c r="I85" i="15"/>
  <c r="T103" i="15"/>
  <c r="T108" i="15"/>
  <c r="T105" i="15"/>
  <c r="I101" i="15"/>
  <c r="I99" i="15"/>
  <c r="I109" i="15"/>
  <c r="T658" i="15"/>
  <c r="H658" i="15"/>
  <c r="I658" i="15"/>
  <c r="T659" i="15"/>
  <c r="H659" i="15"/>
  <c r="I659" i="15"/>
  <c r="T660" i="15"/>
  <c r="H660" i="15"/>
  <c r="I660" i="15"/>
  <c r="T661" i="15"/>
  <c r="H661" i="15"/>
  <c r="I661" i="15"/>
  <c r="T662" i="15"/>
  <c r="H662" i="15"/>
  <c r="I662" i="15"/>
  <c r="T663" i="15"/>
  <c r="H663" i="15"/>
  <c r="I663" i="15"/>
  <c r="T664" i="15"/>
  <c r="H664" i="15"/>
  <c r="I664" i="15"/>
  <c r="T665" i="15"/>
  <c r="H665" i="15"/>
  <c r="I665" i="15"/>
  <c r="T666" i="15"/>
  <c r="H666" i="15"/>
  <c r="I666" i="15"/>
  <c r="T667" i="15"/>
  <c r="H667" i="15"/>
  <c r="I667" i="15"/>
  <c r="T668" i="15"/>
  <c r="H668" i="15"/>
  <c r="I668" i="15"/>
  <c r="T669" i="15"/>
  <c r="H669" i="15"/>
  <c r="I669" i="15"/>
  <c r="T670" i="15"/>
  <c r="H670" i="15"/>
  <c r="I670" i="15"/>
  <c r="T671" i="15"/>
  <c r="H671" i="15"/>
  <c r="I671" i="15"/>
  <c r="T672" i="15"/>
  <c r="H672" i="15"/>
  <c r="I672" i="15"/>
  <c r="T673" i="15"/>
  <c r="H673" i="15"/>
  <c r="I673" i="15"/>
  <c r="T674" i="15"/>
  <c r="H674" i="15"/>
  <c r="I674" i="15"/>
  <c r="T675" i="15"/>
  <c r="H675" i="15"/>
  <c r="I675" i="15"/>
  <c r="T676" i="15"/>
  <c r="H676" i="15"/>
  <c r="I676" i="15"/>
  <c r="T677" i="15"/>
  <c r="H677" i="15"/>
  <c r="I677" i="15"/>
  <c r="T678" i="15"/>
  <c r="H678" i="15"/>
  <c r="I678" i="15"/>
  <c r="T679" i="15"/>
  <c r="H679" i="15"/>
  <c r="F679" i="15"/>
  <c r="G679" i="15"/>
  <c r="E679" i="15"/>
  <c r="C679" i="15"/>
  <c r="I679" i="15"/>
  <c r="T680" i="15"/>
  <c r="H680" i="15"/>
  <c r="I680" i="15"/>
  <c r="T681" i="15"/>
  <c r="H681" i="15"/>
  <c r="I681" i="15"/>
  <c r="T682" i="15"/>
  <c r="H682" i="15"/>
  <c r="I682" i="15"/>
  <c r="T683" i="15"/>
  <c r="H683" i="15"/>
  <c r="I683" i="15"/>
  <c r="T684" i="15"/>
  <c r="H684" i="15"/>
  <c r="I684" i="15"/>
  <c r="T685" i="15"/>
  <c r="H685" i="15"/>
  <c r="I685" i="15"/>
  <c r="T686" i="15"/>
  <c r="H686" i="15"/>
  <c r="I686" i="15"/>
  <c r="T689" i="15"/>
  <c r="H689" i="15"/>
  <c r="I689" i="15"/>
  <c r="I706" i="15"/>
  <c r="I709" i="15"/>
  <c r="I729" i="15"/>
  <c r="T102" i="15"/>
  <c r="H101" i="15"/>
  <c r="H109" i="15"/>
  <c r="H709" i="15"/>
  <c r="H729" i="15"/>
  <c r="E709" i="15"/>
  <c r="E729" i="15"/>
  <c r="D709" i="15"/>
  <c r="D720" i="15"/>
  <c r="D726" i="15"/>
  <c r="D729" i="15"/>
  <c r="T98" i="15"/>
  <c r="T99" i="15"/>
  <c r="H98" i="15"/>
  <c r="E98" i="15"/>
  <c r="C98" i="15"/>
  <c r="T46" i="15"/>
  <c r="H46" i="15"/>
  <c r="C46" i="15"/>
  <c r="T96" i="15"/>
  <c r="H96" i="15"/>
  <c r="E96" i="15"/>
  <c r="C96" i="15"/>
  <c r="C13" i="15"/>
  <c r="T18" i="15"/>
  <c r="H18" i="15"/>
  <c r="E18" i="15"/>
  <c r="C18" i="15"/>
  <c r="E19" i="15"/>
  <c r="C19" i="15"/>
  <c r="T30" i="15"/>
  <c r="H30" i="15"/>
  <c r="F30" i="15"/>
  <c r="G30" i="15"/>
  <c r="E30" i="15"/>
  <c r="C30" i="15"/>
  <c r="H32" i="15"/>
  <c r="F32" i="15"/>
  <c r="G32" i="15"/>
  <c r="E32" i="15"/>
  <c r="C32" i="15"/>
  <c r="T44" i="15"/>
  <c r="H44" i="15"/>
  <c r="F44" i="15"/>
  <c r="G44" i="15"/>
  <c r="E44" i="15"/>
  <c r="C44" i="15"/>
  <c r="T45" i="15"/>
  <c r="H45" i="15"/>
  <c r="C45" i="15"/>
  <c r="T47" i="15"/>
  <c r="H47" i="15"/>
  <c r="C47" i="15"/>
  <c r="T48" i="15"/>
  <c r="H48" i="15"/>
  <c r="C48" i="15"/>
  <c r="T225" i="15"/>
  <c r="T223" i="15"/>
  <c r="T227" i="15"/>
  <c r="T226" i="15"/>
  <c r="T228" i="15"/>
  <c r="T49" i="15"/>
  <c r="H49" i="15"/>
  <c r="C49" i="15"/>
  <c r="T53" i="15"/>
  <c r="H53" i="15"/>
  <c r="F53" i="15"/>
  <c r="G53" i="15"/>
  <c r="E53" i="15"/>
  <c r="C53" i="15"/>
  <c r="T71" i="15"/>
  <c r="C69" i="15"/>
  <c r="T70" i="15"/>
  <c r="H70" i="15"/>
  <c r="C70" i="15"/>
  <c r="T72" i="15"/>
  <c r="T73" i="15"/>
  <c r="T68" i="15"/>
  <c r="F658" i="15"/>
  <c r="G658" i="15"/>
  <c r="E658" i="15"/>
  <c r="C658" i="15"/>
  <c r="F659" i="15"/>
  <c r="G659" i="15"/>
  <c r="E659" i="15"/>
  <c r="C659" i="15"/>
  <c r="F660" i="15"/>
  <c r="G660" i="15"/>
  <c r="E660" i="15"/>
  <c r="C660" i="15"/>
  <c r="F661" i="15"/>
  <c r="G661" i="15"/>
  <c r="E661" i="15"/>
  <c r="C661" i="15"/>
  <c r="F662" i="15"/>
  <c r="G662" i="15"/>
  <c r="E662" i="15"/>
  <c r="C662" i="15"/>
  <c r="F663" i="15"/>
  <c r="G663" i="15"/>
  <c r="E663" i="15"/>
  <c r="C663" i="15"/>
  <c r="F664" i="15"/>
  <c r="G664" i="15"/>
  <c r="E664" i="15"/>
  <c r="C664" i="15"/>
  <c r="F665" i="15"/>
  <c r="G665" i="15"/>
  <c r="E665" i="15"/>
  <c r="C665" i="15"/>
  <c r="F666" i="15"/>
  <c r="G666" i="15"/>
  <c r="E666" i="15"/>
  <c r="C666" i="15"/>
  <c r="F667" i="15"/>
  <c r="G667" i="15"/>
  <c r="E667" i="15"/>
  <c r="C667" i="15"/>
  <c r="F668" i="15"/>
  <c r="G668" i="15"/>
  <c r="E668" i="15"/>
  <c r="C668" i="15"/>
  <c r="F669" i="15"/>
  <c r="G669" i="15"/>
  <c r="E669" i="15"/>
  <c r="C669" i="15"/>
  <c r="F670" i="15"/>
  <c r="G670" i="15"/>
  <c r="E670" i="15"/>
  <c r="C670" i="15"/>
  <c r="F671" i="15"/>
  <c r="G671" i="15"/>
  <c r="E671" i="15"/>
  <c r="C671" i="15"/>
  <c r="F672" i="15"/>
  <c r="G672" i="15"/>
  <c r="E672" i="15"/>
  <c r="C672" i="15"/>
  <c r="F673" i="15"/>
  <c r="G673" i="15"/>
  <c r="E673" i="15"/>
  <c r="C673" i="15"/>
  <c r="F674" i="15"/>
  <c r="G674" i="15"/>
  <c r="E674" i="15"/>
  <c r="C674" i="15"/>
  <c r="F675" i="15"/>
  <c r="G675" i="15"/>
  <c r="E675" i="15"/>
  <c r="C675" i="15"/>
  <c r="F676" i="15"/>
  <c r="G676" i="15"/>
  <c r="E676" i="15"/>
  <c r="C676" i="15"/>
  <c r="F677" i="15"/>
  <c r="G677" i="15"/>
  <c r="E677" i="15"/>
  <c r="C677" i="15"/>
  <c r="F678" i="15"/>
  <c r="G678" i="15"/>
  <c r="E678" i="15"/>
  <c r="C678" i="15"/>
  <c r="F680" i="15"/>
  <c r="G680" i="15"/>
  <c r="E680" i="15"/>
  <c r="C680" i="15"/>
  <c r="F681" i="15"/>
  <c r="G681" i="15"/>
  <c r="E681" i="15"/>
  <c r="C681" i="15"/>
  <c r="F682" i="15"/>
  <c r="G682" i="15"/>
  <c r="E682" i="15"/>
  <c r="C682" i="15"/>
  <c r="F683" i="15"/>
  <c r="G683" i="15"/>
  <c r="E683" i="15"/>
  <c r="C683" i="15"/>
  <c r="F684" i="15"/>
  <c r="G684" i="15"/>
  <c r="E684" i="15"/>
  <c r="C684" i="15"/>
  <c r="F685" i="15"/>
  <c r="G685" i="15"/>
  <c r="E685" i="15"/>
  <c r="C685" i="15"/>
  <c r="F686" i="15"/>
  <c r="G686" i="15"/>
  <c r="E686" i="15"/>
  <c r="C686" i="15"/>
  <c r="F689" i="15"/>
  <c r="G689" i="15"/>
  <c r="E689" i="15"/>
  <c r="C689" i="15"/>
  <c r="T693" i="15"/>
  <c r="H693" i="15"/>
  <c r="F693" i="15"/>
  <c r="G693" i="15"/>
  <c r="E693" i="15"/>
  <c r="C693" i="15"/>
  <c r="T694" i="15"/>
  <c r="H694" i="15"/>
  <c r="F694" i="15"/>
  <c r="G694" i="15"/>
  <c r="E694" i="15"/>
  <c r="C694" i="15"/>
  <c r="T696" i="15"/>
  <c r="H696" i="15"/>
  <c r="F696" i="15"/>
  <c r="G696" i="15"/>
  <c r="E696" i="15"/>
  <c r="C696" i="15"/>
  <c r="C706" i="15"/>
  <c r="C71" i="15"/>
  <c r="H72" i="15"/>
  <c r="C72" i="15"/>
  <c r="H73" i="15"/>
  <c r="F73" i="15"/>
  <c r="G73" i="15"/>
  <c r="E73" i="15"/>
  <c r="C73" i="15"/>
  <c r="C74" i="15"/>
  <c r="T77" i="15"/>
  <c r="T78" i="15"/>
  <c r="C77" i="15"/>
  <c r="C81" i="15"/>
  <c r="T58" i="15"/>
  <c r="H58" i="15"/>
  <c r="C58" i="15"/>
  <c r="T60" i="15"/>
  <c r="C60" i="15"/>
  <c r="H61" i="15"/>
  <c r="C61" i="15"/>
  <c r="C62" i="15"/>
  <c r="H64" i="15"/>
  <c r="C64" i="15"/>
  <c r="H65" i="15"/>
  <c r="C65" i="15"/>
  <c r="C66" i="15"/>
  <c r="T83" i="15"/>
  <c r="H83" i="15"/>
  <c r="E83" i="15"/>
  <c r="C83" i="15"/>
  <c r="T377" i="15"/>
  <c r="T343" i="15"/>
  <c r="T362" i="15"/>
  <c r="T376" i="15"/>
  <c r="T172" i="15"/>
  <c r="T84" i="15"/>
  <c r="H84" i="15"/>
  <c r="E84" i="15"/>
  <c r="C84" i="15"/>
  <c r="C85" i="15"/>
  <c r="F101" i="15"/>
  <c r="G101" i="15"/>
  <c r="E101" i="15"/>
  <c r="C101" i="15"/>
  <c r="C109" i="15"/>
  <c r="T114" i="15"/>
  <c r="H114" i="15"/>
  <c r="C114" i="15"/>
  <c r="T115" i="15"/>
  <c r="H115" i="15"/>
  <c r="F115" i="15"/>
  <c r="G115" i="15"/>
  <c r="E115" i="15"/>
  <c r="C115" i="15"/>
  <c r="T116" i="15"/>
  <c r="H116" i="15"/>
  <c r="F116" i="15"/>
  <c r="G116" i="15"/>
  <c r="E116" i="15"/>
  <c r="C116" i="15"/>
  <c r="T117" i="15"/>
  <c r="H117" i="15"/>
  <c r="F117" i="15"/>
  <c r="G117" i="15"/>
  <c r="E117" i="15"/>
  <c r="C117" i="15"/>
  <c r="T118" i="15"/>
  <c r="H118" i="15"/>
  <c r="F118" i="15"/>
  <c r="G118" i="15"/>
  <c r="E118" i="15"/>
  <c r="C118" i="15"/>
  <c r="T119" i="15"/>
  <c r="H119" i="15"/>
  <c r="F119" i="15"/>
  <c r="G119" i="15"/>
  <c r="E119" i="15"/>
  <c r="C119" i="15"/>
  <c r="T121" i="15"/>
  <c r="H121" i="15"/>
  <c r="F121" i="15"/>
  <c r="G121" i="15"/>
  <c r="E121" i="15"/>
  <c r="C121" i="15"/>
  <c r="T122" i="15"/>
  <c r="H122" i="15"/>
  <c r="F122" i="15"/>
  <c r="G122" i="15"/>
  <c r="E122" i="15"/>
  <c r="C122" i="15"/>
  <c r="T123" i="15"/>
  <c r="H123" i="15"/>
  <c r="F123" i="15"/>
  <c r="G123" i="15"/>
  <c r="E123" i="15"/>
  <c r="C123" i="15"/>
  <c r="T124" i="15"/>
  <c r="H124" i="15"/>
  <c r="F124" i="15"/>
  <c r="G124" i="15"/>
  <c r="E124" i="15"/>
  <c r="C124" i="15"/>
  <c r="T126" i="15"/>
  <c r="H126" i="15"/>
  <c r="F126" i="15"/>
  <c r="G126" i="15"/>
  <c r="E126" i="15"/>
  <c r="C126" i="15"/>
  <c r="T127" i="15"/>
  <c r="H127" i="15"/>
  <c r="F127" i="15"/>
  <c r="G127" i="15"/>
  <c r="E127" i="15"/>
  <c r="C127" i="15"/>
  <c r="T128" i="15"/>
  <c r="H128" i="15"/>
  <c r="F128" i="15"/>
  <c r="G128" i="15"/>
  <c r="E128" i="15"/>
  <c r="C128" i="15"/>
  <c r="T129" i="15"/>
  <c r="H129" i="15"/>
  <c r="F129" i="15"/>
  <c r="G129" i="15"/>
  <c r="E129" i="15"/>
  <c r="C129" i="15"/>
  <c r="T130" i="15"/>
  <c r="H130" i="15"/>
  <c r="F130" i="15"/>
  <c r="G130" i="15"/>
  <c r="E130" i="15"/>
  <c r="C130" i="15"/>
  <c r="C132" i="15"/>
  <c r="T166" i="15"/>
  <c r="H166" i="15"/>
  <c r="F166" i="15"/>
  <c r="G166" i="15"/>
  <c r="E166" i="15"/>
  <c r="C166" i="15"/>
  <c r="H167" i="15"/>
  <c r="F167" i="15"/>
  <c r="G167" i="15"/>
  <c r="E167" i="15"/>
  <c r="C167" i="15"/>
  <c r="H168" i="15"/>
  <c r="F168" i="15"/>
  <c r="G168" i="15"/>
  <c r="E168" i="15"/>
  <c r="C168" i="15"/>
  <c r="F169" i="15"/>
  <c r="G169" i="15"/>
  <c r="E169" i="15"/>
  <c r="C169" i="15"/>
  <c r="T170" i="15"/>
  <c r="H170" i="15"/>
  <c r="F170" i="15"/>
  <c r="G170" i="15"/>
  <c r="E170" i="15"/>
  <c r="C170" i="15"/>
  <c r="T171" i="15"/>
  <c r="H171" i="15"/>
  <c r="F171" i="15"/>
  <c r="G171" i="15"/>
  <c r="E171" i="15"/>
  <c r="C171" i="15"/>
  <c r="H172" i="15"/>
  <c r="F172" i="15"/>
  <c r="G172" i="15"/>
  <c r="E172" i="15"/>
  <c r="C172" i="15"/>
  <c r="H173" i="15"/>
  <c r="F173" i="15"/>
  <c r="G173" i="15"/>
  <c r="E173" i="15"/>
  <c r="C173" i="15"/>
  <c r="T174" i="15"/>
  <c r="H174" i="15"/>
  <c r="F174" i="15"/>
  <c r="G174" i="15"/>
  <c r="E174" i="15"/>
  <c r="C174" i="15"/>
  <c r="T175" i="15"/>
  <c r="H175" i="15"/>
  <c r="F175" i="15"/>
  <c r="G175" i="15"/>
  <c r="E175" i="15"/>
  <c r="C175" i="15"/>
  <c r="T176" i="15"/>
  <c r="H176" i="15"/>
  <c r="F176" i="15"/>
  <c r="G176" i="15"/>
  <c r="E176" i="15"/>
  <c r="C176" i="15"/>
  <c r="T177" i="15"/>
  <c r="H177" i="15"/>
  <c r="F177" i="15"/>
  <c r="G177" i="15"/>
  <c r="E177" i="15"/>
  <c r="C177" i="15"/>
  <c r="T178" i="15"/>
  <c r="H178" i="15"/>
  <c r="G178" i="15"/>
  <c r="F178" i="15"/>
  <c r="E178" i="15"/>
  <c r="C178" i="15"/>
  <c r="T179" i="15"/>
  <c r="H179" i="15"/>
  <c r="F179" i="15"/>
  <c r="G179" i="15"/>
  <c r="E179" i="15"/>
  <c r="C179" i="15"/>
  <c r="T180" i="15"/>
  <c r="H180" i="15"/>
  <c r="F180" i="15"/>
  <c r="G180" i="15"/>
  <c r="E180" i="15"/>
  <c r="C180" i="15"/>
  <c r="T181" i="15"/>
  <c r="H181" i="15"/>
  <c r="F181" i="15"/>
  <c r="G181" i="15"/>
  <c r="E181" i="15"/>
  <c r="C181" i="15"/>
  <c r="T182" i="15"/>
  <c r="H182" i="15"/>
  <c r="F182" i="15"/>
  <c r="G182" i="15"/>
  <c r="E182" i="15"/>
  <c r="C182" i="15"/>
  <c r="T183" i="15"/>
  <c r="H183" i="15"/>
  <c r="F183" i="15"/>
  <c r="G183" i="15"/>
  <c r="E183" i="15"/>
  <c r="C183" i="15"/>
  <c r="T184" i="15"/>
  <c r="H184" i="15"/>
  <c r="F184" i="15"/>
  <c r="G184" i="15"/>
  <c r="E184" i="15"/>
  <c r="C184" i="15"/>
  <c r="T185" i="15"/>
  <c r="H185" i="15"/>
  <c r="G185" i="15"/>
  <c r="F185" i="15"/>
  <c r="E185" i="15"/>
  <c r="C185" i="15"/>
  <c r="T186" i="15"/>
  <c r="H186" i="15"/>
  <c r="F186" i="15"/>
  <c r="G186" i="15"/>
  <c r="E186" i="15"/>
  <c r="C186" i="15"/>
  <c r="T187" i="15"/>
  <c r="H187" i="15"/>
  <c r="F187" i="15"/>
  <c r="G187" i="15"/>
  <c r="E187" i="15"/>
  <c r="C187" i="15"/>
  <c r="F188" i="15"/>
  <c r="G188" i="15"/>
  <c r="E188" i="15"/>
  <c r="C188" i="15"/>
  <c r="T189" i="15"/>
  <c r="H189" i="15"/>
  <c r="F189" i="15"/>
  <c r="G189" i="15"/>
  <c r="E189" i="15"/>
  <c r="C189" i="15"/>
  <c r="T190" i="15"/>
  <c r="H190" i="15"/>
  <c r="F190" i="15"/>
  <c r="G190" i="15"/>
  <c r="E190" i="15"/>
  <c r="C190" i="15"/>
  <c r="T191" i="15"/>
  <c r="H191" i="15"/>
  <c r="F191" i="15"/>
  <c r="G191" i="15"/>
  <c r="E191" i="15"/>
  <c r="C191" i="15"/>
  <c r="T192" i="15"/>
  <c r="H192" i="15"/>
  <c r="F192" i="15"/>
  <c r="G192" i="15"/>
  <c r="E192" i="15"/>
  <c r="C192" i="15"/>
  <c r="T193" i="15"/>
  <c r="H193" i="15"/>
  <c r="F193" i="15"/>
  <c r="G193" i="15"/>
  <c r="E193" i="15"/>
  <c r="C193" i="15"/>
  <c r="T194" i="15"/>
  <c r="H194" i="15"/>
  <c r="G194" i="15"/>
  <c r="F194" i="15"/>
  <c r="E194" i="15"/>
  <c r="C194" i="15"/>
  <c r="T195" i="15"/>
  <c r="H195" i="15"/>
  <c r="G195" i="15"/>
  <c r="F195" i="15"/>
  <c r="E195" i="15"/>
  <c r="C195" i="15"/>
  <c r="T196" i="15"/>
  <c r="H196" i="15"/>
  <c r="F196" i="15"/>
  <c r="G196" i="15"/>
  <c r="E196" i="15"/>
  <c r="C196" i="15"/>
  <c r="T197" i="15"/>
  <c r="H197" i="15"/>
  <c r="F197" i="15"/>
  <c r="G197" i="15"/>
  <c r="E197" i="15"/>
  <c r="C197" i="15"/>
  <c r="T198" i="15"/>
  <c r="H198" i="15"/>
  <c r="F198" i="15"/>
  <c r="G198" i="15"/>
  <c r="E198" i="15"/>
  <c r="C198" i="15"/>
  <c r="T199" i="15"/>
  <c r="H199" i="15"/>
  <c r="G199" i="15"/>
  <c r="F199" i="15"/>
  <c r="E199" i="15"/>
  <c r="C199" i="15"/>
  <c r="T200" i="15"/>
  <c r="H200" i="15"/>
  <c r="F200" i="15"/>
  <c r="G200" i="15"/>
  <c r="E200" i="15"/>
  <c r="C200" i="15"/>
  <c r="T201" i="15"/>
  <c r="H201" i="15"/>
  <c r="F201" i="15"/>
  <c r="G201" i="15"/>
  <c r="E201" i="15"/>
  <c r="C201" i="15"/>
  <c r="T202" i="15"/>
  <c r="H202" i="15"/>
  <c r="F202" i="15"/>
  <c r="G202" i="15"/>
  <c r="E202" i="15"/>
  <c r="C202" i="15"/>
  <c r="T203" i="15"/>
  <c r="H203" i="15"/>
  <c r="F203" i="15"/>
  <c r="G203" i="15"/>
  <c r="E203" i="15"/>
  <c r="C203" i="15"/>
  <c r="T204" i="15"/>
  <c r="H204" i="15"/>
  <c r="F204" i="15"/>
  <c r="G204" i="15"/>
  <c r="E204" i="15"/>
  <c r="C204" i="15"/>
  <c r="T205" i="15"/>
  <c r="H205" i="15"/>
  <c r="F205" i="15"/>
  <c r="G205" i="15"/>
  <c r="E205" i="15"/>
  <c r="C205" i="15"/>
  <c r="T206" i="15"/>
  <c r="H206" i="15"/>
  <c r="F206" i="15"/>
  <c r="G206" i="15"/>
  <c r="E206" i="15"/>
  <c r="C206" i="15"/>
  <c r="T207" i="15"/>
  <c r="H207" i="15"/>
  <c r="F207" i="15"/>
  <c r="G207" i="15"/>
  <c r="E207" i="15"/>
  <c r="C207" i="15"/>
  <c r="T208" i="15"/>
  <c r="H208" i="15"/>
  <c r="G208" i="15"/>
  <c r="F208" i="15"/>
  <c r="E208" i="15"/>
  <c r="C208" i="15"/>
  <c r="T209" i="15"/>
  <c r="H209" i="15"/>
  <c r="F209" i="15"/>
  <c r="G209" i="15"/>
  <c r="E209" i="15"/>
  <c r="C209" i="15"/>
  <c r="T210" i="15"/>
  <c r="H210" i="15"/>
  <c r="F210" i="15"/>
  <c r="G210" i="15"/>
  <c r="E210" i="15"/>
  <c r="C210" i="15"/>
  <c r="T211" i="15"/>
  <c r="H211" i="15"/>
  <c r="F211" i="15"/>
  <c r="G211" i="15"/>
  <c r="E211" i="15"/>
  <c r="C211" i="15"/>
  <c r="F212" i="15"/>
  <c r="G212" i="15"/>
  <c r="E212" i="15"/>
  <c r="C212" i="15"/>
  <c r="G213" i="15"/>
  <c r="F213" i="15"/>
  <c r="E213" i="15"/>
  <c r="C213" i="15"/>
  <c r="F214" i="15"/>
  <c r="G214" i="15"/>
  <c r="E214" i="15"/>
  <c r="C214" i="15"/>
  <c r="F215" i="15"/>
  <c r="G215" i="15"/>
  <c r="E215" i="15"/>
  <c r="C215" i="15"/>
  <c r="F216" i="15"/>
  <c r="G216" i="15"/>
  <c r="E216" i="15"/>
  <c r="C216" i="15"/>
  <c r="T217" i="15"/>
  <c r="H217" i="15"/>
  <c r="F217" i="15"/>
  <c r="G217" i="15"/>
  <c r="E217" i="15"/>
  <c r="C217" i="15"/>
  <c r="T218" i="15"/>
  <c r="H218" i="15"/>
  <c r="G218" i="15"/>
  <c r="F218" i="15"/>
  <c r="E218" i="15"/>
  <c r="C218" i="15"/>
  <c r="T219" i="15"/>
  <c r="H219" i="15"/>
  <c r="F219" i="15"/>
  <c r="G219" i="15"/>
  <c r="E219" i="15"/>
  <c r="C219" i="15"/>
  <c r="T220" i="15"/>
  <c r="H220" i="15"/>
  <c r="G220" i="15"/>
  <c r="F220" i="15"/>
  <c r="E220" i="15"/>
  <c r="C220" i="15"/>
  <c r="T221" i="15"/>
  <c r="H221" i="15"/>
  <c r="F221" i="15"/>
  <c r="G221" i="15"/>
  <c r="E221" i="15"/>
  <c r="C221" i="15"/>
  <c r="T222" i="15"/>
  <c r="H222" i="15"/>
  <c r="F222" i="15"/>
  <c r="G222" i="15"/>
  <c r="E222" i="15"/>
  <c r="C222" i="15"/>
  <c r="H223" i="15"/>
  <c r="F223" i="15"/>
  <c r="G223" i="15"/>
  <c r="E223" i="15"/>
  <c r="C223" i="15"/>
  <c r="T224" i="15"/>
  <c r="H224" i="15"/>
  <c r="F224" i="15"/>
  <c r="G224" i="15"/>
  <c r="E224" i="15"/>
  <c r="C224" i="15"/>
  <c r="H225" i="15"/>
  <c r="F225" i="15"/>
  <c r="G225" i="15"/>
  <c r="E225" i="15"/>
  <c r="C225" i="15"/>
  <c r="H226" i="15"/>
  <c r="F226" i="15"/>
  <c r="G226" i="15"/>
  <c r="E226" i="15"/>
  <c r="C226" i="15"/>
  <c r="H227" i="15"/>
  <c r="F227" i="15"/>
  <c r="G227" i="15"/>
  <c r="E227" i="15"/>
  <c r="C227" i="15"/>
  <c r="H228" i="15"/>
  <c r="F228" i="15"/>
  <c r="G228" i="15"/>
  <c r="E228" i="15"/>
  <c r="C228" i="15"/>
  <c r="T229" i="15"/>
  <c r="H229" i="15"/>
  <c r="F229" i="15"/>
  <c r="G229" i="15"/>
  <c r="E229" i="15"/>
  <c r="C229" i="15"/>
  <c r="T230" i="15"/>
  <c r="H230" i="15"/>
  <c r="F230" i="15"/>
  <c r="G230" i="15"/>
  <c r="E230" i="15"/>
  <c r="C230" i="15"/>
  <c r="T231" i="15"/>
  <c r="H231" i="15"/>
  <c r="F231" i="15"/>
  <c r="G231" i="15"/>
  <c r="E231" i="15"/>
  <c r="C231" i="15"/>
  <c r="G232" i="15"/>
  <c r="F232" i="15"/>
  <c r="E232" i="15"/>
  <c r="C232" i="15"/>
  <c r="T243" i="15"/>
  <c r="H243" i="15"/>
  <c r="F243" i="15"/>
  <c r="G243" i="15"/>
  <c r="E243" i="15"/>
  <c r="C243" i="15"/>
  <c r="T244" i="15"/>
  <c r="H244" i="15"/>
  <c r="F244" i="15"/>
  <c r="G244" i="15"/>
  <c r="E244" i="15"/>
  <c r="C244" i="15"/>
  <c r="T245" i="15"/>
  <c r="H245" i="15"/>
  <c r="F245" i="15"/>
  <c r="G245" i="15"/>
  <c r="E245" i="15"/>
  <c r="C245" i="15"/>
  <c r="T246" i="15"/>
  <c r="H246" i="15"/>
  <c r="F246" i="15"/>
  <c r="G246" i="15"/>
  <c r="E246" i="15"/>
  <c r="C246" i="15"/>
  <c r="T247" i="15"/>
  <c r="H247" i="15"/>
  <c r="F247" i="15"/>
  <c r="G247" i="15"/>
  <c r="E247" i="15"/>
  <c r="C247" i="15"/>
  <c r="T248" i="15"/>
  <c r="H248" i="15"/>
  <c r="F248" i="15"/>
  <c r="G248" i="15"/>
  <c r="E248" i="15"/>
  <c r="C248" i="15"/>
  <c r="T249" i="15"/>
  <c r="H249" i="15"/>
  <c r="F249" i="15"/>
  <c r="G249" i="15"/>
  <c r="E249" i="15"/>
  <c r="C249" i="15"/>
  <c r="T250" i="15"/>
  <c r="H250" i="15"/>
  <c r="F250" i="15"/>
  <c r="G250" i="15"/>
  <c r="E250" i="15"/>
  <c r="C250" i="15"/>
  <c r="T251" i="15"/>
  <c r="H251" i="15"/>
  <c r="F251" i="15"/>
  <c r="G251" i="15"/>
  <c r="E251" i="15"/>
  <c r="C251" i="15"/>
  <c r="T252" i="15"/>
  <c r="H252" i="15"/>
  <c r="F252" i="15"/>
  <c r="G252" i="15"/>
  <c r="E252" i="15"/>
  <c r="C252" i="15"/>
  <c r="T253" i="15"/>
  <c r="H253" i="15"/>
  <c r="F253" i="15"/>
  <c r="G253" i="15"/>
  <c r="E253" i="15"/>
  <c r="C253" i="15"/>
  <c r="T254" i="15"/>
  <c r="H254" i="15"/>
  <c r="F254" i="15"/>
  <c r="G254" i="15"/>
  <c r="E254" i="15"/>
  <c r="C254" i="15"/>
  <c r="T255" i="15"/>
  <c r="H255" i="15"/>
  <c r="F255" i="15"/>
  <c r="G255" i="15"/>
  <c r="E255" i="15"/>
  <c r="C255" i="15"/>
  <c r="T256" i="15"/>
  <c r="H256" i="15"/>
  <c r="F256" i="15"/>
  <c r="G256" i="15"/>
  <c r="E256" i="15"/>
  <c r="C256" i="15"/>
  <c r="T257" i="15"/>
  <c r="H257" i="15"/>
  <c r="F257" i="15"/>
  <c r="G257" i="15"/>
  <c r="E257" i="15"/>
  <c r="C257" i="15"/>
  <c r="T258" i="15"/>
  <c r="H258" i="15"/>
  <c r="F258" i="15"/>
  <c r="G258" i="15"/>
  <c r="E258" i="15"/>
  <c r="C258" i="15"/>
  <c r="T259" i="15"/>
  <c r="H259" i="15"/>
  <c r="F259" i="15"/>
  <c r="G259" i="15"/>
  <c r="E259" i="15"/>
  <c r="C259" i="15"/>
  <c r="T260" i="15"/>
  <c r="H260" i="15"/>
  <c r="F260" i="15"/>
  <c r="G260" i="15"/>
  <c r="E260" i="15"/>
  <c r="C260" i="15"/>
  <c r="T261" i="15"/>
  <c r="H261" i="15"/>
  <c r="F261" i="15"/>
  <c r="G261" i="15"/>
  <c r="E261" i="15"/>
  <c r="C261" i="15"/>
  <c r="T262" i="15"/>
  <c r="H262" i="15"/>
  <c r="F262" i="15"/>
  <c r="G262" i="15"/>
  <c r="E262" i="15"/>
  <c r="C262" i="15"/>
  <c r="T263" i="15"/>
  <c r="H263" i="15"/>
  <c r="F263" i="15"/>
  <c r="G263" i="15"/>
  <c r="E263" i="15"/>
  <c r="C263" i="15"/>
  <c r="T264" i="15"/>
  <c r="H264" i="15"/>
  <c r="F264" i="15"/>
  <c r="G264" i="15"/>
  <c r="E264" i="15"/>
  <c r="C264" i="15"/>
  <c r="T265" i="15"/>
  <c r="H265" i="15"/>
  <c r="F265" i="15"/>
  <c r="G265" i="15"/>
  <c r="E265" i="15"/>
  <c r="C265" i="15"/>
  <c r="T266" i="15"/>
  <c r="H266" i="15"/>
  <c r="F266" i="15"/>
  <c r="G266" i="15"/>
  <c r="E266" i="15"/>
  <c r="C266" i="15"/>
  <c r="T267" i="15"/>
  <c r="H267" i="15"/>
  <c r="F267" i="15"/>
  <c r="G267" i="15"/>
  <c r="E267" i="15"/>
  <c r="C267" i="15"/>
  <c r="T268" i="15"/>
  <c r="H268" i="15"/>
  <c r="F268" i="15"/>
  <c r="G268" i="15"/>
  <c r="E268" i="15"/>
  <c r="C268" i="15"/>
  <c r="H270" i="15"/>
  <c r="F270" i="15"/>
  <c r="G270" i="15"/>
  <c r="E270" i="15"/>
  <c r="C270" i="15"/>
  <c r="H271" i="15"/>
  <c r="F271" i="15"/>
  <c r="G271" i="15"/>
  <c r="E271" i="15"/>
  <c r="C271" i="15"/>
  <c r="H279" i="15"/>
  <c r="G279" i="15"/>
  <c r="F279" i="15"/>
  <c r="E279" i="15"/>
  <c r="C279" i="15"/>
  <c r="H280" i="15"/>
  <c r="F280" i="15"/>
  <c r="G280" i="15"/>
  <c r="E280" i="15"/>
  <c r="C280" i="15"/>
  <c r="H284" i="15"/>
  <c r="F284" i="15"/>
  <c r="G284" i="15"/>
  <c r="E284" i="15"/>
  <c r="C284" i="15"/>
  <c r="C329" i="15"/>
  <c r="T333" i="15"/>
  <c r="H333" i="15"/>
  <c r="F333" i="15"/>
  <c r="G333" i="15"/>
  <c r="E333" i="15"/>
  <c r="C333" i="15"/>
  <c r="T334" i="15"/>
  <c r="H334" i="15"/>
  <c r="F334" i="15"/>
  <c r="G334" i="15"/>
  <c r="E334" i="15"/>
  <c r="C334" i="15"/>
  <c r="T335" i="15"/>
  <c r="H335" i="15"/>
  <c r="F335" i="15"/>
  <c r="G335" i="15"/>
  <c r="E335" i="15"/>
  <c r="C335" i="15"/>
  <c r="T336" i="15"/>
  <c r="H336" i="15"/>
  <c r="F336" i="15"/>
  <c r="G336" i="15"/>
  <c r="E336" i="15"/>
  <c r="C336" i="15"/>
  <c r="T337" i="15"/>
  <c r="H337" i="15"/>
  <c r="F337" i="15"/>
  <c r="G337" i="15"/>
  <c r="E337" i="15"/>
  <c r="C337" i="15"/>
  <c r="T338" i="15"/>
  <c r="H338" i="15"/>
  <c r="F338" i="15"/>
  <c r="G338" i="15"/>
  <c r="E338" i="15"/>
  <c r="C338" i="15"/>
  <c r="T339" i="15"/>
  <c r="H339" i="15"/>
  <c r="F339" i="15"/>
  <c r="G339" i="15"/>
  <c r="E339" i="15"/>
  <c r="C339" i="15"/>
  <c r="T340" i="15"/>
  <c r="H340" i="15"/>
  <c r="F340" i="15"/>
  <c r="G340" i="15"/>
  <c r="E340" i="15"/>
  <c r="C340" i="15"/>
  <c r="T341" i="15"/>
  <c r="H341" i="15"/>
  <c r="F341" i="15"/>
  <c r="G341" i="15"/>
  <c r="E341" i="15"/>
  <c r="C341" i="15"/>
  <c r="T342" i="15"/>
  <c r="H342" i="15"/>
  <c r="F342" i="15"/>
  <c r="G342" i="15"/>
  <c r="E342" i="15"/>
  <c r="C342" i="15"/>
  <c r="H343" i="15"/>
  <c r="F343" i="15"/>
  <c r="G343" i="15"/>
  <c r="E343" i="15"/>
  <c r="C343" i="15"/>
  <c r="T344" i="15"/>
  <c r="H344" i="15"/>
  <c r="F344" i="15"/>
  <c r="G344" i="15"/>
  <c r="E344" i="15"/>
  <c r="C344" i="15"/>
  <c r="T345" i="15"/>
  <c r="H345" i="15"/>
  <c r="F345" i="15"/>
  <c r="G345" i="15"/>
  <c r="E345" i="15"/>
  <c r="C345" i="15"/>
  <c r="T346" i="15"/>
  <c r="H346" i="15"/>
  <c r="F346" i="15"/>
  <c r="G346" i="15"/>
  <c r="E346" i="15"/>
  <c r="C346" i="15"/>
  <c r="T347" i="15"/>
  <c r="H347" i="15"/>
  <c r="F347" i="15"/>
  <c r="G347" i="15"/>
  <c r="E347" i="15"/>
  <c r="C347" i="15"/>
  <c r="T348" i="15"/>
  <c r="H348" i="15"/>
  <c r="F348" i="15"/>
  <c r="G348" i="15"/>
  <c r="E348" i="15"/>
  <c r="C348" i="15"/>
  <c r="T349" i="15"/>
  <c r="H349" i="15"/>
  <c r="F349" i="15"/>
  <c r="G349" i="15"/>
  <c r="E349" i="15"/>
  <c r="C349" i="15"/>
  <c r="T350" i="15"/>
  <c r="H350" i="15"/>
  <c r="F350" i="15"/>
  <c r="G350" i="15"/>
  <c r="E350" i="15"/>
  <c r="C350" i="15"/>
  <c r="T351" i="15"/>
  <c r="H351" i="15"/>
  <c r="F351" i="15"/>
  <c r="G351" i="15"/>
  <c r="E351" i="15"/>
  <c r="C351" i="15"/>
  <c r="T352" i="15"/>
  <c r="H352" i="15"/>
  <c r="F352" i="15"/>
  <c r="G352" i="15"/>
  <c r="E352" i="15"/>
  <c r="C352" i="15"/>
  <c r="T353" i="15"/>
  <c r="H353" i="15"/>
  <c r="F353" i="15"/>
  <c r="G353" i="15"/>
  <c r="E353" i="15"/>
  <c r="C353" i="15"/>
  <c r="T354" i="15"/>
  <c r="H354" i="15"/>
  <c r="F354" i="15"/>
  <c r="G354" i="15"/>
  <c r="E354" i="15"/>
  <c r="C354" i="15"/>
  <c r="T355" i="15"/>
  <c r="H355" i="15"/>
  <c r="F355" i="15"/>
  <c r="G355" i="15"/>
  <c r="E355" i="15"/>
  <c r="C355" i="15"/>
  <c r="T356" i="15"/>
  <c r="H356" i="15"/>
  <c r="G356" i="15"/>
  <c r="F356" i="15"/>
  <c r="E356" i="15"/>
  <c r="C356" i="15"/>
  <c r="T357" i="15"/>
  <c r="H357" i="15"/>
  <c r="G357" i="15"/>
  <c r="F357" i="15"/>
  <c r="E357" i="15"/>
  <c r="C357" i="15"/>
  <c r="T358" i="15"/>
  <c r="H358" i="15"/>
  <c r="F358" i="15"/>
  <c r="G358" i="15"/>
  <c r="E358" i="15"/>
  <c r="C358" i="15"/>
  <c r="T359" i="15"/>
  <c r="H359" i="15"/>
  <c r="F359" i="15"/>
  <c r="G359" i="15"/>
  <c r="E359" i="15"/>
  <c r="C359" i="15"/>
  <c r="T360" i="15"/>
  <c r="H360" i="15"/>
  <c r="F360" i="15"/>
  <c r="G360" i="15"/>
  <c r="E360" i="15"/>
  <c r="C360" i="15"/>
  <c r="T361" i="15"/>
  <c r="H361" i="15"/>
  <c r="F361" i="15"/>
  <c r="G361" i="15"/>
  <c r="E361" i="15"/>
  <c r="C361" i="15"/>
  <c r="H362" i="15"/>
  <c r="F362" i="15"/>
  <c r="G362" i="15"/>
  <c r="E362" i="15"/>
  <c r="C362" i="15"/>
  <c r="T363" i="15"/>
  <c r="H363" i="15"/>
  <c r="F363" i="15"/>
  <c r="G363" i="15"/>
  <c r="E363" i="15"/>
  <c r="C363" i="15"/>
  <c r="T364" i="15"/>
  <c r="H364" i="15"/>
  <c r="F364" i="15"/>
  <c r="G364" i="15"/>
  <c r="E364" i="15"/>
  <c r="C364" i="15"/>
  <c r="T365" i="15"/>
  <c r="H365" i="15"/>
  <c r="F365" i="15"/>
  <c r="G365" i="15"/>
  <c r="E365" i="15"/>
  <c r="C365" i="15"/>
  <c r="T366" i="15"/>
  <c r="H366" i="15"/>
  <c r="F366" i="15"/>
  <c r="G366" i="15"/>
  <c r="E366" i="15"/>
  <c r="C366" i="15"/>
  <c r="T367" i="15"/>
  <c r="H367" i="15"/>
  <c r="F367" i="15"/>
  <c r="G367" i="15"/>
  <c r="E367" i="15"/>
  <c r="C367" i="15"/>
  <c r="T368" i="15"/>
  <c r="H368" i="15"/>
  <c r="F368" i="15"/>
  <c r="G368" i="15"/>
  <c r="E368" i="15"/>
  <c r="C368" i="15"/>
  <c r="T369" i="15"/>
  <c r="H369" i="15"/>
  <c r="F369" i="15"/>
  <c r="G369" i="15"/>
  <c r="E369" i="15"/>
  <c r="C369" i="15"/>
  <c r="T370" i="15"/>
  <c r="H370" i="15"/>
  <c r="G370" i="15"/>
  <c r="F370" i="15"/>
  <c r="E370" i="15"/>
  <c r="C370" i="15"/>
  <c r="T371" i="15"/>
  <c r="H371" i="15"/>
  <c r="F371" i="15"/>
  <c r="G371" i="15"/>
  <c r="E371" i="15"/>
  <c r="C371" i="15"/>
  <c r="T372" i="15"/>
  <c r="H372" i="15"/>
  <c r="F372" i="15"/>
  <c r="G372" i="15"/>
  <c r="E372" i="15"/>
  <c r="C372" i="15"/>
  <c r="T373" i="15"/>
  <c r="H373" i="15"/>
  <c r="F373" i="15"/>
  <c r="G373" i="15"/>
  <c r="E373" i="15"/>
  <c r="C373" i="15"/>
  <c r="T374" i="15"/>
  <c r="H374" i="15"/>
  <c r="F374" i="15"/>
  <c r="G374" i="15"/>
  <c r="E374" i="15"/>
  <c r="C374" i="15"/>
  <c r="T375" i="15"/>
  <c r="H375" i="15"/>
  <c r="F375" i="15"/>
  <c r="G375" i="15"/>
  <c r="E375" i="15"/>
  <c r="C375" i="15"/>
  <c r="H376" i="15"/>
  <c r="F376" i="15"/>
  <c r="G376" i="15"/>
  <c r="E376" i="15"/>
  <c r="C376" i="15"/>
  <c r="H377" i="15"/>
  <c r="G377" i="15"/>
  <c r="F377" i="15"/>
  <c r="E377" i="15"/>
  <c r="C377" i="15"/>
  <c r="C379" i="15"/>
  <c r="T615" i="15"/>
  <c r="H615" i="15"/>
  <c r="F615" i="15"/>
  <c r="G615" i="15"/>
  <c r="E615" i="15"/>
  <c r="C615" i="15"/>
  <c r="T650" i="15"/>
  <c r="H650" i="15"/>
  <c r="F650" i="15"/>
  <c r="G650" i="15"/>
  <c r="E650" i="15"/>
  <c r="C650" i="15"/>
  <c r="T653" i="15"/>
  <c r="H653" i="15"/>
  <c r="F653" i="15"/>
  <c r="G653" i="15"/>
  <c r="E653" i="15"/>
  <c r="C653" i="15"/>
  <c r="C654" i="15"/>
  <c r="T134" i="15"/>
  <c r="T135" i="15"/>
  <c r="T136" i="15"/>
  <c r="T137" i="15"/>
  <c r="T138" i="15"/>
  <c r="D138" i="15"/>
  <c r="T139" i="15"/>
  <c r="T140" i="15"/>
  <c r="D139" i="15"/>
  <c r="D134" i="15"/>
  <c r="F134" i="15"/>
  <c r="G134" i="15"/>
  <c r="E134" i="15"/>
  <c r="C134" i="15"/>
  <c r="T144" i="15"/>
  <c r="T142" i="15"/>
  <c r="D142" i="15"/>
  <c r="F142" i="15"/>
  <c r="G142" i="15"/>
  <c r="E142" i="15"/>
  <c r="D144" i="15"/>
  <c r="F144" i="15"/>
  <c r="G144" i="15"/>
  <c r="E144" i="15"/>
  <c r="C144" i="15"/>
  <c r="C142" i="15"/>
  <c r="T145" i="15"/>
  <c r="D145" i="15"/>
  <c r="F145" i="15"/>
  <c r="G145" i="15"/>
  <c r="E145" i="15"/>
  <c r="T146" i="15"/>
  <c r="D146" i="15"/>
  <c r="F146" i="15"/>
  <c r="G146" i="15"/>
  <c r="E146" i="15"/>
  <c r="C145" i="15"/>
  <c r="T148" i="15"/>
  <c r="H148" i="15"/>
  <c r="F148" i="15"/>
  <c r="G148" i="15"/>
  <c r="C148" i="15"/>
  <c r="H150" i="15"/>
  <c r="T150" i="15"/>
  <c r="T151" i="15"/>
  <c r="D150" i="15"/>
  <c r="F150" i="15"/>
  <c r="G150" i="15"/>
  <c r="E150" i="15"/>
  <c r="C150" i="15"/>
  <c r="T160" i="15"/>
  <c r="T161" i="15"/>
  <c r="G154" i="15"/>
  <c r="F154" i="15"/>
  <c r="E154" i="15"/>
  <c r="C154" i="15"/>
  <c r="T162" i="15"/>
  <c r="H162" i="15"/>
  <c r="F162" i="15"/>
  <c r="G162" i="15"/>
  <c r="C162" i="15"/>
  <c r="C163" i="15"/>
  <c r="C709" i="15"/>
  <c r="T88" i="15"/>
  <c r="H88" i="15"/>
  <c r="C89" i="15"/>
  <c r="T90" i="15"/>
  <c r="H90" i="15"/>
  <c r="E90" i="15"/>
  <c r="C90" i="15"/>
  <c r="T719" i="15"/>
  <c r="C719" i="15"/>
  <c r="C721" i="15"/>
  <c r="T723" i="15"/>
  <c r="C723" i="15"/>
  <c r="C722" i="15"/>
  <c r="T724" i="15"/>
  <c r="C724" i="15"/>
  <c r="C726" i="15"/>
  <c r="C88" i="15"/>
  <c r="C92" i="15"/>
  <c r="C729" i="15"/>
  <c r="T722" i="15"/>
  <c r="T721" i="15"/>
  <c r="T720" i="15"/>
  <c r="E718" i="15"/>
  <c r="I696" i="15"/>
  <c r="I694" i="15"/>
  <c r="I693" i="15"/>
  <c r="H654" i="15"/>
  <c r="G654" i="15"/>
  <c r="F654" i="15"/>
  <c r="E654" i="15"/>
  <c r="I653" i="15"/>
  <c r="I615" i="15"/>
  <c r="T613" i="15"/>
  <c r="T609" i="15"/>
  <c r="T606" i="15"/>
  <c r="T604" i="15"/>
  <c r="T583" i="15"/>
  <c r="T578" i="15"/>
  <c r="T553" i="15"/>
  <c r="T552" i="15"/>
  <c r="T551" i="15"/>
  <c r="T547" i="15"/>
  <c r="Z525" i="15"/>
  <c r="X496" i="15"/>
  <c r="W496" i="15"/>
  <c r="T476" i="15"/>
  <c r="T452" i="15"/>
  <c r="T437" i="15"/>
  <c r="T435" i="15"/>
  <c r="T418" i="15"/>
  <c r="T417" i="15"/>
  <c r="T416" i="15"/>
  <c r="T415" i="15"/>
  <c r="T414" i="15"/>
  <c r="T413" i="15"/>
  <c r="T406" i="15"/>
  <c r="T382" i="15"/>
  <c r="H382" i="15"/>
  <c r="F382" i="15"/>
  <c r="G382" i="15"/>
  <c r="E382" i="15"/>
  <c r="C382" i="15"/>
  <c r="I382" i="15"/>
  <c r="I377" i="15"/>
  <c r="I376" i="15"/>
  <c r="I375" i="15"/>
  <c r="I373" i="15"/>
  <c r="I372" i="15"/>
  <c r="I371" i="15"/>
  <c r="I370" i="15"/>
  <c r="I369" i="15"/>
  <c r="I368" i="15"/>
  <c r="I367" i="15"/>
  <c r="I366" i="15"/>
  <c r="I365" i="15"/>
  <c r="I364" i="15"/>
  <c r="U363" i="15"/>
  <c r="I363" i="15"/>
  <c r="I362" i="15"/>
  <c r="I361" i="15"/>
  <c r="I360" i="15"/>
  <c r="I359" i="15"/>
  <c r="I358" i="15"/>
  <c r="I357" i="15"/>
  <c r="I356" i="15"/>
  <c r="I355" i="15"/>
  <c r="I354" i="15"/>
  <c r="I353" i="15"/>
  <c r="I352" i="15"/>
  <c r="I351" i="15"/>
  <c r="I350" i="15"/>
  <c r="I349" i="15"/>
  <c r="I348" i="15"/>
  <c r="I347" i="15"/>
  <c r="I346" i="15"/>
  <c r="I345" i="15"/>
  <c r="I344" i="15"/>
  <c r="I343" i="15"/>
  <c r="I342" i="15"/>
  <c r="I341" i="15"/>
  <c r="I340" i="15"/>
  <c r="I339" i="15"/>
  <c r="I338" i="15"/>
  <c r="I337" i="15"/>
  <c r="I336" i="15"/>
  <c r="I335" i="15"/>
  <c r="I334" i="15"/>
  <c r="I333" i="15"/>
  <c r="I328" i="15"/>
  <c r="I326" i="15"/>
  <c r="I325" i="15"/>
  <c r="I324" i="15"/>
  <c r="I323" i="15"/>
  <c r="I322" i="15"/>
  <c r="I321" i="15"/>
  <c r="I320" i="15"/>
  <c r="I319" i="15"/>
  <c r="I318" i="15"/>
  <c r="I317" i="15"/>
  <c r="I316" i="15"/>
  <c r="I314" i="15"/>
  <c r="I313" i="15"/>
  <c r="I311" i="15"/>
  <c r="I310" i="15"/>
  <c r="I309" i="15"/>
  <c r="I307" i="15"/>
  <c r="I306" i="15"/>
  <c r="I305" i="15"/>
  <c r="I304" i="15"/>
  <c r="I303" i="15"/>
  <c r="I302" i="15"/>
  <c r="I301" i="15"/>
  <c r="I300" i="15"/>
  <c r="I299" i="15"/>
  <c r="I298" i="15"/>
  <c r="I297" i="15"/>
  <c r="I296" i="15"/>
  <c r="I295" i="15"/>
  <c r="I294" i="15"/>
  <c r="I292" i="15"/>
  <c r="I291" i="15"/>
  <c r="I290" i="15"/>
  <c r="I289" i="15"/>
  <c r="I288" i="15"/>
  <c r="I287" i="15"/>
  <c r="I286" i="15"/>
  <c r="I284" i="15"/>
  <c r="I280" i="15"/>
  <c r="I279" i="15"/>
  <c r="T273" i="15"/>
  <c r="I273" i="15"/>
  <c r="G273" i="15"/>
  <c r="F273" i="15"/>
  <c r="E273" i="15"/>
  <c r="I271" i="15"/>
  <c r="I270" i="15"/>
  <c r="I268" i="15"/>
  <c r="I267" i="15"/>
  <c r="I266" i="15"/>
  <c r="I265" i="15"/>
  <c r="I264" i="15"/>
  <c r="I263" i="15"/>
  <c r="I262" i="15"/>
  <c r="I261" i="15"/>
  <c r="I260" i="15"/>
  <c r="I232" i="15"/>
  <c r="I231" i="15"/>
  <c r="I229" i="15"/>
  <c r="I228" i="15"/>
  <c r="I227" i="15"/>
  <c r="I226" i="15"/>
  <c r="I225" i="15"/>
  <c r="I224" i="15"/>
  <c r="I223" i="15"/>
  <c r="I222" i="15"/>
  <c r="I221" i="15"/>
  <c r="I220" i="15"/>
  <c r="I219" i="15"/>
  <c r="I218" i="15"/>
  <c r="I216" i="15"/>
  <c r="I215" i="15"/>
  <c r="I214" i="15"/>
  <c r="I213" i="15"/>
  <c r="I212" i="15"/>
  <c r="I211" i="15"/>
  <c r="I210" i="15"/>
  <c r="I209" i="15"/>
  <c r="I208" i="15"/>
  <c r="I207" i="15"/>
  <c r="I206" i="15"/>
  <c r="I205" i="15"/>
  <c r="I204" i="15"/>
  <c r="I203" i="15"/>
  <c r="I202" i="15"/>
  <c r="I201" i="15"/>
  <c r="I200" i="15"/>
  <c r="I199" i="15"/>
  <c r="I198" i="15"/>
  <c r="I197" i="15"/>
  <c r="I196" i="15"/>
  <c r="I195" i="15"/>
  <c r="I194" i="15"/>
  <c r="I193" i="15"/>
  <c r="I192" i="15"/>
  <c r="I191" i="15"/>
  <c r="I190" i="15"/>
  <c r="I189" i="15"/>
  <c r="I188" i="15"/>
  <c r="I187" i="15"/>
  <c r="I186" i="15"/>
  <c r="I185" i="15"/>
  <c r="I184" i="15"/>
  <c r="I183" i="15"/>
  <c r="I182" i="15"/>
  <c r="I181" i="15"/>
  <c r="I180" i="15"/>
  <c r="I179" i="15"/>
  <c r="I178" i="15"/>
  <c r="I177" i="15"/>
  <c r="I176" i="15"/>
  <c r="I175" i="15"/>
  <c r="I174" i="15"/>
  <c r="I173" i="15"/>
  <c r="I172" i="15"/>
  <c r="I171" i="15"/>
  <c r="I170" i="15"/>
  <c r="I169" i="15"/>
  <c r="I168" i="15"/>
  <c r="I167" i="15"/>
  <c r="I166" i="15"/>
  <c r="D148" i="15"/>
  <c r="T156" i="15"/>
  <c r="T157" i="15"/>
  <c r="D154" i="15"/>
  <c r="E162" i="15"/>
  <c r="D162" i="15"/>
  <c r="D163" i="15"/>
  <c r="I162" i="15"/>
  <c r="I161" i="15"/>
  <c r="I160" i="15"/>
  <c r="I157" i="15"/>
  <c r="I156" i="15"/>
  <c r="I155" i="15"/>
  <c r="I154" i="15"/>
  <c r="I151" i="15"/>
  <c r="I150" i="15"/>
  <c r="I148" i="15"/>
  <c r="E148" i="15"/>
  <c r="I146" i="15"/>
  <c r="I145" i="15"/>
  <c r="I144" i="15"/>
  <c r="I142" i="15"/>
  <c r="V137" i="15"/>
  <c r="I130" i="15"/>
  <c r="I129" i="15"/>
  <c r="I128" i="15"/>
  <c r="I127" i="15"/>
  <c r="I126" i="15"/>
  <c r="I124" i="15"/>
  <c r="I123" i="15"/>
  <c r="I122" i="15"/>
  <c r="I121" i="15"/>
  <c r="I119" i="15"/>
  <c r="I117" i="15"/>
  <c r="I116" i="15"/>
  <c r="I115" i="15"/>
  <c r="I114" i="15"/>
  <c r="G114" i="15"/>
  <c r="F114" i="15"/>
  <c r="M109" i="15"/>
  <c r="L109" i="15"/>
  <c r="K109" i="15"/>
  <c r="J109" i="15"/>
  <c r="T107" i="15"/>
  <c r="T106" i="15"/>
  <c r="T104" i="15"/>
  <c r="T101" i="15"/>
  <c r="I98" i="15"/>
  <c r="I97" i="15"/>
  <c r="I96" i="15"/>
  <c r="I84" i="15"/>
  <c r="I83" i="15"/>
  <c r="T80" i="15"/>
  <c r="H80" i="15"/>
  <c r="F80" i="15"/>
  <c r="G80" i="15"/>
  <c r="E80" i="15"/>
  <c r="C80" i="15"/>
  <c r="I80" i="15"/>
  <c r="I78" i="15"/>
  <c r="H78" i="15"/>
  <c r="E78" i="15"/>
  <c r="H77" i="15"/>
  <c r="E77" i="15"/>
  <c r="I73" i="15"/>
  <c r="I72" i="15"/>
  <c r="I71" i="15"/>
  <c r="I70" i="15"/>
  <c r="G70" i="15"/>
  <c r="F70" i="15"/>
  <c r="E70" i="15"/>
  <c r="H62" i="15"/>
  <c r="H60" i="15"/>
  <c r="G59" i="15"/>
  <c r="F59" i="15"/>
  <c r="E59" i="15"/>
  <c r="G57" i="15"/>
  <c r="F57" i="15"/>
  <c r="E57" i="15"/>
  <c r="I53" i="15"/>
  <c r="I49" i="15"/>
  <c r="G49" i="15"/>
  <c r="F49" i="15"/>
  <c r="E49" i="15"/>
  <c r="I48" i="15"/>
  <c r="I47" i="15"/>
  <c r="G47" i="15"/>
  <c r="F47" i="15"/>
  <c r="E47" i="15"/>
  <c r="I46" i="15"/>
  <c r="G46" i="15"/>
  <c r="F46" i="15"/>
  <c r="E46" i="15"/>
  <c r="N45" i="15"/>
  <c r="M45" i="15"/>
  <c r="L45" i="15"/>
  <c r="K45" i="15"/>
  <c r="J45" i="15"/>
  <c r="I45" i="15"/>
  <c r="I44" i="15"/>
  <c r="N43" i="15"/>
  <c r="M43" i="15"/>
  <c r="L43" i="15"/>
  <c r="K43" i="15"/>
  <c r="J43" i="15"/>
  <c r="G42" i="15"/>
  <c r="F42" i="15"/>
  <c r="E42" i="15"/>
  <c r="G41" i="15"/>
  <c r="F41" i="15"/>
  <c r="E41" i="15"/>
  <c r="H31" i="15"/>
  <c r="G31" i="15"/>
  <c r="F31" i="15"/>
  <c r="E31" i="15"/>
  <c r="T19" i="15"/>
  <c r="C374" i="13"/>
  <c r="P343" i="13"/>
  <c r="O343" i="13"/>
  <c r="T365" i="13"/>
  <c r="H365" i="13"/>
  <c r="F365" i="13"/>
  <c r="G365" i="13"/>
  <c r="E365" i="13"/>
  <c r="C365" i="13"/>
  <c r="I365" i="13"/>
  <c r="P362" i="13"/>
  <c r="O362" i="13"/>
  <c r="P345" i="13"/>
  <c r="O345" i="13"/>
  <c r="P341" i="13"/>
  <c r="O341" i="13"/>
  <c r="P336" i="13"/>
  <c r="O336" i="13"/>
  <c r="P297" i="13"/>
  <c r="O297" i="13"/>
  <c r="T175" i="13"/>
  <c r="H175" i="13"/>
  <c r="F175" i="13"/>
  <c r="G175" i="13"/>
  <c r="E175" i="13"/>
  <c r="C175" i="13"/>
  <c r="I175" i="13"/>
  <c r="S34" i="14"/>
  <c r="G34" i="14"/>
  <c r="E34" i="14"/>
  <c r="F34" i="14"/>
  <c r="D34" i="14"/>
  <c r="B34" i="14"/>
  <c r="S35" i="14"/>
  <c r="G35" i="14"/>
  <c r="E35" i="14"/>
  <c r="F35" i="14"/>
  <c r="D35" i="14"/>
  <c r="B35" i="14"/>
  <c r="S36" i="14"/>
  <c r="G36" i="14"/>
  <c r="E36" i="14"/>
  <c r="F36" i="14"/>
  <c r="D36" i="14"/>
  <c r="B36" i="14"/>
  <c r="S37" i="14"/>
  <c r="G37" i="14"/>
  <c r="E37" i="14"/>
  <c r="F37" i="14"/>
  <c r="D37" i="14"/>
  <c r="B37" i="14"/>
  <c r="S38" i="14"/>
  <c r="G38" i="14"/>
  <c r="E38" i="14"/>
  <c r="F38" i="14"/>
  <c r="D38" i="14"/>
  <c r="B38" i="14"/>
  <c r="S39" i="14"/>
  <c r="G39" i="14"/>
  <c r="E39" i="14"/>
  <c r="F39" i="14"/>
  <c r="D39" i="14"/>
  <c r="B39" i="14"/>
  <c r="S40" i="14"/>
  <c r="G40" i="14"/>
  <c r="E40" i="14"/>
  <c r="F40" i="14"/>
  <c r="D40" i="14"/>
  <c r="B40" i="14"/>
  <c r="S41" i="14"/>
  <c r="G41" i="14"/>
  <c r="E41" i="14"/>
  <c r="F41" i="14"/>
  <c r="D41" i="14"/>
  <c r="B41" i="14"/>
  <c r="S42" i="14"/>
  <c r="G42" i="14"/>
  <c r="E42" i="14"/>
  <c r="F42" i="14"/>
  <c r="D42" i="14"/>
  <c r="B42" i="14"/>
  <c r="S43" i="14"/>
  <c r="G43" i="14"/>
  <c r="E43" i="14"/>
  <c r="F43" i="14"/>
  <c r="D43" i="14"/>
  <c r="B43" i="14"/>
  <c r="S44" i="14"/>
  <c r="G44" i="14"/>
  <c r="E44" i="14"/>
  <c r="F44" i="14"/>
  <c r="D44" i="14"/>
  <c r="B44" i="14"/>
  <c r="S45" i="14"/>
  <c r="G45" i="14"/>
  <c r="E45" i="14"/>
  <c r="F45" i="14"/>
  <c r="D45" i="14"/>
  <c r="B45" i="14"/>
  <c r="S46" i="14"/>
  <c r="G46" i="14"/>
  <c r="E46" i="14"/>
  <c r="F46" i="14"/>
  <c r="D46" i="14"/>
  <c r="B46" i="14"/>
  <c r="S47" i="14"/>
  <c r="G47" i="14"/>
  <c r="E47" i="14"/>
  <c r="F47" i="14"/>
  <c r="D47" i="14"/>
  <c r="B47" i="14"/>
  <c r="S49" i="14"/>
  <c r="G49" i="14"/>
  <c r="E49" i="14"/>
  <c r="F49" i="14"/>
  <c r="D49" i="14"/>
  <c r="B49" i="14"/>
  <c r="S50" i="14"/>
  <c r="G50" i="14"/>
  <c r="E50" i="14"/>
  <c r="F50" i="14"/>
  <c r="D50" i="14"/>
  <c r="B50" i="14"/>
  <c r="S51" i="14"/>
  <c r="G51" i="14"/>
  <c r="E51" i="14"/>
  <c r="F51" i="14"/>
  <c r="D51" i="14"/>
  <c r="B51" i="14"/>
  <c r="S52" i="14"/>
  <c r="G52" i="14"/>
  <c r="E52" i="14"/>
  <c r="F52" i="14"/>
  <c r="D52" i="14"/>
  <c r="B52" i="14"/>
  <c r="S53" i="14"/>
  <c r="G53" i="14"/>
  <c r="E53" i="14"/>
  <c r="F53" i="14"/>
  <c r="D53" i="14"/>
  <c r="B53" i="14"/>
  <c r="S54" i="14"/>
  <c r="G54" i="14"/>
  <c r="E54" i="14"/>
  <c r="F54" i="14"/>
  <c r="D54" i="14"/>
  <c r="B54" i="14"/>
  <c r="S55" i="14"/>
  <c r="G55" i="14"/>
  <c r="E55" i="14"/>
  <c r="F55" i="14"/>
  <c r="D55" i="14"/>
  <c r="B55" i="14"/>
  <c r="S56" i="14"/>
  <c r="G56" i="14"/>
  <c r="E56" i="14"/>
  <c r="F56" i="14"/>
  <c r="D56" i="14"/>
  <c r="B56" i="14"/>
  <c r="S57" i="14"/>
  <c r="G57" i="14"/>
  <c r="E57" i="14"/>
  <c r="F57" i="14"/>
  <c r="D57" i="14"/>
  <c r="B57" i="14"/>
  <c r="S58" i="14"/>
  <c r="G58" i="14"/>
  <c r="E58" i="14"/>
  <c r="F58" i="14"/>
  <c r="D58" i="14"/>
  <c r="B58" i="14"/>
  <c r="S59" i="14"/>
  <c r="G59" i="14"/>
  <c r="E59" i="14"/>
  <c r="F59" i="14"/>
  <c r="D59" i="14"/>
  <c r="B59" i="14"/>
  <c r="S60" i="14"/>
  <c r="G60" i="14"/>
  <c r="E60" i="14"/>
  <c r="F60" i="14"/>
  <c r="D60" i="14"/>
  <c r="B60" i="14"/>
  <c r="S61" i="14"/>
  <c r="G61" i="14"/>
  <c r="B61" i="14"/>
  <c r="B62" i="14"/>
  <c r="S64" i="14"/>
  <c r="G64" i="14"/>
  <c r="B64" i="14"/>
  <c r="B86" i="14"/>
  <c r="P122" i="13"/>
  <c r="O122" i="13"/>
  <c r="P71" i="13"/>
  <c r="P70" i="13"/>
  <c r="P68" i="13"/>
  <c r="O71" i="13"/>
  <c r="O70" i="13"/>
  <c r="O68" i="13"/>
  <c r="T45" i="13"/>
  <c r="S33" i="14"/>
  <c r="G33" i="14"/>
  <c r="E33" i="14"/>
  <c r="F33" i="14"/>
  <c r="D33" i="14"/>
  <c r="B33" i="14"/>
  <c r="C278" i="13"/>
  <c r="S65" i="14"/>
  <c r="S66" i="14"/>
  <c r="G65" i="14"/>
  <c r="E65" i="14"/>
  <c r="F65" i="14"/>
  <c r="D65" i="14"/>
  <c r="B65" i="14"/>
  <c r="T167" i="13"/>
  <c r="T168" i="13"/>
  <c r="T173" i="13"/>
  <c r="T326" i="13"/>
  <c r="T286" i="13"/>
  <c r="T317" i="13"/>
  <c r="T324" i="13"/>
  <c r="T325" i="13"/>
  <c r="T323" i="13"/>
  <c r="H323" i="13"/>
  <c r="F323" i="13"/>
  <c r="G323" i="13"/>
  <c r="E323" i="13"/>
  <c r="C323" i="13"/>
  <c r="H286" i="13"/>
  <c r="F286" i="13"/>
  <c r="G286" i="13"/>
  <c r="E286" i="13"/>
  <c r="C286" i="13"/>
  <c r="T287" i="13"/>
  <c r="H287" i="13"/>
  <c r="F287" i="13"/>
  <c r="G287" i="13"/>
  <c r="E287" i="13"/>
  <c r="C287" i="13"/>
  <c r="T288" i="13"/>
  <c r="H288" i="13"/>
  <c r="F288" i="13"/>
  <c r="G288" i="13"/>
  <c r="E288" i="13"/>
  <c r="C288" i="13"/>
  <c r="T289" i="13"/>
  <c r="H289" i="13"/>
  <c r="F289" i="13"/>
  <c r="G289" i="13"/>
  <c r="E289" i="13"/>
  <c r="C289" i="13"/>
  <c r="T290" i="13"/>
  <c r="H290" i="13"/>
  <c r="F290" i="13"/>
  <c r="G290" i="13"/>
  <c r="E290" i="13"/>
  <c r="C290" i="13"/>
  <c r="T291" i="13"/>
  <c r="H291" i="13"/>
  <c r="F291" i="13"/>
  <c r="G291" i="13"/>
  <c r="E291" i="13"/>
  <c r="C291" i="13"/>
  <c r="T292" i="13"/>
  <c r="H292" i="13"/>
  <c r="F292" i="13"/>
  <c r="G292" i="13"/>
  <c r="E292" i="13"/>
  <c r="C292" i="13"/>
  <c r="T294" i="13"/>
  <c r="H294" i="13"/>
  <c r="F294" i="13"/>
  <c r="G294" i="13"/>
  <c r="E294" i="13"/>
  <c r="C294" i="13"/>
  <c r="T295" i="13"/>
  <c r="H295" i="13"/>
  <c r="F295" i="13"/>
  <c r="G295" i="13"/>
  <c r="E295" i="13"/>
  <c r="C295" i="13"/>
  <c r="T296" i="13"/>
  <c r="H296" i="13"/>
  <c r="F296" i="13"/>
  <c r="G296" i="13"/>
  <c r="E296" i="13"/>
  <c r="C296" i="13"/>
  <c r="T297" i="13"/>
  <c r="H297" i="13"/>
  <c r="F297" i="13"/>
  <c r="G297" i="13"/>
  <c r="E297" i="13"/>
  <c r="C297" i="13"/>
  <c r="T298" i="13"/>
  <c r="H298" i="13"/>
  <c r="F298" i="13"/>
  <c r="G298" i="13"/>
  <c r="E298" i="13"/>
  <c r="C298" i="13"/>
  <c r="T299" i="13"/>
  <c r="H299" i="13"/>
  <c r="F299" i="13"/>
  <c r="G299" i="13"/>
  <c r="E299" i="13"/>
  <c r="C299" i="13"/>
  <c r="T300" i="13"/>
  <c r="H300" i="13"/>
  <c r="F300" i="13"/>
  <c r="G300" i="13"/>
  <c r="E300" i="13"/>
  <c r="C300" i="13"/>
  <c r="T301" i="13"/>
  <c r="H301" i="13"/>
  <c r="F301" i="13"/>
  <c r="G301" i="13"/>
  <c r="E301" i="13"/>
  <c r="C301" i="13"/>
  <c r="T302" i="13"/>
  <c r="H302" i="13"/>
  <c r="F302" i="13"/>
  <c r="G302" i="13"/>
  <c r="E302" i="13"/>
  <c r="C302" i="13"/>
  <c r="T303" i="13"/>
  <c r="H303" i="13"/>
  <c r="F303" i="13"/>
  <c r="G303" i="13"/>
  <c r="E303" i="13"/>
  <c r="C303" i="13"/>
  <c r="T304" i="13"/>
  <c r="H304" i="13"/>
  <c r="F304" i="13"/>
  <c r="G304" i="13"/>
  <c r="E304" i="13"/>
  <c r="C304" i="13"/>
  <c r="T305" i="13"/>
  <c r="H305" i="13"/>
  <c r="F305" i="13"/>
  <c r="G305" i="13"/>
  <c r="E305" i="13"/>
  <c r="C305" i="13"/>
  <c r="T306" i="13"/>
  <c r="H306" i="13"/>
  <c r="F306" i="13"/>
  <c r="G306" i="13"/>
  <c r="E306" i="13"/>
  <c r="C306" i="13"/>
  <c r="T307" i="13"/>
  <c r="H307" i="13"/>
  <c r="F307" i="13"/>
  <c r="G307" i="13"/>
  <c r="E307" i="13"/>
  <c r="C307" i="13"/>
  <c r="T309" i="13"/>
  <c r="H309" i="13"/>
  <c r="F309" i="13"/>
  <c r="G309" i="13"/>
  <c r="E309" i="13"/>
  <c r="C309" i="13"/>
  <c r="T310" i="13"/>
  <c r="H310" i="13"/>
  <c r="F310" i="13"/>
  <c r="G310" i="13"/>
  <c r="E310" i="13"/>
  <c r="C310" i="13"/>
  <c r="T311" i="13"/>
  <c r="H311" i="13"/>
  <c r="F311" i="13"/>
  <c r="G311" i="13"/>
  <c r="E311" i="13"/>
  <c r="C311" i="13"/>
  <c r="T313" i="13"/>
  <c r="H313" i="13"/>
  <c r="F313" i="13"/>
  <c r="G313" i="13"/>
  <c r="E313" i="13"/>
  <c r="C313" i="13"/>
  <c r="T314" i="13"/>
  <c r="H314" i="13"/>
  <c r="F314" i="13"/>
  <c r="G314" i="13"/>
  <c r="E314" i="13"/>
  <c r="C314" i="13"/>
  <c r="T316" i="13"/>
  <c r="H316" i="13"/>
  <c r="F316" i="13"/>
  <c r="G316" i="13"/>
  <c r="E316" i="13"/>
  <c r="C316" i="13"/>
  <c r="H317" i="13"/>
  <c r="F317" i="13"/>
  <c r="G317" i="13"/>
  <c r="E317" i="13"/>
  <c r="C317" i="13"/>
  <c r="T318" i="13"/>
  <c r="H318" i="13"/>
  <c r="F318" i="13"/>
  <c r="G318" i="13"/>
  <c r="E318" i="13"/>
  <c r="C318" i="13"/>
  <c r="T319" i="13"/>
  <c r="H319" i="13"/>
  <c r="F319" i="13"/>
  <c r="G319" i="13"/>
  <c r="E319" i="13"/>
  <c r="C319" i="13"/>
  <c r="T320" i="13"/>
  <c r="H320" i="13"/>
  <c r="F320" i="13"/>
  <c r="G320" i="13"/>
  <c r="E320" i="13"/>
  <c r="C320" i="13"/>
  <c r="T321" i="13"/>
  <c r="H321" i="13"/>
  <c r="F321" i="13"/>
  <c r="G321" i="13"/>
  <c r="E321" i="13"/>
  <c r="C321" i="13"/>
  <c r="T322" i="13"/>
  <c r="H322" i="13"/>
  <c r="F322" i="13"/>
  <c r="G322" i="13"/>
  <c r="E322" i="13"/>
  <c r="C322" i="13"/>
  <c r="H324" i="13"/>
  <c r="F324" i="13"/>
  <c r="G324" i="13"/>
  <c r="E324" i="13"/>
  <c r="C324" i="13"/>
  <c r="H325" i="13"/>
  <c r="F325" i="13"/>
  <c r="G325" i="13"/>
  <c r="E325" i="13"/>
  <c r="C325" i="13"/>
  <c r="H326" i="13"/>
  <c r="F326" i="13"/>
  <c r="G326" i="13"/>
  <c r="E326" i="13"/>
  <c r="C326" i="13"/>
  <c r="C328" i="13"/>
  <c r="S78" i="14"/>
  <c r="G78" i="14"/>
  <c r="B78" i="14"/>
  <c r="S79" i="14"/>
  <c r="G79" i="14"/>
  <c r="E79" i="14"/>
  <c r="F79" i="14"/>
  <c r="D79" i="14"/>
  <c r="B79" i="14"/>
  <c r="S80" i="14"/>
  <c r="G80" i="14"/>
  <c r="E80" i="14"/>
  <c r="F80" i="14"/>
  <c r="D80" i="14"/>
  <c r="B80" i="14"/>
  <c r="S82" i="14"/>
  <c r="G82" i="14"/>
  <c r="E82" i="14"/>
  <c r="F82" i="14"/>
  <c r="D82" i="14"/>
  <c r="B82" i="14"/>
  <c r="S83" i="14"/>
  <c r="G83" i="14"/>
  <c r="E83" i="14"/>
  <c r="F83" i="14"/>
  <c r="D83" i="14"/>
  <c r="B83" i="14"/>
  <c r="S84" i="14"/>
  <c r="G84" i="14"/>
  <c r="E84" i="14"/>
  <c r="F84" i="14"/>
  <c r="D84" i="14"/>
  <c r="B84" i="14"/>
  <c r="S85" i="14"/>
  <c r="G85" i="14"/>
  <c r="B85" i="14"/>
  <c r="B73" i="14"/>
  <c r="C277" i="13"/>
  <c r="H85" i="14"/>
  <c r="F85" i="14"/>
  <c r="E85" i="14"/>
  <c r="D85" i="14"/>
  <c r="H83" i="14"/>
  <c r="H79" i="14"/>
  <c r="H78" i="14"/>
  <c r="F78" i="14"/>
  <c r="E78" i="14"/>
  <c r="D78" i="14"/>
  <c r="H65" i="14"/>
  <c r="H64" i="14"/>
  <c r="F64" i="14"/>
  <c r="E64" i="14"/>
  <c r="D64" i="14"/>
  <c r="H61" i="14"/>
  <c r="F61" i="14"/>
  <c r="E61" i="14"/>
  <c r="D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T616" i="13"/>
  <c r="H616" i="13"/>
  <c r="F616" i="13"/>
  <c r="G616" i="13"/>
  <c r="E616" i="13"/>
  <c r="C616" i="13"/>
  <c r="I616" i="13"/>
  <c r="T617" i="13"/>
  <c r="H617" i="13"/>
  <c r="F617" i="13"/>
  <c r="G617" i="13"/>
  <c r="E617" i="13"/>
  <c r="C617" i="13"/>
  <c r="I617" i="13"/>
  <c r="T618" i="13"/>
  <c r="H618" i="13"/>
  <c r="F618" i="13"/>
  <c r="G618" i="13"/>
  <c r="E618" i="13"/>
  <c r="C618" i="13"/>
  <c r="I618" i="13"/>
  <c r="T619" i="13"/>
  <c r="H619" i="13"/>
  <c r="F619" i="13"/>
  <c r="G619" i="13"/>
  <c r="E619" i="13"/>
  <c r="C619" i="13"/>
  <c r="I619" i="13"/>
  <c r="T620" i="13"/>
  <c r="H620" i="13"/>
  <c r="F620" i="13"/>
  <c r="G620" i="13"/>
  <c r="E620" i="13"/>
  <c r="C620" i="13"/>
  <c r="I620" i="13"/>
  <c r="T621" i="13"/>
  <c r="H621" i="13"/>
  <c r="F621" i="13"/>
  <c r="G621" i="13"/>
  <c r="E621" i="13"/>
  <c r="C621" i="13"/>
  <c r="I621" i="13"/>
  <c r="T622" i="13"/>
  <c r="H622" i="13"/>
  <c r="F622" i="13"/>
  <c r="G622" i="13"/>
  <c r="E622" i="13"/>
  <c r="C622" i="13"/>
  <c r="I622" i="13"/>
  <c r="T623" i="13"/>
  <c r="H623" i="13"/>
  <c r="F623" i="13"/>
  <c r="G623" i="13"/>
  <c r="E623" i="13"/>
  <c r="C623" i="13"/>
  <c r="I623" i="13"/>
  <c r="T624" i="13"/>
  <c r="H624" i="13"/>
  <c r="F624" i="13"/>
  <c r="G624" i="13"/>
  <c r="E624" i="13"/>
  <c r="C624" i="13"/>
  <c r="I624" i="13"/>
  <c r="T625" i="13"/>
  <c r="H625" i="13"/>
  <c r="F625" i="13"/>
  <c r="G625" i="13"/>
  <c r="E625" i="13"/>
  <c r="C625" i="13"/>
  <c r="I625" i="13"/>
  <c r="T626" i="13"/>
  <c r="H626" i="13"/>
  <c r="F626" i="13"/>
  <c r="G626" i="13"/>
  <c r="E626" i="13"/>
  <c r="C626" i="13"/>
  <c r="I626" i="13"/>
  <c r="T627" i="13"/>
  <c r="H627" i="13"/>
  <c r="F627" i="13"/>
  <c r="G627" i="13"/>
  <c r="E627" i="13"/>
  <c r="C627" i="13"/>
  <c r="I627" i="13"/>
  <c r="T628" i="13"/>
  <c r="H628" i="13"/>
  <c r="F628" i="13"/>
  <c r="G628" i="13"/>
  <c r="E628" i="13"/>
  <c r="C628" i="13"/>
  <c r="I628" i="13"/>
  <c r="T629" i="13"/>
  <c r="H629" i="13"/>
  <c r="F629" i="13"/>
  <c r="G629" i="13"/>
  <c r="E629" i="13"/>
  <c r="C629" i="13"/>
  <c r="I629" i="13"/>
  <c r="T630" i="13"/>
  <c r="H630" i="13"/>
  <c r="F630" i="13"/>
  <c r="G630" i="13"/>
  <c r="E630" i="13"/>
  <c r="C630" i="13"/>
  <c r="I630" i="13"/>
  <c r="T631" i="13"/>
  <c r="H631" i="13"/>
  <c r="F631" i="13"/>
  <c r="G631" i="13"/>
  <c r="E631" i="13"/>
  <c r="C631" i="13"/>
  <c r="I631" i="13"/>
  <c r="T632" i="13"/>
  <c r="H632" i="13"/>
  <c r="F632" i="13"/>
  <c r="G632" i="13"/>
  <c r="E632" i="13"/>
  <c r="C632" i="13"/>
  <c r="I632" i="13"/>
  <c r="T633" i="13"/>
  <c r="H633" i="13"/>
  <c r="F633" i="13"/>
  <c r="G633" i="13"/>
  <c r="E633" i="13"/>
  <c r="C633" i="13"/>
  <c r="I633" i="13"/>
  <c r="T634" i="13"/>
  <c r="H634" i="13"/>
  <c r="F634" i="13"/>
  <c r="G634" i="13"/>
  <c r="E634" i="13"/>
  <c r="C634" i="13"/>
  <c r="I634" i="13"/>
  <c r="T636" i="13"/>
  <c r="H636" i="13"/>
  <c r="F636" i="13"/>
  <c r="G636" i="13"/>
  <c r="E636" i="13"/>
  <c r="C636" i="13"/>
  <c r="I636" i="13"/>
  <c r="T637" i="13"/>
  <c r="H637" i="13"/>
  <c r="F637" i="13"/>
  <c r="G637" i="13"/>
  <c r="E637" i="13"/>
  <c r="C637" i="13"/>
  <c r="I637" i="13"/>
  <c r="T638" i="13"/>
  <c r="H638" i="13"/>
  <c r="F638" i="13"/>
  <c r="G638" i="13"/>
  <c r="E638" i="13"/>
  <c r="C638" i="13"/>
  <c r="I638" i="13"/>
  <c r="T639" i="13"/>
  <c r="H639" i="13"/>
  <c r="F639" i="13"/>
  <c r="G639" i="13"/>
  <c r="E639" i="13"/>
  <c r="C639" i="13"/>
  <c r="I639" i="13"/>
  <c r="T640" i="13"/>
  <c r="H640" i="13"/>
  <c r="F640" i="13"/>
  <c r="G640" i="13"/>
  <c r="E640" i="13"/>
  <c r="C640" i="13"/>
  <c r="I640" i="13"/>
  <c r="T642" i="13"/>
  <c r="H642" i="13"/>
  <c r="F642" i="13"/>
  <c r="G642" i="13"/>
  <c r="E642" i="13"/>
  <c r="C642" i="13"/>
  <c r="I642" i="13"/>
  <c r="T643" i="13"/>
  <c r="H643" i="13"/>
  <c r="F643" i="13"/>
  <c r="G643" i="13"/>
  <c r="E643" i="13"/>
  <c r="C643" i="13"/>
  <c r="I643" i="13"/>
  <c r="T644" i="13"/>
  <c r="H644" i="13"/>
  <c r="F644" i="13"/>
  <c r="G644" i="13"/>
  <c r="E644" i="13"/>
  <c r="C644" i="13"/>
  <c r="I644" i="13"/>
  <c r="T646" i="13"/>
  <c r="H646" i="13"/>
  <c r="F646" i="13"/>
  <c r="G646" i="13"/>
  <c r="E646" i="13"/>
  <c r="C646" i="13"/>
  <c r="I646" i="13"/>
  <c r="T647" i="13"/>
  <c r="H647" i="13"/>
  <c r="G647" i="13"/>
  <c r="F647" i="13"/>
  <c r="E647" i="13"/>
  <c r="C647" i="13"/>
  <c r="I647" i="13"/>
  <c r="I654" i="13"/>
  <c r="T8" i="13"/>
  <c r="T9" i="13"/>
  <c r="H8" i="13"/>
  <c r="C8" i="13"/>
  <c r="I8" i="13"/>
  <c r="T10" i="13"/>
  <c r="T11" i="13"/>
  <c r="H10" i="13"/>
  <c r="E10" i="13"/>
  <c r="C10" i="13"/>
  <c r="I10" i="13"/>
  <c r="T14" i="13"/>
  <c r="H14" i="13"/>
  <c r="C14" i="13"/>
  <c r="I14" i="13"/>
  <c r="T16" i="13"/>
  <c r="H16" i="13"/>
  <c r="F16" i="13"/>
  <c r="G16" i="13"/>
  <c r="E16" i="13"/>
  <c r="C16" i="13"/>
  <c r="I16" i="13"/>
  <c r="T17" i="13"/>
  <c r="H17" i="13"/>
  <c r="C17" i="13"/>
  <c r="I17" i="13"/>
  <c r="P20" i="13"/>
  <c r="O20" i="13"/>
  <c r="T20" i="13"/>
  <c r="I18" i="13"/>
  <c r="H20" i="13"/>
  <c r="F20" i="13"/>
  <c r="G20" i="13"/>
  <c r="E20" i="13"/>
  <c r="C20" i="13"/>
  <c r="I20" i="13"/>
  <c r="T21" i="13"/>
  <c r="H21" i="13"/>
  <c r="C21" i="13"/>
  <c r="I21" i="13"/>
  <c r="T22" i="13"/>
  <c r="H22" i="13"/>
  <c r="F22" i="13"/>
  <c r="G22" i="13"/>
  <c r="E22" i="13"/>
  <c r="C22" i="13"/>
  <c r="I22" i="13"/>
  <c r="T25" i="13"/>
  <c r="H25" i="13"/>
  <c r="C25" i="13"/>
  <c r="I25" i="13"/>
  <c r="T27" i="13"/>
  <c r="H27" i="13"/>
  <c r="C27" i="13"/>
  <c r="I27" i="13"/>
  <c r="T32" i="13"/>
  <c r="T28" i="13"/>
  <c r="H28" i="13"/>
  <c r="C28" i="13"/>
  <c r="I28" i="13"/>
  <c r="T29" i="13"/>
  <c r="H29" i="13"/>
  <c r="C29" i="13"/>
  <c r="I29" i="13"/>
  <c r="T31" i="13"/>
  <c r="I30" i="13"/>
  <c r="C31" i="13"/>
  <c r="I31" i="13"/>
  <c r="T33" i="13"/>
  <c r="I32" i="13"/>
  <c r="H33" i="13"/>
  <c r="F33" i="13"/>
  <c r="G33" i="13"/>
  <c r="E33" i="13"/>
  <c r="C33" i="13"/>
  <c r="I33" i="13"/>
  <c r="T35" i="13"/>
  <c r="H35" i="13"/>
  <c r="C35" i="13"/>
  <c r="I35" i="13"/>
  <c r="T271" i="13"/>
  <c r="T270" i="13"/>
  <c r="T279" i="13"/>
  <c r="T280" i="13"/>
  <c r="T284" i="13"/>
  <c r="T36" i="13"/>
  <c r="H36" i="13"/>
  <c r="C36" i="13"/>
  <c r="I36" i="13"/>
  <c r="T37" i="13"/>
  <c r="H37" i="13"/>
  <c r="F37" i="13"/>
  <c r="G37" i="13"/>
  <c r="E37" i="13"/>
  <c r="C37" i="13"/>
  <c r="I37" i="13"/>
  <c r="T39" i="13"/>
  <c r="T214" i="13"/>
  <c r="H214" i="13"/>
  <c r="T216" i="13"/>
  <c r="H216" i="13"/>
  <c r="T215" i="13"/>
  <c r="H215" i="13"/>
  <c r="T213" i="13"/>
  <c r="H213" i="13"/>
  <c r="T188" i="13"/>
  <c r="H188" i="13"/>
  <c r="T169" i="13"/>
  <c r="H169" i="13"/>
  <c r="T232" i="13"/>
  <c r="H232" i="13"/>
  <c r="H39" i="13"/>
  <c r="F39" i="13"/>
  <c r="G39" i="13"/>
  <c r="E39" i="13"/>
  <c r="C39" i="13"/>
  <c r="I39" i="13"/>
  <c r="T40" i="13"/>
  <c r="H40" i="13"/>
  <c r="F40" i="13"/>
  <c r="G40" i="13"/>
  <c r="E40" i="13"/>
  <c r="C40" i="13"/>
  <c r="I40" i="13"/>
  <c r="T41" i="13"/>
  <c r="H41" i="13"/>
  <c r="C41" i="13"/>
  <c r="I41" i="13"/>
  <c r="T42" i="13"/>
  <c r="H42" i="13"/>
  <c r="C42" i="13"/>
  <c r="I42" i="13"/>
  <c r="T43" i="13"/>
  <c r="H43" i="13"/>
  <c r="C43" i="13"/>
  <c r="I43" i="13"/>
  <c r="I77" i="13"/>
  <c r="I81" i="13"/>
  <c r="T57" i="13"/>
  <c r="H57" i="13"/>
  <c r="C57" i="13"/>
  <c r="I57" i="13"/>
  <c r="T59" i="13"/>
  <c r="I58" i="13"/>
  <c r="H59" i="13"/>
  <c r="C59" i="13"/>
  <c r="I59" i="13"/>
  <c r="T65" i="13"/>
  <c r="T62" i="13"/>
  <c r="T61" i="13"/>
  <c r="I60" i="13"/>
  <c r="I61" i="13"/>
  <c r="I62" i="13"/>
  <c r="T64" i="13"/>
  <c r="I64" i="13"/>
  <c r="I65" i="13"/>
  <c r="I66" i="13"/>
  <c r="I85" i="13"/>
  <c r="T103" i="13"/>
  <c r="T108" i="13"/>
  <c r="T105" i="13"/>
  <c r="I101" i="13"/>
  <c r="I99" i="13"/>
  <c r="I109" i="13"/>
  <c r="T658" i="13"/>
  <c r="H658" i="13"/>
  <c r="I658" i="13"/>
  <c r="T659" i="13"/>
  <c r="H659" i="13"/>
  <c r="I659" i="13"/>
  <c r="T660" i="13"/>
  <c r="H660" i="13"/>
  <c r="I660" i="13"/>
  <c r="T661" i="13"/>
  <c r="H661" i="13"/>
  <c r="I661" i="13"/>
  <c r="T662" i="13"/>
  <c r="H662" i="13"/>
  <c r="I662" i="13"/>
  <c r="T663" i="13"/>
  <c r="H663" i="13"/>
  <c r="I663" i="13"/>
  <c r="T664" i="13"/>
  <c r="H664" i="13"/>
  <c r="I664" i="13"/>
  <c r="T665" i="13"/>
  <c r="H665" i="13"/>
  <c r="I665" i="13"/>
  <c r="T666" i="13"/>
  <c r="H666" i="13"/>
  <c r="I666" i="13"/>
  <c r="T667" i="13"/>
  <c r="H667" i="13"/>
  <c r="I667" i="13"/>
  <c r="T668" i="13"/>
  <c r="H668" i="13"/>
  <c r="I668" i="13"/>
  <c r="T669" i="13"/>
  <c r="H669" i="13"/>
  <c r="I669" i="13"/>
  <c r="T670" i="13"/>
  <c r="H670" i="13"/>
  <c r="I670" i="13"/>
  <c r="T671" i="13"/>
  <c r="H671" i="13"/>
  <c r="I671" i="13"/>
  <c r="T672" i="13"/>
  <c r="H672" i="13"/>
  <c r="I672" i="13"/>
  <c r="T673" i="13"/>
  <c r="H673" i="13"/>
  <c r="I673" i="13"/>
  <c r="T674" i="13"/>
  <c r="H674" i="13"/>
  <c r="I674" i="13"/>
  <c r="T675" i="13"/>
  <c r="H675" i="13"/>
  <c r="I675" i="13"/>
  <c r="T676" i="13"/>
  <c r="H676" i="13"/>
  <c r="I676" i="13"/>
  <c r="T677" i="13"/>
  <c r="H677" i="13"/>
  <c r="I677" i="13"/>
  <c r="T678" i="13"/>
  <c r="H678" i="13"/>
  <c r="I678" i="13"/>
  <c r="T679" i="13"/>
  <c r="H679" i="13"/>
  <c r="F679" i="13"/>
  <c r="G679" i="13"/>
  <c r="E679" i="13"/>
  <c r="C679" i="13"/>
  <c r="I679" i="13"/>
  <c r="T680" i="13"/>
  <c r="H680" i="13"/>
  <c r="I680" i="13"/>
  <c r="T681" i="13"/>
  <c r="H681" i="13"/>
  <c r="I681" i="13"/>
  <c r="T682" i="13"/>
  <c r="H682" i="13"/>
  <c r="I682" i="13"/>
  <c r="T683" i="13"/>
  <c r="H683" i="13"/>
  <c r="I683" i="13"/>
  <c r="T684" i="13"/>
  <c r="H684" i="13"/>
  <c r="I684" i="13"/>
  <c r="T685" i="13"/>
  <c r="H685" i="13"/>
  <c r="I685" i="13"/>
  <c r="T686" i="13"/>
  <c r="H686" i="13"/>
  <c r="I686" i="13"/>
  <c r="T689" i="13"/>
  <c r="H689" i="13"/>
  <c r="I689" i="13"/>
  <c r="I706" i="13"/>
  <c r="I709" i="13"/>
  <c r="I729" i="13"/>
  <c r="T102" i="13"/>
  <c r="H101" i="13"/>
  <c r="H109" i="13"/>
  <c r="H709" i="13"/>
  <c r="H729" i="13"/>
  <c r="E709" i="13"/>
  <c r="E729" i="13"/>
  <c r="D709" i="13"/>
  <c r="D720" i="13"/>
  <c r="D726" i="13"/>
  <c r="D729" i="13"/>
  <c r="T98" i="13"/>
  <c r="T99" i="13"/>
  <c r="H98" i="13"/>
  <c r="E98" i="13"/>
  <c r="C98" i="13"/>
  <c r="T46" i="13"/>
  <c r="H46" i="13"/>
  <c r="C46" i="13"/>
  <c r="T96" i="13"/>
  <c r="H96" i="13"/>
  <c r="E96" i="13"/>
  <c r="C96" i="13"/>
  <c r="C13" i="13"/>
  <c r="T18" i="13"/>
  <c r="H18" i="13"/>
  <c r="E18" i="13"/>
  <c r="C18" i="13"/>
  <c r="E19" i="13"/>
  <c r="C19" i="13"/>
  <c r="T30" i="13"/>
  <c r="H30" i="13"/>
  <c r="F30" i="13"/>
  <c r="G30" i="13"/>
  <c r="E30" i="13"/>
  <c r="C30" i="13"/>
  <c r="H32" i="13"/>
  <c r="F32" i="13"/>
  <c r="G32" i="13"/>
  <c r="E32" i="13"/>
  <c r="C32" i="13"/>
  <c r="T44" i="13"/>
  <c r="H44" i="13"/>
  <c r="F44" i="13"/>
  <c r="G44" i="13"/>
  <c r="E44" i="13"/>
  <c r="C44" i="13"/>
  <c r="H45" i="13"/>
  <c r="C45" i="13"/>
  <c r="T47" i="13"/>
  <c r="H47" i="13"/>
  <c r="C47" i="13"/>
  <c r="T48" i="13"/>
  <c r="H48" i="13"/>
  <c r="C48" i="13"/>
  <c r="T225" i="13"/>
  <c r="T223" i="13"/>
  <c r="T227" i="13"/>
  <c r="T226" i="13"/>
  <c r="T228" i="13"/>
  <c r="T49" i="13"/>
  <c r="H49" i="13"/>
  <c r="C49" i="13"/>
  <c r="T53" i="13"/>
  <c r="H53" i="13"/>
  <c r="F53" i="13"/>
  <c r="G53" i="13"/>
  <c r="E53" i="13"/>
  <c r="C53" i="13"/>
  <c r="C54" i="13"/>
  <c r="T71" i="13"/>
  <c r="C69" i="13"/>
  <c r="T70" i="13"/>
  <c r="H70" i="13"/>
  <c r="C70" i="13"/>
  <c r="T72" i="13"/>
  <c r="T73" i="13"/>
  <c r="T68" i="13"/>
  <c r="F658" i="13"/>
  <c r="G658" i="13"/>
  <c r="E658" i="13"/>
  <c r="C658" i="13"/>
  <c r="F659" i="13"/>
  <c r="G659" i="13"/>
  <c r="E659" i="13"/>
  <c r="C659" i="13"/>
  <c r="F660" i="13"/>
  <c r="G660" i="13"/>
  <c r="E660" i="13"/>
  <c r="C660" i="13"/>
  <c r="F661" i="13"/>
  <c r="G661" i="13"/>
  <c r="E661" i="13"/>
  <c r="C661" i="13"/>
  <c r="F662" i="13"/>
  <c r="G662" i="13"/>
  <c r="E662" i="13"/>
  <c r="C662" i="13"/>
  <c r="F663" i="13"/>
  <c r="G663" i="13"/>
  <c r="E663" i="13"/>
  <c r="C663" i="13"/>
  <c r="F664" i="13"/>
  <c r="G664" i="13"/>
  <c r="E664" i="13"/>
  <c r="C664" i="13"/>
  <c r="F665" i="13"/>
  <c r="G665" i="13"/>
  <c r="E665" i="13"/>
  <c r="C665" i="13"/>
  <c r="F666" i="13"/>
  <c r="G666" i="13"/>
  <c r="E666" i="13"/>
  <c r="C666" i="13"/>
  <c r="F667" i="13"/>
  <c r="G667" i="13"/>
  <c r="E667" i="13"/>
  <c r="C667" i="13"/>
  <c r="F668" i="13"/>
  <c r="G668" i="13"/>
  <c r="E668" i="13"/>
  <c r="C668" i="13"/>
  <c r="F669" i="13"/>
  <c r="G669" i="13"/>
  <c r="E669" i="13"/>
  <c r="C669" i="13"/>
  <c r="F670" i="13"/>
  <c r="G670" i="13"/>
  <c r="E670" i="13"/>
  <c r="C670" i="13"/>
  <c r="F671" i="13"/>
  <c r="G671" i="13"/>
  <c r="E671" i="13"/>
  <c r="C671" i="13"/>
  <c r="F672" i="13"/>
  <c r="G672" i="13"/>
  <c r="E672" i="13"/>
  <c r="C672" i="13"/>
  <c r="F673" i="13"/>
  <c r="G673" i="13"/>
  <c r="E673" i="13"/>
  <c r="C673" i="13"/>
  <c r="F674" i="13"/>
  <c r="G674" i="13"/>
  <c r="E674" i="13"/>
  <c r="C674" i="13"/>
  <c r="F675" i="13"/>
  <c r="G675" i="13"/>
  <c r="E675" i="13"/>
  <c r="C675" i="13"/>
  <c r="F676" i="13"/>
  <c r="G676" i="13"/>
  <c r="E676" i="13"/>
  <c r="C676" i="13"/>
  <c r="F677" i="13"/>
  <c r="G677" i="13"/>
  <c r="E677" i="13"/>
  <c r="C677" i="13"/>
  <c r="F678" i="13"/>
  <c r="G678" i="13"/>
  <c r="E678" i="13"/>
  <c r="C678" i="13"/>
  <c r="F680" i="13"/>
  <c r="G680" i="13"/>
  <c r="E680" i="13"/>
  <c r="C680" i="13"/>
  <c r="F681" i="13"/>
  <c r="G681" i="13"/>
  <c r="E681" i="13"/>
  <c r="C681" i="13"/>
  <c r="F682" i="13"/>
  <c r="G682" i="13"/>
  <c r="E682" i="13"/>
  <c r="C682" i="13"/>
  <c r="F683" i="13"/>
  <c r="G683" i="13"/>
  <c r="E683" i="13"/>
  <c r="C683" i="13"/>
  <c r="F684" i="13"/>
  <c r="G684" i="13"/>
  <c r="E684" i="13"/>
  <c r="C684" i="13"/>
  <c r="F685" i="13"/>
  <c r="G685" i="13"/>
  <c r="E685" i="13"/>
  <c r="C685" i="13"/>
  <c r="F686" i="13"/>
  <c r="G686" i="13"/>
  <c r="E686" i="13"/>
  <c r="C686" i="13"/>
  <c r="F689" i="13"/>
  <c r="G689" i="13"/>
  <c r="E689" i="13"/>
  <c r="C689" i="13"/>
  <c r="T693" i="13"/>
  <c r="H693" i="13"/>
  <c r="F693" i="13"/>
  <c r="G693" i="13"/>
  <c r="E693" i="13"/>
  <c r="C693" i="13"/>
  <c r="T694" i="13"/>
  <c r="H694" i="13"/>
  <c r="F694" i="13"/>
  <c r="G694" i="13"/>
  <c r="E694" i="13"/>
  <c r="C694" i="13"/>
  <c r="T696" i="13"/>
  <c r="H696" i="13"/>
  <c r="F696" i="13"/>
  <c r="G696" i="13"/>
  <c r="E696" i="13"/>
  <c r="C696" i="13"/>
  <c r="C706" i="13"/>
  <c r="C71" i="13"/>
  <c r="H72" i="13"/>
  <c r="C72" i="13"/>
  <c r="H73" i="13"/>
  <c r="F73" i="13"/>
  <c r="G73" i="13"/>
  <c r="E73" i="13"/>
  <c r="C73" i="13"/>
  <c r="C74" i="13"/>
  <c r="T77" i="13"/>
  <c r="T78" i="13"/>
  <c r="C77" i="13"/>
  <c r="C81" i="13"/>
  <c r="T58" i="13"/>
  <c r="H58" i="13"/>
  <c r="C58" i="13"/>
  <c r="T60" i="13"/>
  <c r="C60" i="13"/>
  <c r="H61" i="13"/>
  <c r="C61" i="13"/>
  <c r="C62" i="13"/>
  <c r="H64" i="13"/>
  <c r="C64" i="13"/>
  <c r="H65" i="13"/>
  <c r="C65" i="13"/>
  <c r="C66" i="13"/>
  <c r="T83" i="13"/>
  <c r="H83" i="13"/>
  <c r="E83" i="13"/>
  <c r="C83" i="13"/>
  <c r="T377" i="13"/>
  <c r="T343" i="13"/>
  <c r="T362" i="13"/>
  <c r="T376" i="13"/>
  <c r="T172" i="13"/>
  <c r="T84" i="13"/>
  <c r="H84" i="13"/>
  <c r="E84" i="13"/>
  <c r="C84" i="13"/>
  <c r="C85" i="13"/>
  <c r="F101" i="13"/>
  <c r="G101" i="13"/>
  <c r="E101" i="13"/>
  <c r="C101" i="13"/>
  <c r="C109" i="13"/>
  <c r="T114" i="13"/>
  <c r="H114" i="13"/>
  <c r="C114" i="13"/>
  <c r="T115" i="13"/>
  <c r="H115" i="13"/>
  <c r="F115" i="13"/>
  <c r="G115" i="13"/>
  <c r="E115" i="13"/>
  <c r="C115" i="13"/>
  <c r="T116" i="13"/>
  <c r="H116" i="13"/>
  <c r="F116" i="13"/>
  <c r="G116" i="13"/>
  <c r="E116" i="13"/>
  <c r="C116" i="13"/>
  <c r="T117" i="13"/>
  <c r="H117" i="13"/>
  <c r="F117" i="13"/>
  <c r="G117" i="13"/>
  <c r="E117" i="13"/>
  <c r="C117" i="13"/>
  <c r="T118" i="13"/>
  <c r="H118" i="13"/>
  <c r="F118" i="13"/>
  <c r="G118" i="13"/>
  <c r="E118" i="13"/>
  <c r="C118" i="13"/>
  <c r="T119" i="13"/>
  <c r="H119" i="13"/>
  <c r="F119" i="13"/>
  <c r="G119" i="13"/>
  <c r="E119" i="13"/>
  <c r="C119" i="13"/>
  <c r="T121" i="13"/>
  <c r="H121" i="13"/>
  <c r="F121" i="13"/>
  <c r="G121" i="13"/>
  <c r="E121" i="13"/>
  <c r="C121" i="13"/>
  <c r="T122" i="13"/>
  <c r="H122" i="13"/>
  <c r="F122" i="13"/>
  <c r="G122" i="13"/>
  <c r="E122" i="13"/>
  <c r="C122" i="13"/>
  <c r="T123" i="13"/>
  <c r="H123" i="13"/>
  <c r="F123" i="13"/>
  <c r="G123" i="13"/>
  <c r="E123" i="13"/>
  <c r="C123" i="13"/>
  <c r="T124" i="13"/>
  <c r="H124" i="13"/>
  <c r="F124" i="13"/>
  <c r="G124" i="13"/>
  <c r="E124" i="13"/>
  <c r="C124" i="13"/>
  <c r="T126" i="13"/>
  <c r="H126" i="13"/>
  <c r="F126" i="13"/>
  <c r="G126" i="13"/>
  <c r="E126" i="13"/>
  <c r="C126" i="13"/>
  <c r="T127" i="13"/>
  <c r="H127" i="13"/>
  <c r="F127" i="13"/>
  <c r="G127" i="13"/>
  <c r="E127" i="13"/>
  <c r="C127" i="13"/>
  <c r="T128" i="13"/>
  <c r="H128" i="13"/>
  <c r="F128" i="13"/>
  <c r="G128" i="13"/>
  <c r="E128" i="13"/>
  <c r="C128" i="13"/>
  <c r="T129" i="13"/>
  <c r="H129" i="13"/>
  <c r="F129" i="13"/>
  <c r="G129" i="13"/>
  <c r="E129" i="13"/>
  <c r="C129" i="13"/>
  <c r="T130" i="13"/>
  <c r="H130" i="13"/>
  <c r="F130" i="13"/>
  <c r="G130" i="13"/>
  <c r="E130" i="13"/>
  <c r="C130" i="13"/>
  <c r="C132" i="13"/>
  <c r="T166" i="13"/>
  <c r="H166" i="13"/>
  <c r="F166" i="13"/>
  <c r="G166" i="13"/>
  <c r="E166" i="13"/>
  <c r="C166" i="13"/>
  <c r="H167" i="13"/>
  <c r="F167" i="13"/>
  <c r="G167" i="13"/>
  <c r="E167" i="13"/>
  <c r="C167" i="13"/>
  <c r="H168" i="13"/>
  <c r="F168" i="13"/>
  <c r="G168" i="13"/>
  <c r="E168" i="13"/>
  <c r="C168" i="13"/>
  <c r="F169" i="13"/>
  <c r="G169" i="13"/>
  <c r="E169" i="13"/>
  <c r="C169" i="13"/>
  <c r="T170" i="13"/>
  <c r="H170" i="13"/>
  <c r="F170" i="13"/>
  <c r="G170" i="13"/>
  <c r="E170" i="13"/>
  <c r="C170" i="13"/>
  <c r="T171" i="13"/>
  <c r="H171" i="13"/>
  <c r="F171" i="13"/>
  <c r="G171" i="13"/>
  <c r="E171" i="13"/>
  <c r="C171" i="13"/>
  <c r="H172" i="13"/>
  <c r="F172" i="13"/>
  <c r="G172" i="13"/>
  <c r="E172" i="13"/>
  <c r="C172" i="13"/>
  <c r="H173" i="13"/>
  <c r="F173" i="13"/>
  <c r="G173" i="13"/>
  <c r="E173" i="13"/>
  <c r="C173" i="13"/>
  <c r="T174" i="13"/>
  <c r="H174" i="13"/>
  <c r="F174" i="13"/>
  <c r="G174" i="13"/>
  <c r="E174" i="13"/>
  <c r="C174" i="13"/>
  <c r="T176" i="13"/>
  <c r="H176" i="13"/>
  <c r="F176" i="13"/>
  <c r="G176" i="13"/>
  <c r="E176" i="13"/>
  <c r="C176" i="13"/>
  <c r="T177" i="13"/>
  <c r="H177" i="13"/>
  <c r="F177" i="13"/>
  <c r="G177" i="13"/>
  <c r="E177" i="13"/>
  <c r="C177" i="13"/>
  <c r="T178" i="13"/>
  <c r="H178" i="13"/>
  <c r="G178" i="13"/>
  <c r="F178" i="13"/>
  <c r="E178" i="13"/>
  <c r="C178" i="13"/>
  <c r="T179" i="13"/>
  <c r="H179" i="13"/>
  <c r="F179" i="13"/>
  <c r="G179" i="13"/>
  <c r="E179" i="13"/>
  <c r="C179" i="13"/>
  <c r="T180" i="13"/>
  <c r="H180" i="13"/>
  <c r="F180" i="13"/>
  <c r="G180" i="13"/>
  <c r="E180" i="13"/>
  <c r="C180" i="13"/>
  <c r="T181" i="13"/>
  <c r="H181" i="13"/>
  <c r="F181" i="13"/>
  <c r="G181" i="13"/>
  <c r="E181" i="13"/>
  <c r="C181" i="13"/>
  <c r="T182" i="13"/>
  <c r="H182" i="13"/>
  <c r="F182" i="13"/>
  <c r="G182" i="13"/>
  <c r="E182" i="13"/>
  <c r="C182" i="13"/>
  <c r="T183" i="13"/>
  <c r="H183" i="13"/>
  <c r="F183" i="13"/>
  <c r="G183" i="13"/>
  <c r="E183" i="13"/>
  <c r="C183" i="13"/>
  <c r="T184" i="13"/>
  <c r="H184" i="13"/>
  <c r="F184" i="13"/>
  <c r="G184" i="13"/>
  <c r="E184" i="13"/>
  <c r="C184" i="13"/>
  <c r="T185" i="13"/>
  <c r="H185" i="13"/>
  <c r="G185" i="13"/>
  <c r="F185" i="13"/>
  <c r="E185" i="13"/>
  <c r="C185" i="13"/>
  <c r="T186" i="13"/>
  <c r="H186" i="13"/>
  <c r="F186" i="13"/>
  <c r="G186" i="13"/>
  <c r="E186" i="13"/>
  <c r="C186" i="13"/>
  <c r="T187" i="13"/>
  <c r="H187" i="13"/>
  <c r="F187" i="13"/>
  <c r="G187" i="13"/>
  <c r="E187" i="13"/>
  <c r="C187" i="13"/>
  <c r="F188" i="13"/>
  <c r="G188" i="13"/>
  <c r="E188" i="13"/>
  <c r="C188" i="13"/>
  <c r="T189" i="13"/>
  <c r="H189" i="13"/>
  <c r="F189" i="13"/>
  <c r="G189" i="13"/>
  <c r="E189" i="13"/>
  <c r="C189" i="13"/>
  <c r="T190" i="13"/>
  <c r="H190" i="13"/>
  <c r="F190" i="13"/>
  <c r="G190" i="13"/>
  <c r="E190" i="13"/>
  <c r="C190" i="13"/>
  <c r="T191" i="13"/>
  <c r="H191" i="13"/>
  <c r="F191" i="13"/>
  <c r="G191" i="13"/>
  <c r="E191" i="13"/>
  <c r="C191" i="13"/>
  <c r="T192" i="13"/>
  <c r="H192" i="13"/>
  <c r="F192" i="13"/>
  <c r="G192" i="13"/>
  <c r="E192" i="13"/>
  <c r="C192" i="13"/>
  <c r="T193" i="13"/>
  <c r="H193" i="13"/>
  <c r="F193" i="13"/>
  <c r="G193" i="13"/>
  <c r="E193" i="13"/>
  <c r="C193" i="13"/>
  <c r="T194" i="13"/>
  <c r="H194" i="13"/>
  <c r="G194" i="13"/>
  <c r="F194" i="13"/>
  <c r="E194" i="13"/>
  <c r="C194" i="13"/>
  <c r="T195" i="13"/>
  <c r="H195" i="13"/>
  <c r="G195" i="13"/>
  <c r="F195" i="13"/>
  <c r="E195" i="13"/>
  <c r="C195" i="13"/>
  <c r="T196" i="13"/>
  <c r="H196" i="13"/>
  <c r="F196" i="13"/>
  <c r="G196" i="13"/>
  <c r="E196" i="13"/>
  <c r="C196" i="13"/>
  <c r="T197" i="13"/>
  <c r="H197" i="13"/>
  <c r="F197" i="13"/>
  <c r="G197" i="13"/>
  <c r="E197" i="13"/>
  <c r="C197" i="13"/>
  <c r="T198" i="13"/>
  <c r="H198" i="13"/>
  <c r="F198" i="13"/>
  <c r="G198" i="13"/>
  <c r="E198" i="13"/>
  <c r="C198" i="13"/>
  <c r="T199" i="13"/>
  <c r="H199" i="13"/>
  <c r="G199" i="13"/>
  <c r="F199" i="13"/>
  <c r="E199" i="13"/>
  <c r="C199" i="13"/>
  <c r="T200" i="13"/>
  <c r="H200" i="13"/>
  <c r="F200" i="13"/>
  <c r="G200" i="13"/>
  <c r="E200" i="13"/>
  <c r="C200" i="13"/>
  <c r="T201" i="13"/>
  <c r="H201" i="13"/>
  <c r="F201" i="13"/>
  <c r="G201" i="13"/>
  <c r="E201" i="13"/>
  <c r="C201" i="13"/>
  <c r="T202" i="13"/>
  <c r="H202" i="13"/>
  <c r="F202" i="13"/>
  <c r="G202" i="13"/>
  <c r="E202" i="13"/>
  <c r="C202" i="13"/>
  <c r="T203" i="13"/>
  <c r="H203" i="13"/>
  <c r="F203" i="13"/>
  <c r="G203" i="13"/>
  <c r="E203" i="13"/>
  <c r="C203" i="13"/>
  <c r="T204" i="13"/>
  <c r="H204" i="13"/>
  <c r="F204" i="13"/>
  <c r="G204" i="13"/>
  <c r="E204" i="13"/>
  <c r="C204" i="13"/>
  <c r="T205" i="13"/>
  <c r="H205" i="13"/>
  <c r="F205" i="13"/>
  <c r="G205" i="13"/>
  <c r="E205" i="13"/>
  <c r="C205" i="13"/>
  <c r="T206" i="13"/>
  <c r="H206" i="13"/>
  <c r="F206" i="13"/>
  <c r="G206" i="13"/>
  <c r="E206" i="13"/>
  <c r="C206" i="13"/>
  <c r="T207" i="13"/>
  <c r="H207" i="13"/>
  <c r="F207" i="13"/>
  <c r="G207" i="13"/>
  <c r="E207" i="13"/>
  <c r="C207" i="13"/>
  <c r="T208" i="13"/>
  <c r="H208" i="13"/>
  <c r="G208" i="13"/>
  <c r="F208" i="13"/>
  <c r="E208" i="13"/>
  <c r="C208" i="13"/>
  <c r="T209" i="13"/>
  <c r="H209" i="13"/>
  <c r="F209" i="13"/>
  <c r="G209" i="13"/>
  <c r="E209" i="13"/>
  <c r="C209" i="13"/>
  <c r="T210" i="13"/>
  <c r="H210" i="13"/>
  <c r="F210" i="13"/>
  <c r="G210" i="13"/>
  <c r="E210" i="13"/>
  <c r="C210" i="13"/>
  <c r="T211" i="13"/>
  <c r="H211" i="13"/>
  <c r="F211" i="13"/>
  <c r="G211" i="13"/>
  <c r="E211" i="13"/>
  <c r="C211" i="13"/>
  <c r="T212" i="13"/>
  <c r="H212" i="13"/>
  <c r="F212" i="13"/>
  <c r="G212" i="13"/>
  <c r="E212" i="13"/>
  <c r="C212" i="13"/>
  <c r="G213" i="13"/>
  <c r="F213" i="13"/>
  <c r="E213" i="13"/>
  <c r="C213" i="13"/>
  <c r="F214" i="13"/>
  <c r="G214" i="13"/>
  <c r="E214" i="13"/>
  <c r="C214" i="13"/>
  <c r="F215" i="13"/>
  <c r="G215" i="13"/>
  <c r="E215" i="13"/>
  <c r="C215" i="13"/>
  <c r="F216" i="13"/>
  <c r="G216" i="13"/>
  <c r="E216" i="13"/>
  <c r="C216" i="13"/>
  <c r="T217" i="13"/>
  <c r="H217" i="13"/>
  <c r="F217" i="13"/>
  <c r="G217" i="13"/>
  <c r="E217" i="13"/>
  <c r="C217" i="13"/>
  <c r="T218" i="13"/>
  <c r="H218" i="13"/>
  <c r="G218" i="13"/>
  <c r="F218" i="13"/>
  <c r="E218" i="13"/>
  <c r="C218" i="13"/>
  <c r="T219" i="13"/>
  <c r="H219" i="13"/>
  <c r="F219" i="13"/>
  <c r="G219" i="13"/>
  <c r="E219" i="13"/>
  <c r="C219" i="13"/>
  <c r="T220" i="13"/>
  <c r="H220" i="13"/>
  <c r="G220" i="13"/>
  <c r="F220" i="13"/>
  <c r="E220" i="13"/>
  <c r="C220" i="13"/>
  <c r="T221" i="13"/>
  <c r="H221" i="13"/>
  <c r="F221" i="13"/>
  <c r="G221" i="13"/>
  <c r="E221" i="13"/>
  <c r="C221" i="13"/>
  <c r="T222" i="13"/>
  <c r="H222" i="13"/>
  <c r="F222" i="13"/>
  <c r="G222" i="13"/>
  <c r="E222" i="13"/>
  <c r="C222" i="13"/>
  <c r="H223" i="13"/>
  <c r="F223" i="13"/>
  <c r="G223" i="13"/>
  <c r="E223" i="13"/>
  <c r="C223" i="13"/>
  <c r="T224" i="13"/>
  <c r="H224" i="13"/>
  <c r="F224" i="13"/>
  <c r="G224" i="13"/>
  <c r="E224" i="13"/>
  <c r="C224" i="13"/>
  <c r="H225" i="13"/>
  <c r="F225" i="13"/>
  <c r="G225" i="13"/>
  <c r="E225" i="13"/>
  <c r="C225" i="13"/>
  <c r="H226" i="13"/>
  <c r="F226" i="13"/>
  <c r="G226" i="13"/>
  <c r="E226" i="13"/>
  <c r="C226" i="13"/>
  <c r="H227" i="13"/>
  <c r="F227" i="13"/>
  <c r="G227" i="13"/>
  <c r="E227" i="13"/>
  <c r="C227" i="13"/>
  <c r="H228" i="13"/>
  <c r="F228" i="13"/>
  <c r="G228" i="13"/>
  <c r="E228" i="13"/>
  <c r="C228" i="13"/>
  <c r="T229" i="13"/>
  <c r="H229" i="13"/>
  <c r="F229" i="13"/>
  <c r="G229" i="13"/>
  <c r="E229" i="13"/>
  <c r="C229" i="13"/>
  <c r="T230" i="13"/>
  <c r="H230" i="13"/>
  <c r="F230" i="13"/>
  <c r="G230" i="13"/>
  <c r="E230" i="13"/>
  <c r="C230" i="13"/>
  <c r="T231" i="13"/>
  <c r="H231" i="13"/>
  <c r="F231" i="13"/>
  <c r="G231" i="13"/>
  <c r="E231" i="13"/>
  <c r="C231" i="13"/>
  <c r="G232" i="13"/>
  <c r="F232" i="13"/>
  <c r="E232" i="13"/>
  <c r="C232" i="13"/>
  <c r="T243" i="13"/>
  <c r="H243" i="13"/>
  <c r="F243" i="13"/>
  <c r="G243" i="13"/>
  <c r="E243" i="13"/>
  <c r="C243" i="13"/>
  <c r="T244" i="13"/>
  <c r="H244" i="13"/>
  <c r="F244" i="13"/>
  <c r="G244" i="13"/>
  <c r="E244" i="13"/>
  <c r="C244" i="13"/>
  <c r="T245" i="13"/>
  <c r="H245" i="13"/>
  <c r="F245" i="13"/>
  <c r="G245" i="13"/>
  <c r="E245" i="13"/>
  <c r="C245" i="13"/>
  <c r="T246" i="13"/>
  <c r="H246" i="13"/>
  <c r="F246" i="13"/>
  <c r="G246" i="13"/>
  <c r="E246" i="13"/>
  <c r="C246" i="13"/>
  <c r="T247" i="13"/>
  <c r="H247" i="13"/>
  <c r="F247" i="13"/>
  <c r="G247" i="13"/>
  <c r="E247" i="13"/>
  <c r="C247" i="13"/>
  <c r="T248" i="13"/>
  <c r="H248" i="13"/>
  <c r="F248" i="13"/>
  <c r="G248" i="13"/>
  <c r="E248" i="13"/>
  <c r="C248" i="13"/>
  <c r="T249" i="13"/>
  <c r="H249" i="13"/>
  <c r="F249" i="13"/>
  <c r="G249" i="13"/>
  <c r="E249" i="13"/>
  <c r="C249" i="13"/>
  <c r="T250" i="13"/>
  <c r="H250" i="13"/>
  <c r="F250" i="13"/>
  <c r="G250" i="13"/>
  <c r="E250" i="13"/>
  <c r="C250" i="13"/>
  <c r="T251" i="13"/>
  <c r="H251" i="13"/>
  <c r="F251" i="13"/>
  <c r="G251" i="13"/>
  <c r="E251" i="13"/>
  <c r="C251" i="13"/>
  <c r="T252" i="13"/>
  <c r="H252" i="13"/>
  <c r="F252" i="13"/>
  <c r="G252" i="13"/>
  <c r="E252" i="13"/>
  <c r="C252" i="13"/>
  <c r="T253" i="13"/>
  <c r="H253" i="13"/>
  <c r="F253" i="13"/>
  <c r="G253" i="13"/>
  <c r="E253" i="13"/>
  <c r="C253" i="13"/>
  <c r="T254" i="13"/>
  <c r="H254" i="13"/>
  <c r="F254" i="13"/>
  <c r="G254" i="13"/>
  <c r="E254" i="13"/>
  <c r="C254" i="13"/>
  <c r="T255" i="13"/>
  <c r="H255" i="13"/>
  <c r="F255" i="13"/>
  <c r="G255" i="13"/>
  <c r="E255" i="13"/>
  <c r="C255" i="13"/>
  <c r="T256" i="13"/>
  <c r="H256" i="13"/>
  <c r="F256" i="13"/>
  <c r="G256" i="13"/>
  <c r="E256" i="13"/>
  <c r="C256" i="13"/>
  <c r="T257" i="13"/>
  <c r="H257" i="13"/>
  <c r="F257" i="13"/>
  <c r="G257" i="13"/>
  <c r="E257" i="13"/>
  <c r="C257" i="13"/>
  <c r="T258" i="13"/>
  <c r="H258" i="13"/>
  <c r="F258" i="13"/>
  <c r="G258" i="13"/>
  <c r="E258" i="13"/>
  <c r="C258" i="13"/>
  <c r="T259" i="13"/>
  <c r="H259" i="13"/>
  <c r="F259" i="13"/>
  <c r="G259" i="13"/>
  <c r="E259" i="13"/>
  <c r="C259" i="13"/>
  <c r="T260" i="13"/>
  <c r="H260" i="13"/>
  <c r="F260" i="13"/>
  <c r="G260" i="13"/>
  <c r="E260" i="13"/>
  <c r="C260" i="13"/>
  <c r="T261" i="13"/>
  <c r="H261" i="13"/>
  <c r="F261" i="13"/>
  <c r="G261" i="13"/>
  <c r="E261" i="13"/>
  <c r="C261" i="13"/>
  <c r="T262" i="13"/>
  <c r="H262" i="13"/>
  <c r="F262" i="13"/>
  <c r="G262" i="13"/>
  <c r="E262" i="13"/>
  <c r="C262" i="13"/>
  <c r="T263" i="13"/>
  <c r="H263" i="13"/>
  <c r="F263" i="13"/>
  <c r="G263" i="13"/>
  <c r="E263" i="13"/>
  <c r="C263" i="13"/>
  <c r="T264" i="13"/>
  <c r="H264" i="13"/>
  <c r="F264" i="13"/>
  <c r="G264" i="13"/>
  <c r="E264" i="13"/>
  <c r="C264" i="13"/>
  <c r="T265" i="13"/>
  <c r="H265" i="13"/>
  <c r="F265" i="13"/>
  <c r="G265" i="13"/>
  <c r="E265" i="13"/>
  <c r="C265" i="13"/>
  <c r="T266" i="13"/>
  <c r="H266" i="13"/>
  <c r="F266" i="13"/>
  <c r="G266" i="13"/>
  <c r="E266" i="13"/>
  <c r="C266" i="13"/>
  <c r="T267" i="13"/>
  <c r="H267" i="13"/>
  <c r="F267" i="13"/>
  <c r="G267" i="13"/>
  <c r="E267" i="13"/>
  <c r="C267" i="13"/>
  <c r="T268" i="13"/>
  <c r="H268" i="13"/>
  <c r="F268" i="13"/>
  <c r="G268" i="13"/>
  <c r="E268" i="13"/>
  <c r="C268" i="13"/>
  <c r="H270" i="13"/>
  <c r="F270" i="13"/>
  <c r="G270" i="13"/>
  <c r="E270" i="13"/>
  <c r="C270" i="13"/>
  <c r="H271" i="13"/>
  <c r="F271" i="13"/>
  <c r="G271" i="13"/>
  <c r="E271" i="13"/>
  <c r="C271" i="13"/>
  <c r="H279" i="13"/>
  <c r="G279" i="13"/>
  <c r="F279" i="13"/>
  <c r="E279" i="13"/>
  <c r="C279" i="13"/>
  <c r="H280" i="13"/>
  <c r="F280" i="13"/>
  <c r="G280" i="13"/>
  <c r="E280" i="13"/>
  <c r="C280" i="13"/>
  <c r="H284" i="13"/>
  <c r="F284" i="13"/>
  <c r="G284" i="13"/>
  <c r="E284" i="13"/>
  <c r="C284" i="13"/>
  <c r="C329" i="13"/>
  <c r="T333" i="13"/>
  <c r="H333" i="13"/>
  <c r="F333" i="13"/>
  <c r="G333" i="13"/>
  <c r="E333" i="13"/>
  <c r="C333" i="13"/>
  <c r="T334" i="13"/>
  <c r="H334" i="13"/>
  <c r="F334" i="13"/>
  <c r="G334" i="13"/>
  <c r="E334" i="13"/>
  <c r="C334" i="13"/>
  <c r="T335" i="13"/>
  <c r="H335" i="13"/>
  <c r="F335" i="13"/>
  <c r="G335" i="13"/>
  <c r="E335" i="13"/>
  <c r="C335" i="13"/>
  <c r="T336" i="13"/>
  <c r="H336" i="13"/>
  <c r="F336" i="13"/>
  <c r="G336" i="13"/>
  <c r="E336" i="13"/>
  <c r="C336" i="13"/>
  <c r="T337" i="13"/>
  <c r="H337" i="13"/>
  <c r="F337" i="13"/>
  <c r="G337" i="13"/>
  <c r="E337" i="13"/>
  <c r="C337" i="13"/>
  <c r="T338" i="13"/>
  <c r="H338" i="13"/>
  <c r="F338" i="13"/>
  <c r="G338" i="13"/>
  <c r="E338" i="13"/>
  <c r="C338" i="13"/>
  <c r="T339" i="13"/>
  <c r="H339" i="13"/>
  <c r="F339" i="13"/>
  <c r="G339" i="13"/>
  <c r="E339" i="13"/>
  <c r="C339" i="13"/>
  <c r="T340" i="13"/>
  <c r="H340" i="13"/>
  <c r="F340" i="13"/>
  <c r="G340" i="13"/>
  <c r="E340" i="13"/>
  <c r="C340" i="13"/>
  <c r="T341" i="13"/>
  <c r="H341" i="13"/>
  <c r="F341" i="13"/>
  <c r="G341" i="13"/>
  <c r="E341" i="13"/>
  <c r="C341" i="13"/>
  <c r="T342" i="13"/>
  <c r="H342" i="13"/>
  <c r="F342" i="13"/>
  <c r="G342" i="13"/>
  <c r="E342" i="13"/>
  <c r="C342" i="13"/>
  <c r="H343" i="13"/>
  <c r="F343" i="13"/>
  <c r="G343" i="13"/>
  <c r="E343" i="13"/>
  <c r="C343" i="13"/>
  <c r="T344" i="13"/>
  <c r="H344" i="13"/>
  <c r="F344" i="13"/>
  <c r="G344" i="13"/>
  <c r="E344" i="13"/>
  <c r="C344" i="13"/>
  <c r="T345" i="13"/>
  <c r="H345" i="13"/>
  <c r="F345" i="13"/>
  <c r="G345" i="13"/>
  <c r="E345" i="13"/>
  <c r="C345" i="13"/>
  <c r="T346" i="13"/>
  <c r="H346" i="13"/>
  <c r="F346" i="13"/>
  <c r="G346" i="13"/>
  <c r="E346" i="13"/>
  <c r="C346" i="13"/>
  <c r="T347" i="13"/>
  <c r="H347" i="13"/>
  <c r="F347" i="13"/>
  <c r="G347" i="13"/>
  <c r="E347" i="13"/>
  <c r="C347" i="13"/>
  <c r="T348" i="13"/>
  <c r="H348" i="13"/>
  <c r="F348" i="13"/>
  <c r="G348" i="13"/>
  <c r="E348" i="13"/>
  <c r="C348" i="13"/>
  <c r="T349" i="13"/>
  <c r="H349" i="13"/>
  <c r="F349" i="13"/>
  <c r="G349" i="13"/>
  <c r="E349" i="13"/>
  <c r="C349" i="13"/>
  <c r="T350" i="13"/>
  <c r="H350" i="13"/>
  <c r="F350" i="13"/>
  <c r="G350" i="13"/>
  <c r="E350" i="13"/>
  <c r="C350" i="13"/>
  <c r="T351" i="13"/>
  <c r="H351" i="13"/>
  <c r="F351" i="13"/>
  <c r="T352" i="13"/>
  <c r="H352" i="13"/>
  <c r="F352" i="13"/>
  <c r="G352" i="13"/>
  <c r="E352" i="13"/>
  <c r="C352" i="13"/>
  <c r="T353" i="13"/>
  <c r="H353" i="13"/>
  <c r="F353" i="13"/>
  <c r="G353" i="13"/>
  <c r="E353" i="13"/>
  <c r="C353" i="13"/>
  <c r="T354" i="13"/>
  <c r="H354" i="13"/>
  <c r="F354" i="13"/>
  <c r="G354" i="13"/>
  <c r="E354" i="13"/>
  <c r="C354" i="13"/>
  <c r="T355" i="13"/>
  <c r="H355" i="13"/>
  <c r="F355" i="13"/>
  <c r="G355" i="13"/>
  <c r="E355" i="13"/>
  <c r="C355" i="13"/>
  <c r="T356" i="13"/>
  <c r="H356" i="13"/>
  <c r="G356" i="13"/>
  <c r="F356" i="13"/>
  <c r="E356" i="13"/>
  <c r="C356" i="13"/>
  <c r="T357" i="13"/>
  <c r="H357" i="13"/>
  <c r="G357" i="13"/>
  <c r="F357" i="13"/>
  <c r="E357" i="13"/>
  <c r="C357" i="13"/>
  <c r="T358" i="13"/>
  <c r="H358" i="13"/>
  <c r="F358" i="13"/>
  <c r="G358" i="13"/>
  <c r="E358" i="13"/>
  <c r="C358" i="13"/>
  <c r="T359" i="13"/>
  <c r="H359" i="13"/>
  <c r="F359" i="13"/>
  <c r="G359" i="13"/>
  <c r="E359" i="13"/>
  <c r="C359" i="13"/>
  <c r="T360" i="13"/>
  <c r="H360" i="13"/>
  <c r="F360" i="13"/>
  <c r="G360" i="13"/>
  <c r="E360" i="13"/>
  <c r="C360" i="13"/>
  <c r="T361" i="13"/>
  <c r="H361" i="13"/>
  <c r="F361" i="13"/>
  <c r="G361" i="13"/>
  <c r="E361" i="13"/>
  <c r="C361" i="13"/>
  <c r="H362" i="13"/>
  <c r="F362" i="13"/>
  <c r="G362" i="13"/>
  <c r="E362" i="13"/>
  <c r="C362" i="13"/>
  <c r="T363" i="13"/>
  <c r="H363" i="13"/>
  <c r="F363" i="13"/>
  <c r="G363" i="13"/>
  <c r="E363" i="13"/>
  <c r="C363" i="13"/>
  <c r="T364" i="13"/>
  <c r="H364" i="13"/>
  <c r="F364" i="13"/>
  <c r="G364" i="13"/>
  <c r="E364" i="13"/>
  <c r="C364" i="13"/>
  <c r="T366" i="13"/>
  <c r="H366" i="13"/>
  <c r="F366" i="13"/>
  <c r="G366" i="13"/>
  <c r="E366" i="13"/>
  <c r="C366" i="13"/>
  <c r="T367" i="13"/>
  <c r="H367" i="13"/>
  <c r="F367" i="13"/>
  <c r="G367" i="13"/>
  <c r="E367" i="13"/>
  <c r="C367" i="13"/>
  <c r="T368" i="13"/>
  <c r="H368" i="13"/>
  <c r="F368" i="13"/>
  <c r="G368" i="13"/>
  <c r="E368" i="13"/>
  <c r="C368" i="13"/>
  <c r="T369" i="13"/>
  <c r="H369" i="13"/>
  <c r="F369" i="13"/>
  <c r="G369" i="13"/>
  <c r="E369" i="13"/>
  <c r="C369" i="13"/>
  <c r="T370" i="13"/>
  <c r="H370" i="13"/>
  <c r="G370" i="13"/>
  <c r="F370" i="13"/>
  <c r="E370" i="13"/>
  <c r="C370" i="13"/>
  <c r="T371" i="13"/>
  <c r="H371" i="13"/>
  <c r="F371" i="13"/>
  <c r="G371" i="13"/>
  <c r="E371" i="13"/>
  <c r="C371" i="13"/>
  <c r="T372" i="13"/>
  <c r="H372" i="13"/>
  <c r="F372" i="13"/>
  <c r="G372" i="13"/>
  <c r="E372" i="13"/>
  <c r="C372" i="13"/>
  <c r="T373" i="13"/>
  <c r="H373" i="13"/>
  <c r="F373" i="13"/>
  <c r="G373" i="13"/>
  <c r="E373" i="13"/>
  <c r="C373" i="13"/>
  <c r="P374" i="13"/>
  <c r="O374" i="13"/>
  <c r="T374" i="13"/>
  <c r="H374" i="13"/>
  <c r="F374" i="13"/>
  <c r="G374" i="13"/>
  <c r="E374" i="13"/>
  <c r="T375" i="13"/>
  <c r="H375" i="13"/>
  <c r="F375" i="13"/>
  <c r="G375" i="13"/>
  <c r="E375" i="13"/>
  <c r="C375" i="13"/>
  <c r="H376" i="13"/>
  <c r="F376" i="13"/>
  <c r="G376" i="13"/>
  <c r="E376" i="13"/>
  <c r="C376" i="13"/>
  <c r="H377" i="13"/>
  <c r="G377" i="13"/>
  <c r="F377" i="13"/>
  <c r="E377" i="13"/>
  <c r="C377" i="13"/>
  <c r="T615" i="13"/>
  <c r="H615" i="13"/>
  <c r="F615" i="13"/>
  <c r="G615" i="13"/>
  <c r="E615" i="13"/>
  <c r="C615" i="13"/>
  <c r="T650" i="13"/>
  <c r="H650" i="13"/>
  <c r="F650" i="13"/>
  <c r="G650" i="13"/>
  <c r="E650" i="13"/>
  <c r="C650" i="13"/>
  <c r="T653" i="13"/>
  <c r="H653" i="13"/>
  <c r="F653" i="13"/>
  <c r="G653" i="13"/>
  <c r="E653" i="13"/>
  <c r="C653" i="13"/>
  <c r="C654" i="13"/>
  <c r="T134" i="13"/>
  <c r="T135" i="13"/>
  <c r="T136" i="13"/>
  <c r="T137" i="13"/>
  <c r="T138" i="13"/>
  <c r="D138" i="13"/>
  <c r="T139" i="13"/>
  <c r="T140" i="13"/>
  <c r="D139" i="13"/>
  <c r="D134" i="13"/>
  <c r="F134" i="13"/>
  <c r="G134" i="13"/>
  <c r="E134" i="13"/>
  <c r="C134" i="13"/>
  <c r="T144" i="13"/>
  <c r="T142" i="13"/>
  <c r="D142" i="13"/>
  <c r="F142" i="13"/>
  <c r="G142" i="13"/>
  <c r="E142" i="13"/>
  <c r="D144" i="13"/>
  <c r="F144" i="13"/>
  <c r="G144" i="13"/>
  <c r="E144" i="13"/>
  <c r="C144" i="13"/>
  <c r="C142" i="13"/>
  <c r="T145" i="13"/>
  <c r="D145" i="13"/>
  <c r="F145" i="13"/>
  <c r="G145" i="13"/>
  <c r="E145" i="13"/>
  <c r="T146" i="13"/>
  <c r="D146" i="13"/>
  <c r="F146" i="13"/>
  <c r="G146" i="13"/>
  <c r="E146" i="13"/>
  <c r="C145" i="13"/>
  <c r="T148" i="13"/>
  <c r="H148" i="13"/>
  <c r="F148" i="13"/>
  <c r="G148" i="13"/>
  <c r="C148" i="13"/>
  <c r="H150" i="13"/>
  <c r="T150" i="13"/>
  <c r="T151" i="13"/>
  <c r="D150" i="13"/>
  <c r="F150" i="13"/>
  <c r="G150" i="13"/>
  <c r="E150" i="13"/>
  <c r="C150" i="13"/>
  <c r="T160" i="13"/>
  <c r="T161" i="13"/>
  <c r="G154" i="13"/>
  <c r="F154" i="13"/>
  <c r="E154" i="13"/>
  <c r="C154" i="13"/>
  <c r="T162" i="13"/>
  <c r="H162" i="13"/>
  <c r="F162" i="13"/>
  <c r="G162" i="13"/>
  <c r="C162" i="13"/>
  <c r="C163" i="13"/>
  <c r="T88" i="13"/>
  <c r="H88" i="13"/>
  <c r="C89" i="13"/>
  <c r="T90" i="13"/>
  <c r="H90" i="13"/>
  <c r="E90" i="13"/>
  <c r="C90" i="13"/>
  <c r="T719" i="13"/>
  <c r="C719" i="13"/>
  <c r="C721" i="13"/>
  <c r="T723" i="13"/>
  <c r="C723" i="13"/>
  <c r="C722" i="13"/>
  <c r="T724" i="13"/>
  <c r="C724" i="13"/>
  <c r="C726" i="13"/>
  <c r="C88" i="13"/>
  <c r="C92" i="13"/>
  <c r="T722" i="13"/>
  <c r="T721" i="13"/>
  <c r="T720" i="13"/>
  <c r="E718" i="13"/>
  <c r="I696" i="13"/>
  <c r="I694" i="13"/>
  <c r="I693" i="13"/>
  <c r="H654" i="13"/>
  <c r="G654" i="13"/>
  <c r="F654" i="13"/>
  <c r="E654" i="13"/>
  <c r="I653" i="13"/>
  <c r="I615" i="13"/>
  <c r="T613" i="13"/>
  <c r="T609" i="13"/>
  <c r="T606" i="13"/>
  <c r="T604" i="13"/>
  <c r="T583" i="13"/>
  <c r="T578" i="13"/>
  <c r="T553" i="13"/>
  <c r="T552" i="13"/>
  <c r="T551" i="13"/>
  <c r="T547" i="13"/>
  <c r="Z525" i="13"/>
  <c r="X496" i="13"/>
  <c r="W496" i="13"/>
  <c r="T476" i="13"/>
  <c r="T452" i="13"/>
  <c r="T437" i="13"/>
  <c r="T435" i="13"/>
  <c r="T418" i="13"/>
  <c r="T417" i="13"/>
  <c r="T416" i="13"/>
  <c r="T415" i="13"/>
  <c r="T414" i="13"/>
  <c r="T413" i="13"/>
  <c r="T406" i="13"/>
  <c r="T382" i="13"/>
  <c r="H382" i="13"/>
  <c r="F382" i="13"/>
  <c r="G382" i="13"/>
  <c r="E382" i="13"/>
  <c r="C382" i="13"/>
  <c r="I382" i="13"/>
  <c r="I377" i="13"/>
  <c r="I376" i="13"/>
  <c r="I375" i="13"/>
  <c r="I373" i="13"/>
  <c r="I372" i="13"/>
  <c r="I371" i="13"/>
  <c r="I370" i="13"/>
  <c r="I369" i="13"/>
  <c r="I368" i="13"/>
  <c r="I367" i="13"/>
  <c r="I366" i="13"/>
  <c r="I364" i="13"/>
  <c r="U363" i="13"/>
  <c r="I363" i="13"/>
  <c r="I362" i="13"/>
  <c r="I361" i="13"/>
  <c r="I360" i="13"/>
  <c r="I359" i="13"/>
  <c r="I358" i="13"/>
  <c r="I357" i="13"/>
  <c r="I356" i="13"/>
  <c r="I355" i="13"/>
  <c r="I354" i="13"/>
  <c r="I353" i="13"/>
  <c r="I352" i="13"/>
  <c r="I350" i="13"/>
  <c r="I349" i="13"/>
  <c r="I348" i="13"/>
  <c r="I347" i="13"/>
  <c r="I346" i="13"/>
  <c r="I345" i="13"/>
  <c r="I344" i="13"/>
  <c r="I343" i="13"/>
  <c r="I342" i="13"/>
  <c r="I341" i="13"/>
  <c r="I340" i="13"/>
  <c r="I339" i="13"/>
  <c r="I338" i="13"/>
  <c r="I337" i="13"/>
  <c r="I336" i="13"/>
  <c r="I335" i="13"/>
  <c r="I334" i="13"/>
  <c r="I333" i="13"/>
  <c r="I328" i="13"/>
  <c r="I326" i="13"/>
  <c r="I325" i="13"/>
  <c r="I324" i="13"/>
  <c r="I323" i="13"/>
  <c r="I322" i="13"/>
  <c r="I321" i="13"/>
  <c r="I320" i="13"/>
  <c r="I319" i="13"/>
  <c r="I318" i="13"/>
  <c r="I317" i="13"/>
  <c r="I316" i="13"/>
  <c r="I314" i="13"/>
  <c r="I313" i="13"/>
  <c r="I311" i="13"/>
  <c r="I310" i="13"/>
  <c r="I309" i="13"/>
  <c r="I307" i="13"/>
  <c r="I306" i="13"/>
  <c r="I305" i="13"/>
  <c r="I304" i="13"/>
  <c r="I303" i="13"/>
  <c r="I302" i="13"/>
  <c r="I301" i="13"/>
  <c r="I300" i="13"/>
  <c r="I299" i="13"/>
  <c r="I298" i="13"/>
  <c r="I297" i="13"/>
  <c r="I296" i="13"/>
  <c r="I295" i="13"/>
  <c r="I294" i="13"/>
  <c r="I292" i="13"/>
  <c r="I291" i="13"/>
  <c r="I290" i="13"/>
  <c r="I289" i="13"/>
  <c r="I288" i="13"/>
  <c r="I287" i="13"/>
  <c r="I286" i="13"/>
  <c r="I284" i="13"/>
  <c r="I280" i="13"/>
  <c r="I279" i="13"/>
  <c r="T273" i="13"/>
  <c r="I273" i="13"/>
  <c r="G273" i="13"/>
  <c r="F273" i="13"/>
  <c r="E273" i="13"/>
  <c r="I271" i="13"/>
  <c r="I270" i="13"/>
  <c r="I268" i="13"/>
  <c r="I267" i="13"/>
  <c r="I266" i="13"/>
  <c r="I265" i="13"/>
  <c r="I264" i="13"/>
  <c r="I263" i="13"/>
  <c r="I262" i="13"/>
  <c r="I261" i="13"/>
  <c r="I260" i="13"/>
  <c r="I232" i="13"/>
  <c r="I231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4" i="13"/>
  <c r="I173" i="13"/>
  <c r="I172" i="13"/>
  <c r="I171" i="13"/>
  <c r="I170" i="13"/>
  <c r="I169" i="13"/>
  <c r="I168" i="13"/>
  <c r="I167" i="13"/>
  <c r="I166" i="13"/>
  <c r="D148" i="13"/>
  <c r="T156" i="13"/>
  <c r="T157" i="13"/>
  <c r="D154" i="13"/>
  <c r="E162" i="13"/>
  <c r="D162" i="13"/>
  <c r="D163" i="13"/>
  <c r="I162" i="13"/>
  <c r="I161" i="13"/>
  <c r="I160" i="13"/>
  <c r="I157" i="13"/>
  <c r="I156" i="13"/>
  <c r="I155" i="13"/>
  <c r="I154" i="13"/>
  <c r="I151" i="13"/>
  <c r="I150" i="13"/>
  <c r="I148" i="13"/>
  <c r="E148" i="13"/>
  <c r="I146" i="13"/>
  <c r="I145" i="13"/>
  <c r="I144" i="13"/>
  <c r="I142" i="13"/>
  <c r="V137" i="13"/>
  <c r="I130" i="13"/>
  <c r="I129" i="13"/>
  <c r="I128" i="13"/>
  <c r="I127" i="13"/>
  <c r="I126" i="13"/>
  <c r="I124" i="13"/>
  <c r="I123" i="13"/>
  <c r="I122" i="13"/>
  <c r="I121" i="13"/>
  <c r="I119" i="13"/>
  <c r="I117" i="13"/>
  <c r="I116" i="13"/>
  <c r="I115" i="13"/>
  <c r="I114" i="13"/>
  <c r="G114" i="13"/>
  <c r="F114" i="13"/>
  <c r="M109" i="13"/>
  <c r="L109" i="13"/>
  <c r="K109" i="13"/>
  <c r="J109" i="13"/>
  <c r="T107" i="13"/>
  <c r="T106" i="13"/>
  <c r="T104" i="13"/>
  <c r="T101" i="13"/>
  <c r="I98" i="13"/>
  <c r="I97" i="13"/>
  <c r="I96" i="13"/>
  <c r="I84" i="13"/>
  <c r="I83" i="13"/>
  <c r="T80" i="13"/>
  <c r="H80" i="13"/>
  <c r="F80" i="13"/>
  <c r="G80" i="13"/>
  <c r="E80" i="13"/>
  <c r="C80" i="13"/>
  <c r="I80" i="13"/>
  <c r="I78" i="13"/>
  <c r="H78" i="13"/>
  <c r="E78" i="13"/>
  <c r="H77" i="13"/>
  <c r="E77" i="13"/>
  <c r="I73" i="13"/>
  <c r="I72" i="13"/>
  <c r="I71" i="13"/>
  <c r="I70" i="13"/>
  <c r="G70" i="13"/>
  <c r="F70" i="13"/>
  <c r="E70" i="13"/>
  <c r="H62" i="13"/>
  <c r="H60" i="13"/>
  <c r="G59" i="13"/>
  <c r="F59" i="13"/>
  <c r="E59" i="13"/>
  <c r="G57" i="13"/>
  <c r="F57" i="13"/>
  <c r="E57" i="13"/>
  <c r="I53" i="13"/>
  <c r="I49" i="13"/>
  <c r="G49" i="13"/>
  <c r="F49" i="13"/>
  <c r="E49" i="13"/>
  <c r="I48" i="13"/>
  <c r="I47" i="13"/>
  <c r="G47" i="13"/>
  <c r="F47" i="13"/>
  <c r="E47" i="13"/>
  <c r="I46" i="13"/>
  <c r="G46" i="13"/>
  <c r="F46" i="13"/>
  <c r="E46" i="13"/>
  <c r="N45" i="13"/>
  <c r="M45" i="13"/>
  <c r="L45" i="13"/>
  <c r="K45" i="13"/>
  <c r="J45" i="13"/>
  <c r="I45" i="13"/>
  <c r="I44" i="13"/>
  <c r="N43" i="13"/>
  <c r="M43" i="13"/>
  <c r="L43" i="13"/>
  <c r="K43" i="13"/>
  <c r="J43" i="13"/>
  <c r="G42" i="13"/>
  <c r="F42" i="13"/>
  <c r="E42" i="13"/>
  <c r="G41" i="13"/>
  <c r="F41" i="13"/>
  <c r="E41" i="13"/>
  <c r="H31" i="13"/>
  <c r="G31" i="13"/>
  <c r="F31" i="13"/>
  <c r="E31" i="13"/>
  <c r="T19" i="13"/>
  <c r="T686" i="11"/>
  <c r="H686" i="11"/>
  <c r="I686" i="11"/>
  <c r="G686" i="11"/>
  <c r="F686" i="11"/>
  <c r="E686" i="11"/>
  <c r="C686" i="11"/>
  <c r="P345" i="11"/>
  <c r="P297" i="11"/>
  <c r="P343" i="11"/>
  <c r="P341" i="11"/>
  <c r="P336" i="11"/>
  <c r="P374" i="11"/>
  <c r="O374" i="11"/>
  <c r="O341" i="11"/>
  <c r="T341" i="11"/>
  <c r="T347" i="11"/>
  <c r="T349" i="11"/>
  <c r="O345" i="11"/>
  <c r="T344" i="11"/>
  <c r="H344" i="11"/>
  <c r="F344" i="11"/>
  <c r="G344" i="11"/>
  <c r="E344" i="11"/>
  <c r="C344" i="11"/>
  <c r="I344" i="11"/>
  <c r="O343" i="11"/>
  <c r="O336" i="11"/>
  <c r="T672" i="11"/>
  <c r="H672" i="11"/>
  <c r="I672" i="11"/>
  <c r="G672" i="11"/>
  <c r="F672" i="11"/>
  <c r="E672" i="11"/>
  <c r="C672" i="11"/>
  <c r="T642" i="11"/>
  <c r="H642" i="11"/>
  <c r="F642" i="11"/>
  <c r="G642" i="11"/>
  <c r="E642" i="11"/>
  <c r="C642" i="11"/>
  <c r="I642" i="11"/>
  <c r="P362" i="11"/>
  <c r="O362" i="11"/>
  <c r="T167" i="11"/>
  <c r="T168" i="11"/>
  <c r="T173" i="11"/>
  <c r="T326" i="11"/>
  <c r="T286" i="11"/>
  <c r="T317" i="11"/>
  <c r="T324" i="11"/>
  <c r="T325" i="11"/>
  <c r="T323" i="11"/>
  <c r="O297" i="11"/>
  <c r="T289" i="11"/>
  <c r="S33" i="12"/>
  <c r="G33" i="12"/>
  <c r="E33" i="12"/>
  <c r="F33" i="12"/>
  <c r="D33" i="12"/>
  <c r="B33" i="12"/>
  <c r="B62" i="12"/>
  <c r="C278" i="11"/>
  <c r="H289" i="11"/>
  <c r="F289" i="11"/>
  <c r="G289" i="11"/>
  <c r="E289" i="11"/>
  <c r="C289" i="11"/>
  <c r="H286" i="11"/>
  <c r="F286" i="11"/>
  <c r="G286" i="11"/>
  <c r="E286" i="11"/>
  <c r="C286" i="11"/>
  <c r="H323" i="11"/>
  <c r="F323" i="11"/>
  <c r="G323" i="11"/>
  <c r="E323" i="11"/>
  <c r="C323" i="11"/>
  <c r="T287" i="11"/>
  <c r="H287" i="11"/>
  <c r="F287" i="11"/>
  <c r="G287" i="11"/>
  <c r="E287" i="11"/>
  <c r="C287" i="11"/>
  <c r="T288" i="11"/>
  <c r="H288" i="11"/>
  <c r="F288" i="11"/>
  <c r="G288" i="11"/>
  <c r="E288" i="11"/>
  <c r="C288" i="11"/>
  <c r="T290" i="11"/>
  <c r="H290" i="11"/>
  <c r="F290" i="11"/>
  <c r="G290" i="11"/>
  <c r="E290" i="11"/>
  <c r="C290" i="11"/>
  <c r="T291" i="11"/>
  <c r="H291" i="11"/>
  <c r="F291" i="11"/>
  <c r="G291" i="11"/>
  <c r="E291" i="11"/>
  <c r="C291" i="11"/>
  <c r="T292" i="11"/>
  <c r="H292" i="11"/>
  <c r="F292" i="11"/>
  <c r="G292" i="11"/>
  <c r="E292" i="11"/>
  <c r="C292" i="11"/>
  <c r="T294" i="11"/>
  <c r="H294" i="11"/>
  <c r="F294" i="11"/>
  <c r="G294" i="11"/>
  <c r="E294" i="11"/>
  <c r="C294" i="11"/>
  <c r="T295" i="11"/>
  <c r="H295" i="11"/>
  <c r="F295" i="11"/>
  <c r="G295" i="11"/>
  <c r="E295" i="11"/>
  <c r="C295" i="11"/>
  <c r="T296" i="11"/>
  <c r="H296" i="11"/>
  <c r="F296" i="11"/>
  <c r="G296" i="11"/>
  <c r="E296" i="11"/>
  <c r="C296" i="11"/>
  <c r="T297" i="11"/>
  <c r="H297" i="11"/>
  <c r="F297" i="11"/>
  <c r="G297" i="11"/>
  <c r="E297" i="11"/>
  <c r="C297" i="11"/>
  <c r="T298" i="11"/>
  <c r="H298" i="11"/>
  <c r="F298" i="11"/>
  <c r="G298" i="11"/>
  <c r="E298" i="11"/>
  <c r="C298" i="11"/>
  <c r="T299" i="11"/>
  <c r="H299" i="11"/>
  <c r="F299" i="11"/>
  <c r="G299" i="11"/>
  <c r="E299" i="11"/>
  <c r="C299" i="11"/>
  <c r="T300" i="11"/>
  <c r="H300" i="11"/>
  <c r="F300" i="11"/>
  <c r="G300" i="11"/>
  <c r="E300" i="11"/>
  <c r="C300" i="11"/>
  <c r="T301" i="11"/>
  <c r="H301" i="11"/>
  <c r="F301" i="11"/>
  <c r="G301" i="11"/>
  <c r="E301" i="11"/>
  <c r="C301" i="11"/>
  <c r="T302" i="11"/>
  <c r="H302" i="11"/>
  <c r="F302" i="11"/>
  <c r="G302" i="11"/>
  <c r="E302" i="11"/>
  <c r="C302" i="11"/>
  <c r="T303" i="11"/>
  <c r="H303" i="11"/>
  <c r="F303" i="11"/>
  <c r="G303" i="11"/>
  <c r="E303" i="11"/>
  <c r="C303" i="11"/>
  <c r="T304" i="11"/>
  <c r="H304" i="11"/>
  <c r="F304" i="11"/>
  <c r="G304" i="11"/>
  <c r="E304" i="11"/>
  <c r="C304" i="11"/>
  <c r="T305" i="11"/>
  <c r="H305" i="11"/>
  <c r="F305" i="11"/>
  <c r="G305" i="11"/>
  <c r="E305" i="11"/>
  <c r="C305" i="11"/>
  <c r="T306" i="11"/>
  <c r="H306" i="11"/>
  <c r="F306" i="11"/>
  <c r="G306" i="11"/>
  <c r="E306" i="11"/>
  <c r="C306" i="11"/>
  <c r="T307" i="11"/>
  <c r="H307" i="11"/>
  <c r="F307" i="11"/>
  <c r="G307" i="11"/>
  <c r="E307" i="11"/>
  <c r="C307" i="11"/>
  <c r="T309" i="11"/>
  <c r="H309" i="11"/>
  <c r="F309" i="11"/>
  <c r="G309" i="11"/>
  <c r="E309" i="11"/>
  <c r="C309" i="11"/>
  <c r="T310" i="11"/>
  <c r="H310" i="11"/>
  <c r="F310" i="11"/>
  <c r="G310" i="11"/>
  <c r="E310" i="11"/>
  <c r="C310" i="11"/>
  <c r="T311" i="11"/>
  <c r="H311" i="11"/>
  <c r="F311" i="11"/>
  <c r="G311" i="11"/>
  <c r="E311" i="11"/>
  <c r="C311" i="11"/>
  <c r="T313" i="11"/>
  <c r="H313" i="11"/>
  <c r="F313" i="11"/>
  <c r="G313" i="11"/>
  <c r="E313" i="11"/>
  <c r="C313" i="11"/>
  <c r="T314" i="11"/>
  <c r="H314" i="11"/>
  <c r="F314" i="11"/>
  <c r="G314" i="11"/>
  <c r="E314" i="11"/>
  <c r="C314" i="11"/>
  <c r="T316" i="11"/>
  <c r="H316" i="11"/>
  <c r="F316" i="11"/>
  <c r="G316" i="11"/>
  <c r="E316" i="11"/>
  <c r="C316" i="11"/>
  <c r="H317" i="11"/>
  <c r="F317" i="11"/>
  <c r="G317" i="11"/>
  <c r="E317" i="11"/>
  <c r="C317" i="11"/>
  <c r="T318" i="11"/>
  <c r="H318" i="11"/>
  <c r="F318" i="11"/>
  <c r="G318" i="11"/>
  <c r="E318" i="11"/>
  <c r="C318" i="11"/>
  <c r="T319" i="11"/>
  <c r="H319" i="11"/>
  <c r="F319" i="11"/>
  <c r="G319" i="11"/>
  <c r="E319" i="11"/>
  <c r="C319" i="11"/>
  <c r="T320" i="11"/>
  <c r="H320" i="11"/>
  <c r="F320" i="11"/>
  <c r="G320" i="11"/>
  <c r="E320" i="11"/>
  <c r="C320" i="11"/>
  <c r="T321" i="11"/>
  <c r="H321" i="11"/>
  <c r="F321" i="11"/>
  <c r="G321" i="11"/>
  <c r="E321" i="11"/>
  <c r="C321" i="11"/>
  <c r="T322" i="11"/>
  <c r="H322" i="11"/>
  <c r="F322" i="11"/>
  <c r="G322" i="11"/>
  <c r="E322" i="11"/>
  <c r="C322" i="11"/>
  <c r="H324" i="11"/>
  <c r="F324" i="11"/>
  <c r="G324" i="11"/>
  <c r="E324" i="11"/>
  <c r="C324" i="11"/>
  <c r="H325" i="11"/>
  <c r="F325" i="11"/>
  <c r="G325" i="11"/>
  <c r="E325" i="11"/>
  <c r="C325" i="11"/>
  <c r="H326" i="11"/>
  <c r="F326" i="11"/>
  <c r="G326" i="11"/>
  <c r="E326" i="11"/>
  <c r="C326" i="11"/>
  <c r="C328" i="11"/>
  <c r="S78" i="12"/>
  <c r="G78" i="12"/>
  <c r="B78" i="12"/>
  <c r="S79" i="12"/>
  <c r="G79" i="12"/>
  <c r="E79" i="12"/>
  <c r="F79" i="12"/>
  <c r="D79" i="12"/>
  <c r="B79" i="12"/>
  <c r="S80" i="12"/>
  <c r="G80" i="12"/>
  <c r="E80" i="12"/>
  <c r="F80" i="12"/>
  <c r="D80" i="12"/>
  <c r="B80" i="12"/>
  <c r="S82" i="12"/>
  <c r="G82" i="12"/>
  <c r="E82" i="12"/>
  <c r="F82" i="12"/>
  <c r="D82" i="12"/>
  <c r="B82" i="12"/>
  <c r="S84" i="12"/>
  <c r="G84" i="12"/>
  <c r="E84" i="12"/>
  <c r="F84" i="12"/>
  <c r="D84" i="12"/>
  <c r="B84" i="12"/>
  <c r="S85" i="12"/>
  <c r="G85" i="12"/>
  <c r="B85" i="12"/>
  <c r="S83" i="12"/>
  <c r="G83" i="12"/>
  <c r="E83" i="12"/>
  <c r="F83" i="12"/>
  <c r="D83" i="12"/>
  <c r="B83" i="12"/>
  <c r="B86" i="12"/>
  <c r="B73" i="12"/>
  <c r="C277" i="11"/>
  <c r="S34" i="12"/>
  <c r="G34" i="12"/>
  <c r="E34" i="12"/>
  <c r="F34" i="12"/>
  <c r="D34" i="12"/>
  <c r="B34" i="12"/>
  <c r="S35" i="12"/>
  <c r="G35" i="12"/>
  <c r="E35" i="12"/>
  <c r="F35" i="12"/>
  <c r="D35" i="12"/>
  <c r="B35" i="12"/>
  <c r="S36" i="12"/>
  <c r="G36" i="12"/>
  <c r="E36" i="12"/>
  <c r="F36" i="12"/>
  <c r="D36" i="12"/>
  <c r="B36" i="12"/>
  <c r="S37" i="12"/>
  <c r="G37" i="12"/>
  <c r="E37" i="12"/>
  <c r="F37" i="12"/>
  <c r="D37" i="12"/>
  <c r="B37" i="12"/>
  <c r="S38" i="12"/>
  <c r="G38" i="12"/>
  <c r="E38" i="12"/>
  <c r="F38" i="12"/>
  <c r="D38" i="12"/>
  <c r="B38" i="12"/>
  <c r="S39" i="12"/>
  <c r="G39" i="12"/>
  <c r="E39" i="12"/>
  <c r="F39" i="12"/>
  <c r="D39" i="12"/>
  <c r="B39" i="12"/>
  <c r="S40" i="12"/>
  <c r="G40" i="12"/>
  <c r="E40" i="12"/>
  <c r="F40" i="12"/>
  <c r="D40" i="12"/>
  <c r="B40" i="12"/>
  <c r="S41" i="12"/>
  <c r="G41" i="12"/>
  <c r="E41" i="12"/>
  <c r="F41" i="12"/>
  <c r="D41" i="12"/>
  <c r="B41" i="12"/>
  <c r="S42" i="12"/>
  <c r="G42" i="12"/>
  <c r="E42" i="12"/>
  <c r="F42" i="12"/>
  <c r="D42" i="12"/>
  <c r="B42" i="12"/>
  <c r="S43" i="12"/>
  <c r="G43" i="12"/>
  <c r="E43" i="12"/>
  <c r="F43" i="12"/>
  <c r="D43" i="12"/>
  <c r="B43" i="12"/>
  <c r="S44" i="12"/>
  <c r="G44" i="12"/>
  <c r="E44" i="12"/>
  <c r="F44" i="12"/>
  <c r="D44" i="12"/>
  <c r="B44" i="12"/>
  <c r="S45" i="12"/>
  <c r="G45" i="12"/>
  <c r="E45" i="12"/>
  <c r="F45" i="12"/>
  <c r="D45" i="12"/>
  <c r="B45" i="12"/>
  <c r="S46" i="12"/>
  <c r="G46" i="12"/>
  <c r="E46" i="12"/>
  <c r="F46" i="12"/>
  <c r="D46" i="12"/>
  <c r="B46" i="12"/>
  <c r="S47" i="12"/>
  <c r="G47" i="12"/>
  <c r="E47" i="12"/>
  <c r="F47" i="12"/>
  <c r="D47" i="12"/>
  <c r="B47" i="12"/>
  <c r="S49" i="12"/>
  <c r="G49" i="12"/>
  <c r="E49" i="12"/>
  <c r="F49" i="12"/>
  <c r="D49" i="12"/>
  <c r="B49" i="12"/>
  <c r="S50" i="12"/>
  <c r="G50" i="12"/>
  <c r="E50" i="12"/>
  <c r="F50" i="12"/>
  <c r="D50" i="12"/>
  <c r="B50" i="12"/>
  <c r="S51" i="12"/>
  <c r="G51" i="12"/>
  <c r="E51" i="12"/>
  <c r="F51" i="12"/>
  <c r="D51" i="12"/>
  <c r="B51" i="12"/>
  <c r="S52" i="12"/>
  <c r="G52" i="12"/>
  <c r="E52" i="12"/>
  <c r="F52" i="12"/>
  <c r="D52" i="12"/>
  <c r="B52" i="12"/>
  <c r="S53" i="12"/>
  <c r="G53" i="12"/>
  <c r="E53" i="12"/>
  <c r="F53" i="12"/>
  <c r="D53" i="12"/>
  <c r="B53" i="12"/>
  <c r="S54" i="12"/>
  <c r="G54" i="12"/>
  <c r="E54" i="12"/>
  <c r="F54" i="12"/>
  <c r="D54" i="12"/>
  <c r="B54" i="12"/>
  <c r="S55" i="12"/>
  <c r="G55" i="12"/>
  <c r="E55" i="12"/>
  <c r="F55" i="12"/>
  <c r="D55" i="12"/>
  <c r="B55" i="12"/>
  <c r="S56" i="12"/>
  <c r="G56" i="12"/>
  <c r="E56" i="12"/>
  <c r="F56" i="12"/>
  <c r="D56" i="12"/>
  <c r="B56" i="12"/>
  <c r="S57" i="12"/>
  <c r="G57" i="12"/>
  <c r="E57" i="12"/>
  <c r="F57" i="12"/>
  <c r="D57" i="12"/>
  <c r="B57" i="12"/>
  <c r="S59" i="12"/>
  <c r="G59" i="12"/>
  <c r="E59" i="12"/>
  <c r="F59" i="12"/>
  <c r="D59" i="12"/>
  <c r="B59" i="12"/>
  <c r="S60" i="12"/>
  <c r="G60" i="12"/>
  <c r="E60" i="12"/>
  <c r="F60" i="12"/>
  <c r="D60" i="12"/>
  <c r="B60" i="12"/>
  <c r="S61" i="12"/>
  <c r="G61" i="12"/>
  <c r="B61" i="12"/>
  <c r="H61" i="12"/>
  <c r="F61" i="12"/>
  <c r="E61" i="12"/>
  <c r="D61" i="12"/>
  <c r="P122" i="11"/>
  <c r="O122" i="11"/>
  <c r="P71" i="11"/>
  <c r="O71" i="11"/>
  <c r="P70" i="11"/>
  <c r="O70" i="11"/>
  <c r="O68" i="11"/>
  <c r="P68" i="11"/>
  <c r="T45" i="11"/>
  <c r="T27" i="11"/>
  <c r="S77" i="12"/>
  <c r="G77" i="12"/>
  <c r="B77" i="12"/>
  <c r="H77" i="12"/>
  <c r="F77" i="12"/>
  <c r="E77" i="12"/>
  <c r="D77" i="12"/>
  <c r="S64" i="12"/>
  <c r="G64" i="12"/>
  <c r="B64" i="12"/>
  <c r="H64" i="12"/>
  <c r="F64" i="12"/>
  <c r="E64" i="12"/>
  <c r="D64" i="12"/>
  <c r="T25" i="11"/>
  <c r="T32" i="11"/>
  <c r="T28" i="11"/>
  <c r="H85" i="12"/>
  <c r="F85" i="12"/>
  <c r="E85" i="12"/>
  <c r="D85" i="12"/>
  <c r="H83" i="12"/>
  <c r="H79" i="12"/>
  <c r="H78" i="12"/>
  <c r="F78" i="12"/>
  <c r="E78" i="12"/>
  <c r="D78" i="12"/>
  <c r="S65" i="12"/>
  <c r="S66" i="12"/>
  <c r="G65" i="12"/>
  <c r="E65" i="12"/>
  <c r="F65" i="12"/>
  <c r="D65" i="12"/>
  <c r="B65" i="12"/>
  <c r="S58" i="12"/>
  <c r="G58" i="12"/>
  <c r="E58" i="12"/>
  <c r="F58" i="12"/>
  <c r="D58" i="12"/>
  <c r="B58" i="12"/>
  <c r="H65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T616" i="11"/>
  <c r="H616" i="11"/>
  <c r="F616" i="11"/>
  <c r="G616" i="11"/>
  <c r="E616" i="11"/>
  <c r="C616" i="11"/>
  <c r="I616" i="11"/>
  <c r="T617" i="11"/>
  <c r="H617" i="11"/>
  <c r="F617" i="11"/>
  <c r="G617" i="11"/>
  <c r="E617" i="11"/>
  <c r="C617" i="11"/>
  <c r="I617" i="11"/>
  <c r="T618" i="11"/>
  <c r="H618" i="11"/>
  <c r="F618" i="11"/>
  <c r="G618" i="11"/>
  <c r="E618" i="11"/>
  <c r="C618" i="11"/>
  <c r="I618" i="11"/>
  <c r="T619" i="11"/>
  <c r="H619" i="11"/>
  <c r="F619" i="11"/>
  <c r="G619" i="11"/>
  <c r="E619" i="11"/>
  <c r="C619" i="11"/>
  <c r="I619" i="11"/>
  <c r="T620" i="11"/>
  <c r="H620" i="11"/>
  <c r="F620" i="11"/>
  <c r="G620" i="11"/>
  <c r="E620" i="11"/>
  <c r="C620" i="11"/>
  <c r="I620" i="11"/>
  <c r="T621" i="11"/>
  <c r="H621" i="11"/>
  <c r="F621" i="11"/>
  <c r="G621" i="11"/>
  <c r="E621" i="11"/>
  <c r="C621" i="11"/>
  <c r="I621" i="11"/>
  <c r="T622" i="11"/>
  <c r="H622" i="11"/>
  <c r="F622" i="11"/>
  <c r="G622" i="11"/>
  <c r="E622" i="11"/>
  <c r="C622" i="11"/>
  <c r="I622" i="11"/>
  <c r="T623" i="11"/>
  <c r="H623" i="11"/>
  <c r="F623" i="11"/>
  <c r="G623" i="11"/>
  <c r="E623" i="11"/>
  <c r="C623" i="11"/>
  <c r="I623" i="11"/>
  <c r="T624" i="11"/>
  <c r="H624" i="11"/>
  <c r="F624" i="11"/>
  <c r="G624" i="11"/>
  <c r="E624" i="11"/>
  <c r="C624" i="11"/>
  <c r="I624" i="11"/>
  <c r="T625" i="11"/>
  <c r="H625" i="11"/>
  <c r="F625" i="11"/>
  <c r="G625" i="11"/>
  <c r="E625" i="11"/>
  <c r="C625" i="11"/>
  <c r="I625" i="11"/>
  <c r="T626" i="11"/>
  <c r="H626" i="11"/>
  <c r="F626" i="11"/>
  <c r="G626" i="11"/>
  <c r="E626" i="11"/>
  <c r="C626" i="11"/>
  <c r="I626" i="11"/>
  <c r="T627" i="11"/>
  <c r="H627" i="11"/>
  <c r="F627" i="11"/>
  <c r="G627" i="11"/>
  <c r="E627" i="11"/>
  <c r="C627" i="11"/>
  <c r="I627" i="11"/>
  <c r="T628" i="11"/>
  <c r="H628" i="11"/>
  <c r="F628" i="11"/>
  <c r="G628" i="11"/>
  <c r="E628" i="11"/>
  <c r="C628" i="11"/>
  <c r="I628" i="11"/>
  <c r="T629" i="11"/>
  <c r="H629" i="11"/>
  <c r="F629" i="11"/>
  <c r="G629" i="11"/>
  <c r="E629" i="11"/>
  <c r="C629" i="11"/>
  <c r="I629" i="11"/>
  <c r="T630" i="11"/>
  <c r="H630" i="11"/>
  <c r="F630" i="11"/>
  <c r="G630" i="11"/>
  <c r="E630" i="11"/>
  <c r="C630" i="11"/>
  <c r="I630" i="11"/>
  <c r="T631" i="11"/>
  <c r="H631" i="11"/>
  <c r="F631" i="11"/>
  <c r="G631" i="11"/>
  <c r="E631" i="11"/>
  <c r="C631" i="11"/>
  <c r="I631" i="11"/>
  <c r="T632" i="11"/>
  <c r="H632" i="11"/>
  <c r="F632" i="11"/>
  <c r="G632" i="11"/>
  <c r="E632" i="11"/>
  <c r="C632" i="11"/>
  <c r="I632" i="11"/>
  <c r="T633" i="11"/>
  <c r="H633" i="11"/>
  <c r="F633" i="11"/>
  <c r="G633" i="11"/>
  <c r="E633" i="11"/>
  <c r="C633" i="11"/>
  <c r="I633" i="11"/>
  <c r="T634" i="11"/>
  <c r="H634" i="11"/>
  <c r="F634" i="11"/>
  <c r="G634" i="11"/>
  <c r="E634" i="11"/>
  <c r="C634" i="11"/>
  <c r="I634" i="11"/>
  <c r="T636" i="11"/>
  <c r="H636" i="11"/>
  <c r="F636" i="11"/>
  <c r="G636" i="11"/>
  <c r="E636" i="11"/>
  <c r="C636" i="11"/>
  <c r="I636" i="11"/>
  <c r="T637" i="11"/>
  <c r="H637" i="11"/>
  <c r="F637" i="11"/>
  <c r="G637" i="11"/>
  <c r="E637" i="11"/>
  <c r="C637" i="11"/>
  <c r="I637" i="11"/>
  <c r="T638" i="11"/>
  <c r="H638" i="11"/>
  <c r="F638" i="11"/>
  <c r="G638" i="11"/>
  <c r="E638" i="11"/>
  <c r="C638" i="11"/>
  <c r="I638" i="11"/>
  <c r="T639" i="11"/>
  <c r="H639" i="11"/>
  <c r="F639" i="11"/>
  <c r="G639" i="11"/>
  <c r="E639" i="11"/>
  <c r="C639" i="11"/>
  <c r="I639" i="11"/>
  <c r="T640" i="11"/>
  <c r="H640" i="11"/>
  <c r="F640" i="11"/>
  <c r="G640" i="11"/>
  <c r="E640" i="11"/>
  <c r="C640" i="11"/>
  <c r="I640" i="11"/>
  <c r="T643" i="11"/>
  <c r="H643" i="11"/>
  <c r="F643" i="11"/>
  <c r="G643" i="11"/>
  <c r="E643" i="11"/>
  <c r="C643" i="11"/>
  <c r="I643" i="11"/>
  <c r="T644" i="11"/>
  <c r="H644" i="11"/>
  <c r="F644" i="11"/>
  <c r="G644" i="11"/>
  <c r="E644" i="11"/>
  <c r="C644" i="11"/>
  <c r="I644" i="11"/>
  <c r="T646" i="11"/>
  <c r="H646" i="11"/>
  <c r="F646" i="11"/>
  <c r="G646" i="11"/>
  <c r="E646" i="11"/>
  <c r="C646" i="11"/>
  <c r="I646" i="11"/>
  <c r="T647" i="11"/>
  <c r="H647" i="11"/>
  <c r="G647" i="11"/>
  <c r="F647" i="11"/>
  <c r="E647" i="11"/>
  <c r="C647" i="11"/>
  <c r="I647" i="11"/>
  <c r="I654" i="11"/>
  <c r="T8" i="11"/>
  <c r="T9" i="11"/>
  <c r="H8" i="11"/>
  <c r="C8" i="11"/>
  <c r="I8" i="11"/>
  <c r="T10" i="11"/>
  <c r="T11" i="11"/>
  <c r="H10" i="11"/>
  <c r="E10" i="11"/>
  <c r="C10" i="11"/>
  <c r="I10" i="11"/>
  <c r="T14" i="11"/>
  <c r="H14" i="11"/>
  <c r="C14" i="11"/>
  <c r="I14" i="11"/>
  <c r="T16" i="11"/>
  <c r="H16" i="11"/>
  <c r="F16" i="11"/>
  <c r="G16" i="11"/>
  <c r="E16" i="11"/>
  <c r="C16" i="11"/>
  <c r="I16" i="11"/>
  <c r="T17" i="11"/>
  <c r="H17" i="11"/>
  <c r="C17" i="11"/>
  <c r="I17" i="11"/>
  <c r="P20" i="11"/>
  <c r="O20" i="11"/>
  <c r="T20" i="11"/>
  <c r="I18" i="11"/>
  <c r="H20" i="11"/>
  <c r="F20" i="11"/>
  <c r="G20" i="11"/>
  <c r="E20" i="11"/>
  <c r="C20" i="11"/>
  <c r="I20" i="11"/>
  <c r="T21" i="11"/>
  <c r="H21" i="11"/>
  <c r="C21" i="11"/>
  <c r="I21" i="11"/>
  <c r="T22" i="11"/>
  <c r="H22" i="11"/>
  <c r="F22" i="11"/>
  <c r="G22" i="11"/>
  <c r="E22" i="11"/>
  <c r="C22" i="11"/>
  <c r="I22" i="11"/>
  <c r="H25" i="11"/>
  <c r="C25" i="11"/>
  <c r="I25" i="11"/>
  <c r="H27" i="11"/>
  <c r="C27" i="11"/>
  <c r="I27" i="11"/>
  <c r="H28" i="11"/>
  <c r="C28" i="11"/>
  <c r="I28" i="11"/>
  <c r="T29" i="11"/>
  <c r="H29" i="11"/>
  <c r="C29" i="11"/>
  <c r="I29" i="11"/>
  <c r="T31" i="11"/>
  <c r="I30" i="11"/>
  <c r="C31" i="11"/>
  <c r="I31" i="11"/>
  <c r="T33" i="11"/>
  <c r="I32" i="11"/>
  <c r="H33" i="11"/>
  <c r="F33" i="11"/>
  <c r="G33" i="11"/>
  <c r="E33" i="11"/>
  <c r="C33" i="11"/>
  <c r="I33" i="11"/>
  <c r="T35" i="11"/>
  <c r="H35" i="11"/>
  <c r="C35" i="11"/>
  <c r="I35" i="11"/>
  <c r="T271" i="11"/>
  <c r="T270" i="11"/>
  <c r="T279" i="11"/>
  <c r="T280" i="11"/>
  <c r="T284" i="11"/>
  <c r="T36" i="11"/>
  <c r="H36" i="11"/>
  <c r="C36" i="11"/>
  <c r="I36" i="11"/>
  <c r="T37" i="11"/>
  <c r="H37" i="11"/>
  <c r="F37" i="11"/>
  <c r="G37" i="11"/>
  <c r="E37" i="11"/>
  <c r="C37" i="11"/>
  <c r="I37" i="11"/>
  <c r="T39" i="11"/>
  <c r="T214" i="11"/>
  <c r="H214" i="11"/>
  <c r="T216" i="11"/>
  <c r="H216" i="11"/>
  <c r="T215" i="11"/>
  <c r="H215" i="11"/>
  <c r="T213" i="11"/>
  <c r="H213" i="11"/>
  <c r="T188" i="11"/>
  <c r="H188" i="11"/>
  <c r="T169" i="11"/>
  <c r="H169" i="11"/>
  <c r="T232" i="11"/>
  <c r="H232" i="11"/>
  <c r="H39" i="11"/>
  <c r="F39" i="11"/>
  <c r="G39" i="11"/>
  <c r="E39" i="11"/>
  <c r="C39" i="11"/>
  <c r="I39" i="11"/>
  <c r="T40" i="11"/>
  <c r="H40" i="11"/>
  <c r="F40" i="11"/>
  <c r="G40" i="11"/>
  <c r="E40" i="11"/>
  <c r="C40" i="11"/>
  <c r="I40" i="11"/>
  <c r="T41" i="11"/>
  <c r="H41" i="11"/>
  <c r="C41" i="11"/>
  <c r="I41" i="11"/>
  <c r="T42" i="11"/>
  <c r="H42" i="11"/>
  <c r="C42" i="11"/>
  <c r="I42" i="11"/>
  <c r="T43" i="11"/>
  <c r="H43" i="11"/>
  <c r="C43" i="11"/>
  <c r="I43" i="11"/>
  <c r="I77" i="11"/>
  <c r="I81" i="11"/>
  <c r="T57" i="11"/>
  <c r="H57" i="11"/>
  <c r="C57" i="11"/>
  <c r="I57" i="11"/>
  <c r="T59" i="11"/>
  <c r="I58" i="11"/>
  <c r="H59" i="11"/>
  <c r="C59" i="11"/>
  <c r="I59" i="11"/>
  <c r="T65" i="11"/>
  <c r="T62" i="11"/>
  <c r="T61" i="11"/>
  <c r="I60" i="11"/>
  <c r="I61" i="11"/>
  <c r="I62" i="11"/>
  <c r="T64" i="11"/>
  <c r="I64" i="11"/>
  <c r="I65" i="11"/>
  <c r="I66" i="11"/>
  <c r="I85" i="11"/>
  <c r="T103" i="11"/>
  <c r="T108" i="11"/>
  <c r="T105" i="11"/>
  <c r="I101" i="11"/>
  <c r="I99" i="11"/>
  <c r="I109" i="11"/>
  <c r="T658" i="11"/>
  <c r="H658" i="11"/>
  <c r="I658" i="11"/>
  <c r="T659" i="11"/>
  <c r="H659" i="11"/>
  <c r="I659" i="11"/>
  <c r="T660" i="11"/>
  <c r="H660" i="11"/>
  <c r="I660" i="11"/>
  <c r="T661" i="11"/>
  <c r="H661" i="11"/>
  <c r="I661" i="11"/>
  <c r="T662" i="11"/>
  <c r="H662" i="11"/>
  <c r="I662" i="11"/>
  <c r="T663" i="11"/>
  <c r="H663" i="11"/>
  <c r="I663" i="11"/>
  <c r="T664" i="11"/>
  <c r="H664" i="11"/>
  <c r="I664" i="11"/>
  <c r="T665" i="11"/>
  <c r="H665" i="11"/>
  <c r="I665" i="11"/>
  <c r="T666" i="11"/>
  <c r="H666" i="11"/>
  <c r="I666" i="11"/>
  <c r="T667" i="11"/>
  <c r="H667" i="11"/>
  <c r="I667" i="11"/>
  <c r="T668" i="11"/>
  <c r="H668" i="11"/>
  <c r="I668" i="11"/>
  <c r="T669" i="11"/>
  <c r="H669" i="11"/>
  <c r="I669" i="11"/>
  <c r="T670" i="11"/>
  <c r="H670" i="11"/>
  <c r="I670" i="11"/>
  <c r="T671" i="11"/>
  <c r="H671" i="11"/>
  <c r="I671" i="11"/>
  <c r="T673" i="11"/>
  <c r="H673" i="11"/>
  <c r="I673" i="11"/>
  <c r="T674" i="11"/>
  <c r="H674" i="11"/>
  <c r="I674" i="11"/>
  <c r="T675" i="11"/>
  <c r="H675" i="11"/>
  <c r="I675" i="11"/>
  <c r="T676" i="11"/>
  <c r="H676" i="11"/>
  <c r="I676" i="11"/>
  <c r="T677" i="11"/>
  <c r="H677" i="11"/>
  <c r="I677" i="11"/>
  <c r="T678" i="11"/>
  <c r="H678" i="11"/>
  <c r="I678" i="11"/>
  <c r="T679" i="11"/>
  <c r="H679" i="11"/>
  <c r="F679" i="11"/>
  <c r="G679" i="11"/>
  <c r="E679" i="11"/>
  <c r="C679" i="11"/>
  <c r="I679" i="11"/>
  <c r="T680" i="11"/>
  <c r="H680" i="11"/>
  <c r="I680" i="11"/>
  <c r="T681" i="11"/>
  <c r="H681" i="11"/>
  <c r="I681" i="11"/>
  <c r="T682" i="11"/>
  <c r="H682" i="11"/>
  <c r="I682" i="11"/>
  <c r="T683" i="11"/>
  <c r="H683" i="11"/>
  <c r="I683" i="11"/>
  <c r="T684" i="11"/>
  <c r="H684" i="11"/>
  <c r="I684" i="11"/>
  <c r="T685" i="11"/>
  <c r="H685" i="11"/>
  <c r="I685" i="11"/>
  <c r="T689" i="11"/>
  <c r="H689" i="11"/>
  <c r="I689" i="11"/>
  <c r="I706" i="11"/>
  <c r="I709" i="11"/>
  <c r="I729" i="11"/>
  <c r="T102" i="11"/>
  <c r="H101" i="11"/>
  <c r="H109" i="11"/>
  <c r="H709" i="11"/>
  <c r="H729" i="11"/>
  <c r="E709" i="11"/>
  <c r="E729" i="11"/>
  <c r="D709" i="11"/>
  <c r="D720" i="11"/>
  <c r="D726" i="11"/>
  <c r="D729" i="11"/>
  <c r="T98" i="11"/>
  <c r="T99" i="11"/>
  <c r="H98" i="11"/>
  <c r="E98" i="11"/>
  <c r="C98" i="11"/>
  <c r="T46" i="11"/>
  <c r="H46" i="11"/>
  <c r="C46" i="11"/>
  <c r="T96" i="11"/>
  <c r="H96" i="11"/>
  <c r="E96" i="11"/>
  <c r="C96" i="11"/>
  <c r="C13" i="11"/>
  <c r="T18" i="11"/>
  <c r="H18" i="11"/>
  <c r="E18" i="11"/>
  <c r="C18" i="11"/>
  <c r="E19" i="11"/>
  <c r="C19" i="11"/>
  <c r="T30" i="11"/>
  <c r="H30" i="11"/>
  <c r="F30" i="11"/>
  <c r="G30" i="11"/>
  <c r="E30" i="11"/>
  <c r="C30" i="11"/>
  <c r="H32" i="11"/>
  <c r="F32" i="11"/>
  <c r="G32" i="11"/>
  <c r="E32" i="11"/>
  <c r="C32" i="11"/>
  <c r="T44" i="11"/>
  <c r="H44" i="11"/>
  <c r="F44" i="11"/>
  <c r="G44" i="11"/>
  <c r="E44" i="11"/>
  <c r="C44" i="11"/>
  <c r="H45" i="11"/>
  <c r="C45" i="11"/>
  <c r="T47" i="11"/>
  <c r="H47" i="11"/>
  <c r="C47" i="11"/>
  <c r="T48" i="11"/>
  <c r="H48" i="11"/>
  <c r="C48" i="11"/>
  <c r="T225" i="11"/>
  <c r="T223" i="11"/>
  <c r="T227" i="11"/>
  <c r="T226" i="11"/>
  <c r="T228" i="11"/>
  <c r="T49" i="11"/>
  <c r="H49" i="11"/>
  <c r="C49" i="11"/>
  <c r="T53" i="11"/>
  <c r="H53" i="11"/>
  <c r="F53" i="11"/>
  <c r="G53" i="11"/>
  <c r="E53" i="11"/>
  <c r="C53" i="11"/>
  <c r="C54" i="11"/>
  <c r="T71" i="11"/>
  <c r="C69" i="11"/>
  <c r="T70" i="11"/>
  <c r="H70" i="11"/>
  <c r="C70" i="11"/>
  <c r="T72" i="11"/>
  <c r="T73" i="11"/>
  <c r="T68" i="11"/>
  <c r="F658" i="11"/>
  <c r="G658" i="11"/>
  <c r="E658" i="11"/>
  <c r="C658" i="11"/>
  <c r="F659" i="11"/>
  <c r="G659" i="11"/>
  <c r="E659" i="11"/>
  <c r="C659" i="11"/>
  <c r="F660" i="11"/>
  <c r="G660" i="11"/>
  <c r="E660" i="11"/>
  <c r="C660" i="11"/>
  <c r="F661" i="11"/>
  <c r="G661" i="11"/>
  <c r="E661" i="11"/>
  <c r="C661" i="11"/>
  <c r="F662" i="11"/>
  <c r="G662" i="11"/>
  <c r="E662" i="11"/>
  <c r="C662" i="11"/>
  <c r="F663" i="11"/>
  <c r="G663" i="11"/>
  <c r="E663" i="11"/>
  <c r="C663" i="11"/>
  <c r="F664" i="11"/>
  <c r="G664" i="11"/>
  <c r="E664" i="11"/>
  <c r="C664" i="11"/>
  <c r="F665" i="11"/>
  <c r="G665" i="11"/>
  <c r="E665" i="11"/>
  <c r="C665" i="11"/>
  <c r="F666" i="11"/>
  <c r="G666" i="11"/>
  <c r="E666" i="11"/>
  <c r="C666" i="11"/>
  <c r="F667" i="11"/>
  <c r="G667" i="11"/>
  <c r="E667" i="11"/>
  <c r="C667" i="11"/>
  <c r="F668" i="11"/>
  <c r="G668" i="11"/>
  <c r="E668" i="11"/>
  <c r="C668" i="11"/>
  <c r="F669" i="11"/>
  <c r="G669" i="11"/>
  <c r="E669" i="11"/>
  <c r="C669" i="11"/>
  <c r="F670" i="11"/>
  <c r="G670" i="11"/>
  <c r="E670" i="11"/>
  <c r="C670" i="11"/>
  <c r="F671" i="11"/>
  <c r="G671" i="11"/>
  <c r="E671" i="11"/>
  <c r="C671" i="11"/>
  <c r="F673" i="11"/>
  <c r="G673" i="11"/>
  <c r="E673" i="11"/>
  <c r="C673" i="11"/>
  <c r="F674" i="11"/>
  <c r="G674" i="11"/>
  <c r="E674" i="11"/>
  <c r="C674" i="11"/>
  <c r="F675" i="11"/>
  <c r="G675" i="11"/>
  <c r="E675" i="11"/>
  <c r="C675" i="11"/>
  <c r="F676" i="11"/>
  <c r="G676" i="11"/>
  <c r="E676" i="11"/>
  <c r="C676" i="11"/>
  <c r="F677" i="11"/>
  <c r="G677" i="11"/>
  <c r="E677" i="11"/>
  <c r="C677" i="11"/>
  <c r="F678" i="11"/>
  <c r="G678" i="11"/>
  <c r="E678" i="11"/>
  <c r="C678" i="11"/>
  <c r="F680" i="11"/>
  <c r="G680" i="11"/>
  <c r="E680" i="11"/>
  <c r="C680" i="11"/>
  <c r="F681" i="11"/>
  <c r="G681" i="11"/>
  <c r="E681" i="11"/>
  <c r="C681" i="11"/>
  <c r="F682" i="11"/>
  <c r="G682" i="11"/>
  <c r="E682" i="11"/>
  <c r="C682" i="11"/>
  <c r="F683" i="11"/>
  <c r="G683" i="11"/>
  <c r="E683" i="11"/>
  <c r="C683" i="11"/>
  <c r="F684" i="11"/>
  <c r="G684" i="11"/>
  <c r="E684" i="11"/>
  <c r="C684" i="11"/>
  <c r="F685" i="11"/>
  <c r="G685" i="11"/>
  <c r="E685" i="11"/>
  <c r="C685" i="11"/>
  <c r="F689" i="11"/>
  <c r="G689" i="11"/>
  <c r="E689" i="11"/>
  <c r="C689" i="11"/>
  <c r="T693" i="11"/>
  <c r="H693" i="11"/>
  <c r="F693" i="11"/>
  <c r="G693" i="11"/>
  <c r="E693" i="11"/>
  <c r="C693" i="11"/>
  <c r="T694" i="11"/>
  <c r="H694" i="11"/>
  <c r="F694" i="11"/>
  <c r="G694" i="11"/>
  <c r="E694" i="11"/>
  <c r="C694" i="11"/>
  <c r="T696" i="11"/>
  <c r="H696" i="11"/>
  <c r="F696" i="11"/>
  <c r="G696" i="11"/>
  <c r="E696" i="11"/>
  <c r="C696" i="11"/>
  <c r="C706" i="11"/>
  <c r="C71" i="11"/>
  <c r="H72" i="11"/>
  <c r="C72" i="11"/>
  <c r="H73" i="11"/>
  <c r="F73" i="11"/>
  <c r="G73" i="11"/>
  <c r="E73" i="11"/>
  <c r="C73" i="11"/>
  <c r="C74" i="11"/>
  <c r="T77" i="11"/>
  <c r="T78" i="11"/>
  <c r="C77" i="11"/>
  <c r="C81" i="11"/>
  <c r="T58" i="11"/>
  <c r="H58" i="11"/>
  <c r="C58" i="11"/>
  <c r="T60" i="11"/>
  <c r="C60" i="11"/>
  <c r="H61" i="11"/>
  <c r="C61" i="11"/>
  <c r="C62" i="11"/>
  <c r="H64" i="11"/>
  <c r="C64" i="11"/>
  <c r="H65" i="11"/>
  <c r="C65" i="11"/>
  <c r="C66" i="11"/>
  <c r="T83" i="11"/>
  <c r="H83" i="11"/>
  <c r="E83" i="11"/>
  <c r="C83" i="11"/>
  <c r="T377" i="11"/>
  <c r="T343" i="11"/>
  <c r="T362" i="11"/>
  <c r="T376" i="11"/>
  <c r="T172" i="11"/>
  <c r="T84" i="11"/>
  <c r="H84" i="11"/>
  <c r="E84" i="11"/>
  <c r="C84" i="11"/>
  <c r="C85" i="11"/>
  <c r="F101" i="11"/>
  <c r="G101" i="11"/>
  <c r="E101" i="11"/>
  <c r="C101" i="11"/>
  <c r="C109" i="11"/>
  <c r="T114" i="11"/>
  <c r="H114" i="11"/>
  <c r="C114" i="11"/>
  <c r="T115" i="11"/>
  <c r="H115" i="11"/>
  <c r="F115" i="11"/>
  <c r="G115" i="11"/>
  <c r="E115" i="11"/>
  <c r="C115" i="11"/>
  <c r="T116" i="11"/>
  <c r="H116" i="11"/>
  <c r="F116" i="11"/>
  <c r="G116" i="11"/>
  <c r="E116" i="11"/>
  <c r="C116" i="11"/>
  <c r="T117" i="11"/>
  <c r="H117" i="11"/>
  <c r="F117" i="11"/>
  <c r="G117" i="11"/>
  <c r="E117" i="11"/>
  <c r="C117" i="11"/>
  <c r="T118" i="11"/>
  <c r="H118" i="11"/>
  <c r="F118" i="11"/>
  <c r="G118" i="11"/>
  <c r="E118" i="11"/>
  <c r="C118" i="11"/>
  <c r="T119" i="11"/>
  <c r="H119" i="11"/>
  <c r="F119" i="11"/>
  <c r="G119" i="11"/>
  <c r="E119" i="11"/>
  <c r="C119" i="11"/>
  <c r="T121" i="11"/>
  <c r="H121" i="11"/>
  <c r="F121" i="11"/>
  <c r="G121" i="11"/>
  <c r="E121" i="11"/>
  <c r="C121" i="11"/>
  <c r="T122" i="11"/>
  <c r="H122" i="11"/>
  <c r="F122" i="11"/>
  <c r="G122" i="11"/>
  <c r="E122" i="11"/>
  <c r="C122" i="11"/>
  <c r="T123" i="11"/>
  <c r="H123" i="11"/>
  <c r="F123" i="11"/>
  <c r="G123" i="11"/>
  <c r="E123" i="11"/>
  <c r="C123" i="11"/>
  <c r="T124" i="11"/>
  <c r="H124" i="11"/>
  <c r="F124" i="11"/>
  <c r="G124" i="11"/>
  <c r="E124" i="11"/>
  <c r="C124" i="11"/>
  <c r="T126" i="11"/>
  <c r="H126" i="11"/>
  <c r="F126" i="11"/>
  <c r="G126" i="11"/>
  <c r="E126" i="11"/>
  <c r="C126" i="11"/>
  <c r="T127" i="11"/>
  <c r="H127" i="11"/>
  <c r="F127" i="11"/>
  <c r="G127" i="11"/>
  <c r="E127" i="11"/>
  <c r="C127" i="11"/>
  <c r="T128" i="11"/>
  <c r="H128" i="11"/>
  <c r="F128" i="11"/>
  <c r="G128" i="11"/>
  <c r="E128" i="11"/>
  <c r="C128" i="11"/>
  <c r="T129" i="11"/>
  <c r="H129" i="11"/>
  <c r="F129" i="11"/>
  <c r="G129" i="11"/>
  <c r="E129" i="11"/>
  <c r="C129" i="11"/>
  <c r="T130" i="11"/>
  <c r="H130" i="11"/>
  <c r="F130" i="11"/>
  <c r="G130" i="11"/>
  <c r="E130" i="11"/>
  <c r="C130" i="11"/>
  <c r="C132" i="11"/>
  <c r="T166" i="11"/>
  <c r="H166" i="11"/>
  <c r="F166" i="11"/>
  <c r="G166" i="11"/>
  <c r="E166" i="11"/>
  <c r="C166" i="11"/>
  <c r="H167" i="11"/>
  <c r="F167" i="11"/>
  <c r="G167" i="11"/>
  <c r="E167" i="11"/>
  <c r="C167" i="11"/>
  <c r="H168" i="11"/>
  <c r="F168" i="11"/>
  <c r="G168" i="11"/>
  <c r="E168" i="11"/>
  <c r="C168" i="11"/>
  <c r="F169" i="11"/>
  <c r="G169" i="11"/>
  <c r="E169" i="11"/>
  <c r="C169" i="11"/>
  <c r="T170" i="11"/>
  <c r="H170" i="11"/>
  <c r="F170" i="11"/>
  <c r="G170" i="11"/>
  <c r="E170" i="11"/>
  <c r="C170" i="11"/>
  <c r="T171" i="11"/>
  <c r="H171" i="11"/>
  <c r="F171" i="11"/>
  <c r="G171" i="11"/>
  <c r="E171" i="11"/>
  <c r="C171" i="11"/>
  <c r="H172" i="11"/>
  <c r="F172" i="11"/>
  <c r="G172" i="11"/>
  <c r="E172" i="11"/>
  <c r="C172" i="11"/>
  <c r="H173" i="11"/>
  <c r="F173" i="11"/>
  <c r="G173" i="11"/>
  <c r="E173" i="11"/>
  <c r="C173" i="11"/>
  <c r="T174" i="11"/>
  <c r="H174" i="11"/>
  <c r="F174" i="11"/>
  <c r="G174" i="11"/>
  <c r="E174" i="11"/>
  <c r="C174" i="11"/>
  <c r="T176" i="11"/>
  <c r="H176" i="11"/>
  <c r="F176" i="11"/>
  <c r="G176" i="11"/>
  <c r="E176" i="11"/>
  <c r="C176" i="11"/>
  <c r="T177" i="11"/>
  <c r="H177" i="11"/>
  <c r="F177" i="11"/>
  <c r="G177" i="11"/>
  <c r="E177" i="11"/>
  <c r="C177" i="11"/>
  <c r="T178" i="11"/>
  <c r="H178" i="11"/>
  <c r="G178" i="11"/>
  <c r="F178" i="11"/>
  <c r="E178" i="11"/>
  <c r="C178" i="11"/>
  <c r="T179" i="11"/>
  <c r="H179" i="11"/>
  <c r="F179" i="11"/>
  <c r="G179" i="11"/>
  <c r="E179" i="11"/>
  <c r="C179" i="11"/>
  <c r="T180" i="11"/>
  <c r="H180" i="11"/>
  <c r="F180" i="11"/>
  <c r="G180" i="11"/>
  <c r="E180" i="11"/>
  <c r="C180" i="11"/>
  <c r="T181" i="11"/>
  <c r="H181" i="11"/>
  <c r="F181" i="11"/>
  <c r="G181" i="11"/>
  <c r="E181" i="11"/>
  <c r="C181" i="11"/>
  <c r="T182" i="11"/>
  <c r="H182" i="11"/>
  <c r="F182" i="11"/>
  <c r="G182" i="11"/>
  <c r="E182" i="11"/>
  <c r="C182" i="11"/>
  <c r="T183" i="11"/>
  <c r="H183" i="11"/>
  <c r="F183" i="11"/>
  <c r="G183" i="11"/>
  <c r="E183" i="11"/>
  <c r="C183" i="11"/>
  <c r="T184" i="11"/>
  <c r="H184" i="11"/>
  <c r="F184" i="11"/>
  <c r="G184" i="11"/>
  <c r="E184" i="11"/>
  <c r="C184" i="11"/>
  <c r="T185" i="11"/>
  <c r="H185" i="11"/>
  <c r="G185" i="11"/>
  <c r="F185" i="11"/>
  <c r="E185" i="11"/>
  <c r="C185" i="11"/>
  <c r="T186" i="11"/>
  <c r="H186" i="11"/>
  <c r="F186" i="11"/>
  <c r="G186" i="11"/>
  <c r="E186" i="11"/>
  <c r="C186" i="11"/>
  <c r="T187" i="11"/>
  <c r="H187" i="11"/>
  <c r="F187" i="11"/>
  <c r="G187" i="11"/>
  <c r="E187" i="11"/>
  <c r="C187" i="11"/>
  <c r="F188" i="11"/>
  <c r="G188" i="11"/>
  <c r="E188" i="11"/>
  <c r="C188" i="11"/>
  <c r="T189" i="11"/>
  <c r="H189" i="11"/>
  <c r="F189" i="11"/>
  <c r="G189" i="11"/>
  <c r="E189" i="11"/>
  <c r="C189" i="11"/>
  <c r="T190" i="11"/>
  <c r="H190" i="11"/>
  <c r="F190" i="11"/>
  <c r="G190" i="11"/>
  <c r="E190" i="11"/>
  <c r="C190" i="11"/>
  <c r="T191" i="11"/>
  <c r="H191" i="11"/>
  <c r="F191" i="11"/>
  <c r="G191" i="11"/>
  <c r="E191" i="11"/>
  <c r="C191" i="11"/>
  <c r="T192" i="11"/>
  <c r="H192" i="11"/>
  <c r="F192" i="11"/>
  <c r="G192" i="11"/>
  <c r="E192" i="11"/>
  <c r="C192" i="11"/>
  <c r="T193" i="11"/>
  <c r="H193" i="11"/>
  <c r="F193" i="11"/>
  <c r="G193" i="11"/>
  <c r="E193" i="11"/>
  <c r="C193" i="11"/>
  <c r="T194" i="11"/>
  <c r="H194" i="11"/>
  <c r="G194" i="11"/>
  <c r="F194" i="11"/>
  <c r="E194" i="11"/>
  <c r="C194" i="11"/>
  <c r="T195" i="11"/>
  <c r="H195" i="11"/>
  <c r="G195" i="11"/>
  <c r="F195" i="11"/>
  <c r="E195" i="11"/>
  <c r="C195" i="11"/>
  <c r="T196" i="11"/>
  <c r="H196" i="11"/>
  <c r="F196" i="11"/>
  <c r="G196" i="11"/>
  <c r="E196" i="11"/>
  <c r="C196" i="11"/>
  <c r="T197" i="11"/>
  <c r="H197" i="11"/>
  <c r="F197" i="11"/>
  <c r="G197" i="11"/>
  <c r="E197" i="11"/>
  <c r="C197" i="11"/>
  <c r="T198" i="11"/>
  <c r="H198" i="11"/>
  <c r="F198" i="11"/>
  <c r="G198" i="11"/>
  <c r="E198" i="11"/>
  <c r="C198" i="11"/>
  <c r="T199" i="11"/>
  <c r="H199" i="11"/>
  <c r="G199" i="11"/>
  <c r="F199" i="11"/>
  <c r="E199" i="11"/>
  <c r="C199" i="11"/>
  <c r="T200" i="11"/>
  <c r="H200" i="11"/>
  <c r="F200" i="11"/>
  <c r="G200" i="11"/>
  <c r="E200" i="11"/>
  <c r="C200" i="11"/>
  <c r="T201" i="11"/>
  <c r="H201" i="11"/>
  <c r="F201" i="11"/>
  <c r="G201" i="11"/>
  <c r="E201" i="11"/>
  <c r="C201" i="11"/>
  <c r="T202" i="11"/>
  <c r="H202" i="11"/>
  <c r="F202" i="11"/>
  <c r="G202" i="11"/>
  <c r="E202" i="11"/>
  <c r="C202" i="11"/>
  <c r="T203" i="11"/>
  <c r="H203" i="11"/>
  <c r="F203" i="11"/>
  <c r="G203" i="11"/>
  <c r="E203" i="11"/>
  <c r="C203" i="11"/>
  <c r="T204" i="11"/>
  <c r="H204" i="11"/>
  <c r="F204" i="11"/>
  <c r="G204" i="11"/>
  <c r="E204" i="11"/>
  <c r="C204" i="11"/>
  <c r="T205" i="11"/>
  <c r="H205" i="11"/>
  <c r="F205" i="11"/>
  <c r="G205" i="11"/>
  <c r="E205" i="11"/>
  <c r="C205" i="11"/>
  <c r="T206" i="11"/>
  <c r="H206" i="11"/>
  <c r="F206" i="11"/>
  <c r="G206" i="11"/>
  <c r="E206" i="11"/>
  <c r="C206" i="11"/>
  <c r="T207" i="11"/>
  <c r="H207" i="11"/>
  <c r="F207" i="11"/>
  <c r="G207" i="11"/>
  <c r="E207" i="11"/>
  <c r="C207" i="11"/>
  <c r="T208" i="11"/>
  <c r="H208" i="11"/>
  <c r="G208" i="11"/>
  <c r="F208" i="11"/>
  <c r="E208" i="11"/>
  <c r="C208" i="11"/>
  <c r="T209" i="11"/>
  <c r="H209" i="11"/>
  <c r="F209" i="11"/>
  <c r="G209" i="11"/>
  <c r="E209" i="11"/>
  <c r="C209" i="11"/>
  <c r="T210" i="11"/>
  <c r="H210" i="11"/>
  <c r="F210" i="11"/>
  <c r="G210" i="11"/>
  <c r="E210" i="11"/>
  <c r="C210" i="11"/>
  <c r="T211" i="11"/>
  <c r="H211" i="11"/>
  <c r="F211" i="11"/>
  <c r="G211" i="11"/>
  <c r="E211" i="11"/>
  <c r="C211" i="11"/>
  <c r="T212" i="11"/>
  <c r="H212" i="11"/>
  <c r="F212" i="11"/>
  <c r="G212" i="11"/>
  <c r="E212" i="11"/>
  <c r="C212" i="11"/>
  <c r="G213" i="11"/>
  <c r="F213" i="11"/>
  <c r="E213" i="11"/>
  <c r="C213" i="11"/>
  <c r="F214" i="11"/>
  <c r="G214" i="11"/>
  <c r="E214" i="11"/>
  <c r="C214" i="11"/>
  <c r="F215" i="11"/>
  <c r="G215" i="11"/>
  <c r="E215" i="11"/>
  <c r="C215" i="11"/>
  <c r="F216" i="11"/>
  <c r="G216" i="11"/>
  <c r="E216" i="11"/>
  <c r="C216" i="11"/>
  <c r="T217" i="11"/>
  <c r="H217" i="11"/>
  <c r="F217" i="11"/>
  <c r="G217" i="11"/>
  <c r="E217" i="11"/>
  <c r="C217" i="11"/>
  <c r="T218" i="11"/>
  <c r="H218" i="11"/>
  <c r="G218" i="11"/>
  <c r="F218" i="11"/>
  <c r="E218" i="11"/>
  <c r="C218" i="11"/>
  <c r="T219" i="11"/>
  <c r="H219" i="11"/>
  <c r="F219" i="11"/>
  <c r="G219" i="11"/>
  <c r="E219" i="11"/>
  <c r="C219" i="11"/>
  <c r="T220" i="11"/>
  <c r="H220" i="11"/>
  <c r="G220" i="11"/>
  <c r="F220" i="11"/>
  <c r="E220" i="11"/>
  <c r="C220" i="11"/>
  <c r="T221" i="11"/>
  <c r="H221" i="11"/>
  <c r="F221" i="11"/>
  <c r="G221" i="11"/>
  <c r="E221" i="11"/>
  <c r="C221" i="11"/>
  <c r="T222" i="11"/>
  <c r="H222" i="11"/>
  <c r="F222" i="11"/>
  <c r="G222" i="11"/>
  <c r="E222" i="11"/>
  <c r="C222" i="11"/>
  <c r="H223" i="11"/>
  <c r="F223" i="11"/>
  <c r="G223" i="11"/>
  <c r="E223" i="11"/>
  <c r="C223" i="11"/>
  <c r="T224" i="11"/>
  <c r="H224" i="11"/>
  <c r="F224" i="11"/>
  <c r="G224" i="11"/>
  <c r="E224" i="11"/>
  <c r="C224" i="11"/>
  <c r="H225" i="11"/>
  <c r="F225" i="11"/>
  <c r="G225" i="11"/>
  <c r="E225" i="11"/>
  <c r="C225" i="11"/>
  <c r="H226" i="11"/>
  <c r="F226" i="11"/>
  <c r="G226" i="11"/>
  <c r="E226" i="11"/>
  <c r="C226" i="11"/>
  <c r="H227" i="11"/>
  <c r="F227" i="11"/>
  <c r="G227" i="11"/>
  <c r="E227" i="11"/>
  <c r="C227" i="11"/>
  <c r="H228" i="11"/>
  <c r="F228" i="11"/>
  <c r="G228" i="11"/>
  <c r="E228" i="11"/>
  <c r="C228" i="11"/>
  <c r="T229" i="11"/>
  <c r="H229" i="11"/>
  <c r="F229" i="11"/>
  <c r="G229" i="11"/>
  <c r="E229" i="11"/>
  <c r="C229" i="11"/>
  <c r="T230" i="11"/>
  <c r="H230" i="11"/>
  <c r="F230" i="11"/>
  <c r="G230" i="11"/>
  <c r="E230" i="11"/>
  <c r="C230" i="11"/>
  <c r="T231" i="11"/>
  <c r="H231" i="11"/>
  <c r="F231" i="11"/>
  <c r="G231" i="11"/>
  <c r="E231" i="11"/>
  <c r="C231" i="11"/>
  <c r="G232" i="11"/>
  <c r="F232" i="11"/>
  <c r="E232" i="11"/>
  <c r="C232" i="11"/>
  <c r="T243" i="11"/>
  <c r="H243" i="11"/>
  <c r="F243" i="11"/>
  <c r="G243" i="11"/>
  <c r="E243" i="11"/>
  <c r="C243" i="11"/>
  <c r="T244" i="11"/>
  <c r="H244" i="11"/>
  <c r="F244" i="11"/>
  <c r="G244" i="11"/>
  <c r="E244" i="11"/>
  <c r="C244" i="11"/>
  <c r="T245" i="11"/>
  <c r="H245" i="11"/>
  <c r="F245" i="11"/>
  <c r="G245" i="11"/>
  <c r="E245" i="11"/>
  <c r="C245" i="11"/>
  <c r="T246" i="11"/>
  <c r="H246" i="11"/>
  <c r="F246" i="11"/>
  <c r="G246" i="11"/>
  <c r="E246" i="11"/>
  <c r="C246" i="11"/>
  <c r="T247" i="11"/>
  <c r="H247" i="11"/>
  <c r="F247" i="11"/>
  <c r="G247" i="11"/>
  <c r="E247" i="11"/>
  <c r="C247" i="11"/>
  <c r="T248" i="11"/>
  <c r="H248" i="11"/>
  <c r="F248" i="11"/>
  <c r="G248" i="11"/>
  <c r="E248" i="11"/>
  <c r="C248" i="11"/>
  <c r="T249" i="11"/>
  <c r="H249" i="11"/>
  <c r="F249" i="11"/>
  <c r="G249" i="11"/>
  <c r="E249" i="11"/>
  <c r="C249" i="11"/>
  <c r="T250" i="11"/>
  <c r="H250" i="11"/>
  <c r="F250" i="11"/>
  <c r="G250" i="11"/>
  <c r="E250" i="11"/>
  <c r="C250" i="11"/>
  <c r="T251" i="11"/>
  <c r="H251" i="11"/>
  <c r="F251" i="11"/>
  <c r="G251" i="11"/>
  <c r="E251" i="11"/>
  <c r="C251" i="11"/>
  <c r="T252" i="11"/>
  <c r="H252" i="11"/>
  <c r="F252" i="11"/>
  <c r="G252" i="11"/>
  <c r="E252" i="11"/>
  <c r="C252" i="11"/>
  <c r="T253" i="11"/>
  <c r="H253" i="11"/>
  <c r="F253" i="11"/>
  <c r="G253" i="11"/>
  <c r="E253" i="11"/>
  <c r="C253" i="11"/>
  <c r="T254" i="11"/>
  <c r="H254" i="11"/>
  <c r="F254" i="11"/>
  <c r="G254" i="11"/>
  <c r="E254" i="11"/>
  <c r="C254" i="11"/>
  <c r="T255" i="11"/>
  <c r="H255" i="11"/>
  <c r="F255" i="11"/>
  <c r="G255" i="11"/>
  <c r="E255" i="11"/>
  <c r="C255" i="11"/>
  <c r="T256" i="11"/>
  <c r="H256" i="11"/>
  <c r="F256" i="11"/>
  <c r="G256" i="11"/>
  <c r="E256" i="11"/>
  <c r="C256" i="11"/>
  <c r="T257" i="11"/>
  <c r="H257" i="11"/>
  <c r="F257" i="11"/>
  <c r="G257" i="11"/>
  <c r="E257" i="11"/>
  <c r="C257" i="11"/>
  <c r="T258" i="11"/>
  <c r="H258" i="11"/>
  <c r="F258" i="11"/>
  <c r="G258" i="11"/>
  <c r="E258" i="11"/>
  <c r="C258" i="11"/>
  <c r="T259" i="11"/>
  <c r="H259" i="11"/>
  <c r="F259" i="11"/>
  <c r="G259" i="11"/>
  <c r="E259" i="11"/>
  <c r="C259" i="11"/>
  <c r="T260" i="11"/>
  <c r="H260" i="11"/>
  <c r="F260" i="11"/>
  <c r="G260" i="11"/>
  <c r="E260" i="11"/>
  <c r="C260" i="11"/>
  <c r="T261" i="11"/>
  <c r="H261" i="11"/>
  <c r="F261" i="11"/>
  <c r="G261" i="11"/>
  <c r="E261" i="11"/>
  <c r="C261" i="11"/>
  <c r="T262" i="11"/>
  <c r="H262" i="11"/>
  <c r="F262" i="11"/>
  <c r="G262" i="11"/>
  <c r="E262" i="11"/>
  <c r="C262" i="11"/>
  <c r="T263" i="11"/>
  <c r="H263" i="11"/>
  <c r="F263" i="11"/>
  <c r="G263" i="11"/>
  <c r="E263" i="11"/>
  <c r="C263" i="11"/>
  <c r="T264" i="11"/>
  <c r="H264" i="11"/>
  <c r="F264" i="11"/>
  <c r="G264" i="11"/>
  <c r="E264" i="11"/>
  <c r="C264" i="11"/>
  <c r="T265" i="11"/>
  <c r="H265" i="11"/>
  <c r="F265" i="11"/>
  <c r="G265" i="11"/>
  <c r="E265" i="11"/>
  <c r="C265" i="11"/>
  <c r="T266" i="11"/>
  <c r="H266" i="11"/>
  <c r="F266" i="11"/>
  <c r="G266" i="11"/>
  <c r="E266" i="11"/>
  <c r="C266" i="11"/>
  <c r="T267" i="11"/>
  <c r="H267" i="11"/>
  <c r="F267" i="11"/>
  <c r="G267" i="11"/>
  <c r="E267" i="11"/>
  <c r="C267" i="11"/>
  <c r="T268" i="11"/>
  <c r="H268" i="11"/>
  <c r="F268" i="11"/>
  <c r="G268" i="11"/>
  <c r="E268" i="11"/>
  <c r="C268" i="11"/>
  <c r="H270" i="11"/>
  <c r="F270" i="11"/>
  <c r="G270" i="11"/>
  <c r="E270" i="11"/>
  <c r="C270" i="11"/>
  <c r="H271" i="11"/>
  <c r="F271" i="11"/>
  <c r="G271" i="11"/>
  <c r="E271" i="11"/>
  <c r="C271" i="11"/>
  <c r="H279" i="11"/>
  <c r="G279" i="11"/>
  <c r="F279" i="11"/>
  <c r="E279" i="11"/>
  <c r="C279" i="11"/>
  <c r="H280" i="11"/>
  <c r="F280" i="11"/>
  <c r="G280" i="11"/>
  <c r="E280" i="11"/>
  <c r="C280" i="11"/>
  <c r="H284" i="11"/>
  <c r="F284" i="11"/>
  <c r="G284" i="11"/>
  <c r="E284" i="11"/>
  <c r="C284" i="11"/>
  <c r="C329" i="11"/>
  <c r="T333" i="11"/>
  <c r="H333" i="11"/>
  <c r="F333" i="11"/>
  <c r="G333" i="11"/>
  <c r="E333" i="11"/>
  <c r="C333" i="11"/>
  <c r="T334" i="11"/>
  <c r="H334" i="11"/>
  <c r="F334" i="11"/>
  <c r="G334" i="11"/>
  <c r="E334" i="11"/>
  <c r="C334" i="11"/>
  <c r="T335" i="11"/>
  <c r="H335" i="11"/>
  <c r="F335" i="11"/>
  <c r="G335" i="11"/>
  <c r="E335" i="11"/>
  <c r="C335" i="11"/>
  <c r="T336" i="11"/>
  <c r="H336" i="11"/>
  <c r="F336" i="11"/>
  <c r="G336" i="11"/>
  <c r="E336" i="11"/>
  <c r="C336" i="11"/>
  <c r="T337" i="11"/>
  <c r="H337" i="11"/>
  <c r="F337" i="11"/>
  <c r="G337" i="11"/>
  <c r="E337" i="11"/>
  <c r="C337" i="11"/>
  <c r="T338" i="11"/>
  <c r="H338" i="11"/>
  <c r="F338" i="11"/>
  <c r="G338" i="11"/>
  <c r="E338" i="11"/>
  <c r="C338" i="11"/>
  <c r="T339" i="11"/>
  <c r="H339" i="11"/>
  <c r="F339" i="11"/>
  <c r="G339" i="11"/>
  <c r="E339" i="11"/>
  <c r="C339" i="11"/>
  <c r="T340" i="11"/>
  <c r="H340" i="11"/>
  <c r="F340" i="11"/>
  <c r="G340" i="11"/>
  <c r="E340" i="11"/>
  <c r="C340" i="11"/>
  <c r="H341" i="11"/>
  <c r="F341" i="11"/>
  <c r="G341" i="11"/>
  <c r="E341" i="11"/>
  <c r="C341" i="11"/>
  <c r="T342" i="11"/>
  <c r="H342" i="11"/>
  <c r="F342" i="11"/>
  <c r="G342" i="11"/>
  <c r="E342" i="11"/>
  <c r="C342" i="11"/>
  <c r="H343" i="11"/>
  <c r="F343" i="11"/>
  <c r="G343" i="11"/>
  <c r="E343" i="11"/>
  <c r="C343" i="11"/>
  <c r="T345" i="11"/>
  <c r="H345" i="11"/>
  <c r="F345" i="11"/>
  <c r="G345" i="11"/>
  <c r="E345" i="11"/>
  <c r="C345" i="11"/>
  <c r="T346" i="11"/>
  <c r="H346" i="11"/>
  <c r="F346" i="11"/>
  <c r="G346" i="11"/>
  <c r="E346" i="11"/>
  <c r="C346" i="11"/>
  <c r="H347" i="11"/>
  <c r="F347" i="11"/>
  <c r="G347" i="11"/>
  <c r="E347" i="11"/>
  <c r="C347" i="11"/>
  <c r="T348" i="11"/>
  <c r="H348" i="11"/>
  <c r="F348" i="11"/>
  <c r="G348" i="11"/>
  <c r="E348" i="11"/>
  <c r="C348" i="11"/>
  <c r="H349" i="11"/>
  <c r="F349" i="11"/>
  <c r="G349" i="11"/>
  <c r="E349" i="11"/>
  <c r="C349" i="11"/>
  <c r="T350" i="11"/>
  <c r="H350" i="11"/>
  <c r="F350" i="11"/>
  <c r="G350" i="11"/>
  <c r="E350" i="11"/>
  <c r="C350" i="11"/>
  <c r="T351" i="11"/>
  <c r="H351" i="11"/>
  <c r="F351" i="11"/>
  <c r="G351" i="11"/>
  <c r="E351" i="11"/>
  <c r="C351" i="11"/>
  <c r="T352" i="11"/>
  <c r="H352" i="11"/>
  <c r="F352" i="11"/>
  <c r="G352" i="11"/>
  <c r="E352" i="11"/>
  <c r="C352" i="11"/>
  <c r="T353" i="11"/>
  <c r="H353" i="11"/>
  <c r="F353" i="11"/>
  <c r="G353" i="11"/>
  <c r="E353" i="11"/>
  <c r="C353" i="11"/>
  <c r="T354" i="11"/>
  <c r="H354" i="11"/>
  <c r="F354" i="11"/>
  <c r="G354" i="11"/>
  <c r="E354" i="11"/>
  <c r="C354" i="11"/>
  <c r="T355" i="11"/>
  <c r="H355" i="11"/>
  <c r="F355" i="11"/>
  <c r="G355" i="11"/>
  <c r="E355" i="11"/>
  <c r="C355" i="11"/>
  <c r="T356" i="11"/>
  <c r="H356" i="11"/>
  <c r="G356" i="11"/>
  <c r="F356" i="11"/>
  <c r="E356" i="11"/>
  <c r="C356" i="11"/>
  <c r="T357" i="11"/>
  <c r="H357" i="11"/>
  <c r="G357" i="11"/>
  <c r="F357" i="11"/>
  <c r="E357" i="11"/>
  <c r="C357" i="11"/>
  <c r="T358" i="11"/>
  <c r="H358" i="11"/>
  <c r="F358" i="11"/>
  <c r="G358" i="11"/>
  <c r="E358" i="11"/>
  <c r="C358" i="11"/>
  <c r="T359" i="11"/>
  <c r="H359" i="11"/>
  <c r="F359" i="11"/>
  <c r="G359" i="11"/>
  <c r="E359" i="11"/>
  <c r="C359" i="11"/>
  <c r="T360" i="11"/>
  <c r="H360" i="11"/>
  <c r="F360" i="11"/>
  <c r="G360" i="11"/>
  <c r="E360" i="11"/>
  <c r="C360" i="11"/>
  <c r="T361" i="11"/>
  <c r="H361" i="11"/>
  <c r="F361" i="11"/>
  <c r="G361" i="11"/>
  <c r="E361" i="11"/>
  <c r="C361" i="11"/>
  <c r="H362" i="11"/>
  <c r="F362" i="11"/>
  <c r="G362" i="11"/>
  <c r="E362" i="11"/>
  <c r="C362" i="11"/>
  <c r="T363" i="11"/>
  <c r="H363" i="11"/>
  <c r="F363" i="11"/>
  <c r="G363" i="11"/>
  <c r="E363" i="11"/>
  <c r="C363" i="11"/>
  <c r="T364" i="11"/>
  <c r="H364" i="11"/>
  <c r="F364" i="11"/>
  <c r="G364" i="11"/>
  <c r="E364" i="11"/>
  <c r="C364" i="11"/>
  <c r="T366" i="11"/>
  <c r="H366" i="11"/>
  <c r="F366" i="11"/>
  <c r="G366" i="11"/>
  <c r="E366" i="11"/>
  <c r="C366" i="11"/>
  <c r="T367" i="11"/>
  <c r="H367" i="11"/>
  <c r="F367" i="11"/>
  <c r="G367" i="11"/>
  <c r="E367" i="11"/>
  <c r="C367" i="11"/>
  <c r="T368" i="11"/>
  <c r="H368" i="11"/>
  <c r="F368" i="11"/>
  <c r="G368" i="11"/>
  <c r="E368" i="11"/>
  <c r="C368" i="11"/>
  <c r="T369" i="11"/>
  <c r="H369" i="11"/>
  <c r="F369" i="11"/>
  <c r="G369" i="11"/>
  <c r="E369" i="11"/>
  <c r="C369" i="11"/>
  <c r="T370" i="11"/>
  <c r="H370" i="11"/>
  <c r="G370" i="11"/>
  <c r="F370" i="11"/>
  <c r="E370" i="11"/>
  <c r="C370" i="11"/>
  <c r="T371" i="11"/>
  <c r="H371" i="11"/>
  <c r="F371" i="11"/>
  <c r="G371" i="11"/>
  <c r="E371" i="11"/>
  <c r="C371" i="11"/>
  <c r="T372" i="11"/>
  <c r="H372" i="11"/>
  <c r="F372" i="11"/>
  <c r="G372" i="11"/>
  <c r="E372" i="11"/>
  <c r="C372" i="11"/>
  <c r="T373" i="11"/>
  <c r="H373" i="11"/>
  <c r="F373" i="11"/>
  <c r="G373" i="11"/>
  <c r="E373" i="11"/>
  <c r="C373" i="11"/>
  <c r="T374" i="11"/>
  <c r="H374" i="11"/>
  <c r="F374" i="11"/>
  <c r="G374" i="11"/>
  <c r="E374" i="11"/>
  <c r="C374" i="11"/>
  <c r="T375" i="11"/>
  <c r="H375" i="11"/>
  <c r="F375" i="11"/>
  <c r="G375" i="11"/>
  <c r="E375" i="11"/>
  <c r="C375" i="11"/>
  <c r="H376" i="11"/>
  <c r="F376" i="11"/>
  <c r="G376" i="11"/>
  <c r="E376" i="11"/>
  <c r="C376" i="11"/>
  <c r="H377" i="11"/>
  <c r="G377" i="11"/>
  <c r="F377" i="11"/>
  <c r="E377" i="11"/>
  <c r="C377" i="11"/>
  <c r="C379" i="11"/>
  <c r="T615" i="11"/>
  <c r="H615" i="11"/>
  <c r="F615" i="11"/>
  <c r="G615" i="11"/>
  <c r="E615" i="11"/>
  <c r="C615" i="11"/>
  <c r="T650" i="11"/>
  <c r="H650" i="11"/>
  <c r="F650" i="11"/>
  <c r="G650" i="11"/>
  <c r="E650" i="11"/>
  <c r="C650" i="11"/>
  <c r="T653" i="11"/>
  <c r="H653" i="11"/>
  <c r="F653" i="11"/>
  <c r="G653" i="11"/>
  <c r="E653" i="11"/>
  <c r="C653" i="11"/>
  <c r="C654" i="11"/>
  <c r="T134" i="11"/>
  <c r="T135" i="11"/>
  <c r="T136" i="11"/>
  <c r="T137" i="11"/>
  <c r="T138" i="11"/>
  <c r="D138" i="11"/>
  <c r="T139" i="11"/>
  <c r="T140" i="11"/>
  <c r="D139" i="11"/>
  <c r="D134" i="11"/>
  <c r="F134" i="11"/>
  <c r="G134" i="11"/>
  <c r="E134" i="11"/>
  <c r="C134" i="11"/>
  <c r="T144" i="11"/>
  <c r="T142" i="11"/>
  <c r="D142" i="11"/>
  <c r="F142" i="11"/>
  <c r="G142" i="11"/>
  <c r="E142" i="11"/>
  <c r="D144" i="11"/>
  <c r="F144" i="11"/>
  <c r="G144" i="11"/>
  <c r="E144" i="11"/>
  <c r="C144" i="11"/>
  <c r="C142" i="11"/>
  <c r="T145" i="11"/>
  <c r="D145" i="11"/>
  <c r="F145" i="11"/>
  <c r="G145" i="11"/>
  <c r="E145" i="11"/>
  <c r="T146" i="11"/>
  <c r="D146" i="11"/>
  <c r="F146" i="11"/>
  <c r="G146" i="11"/>
  <c r="E146" i="11"/>
  <c r="C145" i="11"/>
  <c r="T148" i="11"/>
  <c r="H148" i="11"/>
  <c r="F148" i="11"/>
  <c r="G148" i="11"/>
  <c r="C148" i="11"/>
  <c r="H150" i="11"/>
  <c r="T150" i="11"/>
  <c r="T151" i="11"/>
  <c r="D150" i="11"/>
  <c r="F150" i="11"/>
  <c r="G150" i="11"/>
  <c r="E150" i="11"/>
  <c r="C150" i="11"/>
  <c r="T160" i="11"/>
  <c r="T161" i="11"/>
  <c r="G154" i="11"/>
  <c r="F154" i="11"/>
  <c r="E154" i="11"/>
  <c r="C154" i="11"/>
  <c r="T162" i="11"/>
  <c r="H162" i="11"/>
  <c r="F162" i="11"/>
  <c r="G162" i="11"/>
  <c r="C162" i="11"/>
  <c r="C163" i="11"/>
  <c r="C709" i="11"/>
  <c r="T88" i="11"/>
  <c r="H88" i="11"/>
  <c r="C89" i="11"/>
  <c r="T90" i="11"/>
  <c r="H90" i="11"/>
  <c r="E90" i="11"/>
  <c r="C90" i="11"/>
  <c r="T719" i="11"/>
  <c r="C719" i="11"/>
  <c r="C721" i="11"/>
  <c r="T723" i="11"/>
  <c r="C723" i="11"/>
  <c r="C722" i="11"/>
  <c r="T724" i="11"/>
  <c r="C724" i="11"/>
  <c r="C726" i="11"/>
  <c r="C88" i="11"/>
  <c r="C92" i="11"/>
  <c r="C729" i="11"/>
  <c r="T722" i="11"/>
  <c r="T721" i="11"/>
  <c r="T720" i="11"/>
  <c r="E718" i="11"/>
  <c r="I696" i="11"/>
  <c r="I694" i="11"/>
  <c r="I693" i="11"/>
  <c r="H654" i="11"/>
  <c r="G654" i="11"/>
  <c r="F654" i="11"/>
  <c r="E654" i="11"/>
  <c r="I653" i="11"/>
  <c r="I615" i="11"/>
  <c r="T613" i="11"/>
  <c r="T609" i="11"/>
  <c r="T606" i="11"/>
  <c r="T604" i="11"/>
  <c r="T583" i="11"/>
  <c r="T578" i="11"/>
  <c r="T553" i="11"/>
  <c r="T552" i="11"/>
  <c r="T551" i="11"/>
  <c r="T547" i="11"/>
  <c r="Z525" i="11"/>
  <c r="X496" i="11"/>
  <c r="W496" i="11"/>
  <c r="T476" i="11"/>
  <c r="T452" i="11"/>
  <c r="T437" i="11"/>
  <c r="T435" i="11"/>
  <c r="T418" i="11"/>
  <c r="T417" i="11"/>
  <c r="T416" i="11"/>
  <c r="T415" i="11"/>
  <c r="T414" i="11"/>
  <c r="T413" i="11"/>
  <c r="T406" i="11"/>
  <c r="T382" i="11"/>
  <c r="H382" i="11"/>
  <c r="F382" i="11"/>
  <c r="G382" i="11"/>
  <c r="E382" i="11"/>
  <c r="C382" i="11"/>
  <c r="I382" i="11"/>
  <c r="I377" i="11"/>
  <c r="I376" i="11"/>
  <c r="I375" i="11"/>
  <c r="I373" i="11"/>
  <c r="I372" i="11"/>
  <c r="I371" i="11"/>
  <c r="I370" i="11"/>
  <c r="I369" i="11"/>
  <c r="I368" i="11"/>
  <c r="I367" i="11"/>
  <c r="I366" i="11"/>
  <c r="I364" i="11"/>
  <c r="U363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3" i="11"/>
  <c r="I342" i="11"/>
  <c r="I341" i="11"/>
  <c r="I340" i="11"/>
  <c r="I339" i="11"/>
  <c r="I338" i="11"/>
  <c r="I337" i="11"/>
  <c r="I336" i="11"/>
  <c r="I335" i="11"/>
  <c r="I334" i="11"/>
  <c r="I333" i="11"/>
  <c r="I328" i="11"/>
  <c r="I326" i="11"/>
  <c r="I325" i="11"/>
  <c r="I324" i="11"/>
  <c r="I323" i="11"/>
  <c r="I322" i="11"/>
  <c r="I321" i="11"/>
  <c r="I320" i="11"/>
  <c r="I319" i="11"/>
  <c r="I318" i="11"/>
  <c r="I317" i="11"/>
  <c r="I316" i="11"/>
  <c r="I314" i="11"/>
  <c r="I313" i="11"/>
  <c r="I311" i="11"/>
  <c r="I310" i="11"/>
  <c r="I309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2" i="11"/>
  <c r="I291" i="11"/>
  <c r="I290" i="11"/>
  <c r="I289" i="11"/>
  <c r="I288" i="11"/>
  <c r="I287" i="11"/>
  <c r="I286" i="11"/>
  <c r="I284" i="11"/>
  <c r="I280" i="11"/>
  <c r="I279" i="11"/>
  <c r="T273" i="11"/>
  <c r="I273" i="11"/>
  <c r="G273" i="11"/>
  <c r="F273" i="11"/>
  <c r="E273" i="11"/>
  <c r="I271" i="11"/>
  <c r="I270" i="11"/>
  <c r="I268" i="11"/>
  <c r="I267" i="11"/>
  <c r="I266" i="11"/>
  <c r="I265" i="11"/>
  <c r="I264" i="11"/>
  <c r="I263" i="11"/>
  <c r="I262" i="11"/>
  <c r="I261" i="11"/>
  <c r="I260" i="11"/>
  <c r="I232" i="11"/>
  <c r="I231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4" i="11"/>
  <c r="I173" i="11"/>
  <c r="I172" i="11"/>
  <c r="I171" i="11"/>
  <c r="I170" i="11"/>
  <c r="I169" i="11"/>
  <c r="I168" i="11"/>
  <c r="I167" i="11"/>
  <c r="I166" i="11"/>
  <c r="D148" i="11"/>
  <c r="T156" i="11"/>
  <c r="T157" i="11"/>
  <c r="D154" i="11"/>
  <c r="E162" i="11"/>
  <c r="D162" i="11"/>
  <c r="D163" i="11"/>
  <c r="I162" i="11"/>
  <c r="I161" i="11"/>
  <c r="I160" i="11"/>
  <c r="I157" i="11"/>
  <c r="I156" i="11"/>
  <c r="I155" i="11"/>
  <c r="I154" i="11"/>
  <c r="I151" i="11"/>
  <c r="I150" i="11"/>
  <c r="I148" i="11"/>
  <c r="E148" i="11"/>
  <c r="I146" i="11"/>
  <c r="I145" i="11"/>
  <c r="I144" i="11"/>
  <c r="I142" i="11"/>
  <c r="V137" i="11"/>
  <c r="I130" i="11"/>
  <c r="I129" i="11"/>
  <c r="I128" i="11"/>
  <c r="I127" i="11"/>
  <c r="I126" i="11"/>
  <c r="I124" i="11"/>
  <c r="I123" i="11"/>
  <c r="I122" i="11"/>
  <c r="I121" i="11"/>
  <c r="I119" i="11"/>
  <c r="I117" i="11"/>
  <c r="I116" i="11"/>
  <c r="I115" i="11"/>
  <c r="I114" i="11"/>
  <c r="G114" i="11"/>
  <c r="F114" i="11"/>
  <c r="M109" i="11"/>
  <c r="L109" i="11"/>
  <c r="K109" i="11"/>
  <c r="J109" i="11"/>
  <c r="T107" i="11"/>
  <c r="T106" i="11"/>
  <c r="T104" i="11"/>
  <c r="T101" i="11"/>
  <c r="I98" i="11"/>
  <c r="I97" i="11"/>
  <c r="I96" i="11"/>
  <c r="I84" i="11"/>
  <c r="I83" i="11"/>
  <c r="T80" i="11"/>
  <c r="H80" i="11"/>
  <c r="F80" i="11"/>
  <c r="G80" i="11"/>
  <c r="E80" i="11"/>
  <c r="C80" i="11"/>
  <c r="I80" i="11"/>
  <c r="I78" i="11"/>
  <c r="H78" i="11"/>
  <c r="E78" i="11"/>
  <c r="H77" i="11"/>
  <c r="E77" i="11"/>
  <c r="I73" i="11"/>
  <c r="I72" i="11"/>
  <c r="I71" i="11"/>
  <c r="I70" i="11"/>
  <c r="G70" i="11"/>
  <c r="F70" i="11"/>
  <c r="E70" i="11"/>
  <c r="H62" i="11"/>
  <c r="H60" i="11"/>
  <c r="G59" i="11"/>
  <c r="F59" i="11"/>
  <c r="E59" i="11"/>
  <c r="G57" i="11"/>
  <c r="F57" i="11"/>
  <c r="E57" i="11"/>
  <c r="I53" i="11"/>
  <c r="I49" i="11"/>
  <c r="G49" i="11"/>
  <c r="F49" i="11"/>
  <c r="E49" i="11"/>
  <c r="I48" i="11"/>
  <c r="I47" i="11"/>
  <c r="G47" i="11"/>
  <c r="F47" i="11"/>
  <c r="E47" i="11"/>
  <c r="I46" i="11"/>
  <c r="G46" i="11"/>
  <c r="F46" i="11"/>
  <c r="E46" i="11"/>
  <c r="N45" i="11"/>
  <c r="M45" i="11"/>
  <c r="L45" i="11"/>
  <c r="K45" i="11"/>
  <c r="J45" i="11"/>
  <c r="I45" i="11"/>
  <c r="I44" i="11"/>
  <c r="N43" i="11"/>
  <c r="M43" i="11"/>
  <c r="L43" i="11"/>
  <c r="K43" i="11"/>
  <c r="J43" i="11"/>
  <c r="G42" i="11"/>
  <c r="F42" i="11"/>
  <c r="E42" i="11"/>
  <c r="G41" i="11"/>
  <c r="F41" i="11"/>
  <c r="E41" i="11"/>
  <c r="H31" i="11"/>
  <c r="G31" i="11"/>
  <c r="F31" i="11"/>
  <c r="E31" i="11"/>
  <c r="T19" i="11"/>
  <c r="G351" i="13"/>
  <c r="E351" i="13"/>
  <c r="C351" i="13"/>
  <c r="I351" i="13"/>
  <c r="C379" i="13"/>
  <c r="C709" i="13"/>
  <c r="C729" i="13"/>
  <c r="E375" i="19"/>
  <c r="C375" i="19"/>
  <c r="I375" i="19"/>
  <c r="E361" i="19"/>
  <c r="C361" i="19"/>
  <c r="I361" i="19"/>
  <c r="E341" i="19"/>
  <c r="C341" i="19"/>
  <c r="I341" i="19"/>
  <c r="E338" i="19"/>
  <c r="C338" i="19"/>
  <c r="I338" i="19"/>
  <c r="H709" i="19"/>
  <c r="H729" i="19"/>
  <c r="E685" i="19"/>
  <c r="C685" i="19"/>
  <c r="E675" i="19"/>
  <c r="C675" i="19"/>
  <c r="E668" i="19"/>
  <c r="C668" i="19"/>
  <c r="E659" i="19"/>
  <c r="C659" i="19"/>
  <c r="E202" i="19"/>
  <c r="C202" i="19"/>
  <c r="I202" i="19"/>
  <c r="E31" i="19"/>
  <c r="E80" i="19"/>
  <c r="C80" i="19"/>
  <c r="I80" i="19"/>
  <c r="E171" i="19"/>
  <c r="C171" i="19"/>
  <c r="I171" i="19"/>
  <c r="E657" i="19"/>
  <c r="E184" i="19"/>
  <c r="C184" i="19"/>
  <c r="I184" i="19"/>
  <c r="E363" i="19"/>
  <c r="C363" i="19"/>
  <c r="I363" i="19"/>
  <c r="E347" i="19"/>
  <c r="C347" i="19"/>
  <c r="I347" i="19"/>
  <c r="E262" i="19"/>
  <c r="C262" i="19"/>
  <c r="I262" i="19"/>
  <c r="E32" i="19"/>
  <c r="C32" i="19"/>
  <c r="E255" i="19"/>
  <c r="C255" i="19"/>
  <c r="E365" i="19"/>
  <c r="C365" i="19"/>
  <c r="I365" i="19"/>
  <c r="C142" i="19"/>
  <c r="T84" i="19"/>
  <c r="H84" i="19"/>
  <c r="C84" i="19"/>
  <c r="E59" i="19"/>
  <c r="E319" i="19"/>
  <c r="C319" i="19"/>
  <c r="I319" i="19"/>
  <c r="E358" i="19"/>
  <c r="C358" i="19"/>
  <c r="I358" i="19"/>
  <c r="E150" i="19"/>
  <c r="C150" i="19"/>
  <c r="I150" i="19"/>
  <c r="E291" i="19"/>
  <c r="C291" i="19"/>
  <c r="I291" i="19"/>
  <c r="E290" i="19"/>
  <c r="C290" i="19"/>
  <c r="I290" i="19"/>
  <c r="E296" i="19"/>
  <c r="C296" i="19"/>
  <c r="I296" i="19"/>
  <c r="E174" i="19"/>
  <c r="C174" i="19"/>
  <c r="E211" i="19"/>
  <c r="C211" i="19"/>
  <c r="I211" i="19"/>
  <c r="E115" i="19"/>
  <c r="C115" i="19"/>
  <c r="I115" i="19"/>
  <c r="E251" i="19"/>
  <c r="C251" i="19"/>
  <c r="E222" i="19"/>
  <c r="C222" i="19"/>
  <c r="I222" i="19"/>
  <c r="E264" i="19"/>
  <c r="C264" i="19"/>
  <c r="I264" i="19"/>
  <c r="E362" i="19"/>
  <c r="C362" i="19"/>
  <c r="I362" i="19"/>
  <c r="E145" i="19"/>
  <c r="C145" i="19"/>
  <c r="F343" i="19"/>
  <c r="E343" i="19"/>
  <c r="C343" i="19"/>
  <c r="I343" i="19"/>
  <c r="E339" i="19"/>
  <c r="C339" i="19"/>
  <c r="I339" i="19"/>
  <c r="E680" i="19"/>
  <c r="C680" i="19"/>
  <c r="C674" i="19"/>
  <c r="E190" i="19"/>
  <c r="C190" i="19"/>
  <c r="I190" i="19"/>
  <c r="E376" i="19"/>
  <c r="C376" i="19"/>
  <c r="I376" i="19"/>
  <c r="E686" i="19"/>
  <c r="C686" i="19"/>
  <c r="C13" i="19"/>
  <c r="E129" i="19"/>
  <c r="C129" i="19"/>
  <c r="I129" i="19"/>
  <c r="E44" i="19"/>
  <c r="C44" i="19"/>
  <c r="E243" i="19"/>
  <c r="C243" i="19"/>
  <c r="E344" i="19"/>
  <c r="C344" i="19"/>
  <c r="I344" i="19"/>
  <c r="C664" i="19"/>
  <c r="E694" i="19"/>
  <c r="C694" i="19"/>
  <c r="E693" i="19"/>
  <c r="C693" i="19"/>
  <c r="E683" i="19"/>
  <c r="C683" i="19"/>
  <c r="E640" i="19"/>
  <c r="C640" i="19"/>
  <c r="I640" i="19"/>
  <c r="E650" i="19"/>
  <c r="C650" i="19"/>
  <c r="E628" i="19"/>
  <c r="C628" i="19"/>
  <c r="I628" i="19"/>
  <c r="E633" i="19"/>
  <c r="C633" i="19"/>
  <c r="I633" i="19"/>
  <c r="E624" i="19"/>
  <c r="C624" i="19"/>
  <c r="I624" i="19"/>
  <c r="D33" i="20"/>
  <c r="B33" i="20"/>
  <c r="H33" i="20"/>
  <c r="E324" i="19"/>
  <c r="C324" i="19"/>
  <c r="I324" i="19"/>
  <c r="E307" i="19"/>
  <c r="C307" i="19"/>
  <c r="I307" i="19"/>
  <c r="E306" i="19"/>
  <c r="C306" i="19"/>
  <c r="I306" i="19"/>
  <c r="E303" i="19"/>
  <c r="C303" i="19"/>
  <c r="I303" i="19"/>
  <c r="E302" i="19"/>
  <c r="C302" i="19"/>
  <c r="I302" i="19"/>
  <c r="E320" i="19"/>
  <c r="C320" i="19"/>
  <c r="I320" i="19"/>
  <c r="E294" i="19"/>
  <c r="C294" i="19"/>
  <c r="I294" i="19"/>
  <c r="E259" i="19"/>
  <c r="C259" i="19"/>
  <c r="E252" i="19"/>
  <c r="C252" i="19"/>
  <c r="E248" i="19"/>
  <c r="C248" i="19"/>
  <c r="E247" i="19"/>
  <c r="C247" i="19"/>
  <c r="E231" i="19"/>
  <c r="C231" i="19"/>
  <c r="E227" i="19"/>
  <c r="C227" i="19"/>
  <c r="I227" i="19"/>
  <c r="E214" i="19"/>
  <c r="C214" i="19"/>
  <c r="I214" i="19"/>
  <c r="E196" i="19"/>
  <c r="C196" i="19"/>
  <c r="I196" i="19"/>
  <c r="E178" i="19"/>
  <c r="C178" i="19"/>
  <c r="I178" i="19"/>
  <c r="E170" i="19"/>
  <c r="C170" i="19"/>
  <c r="I170" i="19"/>
  <c r="E323" i="19"/>
  <c r="C323" i="19"/>
  <c r="I323" i="19"/>
  <c r="E250" i="19"/>
  <c r="C250" i="19"/>
  <c r="E254" i="19"/>
  <c r="C254" i="19"/>
  <c r="E186" i="19"/>
  <c r="C186" i="19"/>
  <c r="I186" i="19"/>
  <c r="E313" i="19"/>
  <c r="C313" i="19"/>
  <c r="I313" i="19"/>
  <c r="G175" i="19"/>
  <c r="F175" i="19"/>
  <c r="E175" i="19"/>
  <c r="C175" i="19"/>
  <c r="I175" i="19"/>
  <c r="E249" i="19"/>
  <c r="C249" i="19"/>
  <c r="E168" i="19"/>
  <c r="C168" i="19"/>
  <c r="I168" i="19"/>
  <c r="E220" i="19"/>
  <c r="C220" i="19"/>
  <c r="I220" i="19"/>
  <c r="E299" i="19"/>
  <c r="C299" i="19"/>
  <c r="I299" i="19"/>
  <c r="E287" i="19"/>
  <c r="C287" i="19"/>
  <c r="I287" i="19"/>
  <c r="G148" i="19"/>
  <c r="F148" i="19"/>
  <c r="E119" i="19"/>
  <c r="C119" i="19"/>
  <c r="I119" i="19"/>
  <c r="C77" i="19"/>
  <c r="C81" i="19"/>
  <c r="E70" i="19"/>
  <c r="E73" i="19"/>
  <c r="C73" i="19"/>
  <c r="I73" i="19"/>
  <c r="E53" i="19"/>
  <c r="C53" i="19"/>
  <c r="I53" i="19"/>
  <c r="E37" i="19"/>
  <c r="C37" i="19"/>
  <c r="I37" i="19"/>
  <c r="G33" i="19"/>
  <c r="F33" i="19"/>
  <c r="E33" i="19"/>
  <c r="C33" i="19"/>
  <c r="I33" i="19"/>
  <c r="D41" i="20"/>
  <c r="B41" i="20"/>
  <c r="H41" i="20"/>
  <c r="D53" i="20"/>
  <c r="B53" i="20"/>
  <c r="H53" i="20"/>
  <c r="D55" i="20"/>
  <c r="B55" i="20"/>
  <c r="H55" i="20"/>
  <c r="H79" i="20"/>
  <c r="D83" i="20"/>
  <c r="B83" i="20"/>
  <c r="H83" i="20"/>
  <c r="D44" i="20"/>
  <c r="B44" i="20"/>
  <c r="I333" i="19"/>
  <c r="E267" i="19"/>
  <c r="C267" i="19"/>
  <c r="I267" i="19"/>
  <c r="E641" i="19"/>
  <c r="C641" i="19"/>
  <c r="I641" i="19"/>
  <c r="E631" i="19"/>
  <c r="C631" i="19"/>
  <c r="I631" i="19"/>
  <c r="E321" i="19"/>
  <c r="C321" i="19"/>
  <c r="I321" i="19"/>
  <c r="G39" i="19"/>
  <c r="F39" i="19"/>
  <c r="I286" i="19"/>
  <c r="E279" i="19"/>
  <c r="C279" i="19"/>
  <c r="I279" i="19"/>
  <c r="E629" i="19"/>
  <c r="C629" i="19"/>
  <c r="I629" i="19"/>
  <c r="E253" i="19"/>
  <c r="C253" i="19"/>
  <c r="E304" i="19"/>
  <c r="C304" i="19"/>
  <c r="I304" i="19"/>
  <c r="E666" i="19"/>
  <c r="C666" i="19"/>
  <c r="E676" i="19"/>
  <c r="C676" i="19"/>
  <c r="E340" i="19"/>
  <c r="C340" i="19"/>
  <c r="I340" i="19"/>
  <c r="E345" i="19"/>
  <c r="C345" i="19"/>
  <c r="I345" i="19"/>
  <c r="E146" i="19"/>
  <c r="E219" i="19"/>
  <c r="C219" i="19"/>
  <c r="I219" i="19"/>
  <c r="E177" i="19"/>
  <c r="C177" i="19"/>
  <c r="I177" i="19"/>
  <c r="E223" i="19"/>
  <c r="C223" i="19"/>
  <c r="I223" i="19"/>
  <c r="I676" i="19"/>
  <c r="F20" i="19"/>
  <c r="G20" i="19"/>
  <c r="E162" i="19"/>
  <c r="D162" i="19"/>
  <c r="D163" i="19"/>
  <c r="C162" i="19"/>
  <c r="F40" i="19"/>
  <c r="G40" i="19"/>
  <c r="E185" i="19"/>
  <c r="C185" i="19"/>
  <c r="I185" i="19"/>
  <c r="H61" i="19"/>
  <c r="C61" i="19"/>
  <c r="C66" i="19"/>
  <c r="I60" i="19"/>
  <c r="I66" i="19"/>
  <c r="E355" i="19"/>
  <c r="C355" i="19"/>
  <c r="I114" i="19"/>
  <c r="I657" i="19"/>
  <c r="C657" i="19"/>
  <c r="E208" i="19"/>
  <c r="C208" i="19"/>
  <c r="I208" i="19"/>
  <c r="E213" i="19"/>
  <c r="C213" i="19"/>
  <c r="I213" i="19"/>
  <c r="G696" i="19"/>
  <c r="H696" i="19"/>
  <c r="F696" i="19"/>
  <c r="E696" i="19"/>
  <c r="E352" i="19"/>
  <c r="C352" i="19"/>
  <c r="I352" i="19"/>
  <c r="E615" i="19"/>
  <c r="C615" i="19"/>
  <c r="E322" i="19"/>
  <c r="C322" i="19"/>
  <c r="I322" i="19"/>
  <c r="E22" i="19"/>
  <c r="C22" i="19"/>
  <c r="I22" i="19"/>
  <c r="G654" i="19"/>
  <c r="F654" i="19"/>
  <c r="I166" i="19"/>
  <c r="E671" i="19"/>
  <c r="C671" i="19"/>
  <c r="E367" i="19"/>
  <c r="C367" i="19"/>
  <c r="I367" i="19"/>
  <c r="E621" i="19"/>
  <c r="C621" i="19"/>
  <c r="I621" i="19"/>
  <c r="F49" i="19"/>
  <c r="C49" i="19"/>
  <c r="I49" i="19"/>
  <c r="G49" i="19"/>
  <c r="E195" i="19"/>
  <c r="C195" i="19"/>
  <c r="I195" i="19"/>
  <c r="G134" i="19"/>
  <c r="F134" i="19"/>
  <c r="E134" i="19"/>
  <c r="C134" i="19"/>
  <c r="E334" i="19"/>
  <c r="C334" i="19"/>
  <c r="I334" i="19"/>
  <c r="E616" i="19"/>
  <c r="C616" i="19"/>
  <c r="I616" i="19"/>
  <c r="E192" i="19"/>
  <c r="C192" i="19"/>
  <c r="I192" i="19"/>
  <c r="E348" i="19"/>
  <c r="C348" i="19"/>
  <c r="I348" i="19"/>
  <c r="E167" i="19"/>
  <c r="C167" i="19"/>
  <c r="I167" i="19"/>
  <c r="E203" i="19"/>
  <c r="C203" i="19"/>
  <c r="I203" i="19"/>
  <c r="D138" i="17"/>
  <c r="F142" i="17"/>
  <c r="G142" i="17"/>
  <c r="I154" i="17"/>
  <c r="D154" i="17"/>
  <c r="F154" i="17"/>
  <c r="G154" i="17"/>
  <c r="E154" i="17"/>
  <c r="C154" i="17"/>
  <c r="D163" i="17"/>
  <c r="D134" i="17"/>
  <c r="F352" i="17"/>
  <c r="G352" i="17"/>
  <c r="C132" i="19"/>
  <c r="I654" i="19"/>
  <c r="E654" i="19"/>
  <c r="E39" i="19"/>
  <c r="C39" i="19"/>
  <c r="I39" i="19"/>
  <c r="E148" i="19"/>
  <c r="C148" i="19"/>
  <c r="C163" i="19"/>
  <c r="B86" i="20"/>
  <c r="H44" i="20"/>
  <c r="B62" i="20"/>
  <c r="I615" i="19"/>
  <c r="C654" i="19"/>
  <c r="I696" i="19"/>
  <c r="C696" i="19"/>
  <c r="E40" i="19"/>
  <c r="C40" i="19"/>
  <c r="I40" i="19"/>
  <c r="E49" i="19"/>
  <c r="E20" i="19"/>
  <c r="C20" i="19"/>
  <c r="C328" i="19"/>
  <c r="I328" i="19"/>
  <c r="I349" i="19"/>
  <c r="E142" i="17"/>
  <c r="C142" i="17"/>
  <c r="F134" i="17"/>
  <c r="G134" i="17"/>
  <c r="E352" i="17"/>
  <c r="C352" i="17"/>
  <c r="C278" i="19"/>
  <c r="B73" i="20"/>
  <c r="C277" i="19"/>
  <c r="C329" i="19"/>
  <c r="C379" i="19"/>
  <c r="I20" i="19"/>
  <c r="I85" i="19"/>
  <c r="C54" i="19"/>
  <c r="E134" i="17"/>
  <c r="C134" i="17"/>
  <c r="C163" i="17"/>
  <c r="I352" i="17"/>
  <c r="C379" i="17"/>
  <c r="C709" i="17"/>
  <c r="C729" i="17"/>
  <c r="C665" i="23" l="1"/>
  <c r="H665" i="21"/>
  <c r="I665" i="21" s="1"/>
  <c r="I706" i="21" s="1"/>
  <c r="I709" i="21" s="1"/>
  <c r="I729" i="21" s="1"/>
  <c r="G665" i="21"/>
  <c r="E665" i="21" s="1"/>
  <c r="C665" i="21" s="1"/>
  <c r="C706" i="21" s="1"/>
  <c r="C71" i="21" s="1"/>
  <c r="C74" i="21" s="1"/>
  <c r="C85" i="21" s="1"/>
  <c r="F665" i="19"/>
  <c r="E665" i="19" s="1"/>
  <c r="C665" i="19" s="1"/>
  <c r="C706" i="19" s="1"/>
  <c r="C71" i="19" s="1"/>
  <c r="C74" i="19" s="1"/>
  <c r="C85" i="19" s="1"/>
  <c r="C709" i="19" s="1"/>
  <c r="C729" i="19" s="1"/>
  <c r="E692" i="23"/>
  <c r="C692" i="23" s="1"/>
  <c r="E694" i="23"/>
  <c r="E689" i="23"/>
  <c r="C689" i="23" s="1"/>
  <c r="E696" i="23"/>
  <c r="E676" i="23"/>
  <c r="C676" i="23" s="1"/>
  <c r="E674" i="23"/>
  <c r="C674" i="23" s="1"/>
  <c r="I663" i="23"/>
  <c r="C663" i="23"/>
  <c r="C682" i="23"/>
  <c r="E659" i="23"/>
  <c r="E643" i="23"/>
  <c r="C643" i="23" s="1"/>
  <c r="I643" i="23" s="1"/>
  <c r="E639" i="23"/>
  <c r="C639" i="23" s="1"/>
  <c r="I639" i="23" s="1"/>
  <c r="E625" i="23"/>
  <c r="C625" i="23" s="1"/>
  <c r="I625" i="23" s="1"/>
  <c r="E617" i="23"/>
  <c r="C617" i="23" s="1"/>
  <c r="I617" i="23" s="1"/>
  <c r="E638" i="23"/>
  <c r="C638" i="23" s="1"/>
  <c r="I638" i="23" s="1"/>
  <c r="E373" i="23"/>
  <c r="C373" i="23" s="1"/>
  <c r="I373" i="23" s="1"/>
  <c r="E358" i="23"/>
  <c r="C358" i="23" s="1"/>
  <c r="I358" i="23" s="1"/>
  <c r="E351" i="23"/>
  <c r="C351" i="23" s="1"/>
  <c r="I351" i="23" s="1"/>
  <c r="E344" i="23"/>
  <c r="C344" i="23" s="1"/>
  <c r="I344" i="23" s="1"/>
  <c r="E340" i="23"/>
  <c r="C340" i="23" s="1"/>
  <c r="I340" i="23" s="1"/>
  <c r="E335" i="23"/>
  <c r="C335" i="23" s="1"/>
  <c r="I335" i="23" s="1"/>
  <c r="E314" i="23"/>
  <c r="C314" i="23" s="1"/>
  <c r="I314" i="23" s="1"/>
  <c r="E310" i="23"/>
  <c r="C310" i="23" s="1"/>
  <c r="I310" i="23" s="1"/>
  <c r="E307" i="23"/>
  <c r="C307" i="23" s="1"/>
  <c r="I307" i="23" s="1"/>
  <c r="E295" i="23"/>
  <c r="C295" i="23" s="1"/>
  <c r="I295" i="23" s="1"/>
  <c r="E290" i="23"/>
  <c r="C290" i="23" s="1"/>
  <c r="I290" i="23" s="1"/>
  <c r="E319" i="23"/>
  <c r="C319" i="23" s="1"/>
  <c r="I319" i="23" s="1"/>
  <c r="E306" i="23"/>
  <c r="C306" i="23" s="1"/>
  <c r="I306" i="23" s="1"/>
  <c r="E284" i="23"/>
  <c r="C284" i="23" s="1"/>
  <c r="I284" i="23" s="1"/>
  <c r="E265" i="23"/>
  <c r="C265" i="23" s="1"/>
  <c r="I265" i="23" s="1"/>
  <c r="E244" i="23"/>
  <c r="C244" i="23" s="1"/>
  <c r="E243" i="23"/>
  <c r="C243" i="23" s="1"/>
  <c r="E230" i="23"/>
  <c r="C230" i="23" s="1"/>
  <c r="E188" i="23"/>
  <c r="C188" i="23" s="1"/>
  <c r="I188" i="23" s="1"/>
  <c r="F175" i="23"/>
  <c r="E175" i="23" s="1"/>
  <c r="C175" i="23" s="1"/>
  <c r="I175" i="23" s="1"/>
  <c r="E203" i="23"/>
  <c r="C203" i="23" s="1"/>
  <c r="I203" i="23" s="1"/>
  <c r="E180" i="23"/>
  <c r="C180" i="23" s="1"/>
  <c r="I180" i="23" s="1"/>
  <c r="E195" i="23"/>
  <c r="C195" i="23" s="1"/>
  <c r="I195" i="23" s="1"/>
  <c r="E253" i="23"/>
  <c r="C253" i="23" s="1"/>
  <c r="E200" i="23"/>
  <c r="C200" i="23" s="1"/>
  <c r="I200" i="23" s="1"/>
  <c r="E213" i="23"/>
  <c r="C213" i="23" s="1"/>
  <c r="I213" i="23" s="1"/>
  <c r="E168" i="23"/>
  <c r="C168" i="23" s="1"/>
  <c r="I168" i="23" s="1"/>
  <c r="E220" i="23"/>
  <c r="C220" i="23" s="1"/>
  <c r="I220" i="23" s="1"/>
  <c r="E270" i="23"/>
  <c r="C270" i="23" s="1"/>
  <c r="I270" i="23" s="1"/>
  <c r="E193" i="23"/>
  <c r="C193" i="23" s="1"/>
  <c r="I193" i="23" s="1"/>
  <c r="E231" i="23"/>
  <c r="C231" i="23" s="1"/>
  <c r="E271" i="23"/>
  <c r="C271" i="23" s="1"/>
  <c r="I271" i="23" s="1"/>
  <c r="E202" i="23"/>
  <c r="C202" i="23" s="1"/>
  <c r="I202" i="23" s="1"/>
  <c r="E264" i="23"/>
  <c r="C264" i="23" s="1"/>
  <c r="I264" i="23" s="1"/>
  <c r="E261" i="23"/>
  <c r="C261" i="23" s="1"/>
  <c r="I261" i="23" s="1"/>
  <c r="E252" i="23"/>
  <c r="C252" i="23" s="1"/>
  <c r="E40" i="23"/>
  <c r="C40" i="23" s="1"/>
  <c r="I40" i="23" s="1"/>
  <c r="E247" i="23"/>
  <c r="C247" i="23" s="1"/>
  <c r="E162" i="23"/>
  <c r="D162" i="23" s="1"/>
  <c r="D163" i="23" s="1"/>
  <c r="C162" i="23"/>
  <c r="E115" i="23"/>
  <c r="C115" i="23" s="1"/>
  <c r="I115" i="23" s="1"/>
  <c r="E73" i="23"/>
  <c r="C73" i="23" s="1"/>
  <c r="I73" i="23" s="1"/>
  <c r="E57" i="23"/>
  <c r="E37" i="23"/>
  <c r="C37" i="23" s="1"/>
  <c r="I37" i="23" s="1"/>
  <c r="E30" i="23"/>
  <c r="C30" i="23" s="1"/>
  <c r="E16" i="23"/>
  <c r="D64" i="24"/>
  <c r="D138" i="21"/>
  <c r="D163" i="21"/>
  <c r="D134" i="21"/>
  <c r="D54" i="24"/>
  <c r="B54" i="24" s="1"/>
  <c r="H54" i="24" s="1"/>
  <c r="D45" i="24"/>
  <c r="B45" i="24" s="1"/>
  <c r="H45" i="24" s="1"/>
  <c r="D46" i="24"/>
  <c r="B46" i="24" s="1"/>
  <c r="H46" i="24" s="1"/>
  <c r="D36" i="24"/>
  <c r="B36" i="24" s="1"/>
  <c r="H36" i="24" s="1"/>
  <c r="D56" i="24"/>
  <c r="B56" i="24" s="1"/>
  <c r="H56" i="24" s="1"/>
  <c r="D33" i="24"/>
  <c r="B33" i="24" s="1"/>
  <c r="H33" i="24" s="1"/>
  <c r="D37" i="24"/>
  <c r="B37" i="24" s="1"/>
  <c r="H37" i="24" s="1"/>
  <c r="H83" i="24"/>
  <c r="B86" i="24"/>
  <c r="H44" i="24"/>
  <c r="B62" i="24"/>
  <c r="C278" i="23" s="1"/>
  <c r="I117" i="23"/>
  <c r="E146" i="23"/>
  <c r="C145" i="23" s="1"/>
  <c r="C142" i="23"/>
  <c r="E366" i="23"/>
  <c r="C366" i="23" s="1"/>
  <c r="I366" i="23" s="1"/>
  <c r="E349" i="23"/>
  <c r="C349" i="23" s="1"/>
  <c r="I349" i="23" s="1"/>
  <c r="E339" i="23"/>
  <c r="C339" i="23" s="1"/>
  <c r="I339" i="23" s="1"/>
  <c r="E266" i="23"/>
  <c r="C266" i="23" s="1"/>
  <c r="I266" i="23" s="1"/>
  <c r="E280" i="23"/>
  <c r="C280" i="23" s="1"/>
  <c r="I280" i="23" s="1"/>
  <c r="E667" i="23"/>
  <c r="C667" i="23" s="1"/>
  <c r="E377" i="23"/>
  <c r="C377" i="23" s="1"/>
  <c r="I377" i="23" s="1"/>
  <c r="E372" i="23"/>
  <c r="C372" i="23" s="1"/>
  <c r="I372" i="23" s="1"/>
  <c r="E219" i="23"/>
  <c r="C219" i="23" s="1"/>
  <c r="I219" i="23" s="1"/>
  <c r="F134" i="23"/>
  <c r="G134" i="23"/>
  <c r="F347" i="23"/>
  <c r="G347" i="23"/>
  <c r="E211" i="23"/>
  <c r="C211" i="23" s="1"/>
  <c r="I211" i="23" s="1"/>
  <c r="E196" i="23"/>
  <c r="C196" i="23" s="1"/>
  <c r="I196" i="23" s="1"/>
  <c r="E346" i="23"/>
  <c r="C346" i="23" s="1"/>
  <c r="I346" i="23" s="1"/>
  <c r="E630" i="23"/>
  <c r="C630" i="23" s="1"/>
  <c r="I630" i="23" s="1"/>
  <c r="E216" i="23"/>
  <c r="C216" i="23" s="1"/>
  <c r="I216" i="23" s="1"/>
  <c r="E326" i="23"/>
  <c r="C326" i="23" s="1"/>
  <c r="I326" i="23" s="1"/>
  <c r="I286" i="23"/>
  <c r="G654" i="23"/>
  <c r="F654" i="23"/>
  <c r="I696" i="23"/>
  <c r="C696" i="23"/>
  <c r="I333" i="23"/>
  <c r="H61" i="23"/>
  <c r="C61" i="23" s="1"/>
  <c r="C66" i="23" s="1"/>
  <c r="I60" i="23"/>
  <c r="G323" i="23"/>
  <c r="F323" i="23"/>
  <c r="I57" i="23"/>
  <c r="I66" i="23" s="1"/>
  <c r="E199" i="23"/>
  <c r="C199" i="23" s="1"/>
  <c r="I199" i="23" s="1"/>
  <c r="I659" i="23"/>
  <c r="C659" i="23"/>
  <c r="E178" i="23"/>
  <c r="C178" i="23" s="1"/>
  <c r="I178" i="23" s="1"/>
  <c r="E356" i="23"/>
  <c r="C356" i="23" s="1"/>
  <c r="I356" i="23" s="1"/>
  <c r="E22" i="23"/>
  <c r="C22" i="23" s="1"/>
  <c r="I22" i="23" s="1"/>
  <c r="F39" i="23"/>
  <c r="G39" i="23"/>
  <c r="E684" i="23"/>
  <c r="C684" i="23" s="1"/>
  <c r="E194" i="23"/>
  <c r="C194" i="23" s="1"/>
  <c r="I194" i="23" s="1"/>
  <c r="E357" i="23"/>
  <c r="C357" i="23" s="1"/>
  <c r="I357" i="23" s="1"/>
  <c r="E154" i="23"/>
  <c r="C154" i="23" s="1"/>
  <c r="E666" i="23"/>
  <c r="C666" i="23" s="1"/>
  <c r="H709" i="23"/>
  <c r="H729" i="23" s="1"/>
  <c r="C672" i="23"/>
  <c r="I672" i="23"/>
  <c r="E232" i="23"/>
  <c r="C232" i="23" s="1"/>
  <c r="I232" i="23" s="1"/>
  <c r="G20" i="23"/>
  <c r="F20" i="23"/>
  <c r="E20" i="23" s="1"/>
  <c r="C20" i="23" s="1"/>
  <c r="E359" i="23"/>
  <c r="C359" i="23" s="1"/>
  <c r="I677" i="23"/>
  <c r="I706" i="23" s="1"/>
  <c r="C677" i="23"/>
  <c r="E185" i="23"/>
  <c r="C185" i="23" s="1"/>
  <c r="I185" i="23" s="1"/>
  <c r="E53" i="23"/>
  <c r="C53" i="23" s="1"/>
  <c r="I53" i="23" s="1"/>
  <c r="C694" i="23"/>
  <c r="I694" i="23"/>
  <c r="E633" i="23"/>
  <c r="C633" i="23" s="1"/>
  <c r="I633" i="23" s="1"/>
  <c r="E206" i="23"/>
  <c r="C206" i="23" s="1"/>
  <c r="I206" i="23" s="1"/>
  <c r="E354" i="23"/>
  <c r="C354" i="23" s="1"/>
  <c r="I354" i="23" s="1"/>
  <c r="E615" i="23"/>
  <c r="C615" i="23" s="1"/>
  <c r="E128" i="23"/>
  <c r="C128" i="23" s="1"/>
  <c r="I128" i="23" s="1"/>
  <c r="E122" i="23"/>
  <c r="C122" i="23" s="1"/>
  <c r="I122" i="23" s="1"/>
  <c r="C706" i="23" l="1"/>
  <c r="C71" i="23" s="1"/>
  <c r="C74" i="23" s="1"/>
  <c r="E654" i="23"/>
  <c r="I654" i="23"/>
  <c r="E347" i="23"/>
  <c r="C347" i="23" s="1"/>
  <c r="E323" i="23"/>
  <c r="C323" i="23" s="1"/>
  <c r="F134" i="21"/>
  <c r="G134" i="21"/>
  <c r="I347" i="23"/>
  <c r="C379" i="23"/>
  <c r="I20" i="23"/>
  <c r="E39" i="23"/>
  <c r="C39" i="23" s="1"/>
  <c r="I39" i="23" s="1"/>
  <c r="C654" i="23"/>
  <c r="I615" i="23"/>
  <c r="E134" i="23"/>
  <c r="C134" i="23" s="1"/>
  <c r="C163" i="23" s="1"/>
  <c r="C132" i="23"/>
  <c r="I85" i="23"/>
  <c r="I709" i="23" s="1"/>
  <c r="I729" i="23" s="1"/>
  <c r="I323" i="23" l="1"/>
  <c r="C328" i="23"/>
  <c r="C54" i="23"/>
  <c r="C85" i="23" s="1"/>
  <c r="E134" i="21"/>
  <c r="C134" i="21" s="1"/>
  <c r="C163" i="21" s="1"/>
  <c r="C709" i="21" s="1"/>
  <c r="C729" i="21" s="1"/>
  <c r="I328" i="23" l="1"/>
  <c r="B73" i="24"/>
  <c r="C277" i="23" s="1"/>
  <c r="C329" i="23" s="1"/>
  <c r="C709" i="23" s="1"/>
  <c r="C729" i="23" s="1"/>
</calcChain>
</file>

<file path=xl/comments1.xml><?xml version="1.0" encoding="utf-8"?>
<comments xmlns="http://schemas.openxmlformats.org/spreadsheetml/2006/main">
  <authors>
    <author>felenko</author>
  </authors>
  <commentList>
    <comment ref="C25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62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felenko</author>
  </authors>
  <commentList>
    <comment ref="C25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62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felenko</author>
  </authors>
  <commentList>
    <comment ref="C25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62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felenko</author>
  </authors>
  <commentList>
    <comment ref="C25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62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felenko</author>
  </authors>
  <commentList>
    <comment ref="C25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62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felenko</author>
  </authors>
  <commentList>
    <comment ref="C25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62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felenko</author>
  </authors>
  <commentList>
    <comment ref="C25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62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<sst xmlns="http://schemas.openxmlformats.org/spreadsheetml/2006/main" count="9598" uniqueCount="1175">
  <si>
    <t>Распределение</t>
  </si>
  <si>
    <t xml:space="preserve">Наименование </t>
  </si>
  <si>
    <t>Расход</t>
  </si>
  <si>
    <t>Обслуживание эл.эн.</t>
  </si>
  <si>
    <t>Потери</t>
  </si>
  <si>
    <t>Рабочая эл.эн.</t>
  </si>
  <si>
    <t>R</t>
  </si>
  <si>
    <t>Предыд показ</t>
  </si>
  <si>
    <t>Настоящ показ</t>
  </si>
  <si>
    <t>Коэф тран</t>
  </si>
  <si>
    <t>Всего потери</t>
  </si>
  <si>
    <t>Потери в ЛЭП</t>
  </si>
  <si>
    <t>Потери в тансформ.</t>
  </si>
  <si>
    <t>Заводской № электросчетчика</t>
  </si>
  <si>
    <t>Примечание</t>
  </si>
  <si>
    <t xml:space="preserve"> </t>
  </si>
  <si>
    <t>ПАО "Муссон"</t>
  </si>
  <si>
    <t>"Муссон " (АЛК)</t>
  </si>
  <si>
    <t>корп.№1, 2 этаж</t>
  </si>
  <si>
    <t>ТП-1(ТП-8)</t>
  </si>
  <si>
    <t>Муссон-Авто</t>
  </si>
  <si>
    <t>корп.19, сч. В щитовой в подвале</t>
  </si>
  <si>
    <t>ТП-14</t>
  </si>
  <si>
    <t>М-АВТО</t>
  </si>
  <si>
    <t>наш гараж</t>
  </si>
  <si>
    <t>Стройка "Муссон"+строители  К№63</t>
  </si>
  <si>
    <t>сняты пот414</t>
  </si>
  <si>
    <t>ТП-15</t>
  </si>
  <si>
    <t>сн 11154</t>
  </si>
  <si>
    <t>постоянный расход</t>
  </si>
  <si>
    <t>55 ангар на хоздворе</t>
  </si>
  <si>
    <t>ТП-22</t>
  </si>
  <si>
    <t>Котельная ПАО "Муссон"</t>
  </si>
  <si>
    <t>сн 10333</t>
  </si>
  <si>
    <t>наша котельная (сезонные показания)</t>
  </si>
  <si>
    <t>ТП-13</t>
  </si>
  <si>
    <t>Насосная фекальная (скваж)</t>
  </si>
  <si>
    <t>сн 10</t>
  </si>
  <si>
    <t xml:space="preserve">сч.на ТП-504 возле ПС-15 </t>
  </si>
  <si>
    <t>сч.на ТП-504 возле ПС-15</t>
  </si>
  <si>
    <t>Корпус 35(гостиница)</t>
  </si>
  <si>
    <t>1364,6641,2319</t>
  </si>
  <si>
    <t>35 корпус(гостиница ПАО "Муссон")</t>
  </si>
  <si>
    <t>ТП-8</t>
  </si>
  <si>
    <t xml:space="preserve">Теплица  "Муссон" </t>
  </si>
  <si>
    <t>ТП-22, слева от входа</t>
  </si>
  <si>
    <t>ЩР 2.1-24(осв.коридор ДНС-рампа)</t>
  </si>
  <si>
    <t>щит в коридоре ДНС-рампа</t>
  </si>
  <si>
    <t>ТП-6</t>
  </si>
  <si>
    <t>Каток ледовый,Щ0-3,ЩО-6(в щитовой)</t>
  </si>
  <si>
    <t>сн 128</t>
  </si>
  <si>
    <t>№0452</t>
  </si>
  <si>
    <t>щитовая на 2-м этаже над уличным входом в каток</t>
  </si>
  <si>
    <t>ТП-3</t>
  </si>
  <si>
    <t>Вентиляция и кондиционирование 2к(зона катка)</t>
  </si>
  <si>
    <t>ЩР-2.1-22(вход в каток),ЩСП(сервер АВР)</t>
  </si>
  <si>
    <t>№0447</t>
  </si>
  <si>
    <t>ТП-2</t>
  </si>
  <si>
    <t>Пожарная насосная</t>
  </si>
  <si>
    <t>№0448</t>
  </si>
  <si>
    <t>14004-активка</t>
  </si>
  <si>
    <t>в подвале под фаст-фудами</t>
  </si>
  <si>
    <t>Чиллер</t>
  </si>
  <si>
    <t>В щитовой катка</t>
  </si>
  <si>
    <t>2ЩО-2.1(осв.зона Violet)</t>
  </si>
  <si>
    <t>щит на стене Soldat</t>
  </si>
  <si>
    <t>Развлекат. Центр  "Муссония"(1-ый этаж)</t>
  </si>
  <si>
    <t>Почтарь (Развлек. Центр 2-й этаж)</t>
  </si>
  <si>
    <t>серверная (возле бочки)</t>
  </si>
  <si>
    <t>ЩСО-2 (2 оч.бут.,Осв.кор.,кондиц.К-26)+2 экрана</t>
  </si>
  <si>
    <t>ЩСО-3 (3 оч.бут., конд. К-27)</t>
  </si>
  <si>
    <t>ЩО-1(осв.от ДНС к катку)</t>
  </si>
  <si>
    <t>На углу напротив катка</t>
  </si>
  <si>
    <t>Изостудия Гармония</t>
  </si>
  <si>
    <t>№0565</t>
  </si>
  <si>
    <t>сч. На стене возле двери на улицу после электриков Лапочкина</t>
  </si>
  <si>
    <t>Боулинг (Плотка М.В. ИП)</t>
  </si>
  <si>
    <t xml:space="preserve"> боулинг</t>
  </si>
  <si>
    <t>Стелла+ул.освещение</t>
  </si>
  <si>
    <t>РБУ</t>
  </si>
  <si>
    <t>ЩАО-5(осв.центр.вход)</t>
  </si>
  <si>
    <t>На колонне за вывеской Onconnect</t>
  </si>
  <si>
    <t>ТП-7</t>
  </si>
  <si>
    <t>ЩР2-1.89(осв.от VIolet к катку)</t>
  </si>
  <si>
    <t>7.(18).ЩО-5 раб.освещение (зона "Олтекс")</t>
  </si>
  <si>
    <t>На колонне за вывеской Onconnect(счетчик в ГРЩ-7)</t>
  </si>
  <si>
    <t>Итого:</t>
  </si>
  <si>
    <t>Корпус 3</t>
  </si>
  <si>
    <t xml:space="preserve">Кафе (попкорн+кассы) </t>
  </si>
  <si>
    <t>сч. На кухне кинотеатра</t>
  </si>
  <si>
    <t>ТП-9</t>
  </si>
  <si>
    <t>1375-активка</t>
  </si>
  <si>
    <t>щитовая 2-го этажа напротив туалетов кинотеатра,сч. Сверху</t>
  </si>
  <si>
    <t>Виртуальная реальность(апараты)</t>
  </si>
  <si>
    <t>на 2этаже у аварийного выхода</t>
  </si>
  <si>
    <t>28387193-активка</t>
  </si>
  <si>
    <t xml:space="preserve">щитовая 2-го этажа напротив туалетов кинотеатра,сч. Снизу </t>
  </si>
  <si>
    <t>Кондиционеры 1го этажа</t>
  </si>
  <si>
    <t>сч. В щитовой 1-го этажа напротив туалетов</t>
  </si>
  <si>
    <t xml:space="preserve">Новый ресторан </t>
  </si>
  <si>
    <t>итого корпус 3</t>
  </si>
  <si>
    <t>Корпус 9</t>
  </si>
  <si>
    <t>Тепловая завеса+тепловентиляторы</t>
  </si>
  <si>
    <t>активка-снизу</t>
  </si>
  <si>
    <t>сумма двух сч. Щитовая 2-го этажа корп.9 (снизу)</t>
  </si>
  <si>
    <t>Кондиционирование 1й,2й этаж(отопление)</t>
  </si>
  <si>
    <t>АВТОМОЙКА "МУССОН"</t>
  </si>
  <si>
    <t>1й,2 этаж корпус 9(освещение)</t>
  </si>
  <si>
    <t>активка-сверху</t>
  </si>
  <si>
    <t>сумма двух сч. Щитовая 2-го этажа корп.9 (сверху)</t>
  </si>
  <si>
    <t>Паркинг освещение</t>
  </si>
  <si>
    <t>сч. на стене на паркинге</t>
  </si>
  <si>
    <t>итого корпус 9</t>
  </si>
  <si>
    <t xml:space="preserve">Корпус 5 </t>
  </si>
  <si>
    <t>Общий расход</t>
  </si>
  <si>
    <t>щитовая спорткомплекса Wh3</t>
  </si>
  <si>
    <t>ТП-11</t>
  </si>
  <si>
    <t>щитовая спорткомплекса Wh2</t>
  </si>
  <si>
    <t>ТП-15/ТП-11</t>
  </si>
  <si>
    <t>Освещение парковки</t>
  </si>
  <si>
    <t>в ТП-11</t>
  </si>
  <si>
    <t>итого корпу 5</t>
  </si>
  <si>
    <t>Корпус 1</t>
  </si>
  <si>
    <t>Гостиница</t>
  </si>
  <si>
    <t>щитовая 1 этаж 1 корпуса</t>
  </si>
  <si>
    <t>АТС+тех.этаж(2 конд.2эт)+ком.директора</t>
  </si>
  <si>
    <t>Итого ПАО МУССОН:</t>
  </si>
  <si>
    <t>Глухова , 9 (жильцы)</t>
  </si>
  <si>
    <t>Общий учёт в щитовой</t>
  </si>
  <si>
    <t xml:space="preserve">Собств.нужды Глухова,9 </t>
  </si>
  <si>
    <t>1-й этаж</t>
  </si>
  <si>
    <t>в щитовой</t>
  </si>
  <si>
    <t>Дочерние предприятия</t>
  </si>
  <si>
    <t>ОРВиС  (к.59+к.5а)</t>
  </si>
  <si>
    <t>13711-активка</t>
  </si>
  <si>
    <t xml:space="preserve">ТП-15 </t>
  </si>
  <si>
    <t>Корпус 5а (общий)</t>
  </si>
  <si>
    <t>ТП-15 от ТП-12 Wh4</t>
  </si>
  <si>
    <t>ТП-15 от ТП-2 Wh1</t>
  </si>
  <si>
    <t>снять по фактуR</t>
  </si>
  <si>
    <t>корпус 30</t>
  </si>
  <si>
    <t>Хоздвор (ТП-22)</t>
  </si>
  <si>
    <t>корпус 28</t>
  </si>
  <si>
    <t>Кузня</t>
  </si>
  <si>
    <t>Сторонние организации</t>
  </si>
  <si>
    <t>Хоз.двор, ангары, гаражи</t>
  </si>
  <si>
    <t>подк от теплотех</t>
  </si>
  <si>
    <t>хоздвор (ангар №51)</t>
  </si>
  <si>
    <t>"Югагаз" ООО</t>
  </si>
  <si>
    <t>снять 3000 квтч</t>
  </si>
  <si>
    <t>Хоздвор, ангары № 51,52 (сч. Один в ангаре 52)</t>
  </si>
  <si>
    <t>Антонова Н.П.(склад) ИП</t>
  </si>
  <si>
    <t>Хоздвор (корп.19, подвал, первая слева дверь)</t>
  </si>
  <si>
    <t>АльтКомМ ООО (корп.19)</t>
  </si>
  <si>
    <t>уст учет</t>
  </si>
  <si>
    <t>№0347</t>
  </si>
  <si>
    <t>корп.19,1 этаж, справа 1-я дверь</t>
  </si>
  <si>
    <t>"Лейка" ООО</t>
  </si>
  <si>
    <t>ТП-6 (сами звонят)</t>
  </si>
  <si>
    <t>Щур (Пантелеев А.Н.)  ИП</t>
  </si>
  <si>
    <t xml:space="preserve">Хоздвор (ангар №53а-б) </t>
  </si>
  <si>
    <t>Слепец ИП</t>
  </si>
  <si>
    <t>Хоздвор (ангар №53б-в+54)</t>
  </si>
  <si>
    <t>Лазарева ИП</t>
  </si>
  <si>
    <t>Коффишка</t>
  </si>
  <si>
    <t>Университет Плеханова корп.№ 4</t>
  </si>
  <si>
    <t>ТП-16</t>
  </si>
  <si>
    <t>Чулков Д.В. ИП</t>
  </si>
  <si>
    <t>корп.19, сч. На 1 этаже 4 бокс</t>
  </si>
  <si>
    <t>"Строй Град Сервис" ООО</t>
  </si>
  <si>
    <t>Роман</t>
  </si>
  <si>
    <t xml:space="preserve">Хоздвор (ангар №52а) </t>
  </si>
  <si>
    <t>"ПСК СССР"  ООО</t>
  </si>
  <si>
    <t>Хоздвор (корп.19, подвал, перед щитовой слева дверь) к.401а +7-978-828-09-67 Татьяна</t>
  </si>
  <si>
    <t>корп.19,1 этаж, слева последняя дверь</t>
  </si>
  <si>
    <t>"Кача-Тур" ООО (пл.авто)  две комнаты</t>
  </si>
  <si>
    <t xml:space="preserve">корп.19,1 этаж, слева предпоследняя дверь </t>
  </si>
  <si>
    <t>Субабоненты</t>
  </si>
  <si>
    <t>ВПУ-28</t>
  </si>
  <si>
    <t>столовая</t>
  </si>
  <si>
    <t>об.быт.корп</t>
  </si>
  <si>
    <t>Мастерские</t>
  </si>
  <si>
    <t>По ВПУ-28</t>
  </si>
  <si>
    <t>уч.корпус</t>
  </si>
  <si>
    <t>промышленное потребление</t>
  </si>
  <si>
    <t>бытовое потребление</t>
  </si>
  <si>
    <t>общ</t>
  </si>
  <si>
    <t xml:space="preserve"> R не выст.проплата в Севэнерго</t>
  </si>
  <si>
    <t>Субабонент(одеколон)</t>
  </si>
  <si>
    <t>ТП-20</t>
  </si>
  <si>
    <t>"Союз Строй"</t>
  </si>
  <si>
    <t>Субабонент(запитан от "ИТ ГРАД")</t>
  </si>
  <si>
    <t>Испытательный центр "Омега"</t>
  </si>
  <si>
    <t>Субабонент (корпус 2)</t>
  </si>
  <si>
    <t>Субабонент (корпус 10)</t>
  </si>
  <si>
    <t xml:space="preserve">  </t>
  </si>
  <si>
    <t>"Панорама-С" ООО</t>
  </si>
  <si>
    <t>Субабонент</t>
  </si>
  <si>
    <t>ТП-23</t>
  </si>
  <si>
    <t>"Транс-Трейд" ООО</t>
  </si>
  <si>
    <t>R 19-не выст.пропл в Севэнерго</t>
  </si>
  <si>
    <t>Севтеплоэнерго (л13,26,+УВС)</t>
  </si>
  <si>
    <t>показания брать в АСКУЭ на 1 число</t>
  </si>
  <si>
    <t>ТП-5</t>
  </si>
  <si>
    <t>сч. На нашей насосной на 1 число каждого месяца(есть в АСКУЭ)</t>
  </si>
  <si>
    <t>ОРТ МЧП</t>
  </si>
  <si>
    <t>корпус №36 (между спорткомплексом и ЦРП-2)</t>
  </si>
  <si>
    <t>Итого субабоненты</t>
  </si>
  <si>
    <t>Стороние организации корпус 2</t>
  </si>
  <si>
    <t>ООО Будь здоров (Ригла)</t>
  </si>
  <si>
    <t>Аптека</t>
  </si>
  <si>
    <t>Стоцкая ИП</t>
  </si>
  <si>
    <t>ТП-1</t>
  </si>
  <si>
    <t>Стукановский А.В.</t>
  </si>
  <si>
    <t>Изготовление ключей(Цоколь)</t>
  </si>
  <si>
    <t xml:space="preserve">Столоногов </t>
  </si>
  <si>
    <t>Jungle (возле Кари)</t>
  </si>
  <si>
    <t>Шурмелева</t>
  </si>
  <si>
    <t>Cоколов Золото(Цоколь)</t>
  </si>
  <si>
    <t>"Империя сумок" ООО</t>
  </si>
  <si>
    <t>Империя сумок(Цоколь)</t>
  </si>
  <si>
    <t>Коломоец П.Г. ИП</t>
  </si>
  <si>
    <t>Цветочный магазин(на 1 этаже перехода между 1 и 2)</t>
  </si>
  <si>
    <t>Сч. Над кофейными автоматами рядом с Комфи(Цоколь)</t>
  </si>
  <si>
    <t>"Таир-М" ООО Вольтмарт активная</t>
  </si>
  <si>
    <t>магазин "Voltmart" (цоколь 2-го корпуса)</t>
  </si>
  <si>
    <t>Осипов ИП</t>
  </si>
  <si>
    <t>магазин "KRBT" (цоколь 2-го корпуса) при входе</t>
  </si>
  <si>
    <t>магазин "KRBT" (цоколь 2-го корпуса) в глубине магазина</t>
  </si>
  <si>
    <t>Меркурий элит трейд (м-н Точка)</t>
  </si>
  <si>
    <t xml:space="preserve">магазин "Точка" (цоколь) </t>
  </si>
  <si>
    <t>CLUB DONNA</t>
  </si>
  <si>
    <t>Tetra</t>
  </si>
  <si>
    <t>нет пок с марта выставл по пок 9920</t>
  </si>
  <si>
    <t>Twenty by Sevenhill</t>
  </si>
  <si>
    <t>перерасчет с марта сделан в дек</t>
  </si>
  <si>
    <t>VOYAGE</t>
  </si>
  <si>
    <t>не выст</t>
  </si>
  <si>
    <t>Знай наших</t>
  </si>
  <si>
    <t>Воробьев С.Ф.  бут. №6</t>
  </si>
  <si>
    <t>EVONA</t>
  </si>
  <si>
    <t>Сlubman</t>
  </si>
  <si>
    <t>Павлюков (был Саленко) стиладжио</t>
  </si>
  <si>
    <t>Stillagio (1-й сч.)</t>
  </si>
  <si>
    <t>Stillagio (2-й сч.)</t>
  </si>
  <si>
    <t>Баранова ИП</t>
  </si>
  <si>
    <t>F&amp;M</t>
  </si>
  <si>
    <t>Riker antistress</t>
  </si>
  <si>
    <t>по факту перерасч</t>
  </si>
  <si>
    <t>EL"BRAVO</t>
  </si>
  <si>
    <t>Мир сумок</t>
  </si>
  <si>
    <t>MEYER</t>
  </si>
  <si>
    <t>Jennifer</t>
  </si>
  <si>
    <t>Time of style</t>
  </si>
  <si>
    <t>Glamour</t>
  </si>
  <si>
    <t>Родригес-Гарсия</t>
  </si>
  <si>
    <t>Rarete (духи)</t>
  </si>
  <si>
    <t>Туровская</t>
  </si>
  <si>
    <t>Alena Rose</t>
  </si>
  <si>
    <t>Довгань (была поликарпова)</t>
  </si>
  <si>
    <t xml:space="preserve"> не выст в июле,авгсет,окт</t>
  </si>
  <si>
    <t>BGN</t>
  </si>
  <si>
    <t xml:space="preserve">Richman </t>
  </si>
  <si>
    <t>Character</t>
  </si>
  <si>
    <t>Paul Shark</t>
  </si>
  <si>
    <t xml:space="preserve"> Шпилька</t>
  </si>
  <si>
    <t>MAGZA</t>
  </si>
  <si>
    <t>Dizar</t>
  </si>
  <si>
    <t>Скрипка Л.Б.</t>
  </si>
  <si>
    <t>ADL CHIC</t>
  </si>
  <si>
    <t>Кравченко (инканто)</t>
  </si>
  <si>
    <t>выставить с пок6497</t>
  </si>
  <si>
    <t>Incanto</t>
  </si>
  <si>
    <t>Monica Ricci</t>
  </si>
  <si>
    <t>Free zone</t>
  </si>
  <si>
    <t>Doker</t>
  </si>
  <si>
    <t>Roscote</t>
  </si>
  <si>
    <t>Pandora (2-й островок от LEGO к катку)</t>
  </si>
  <si>
    <t>Клоков ИП бут. № 2М</t>
  </si>
  <si>
    <t>ПремьерТайм (3-й островок от LEGO к катку)</t>
  </si>
  <si>
    <t>Persian(4-й островок от LEGO к катку)</t>
  </si>
  <si>
    <t>Чугунова</t>
  </si>
  <si>
    <t>Чехлы для телефонов(5-й островок от LEGO к катку)</t>
  </si>
  <si>
    <t>Горелик</t>
  </si>
  <si>
    <t>Морской клуб(6-й островок от LEGO к катку)</t>
  </si>
  <si>
    <t>Часы(7-й островок от LEGO к катку)</t>
  </si>
  <si>
    <t>Сумки(8-й островок от LEGO к катку)</t>
  </si>
  <si>
    <t>Моисейкин</t>
  </si>
  <si>
    <t>Artphone(у лестницы на тех.этаж)</t>
  </si>
  <si>
    <t>Teamo</t>
  </si>
  <si>
    <t>Рябовол В.О.</t>
  </si>
  <si>
    <t>ЧАС ПИК -Часы(оранжевая зона)</t>
  </si>
  <si>
    <t>Чернышов А.Ю.</t>
  </si>
  <si>
    <t>ювелирка-Остров сокровищ (оранжевая зона)</t>
  </si>
  <si>
    <t>Фролова А.В.</t>
  </si>
  <si>
    <t>№0775</t>
  </si>
  <si>
    <t>Soldat (оранжевая зона)</t>
  </si>
  <si>
    <t>Broadway (оранжевая зона)</t>
  </si>
  <si>
    <t>ДНС("Крымский берег" ООО)</t>
  </si>
  <si>
    <t>№0777</t>
  </si>
  <si>
    <t>DNS (оранжевая зона)</t>
  </si>
  <si>
    <t>Павлюк К.В./Максма А.С.</t>
  </si>
  <si>
    <t>№0302</t>
  </si>
  <si>
    <t>Акопян Е.А.</t>
  </si>
  <si>
    <t>Violet (оранжевая зона)</t>
  </si>
  <si>
    <t>Волкова  С.И. (очки)</t>
  </si>
  <si>
    <t>№0475</t>
  </si>
  <si>
    <t>SunStudio (оранжевая зона)</t>
  </si>
  <si>
    <t>Сальникова ИП</t>
  </si>
  <si>
    <t>RuКасса(оранжевая зона)</t>
  </si>
  <si>
    <t>Бегларян Л.Р. (часть Парк-Крым ООО)</t>
  </si>
  <si>
    <t>SUN CITY возле Парк Крым</t>
  </si>
  <si>
    <t>Левченко ИП  ("Парк Крым"  ООО )</t>
  </si>
  <si>
    <t>Парк Крым (оранжевая зона)</t>
  </si>
  <si>
    <t>Дерягина Е.К. ("золото России")</t>
  </si>
  <si>
    <t>Золото России (оранжевая зона)</t>
  </si>
  <si>
    <t>Костенко Н.О. (мал. островок)</t>
  </si>
  <si>
    <t xml:space="preserve">Крым Золото(оранжевая зона) </t>
  </si>
  <si>
    <t>Костенко Н.О. (бол. островок)</t>
  </si>
  <si>
    <t>Чумак О.В.  (магазин обуви)</t>
  </si>
  <si>
    <t>GOERGO (оранжевая зона)</t>
  </si>
  <si>
    <t>Шурмелева от траволатора 1 островок</t>
  </si>
  <si>
    <t>1-й островок от траволатора (ПередЯблоко-продукты)</t>
  </si>
  <si>
    <t>Гатиятуллина</t>
  </si>
  <si>
    <t>DEBIHEEL, Галерея саквояж (один сч. На двоих)</t>
  </si>
  <si>
    <t>4-й островок от траволатора (ПередЯблоко-продукты)</t>
  </si>
  <si>
    <t>3-й островок от траволатора (ПередЯблоко-продукты)</t>
  </si>
  <si>
    <t>AIDINI и BASCONI</t>
  </si>
  <si>
    <t>Шинкарева  С.И. №111</t>
  </si>
  <si>
    <t>Панчишных (Кофе)</t>
  </si>
  <si>
    <t>5-й островок от траволатора (ПередЯблоко-продукты)</t>
  </si>
  <si>
    <t>Катков В.А..(Крым золото)</t>
  </si>
  <si>
    <t>2-й островок от траволатора (ПередЯблоко-продукты)</t>
  </si>
  <si>
    <t>"Томас" ООО (было Перфектто (кафе/склад морож)</t>
  </si>
  <si>
    <t>196911, 15744</t>
  </si>
  <si>
    <t>Долгополова  А.В.</t>
  </si>
  <si>
    <t>нет счетчика</t>
  </si>
  <si>
    <t>Желейные конфеты (возле туалетов развлекаловки)</t>
  </si>
  <si>
    <t>Вентиляция 2 корпуса</t>
  </si>
  <si>
    <t>"ЯБЛОКО"</t>
  </si>
  <si>
    <t>Умеров Р.Р. (Мир развлечений XXI век ООО)</t>
  </si>
  <si>
    <t>№0618</t>
  </si>
  <si>
    <t>7D кино (сч.около щита театра)</t>
  </si>
  <si>
    <t>Майданюк  С.С. 5d</t>
  </si>
  <si>
    <t>сч. В щите ЩСТ-6, где лазермакс</t>
  </si>
  <si>
    <t>Замок на развлекаловке</t>
  </si>
  <si>
    <t>Бывший Олтекс ООО</t>
  </si>
  <si>
    <t>Экран</t>
  </si>
  <si>
    <t>Смирнова (вместо смазливки) ИП</t>
  </si>
  <si>
    <t>Спорт тайм</t>
  </si>
  <si>
    <t>"Адидас" ООО</t>
  </si>
  <si>
    <t>Адидас и Reebok (один счетчик в Адидасе)</t>
  </si>
  <si>
    <t>"МИЦАР" ООО Летуаль</t>
  </si>
  <si>
    <t>Летуаль+вывеска 300Вт октябрь-март 11ч=99кВт, апрель-сентябрь 8ч=72кВт</t>
  </si>
  <si>
    <t>Холодва ИП</t>
  </si>
  <si>
    <t>HAPPY TOP</t>
  </si>
  <si>
    <t>Бегларян Л.Р. ИП</t>
  </si>
  <si>
    <t>Модный сезон</t>
  </si>
  <si>
    <t xml:space="preserve">Тельнов </t>
  </si>
  <si>
    <t>Подиум</t>
  </si>
  <si>
    <t>Дибаев Р.Р. ИП</t>
  </si>
  <si>
    <t>Добренький В.А. ИП</t>
  </si>
  <si>
    <t>Спорт Сити</t>
  </si>
  <si>
    <t>"Кари" ООО</t>
  </si>
  <si>
    <t>Кари</t>
  </si>
  <si>
    <t>Катков В.А. ИП</t>
  </si>
  <si>
    <t>Островки Крым золото (напротив GoErgo)</t>
  </si>
  <si>
    <t>Roy Robson</t>
  </si>
  <si>
    <t>Круликовский А.В. ИП</t>
  </si>
  <si>
    <t>QN(Connect)</t>
  </si>
  <si>
    <t>Xiaomi</t>
  </si>
  <si>
    <t>Курдзюк С.А. ИП</t>
  </si>
  <si>
    <t>Мельничук П.Ф. ИП</t>
  </si>
  <si>
    <t>outpac</t>
  </si>
  <si>
    <t>Оганнисян А.Г. ИП</t>
  </si>
  <si>
    <t>Пироговая</t>
  </si>
  <si>
    <t>Оптика МКЛ ООО</t>
  </si>
  <si>
    <t>ЛюксОптика</t>
  </si>
  <si>
    <t>Рыжков/Рыжков</t>
  </si>
  <si>
    <t>L&amp;W</t>
  </si>
  <si>
    <t>"ТД Виза" ООО</t>
  </si>
  <si>
    <t>EVA</t>
  </si>
  <si>
    <t>Рыжков В.В./Рыжков Э.В.</t>
  </si>
  <si>
    <t>Пьер Карден</t>
  </si>
  <si>
    <t>Харахурсах А.С. ИП</t>
  </si>
  <si>
    <t>Vaur</t>
  </si>
  <si>
    <t>(Якубовский Н.Д. ИП) Лукьянчиков</t>
  </si>
  <si>
    <t>Colambia</t>
  </si>
  <si>
    <t>Сервис Групп ООО (пицца)</t>
  </si>
  <si>
    <t>New York pizza</t>
  </si>
  <si>
    <t>Хинкалыч</t>
  </si>
  <si>
    <t>Старик Хинкалыч</t>
  </si>
  <si>
    <t>Алешина Е.А. ИП</t>
  </si>
  <si>
    <t>Золото России (напротив Кари)</t>
  </si>
  <si>
    <t>Крым Золото (напротив Кари)</t>
  </si>
  <si>
    <t>Gulliver</t>
  </si>
  <si>
    <t>"Севторгинвест" ООО</t>
  </si>
  <si>
    <t>EKKO</t>
  </si>
  <si>
    <t>Щит в э/щ на цокольный этаж</t>
  </si>
  <si>
    <t>Баяндин Д.А.</t>
  </si>
  <si>
    <t>Вафли</t>
  </si>
  <si>
    <t xml:space="preserve">Теплозавесы </t>
  </si>
  <si>
    <t>Итого Олтекс</t>
  </si>
  <si>
    <t>Итого корпус 2</t>
  </si>
  <si>
    <t>Стороние организации корпус 1</t>
  </si>
  <si>
    <t>"Тестсвязь" ООО корп 1, ком.301</t>
  </si>
  <si>
    <t>корп.№1, каб.301</t>
  </si>
  <si>
    <t>АСО Геометрия оф 301а</t>
  </si>
  <si>
    <t>корп.№1, каб.301а</t>
  </si>
  <si>
    <t>Деркач А.А. ИП оф 211</t>
  </si>
  <si>
    <t>корп.№1, каб.211,322а,322</t>
  </si>
  <si>
    <t>Воробьев В.А. ИП ООО 304а,б,в</t>
  </si>
  <si>
    <t>Евразия транзит авто 304е</t>
  </si>
  <si>
    <t>корп.№1, каб.304е  (сч. в коридоре перед дверью)</t>
  </si>
  <si>
    <t>БТИ ООО</t>
  </si>
  <si>
    <t>корп.№1, каб.304г,д (сч. в коридоре перед дверью)</t>
  </si>
  <si>
    <t>Медицинский склад 1043</t>
  </si>
  <si>
    <t>объед с Имп-Сеть</t>
  </si>
  <si>
    <t>3225,0417,1339</t>
  </si>
  <si>
    <t>корп.№1, каб.310(серверная) + в коридоре на стене возле каб.308д</t>
  </si>
  <si>
    <t>"Медиа-стиль" ООО к.413</t>
  </si>
  <si>
    <t>выст с дек</t>
  </si>
  <si>
    <t>731511, 51017</t>
  </si>
  <si>
    <t>корп.№1, каб.311,413</t>
  </si>
  <si>
    <t>СТМО ООО</t>
  </si>
  <si>
    <t>корп.№1, каб.312</t>
  </si>
  <si>
    <t>"Реал-Экспресс" ООО к.314</t>
  </si>
  <si>
    <t>корп.№1, каб.314(запитан от 316)</t>
  </si>
  <si>
    <t>Теорема. к.315</t>
  </si>
  <si>
    <t>корп.№1, каб.315</t>
  </si>
  <si>
    <t>Правовой город к.316</t>
  </si>
  <si>
    <t>корп.№1, каб.316</t>
  </si>
  <si>
    <t>Боева ИП</t>
  </si>
  <si>
    <t>корп.№1, каб.317</t>
  </si>
  <si>
    <t>корп.№1, каб.320</t>
  </si>
  <si>
    <t>корп.№1, 319</t>
  </si>
  <si>
    <t>Лубяницкая А.С. к.322б</t>
  </si>
  <si>
    <t>корп.№1, каб.322б</t>
  </si>
  <si>
    <t>ЛИГОЛ ООО к 318</t>
  </si>
  <si>
    <t>корп.№1, каб.318</t>
  </si>
  <si>
    <t>Федеральное БТИ</t>
  </si>
  <si>
    <t>№ ...0650</t>
  </si>
  <si>
    <t>"ПКС СССР" ООО/"ПромальпСевастополь" ООО/"ПромальпЭдельвейс" ООО, кор1, 401а</t>
  </si>
  <si>
    <t>корп.№1, каб.401а</t>
  </si>
  <si>
    <t>ПромальпЭдельвейс ООО к.402</t>
  </si>
  <si>
    <t>корп.№1, каб.402(арендосьемщик 401а)</t>
  </si>
  <si>
    <t>СевСтройЦена</t>
  </si>
  <si>
    <t>корп.№1, каб.403</t>
  </si>
  <si>
    <t>корп.№1, каб.401</t>
  </si>
  <si>
    <t>"Новый город ООО</t>
  </si>
  <si>
    <t xml:space="preserve">корп.№1, каб.404 </t>
  </si>
  <si>
    <t>"Телекоммуникационные системы" ООО</t>
  </si>
  <si>
    <t>96466,2549,6N131308,3413</t>
  </si>
  <si>
    <t>корп.№1, каб.405a,407a,414,407,409б,405,410 (приносят сами)</t>
  </si>
  <si>
    <t>корп.№1, каб.406а</t>
  </si>
  <si>
    <t xml:space="preserve">корп.№1, каб.406   </t>
  </si>
  <si>
    <t>КрымДомКомплект ООО</t>
  </si>
  <si>
    <t>Богатырева Т.Н. ИП 408оф</t>
  </si>
  <si>
    <t>корп.№1, каб.408</t>
  </si>
  <si>
    <t>Подрезов И.С., ком.409</t>
  </si>
  <si>
    <t>оплочено и мой долг 150 квтч</t>
  </si>
  <si>
    <t>корп.№1, каб.409</t>
  </si>
  <si>
    <t>РПК "Севастополь" к.411</t>
  </si>
  <si>
    <t>корп.№1, каб.411</t>
  </si>
  <si>
    <t>"Каштан"  ООО   к 411а</t>
  </si>
  <si>
    <t>корп.№1, каб.411а</t>
  </si>
  <si>
    <t xml:space="preserve">корп.№1, каб.412 </t>
  </si>
  <si>
    <t>R  выставлять по факту</t>
  </si>
  <si>
    <t>корп.№1, каб.416</t>
  </si>
  <si>
    <t>ПромальпЭдельвейс ООО к.418</t>
  </si>
  <si>
    <t>корп.№1, каб.418(арендосьемщик 401а)</t>
  </si>
  <si>
    <t>"Димер групп" ООО  к. 420</t>
  </si>
  <si>
    <t>корп.№1, каб.420</t>
  </si>
  <si>
    <t>"ФасадКрым" ООО</t>
  </si>
  <si>
    <t>корп.№1, каб.419 (арендосьемщик 401а)</t>
  </si>
  <si>
    <t>"Морпост"  ООО</t>
  </si>
  <si>
    <t>корп.№4а, каб.417 (приносят сами)</t>
  </si>
  <si>
    <t>Саруханова Н.С ИП</t>
  </si>
  <si>
    <t>корп.№1, Зоомагазин</t>
  </si>
  <si>
    <t>Итого сторонние организации Корпус1</t>
  </si>
  <si>
    <t>Стороние организации корпус 3</t>
  </si>
  <si>
    <t>34а</t>
  </si>
  <si>
    <t>Ларионов  В.В. № 101</t>
  </si>
  <si>
    <t>PROFILINE (массажные кресла)</t>
  </si>
  <si>
    <t>Расход 20кВт</t>
  </si>
  <si>
    <t>54а</t>
  </si>
  <si>
    <t>56а</t>
  </si>
  <si>
    <t>118 киловат отминусовано в расходе</t>
  </si>
  <si>
    <t>*s123</t>
  </si>
  <si>
    <t>посмотреть формулы</t>
  </si>
  <si>
    <t>переделал форму</t>
  </si>
  <si>
    <t>по среднему</t>
  </si>
  <si>
    <t>поменял местами</t>
  </si>
  <si>
    <t>закрыто</t>
  </si>
  <si>
    <t>89а</t>
  </si>
  <si>
    <t>102а</t>
  </si>
  <si>
    <t>102б</t>
  </si>
  <si>
    <t>104а</t>
  </si>
  <si>
    <t>сами звонят</t>
  </si>
  <si>
    <t>107а</t>
  </si>
  <si>
    <t>132а</t>
  </si>
  <si>
    <t>134а</t>
  </si>
  <si>
    <t>134б</t>
  </si>
  <si>
    <t>134в</t>
  </si>
  <si>
    <t>134г</t>
  </si>
  <si>
    <t>135а</t>
  </si>
  <si>
    <t>136.1</t>
  </si>
  <si>
    <t>136.2</t>
  </si>
  <si>
    <t>136.3</t>
  </si>
  <si>
    <t>136.4</t>
  </si>
  <si>
    <t>136.5</t>
  </si>
  <si>
    <t>136.6</t>
  </si>
  <si>
    <t>136.7</t>
  </si>
  <si>
    <t>136.8</t>
  </si>
  <si>
    <t>136.9</t>
  </si>
  <si>
    <t>139а</t>
  </si>
  <si>
    <t>147а</t>
  </si>
  <si>
    <t>148а</t>
  </si>
  <si>
    <t>151а</t>
  </si>
  <si>
    <t>151б</t>
  </si>
  <si>
    <t>ввод №1 №94916159</t>
  </si>
  <si>
    <t>ввод №2 №94916160</t>
  </si>
  <si>
    <t>ввод №1 №94916161</t>
  </si>
  <si>
    <t>показания с нового города к.402</t>
  </si>
  <si>
    <t>171а</t>
  </si>
  <si>
    <t>176202 показ на 20.05.10г</t>
  </si>
  <si>
    <t>дополнительный счетчик показания на 21.10.10 14187</t>
  </si>
  <si>
    <t>?</t>
  </si>
  <si>
    <t>два раза посвторяется!!!</t>
  </si>
  <si>
    <t>Авагян (ателье) № 101</t>
  </si>
  <si>
    <t>Ателье</t>
  </si>
  <si>
    <t>Холодова  Е.С.  № 102</t>
  </si>
  <si>
    <t>HAPPY TOP(закрыт)</t>
  </si>
  <si>
    <t>Мельничук  П.Ф.  № 103</t>
  </si>
  <si>
    <t>BONA</t>
  </si>
  <si>
    <t xml:space="preserve">Мусатов А.В. </t>
  </si>
  <si>
    <t>Black Rich</t>
  </si>
  <si>
    <t>Горелик А.И.  №105</t>
  </si>
  <si>
    <t>МОРСКОЙ КЛУБ</t>
  </si>
  <si>
    <t>Чувахин Сергей № 106</t>
  </si>
  <si>
    <t>Vanilla</t>
  </si>
  <si>
    <t>Старюк №107</t>
  </si>
  <si>
    <t>Musthave</t>
  </si>
  <si>
    <t>SOLO</t>
  </si>
  <si>
    <t>Вессель ИП (посуда)</t>
  </si>
  <si>
    <t>№0401</t>
  </si>
  <si>
    <t>Gipfel</t>
  </si>
  <si>
    <t>Любченко</t>
  </si>
  <si>
    <t xml:space="preserve">TERRA NOVA </t>
  </si>
  <si>
    <t>Синичкин Р.В. №114</t>
  </si>
  <si>
    <t>Chocolate</t>
  </si>
  <si>
    <t>Никольский ИП №115</t>
  </si>
  <si>
    <t>Котофей</t>
  </si>
  <si>
    <t>Соскова О.Ю №116</t>
  </si>
  <si>
    <t>Modno</t>
  </si>
  <si>
    <t xml:space="preserve">Джамаль </t>
  </si>
  <si>
    <t>Ларионов В.В. ИП  №118 мас. кресла</t>
  </si>
  <si>
    <t>Casada кресла</t>
  </si>
  <si>
    <t>Смей Н.А.  №119</t>
  </si>
  <si>
    <t>ORA</t>
  </si>
  <si>
    <t>Гребенюк  №120</t>
  </si>
  <si>
    <t>Fresh</t>
  </si>
  <si>
    <t>Беззубенкова №121</t>
  </si>
  <si>
    <t>Рокси</t>
  </si>
  <si>
    <t>Моисейкин П.А.  1к</t>
  </si>
  <si>
    <t>сев.подарок.ру (островок)</t>
  </si>
  <si>
    <t>Баскакова  (парикмахерская)</t>
  </si>
  <si>
    <t>Platinum -парикмахерская на 2-м этаже</t>
  </si>
  <si>
    <t>Чупахина И.А. 4к</t>
  </si>
  <si>
    <t>Чайная Сказка (островок) ПЕРЕДЕЛАТЬ В ОКТЯБРЕ</t>
  </si>
  <si>
    <t>Алферьева ИП</t>
  </si>
  <si>
    <t>Инлавка</t>
  </si>
  <si>
    <t xml:space="preserve">Юрченко ИП </t>
  </si>
  <si>
    <t>RENZO</t>
  </si>
  <si>
    <t>Мишутка</t>
  </si>
  <si>
    <t>Камаев С.А.</t>
  </si>
  <si>
    <t>пристенные витрины напротив КАЛАМАТЫ</t>
  </si>
  <si>
    <t>Боднарук ИП</t>
  </si>
  <si>
    <t>№0469</t>
  </si>
  <si>
    <t>Гладышева 3к</t>
  </si>
  <si>
    <t>0202</t>
  </si>
  <si>
    <t>мир японских ножей(островок)</t>
  </si>
  <si>
    <t>№0776</t>
  </si>
  <si>
    <t>Крокодил, напротив Мишутки</t>
  </si>
  <si>
    <t>Итого сторонние орг. Корпус 3</t>
  </si>
  <si>
    <t>Стороние организации корпус 9</t>
  </si>
  <si>
    <t>№0606</t>
  </si>
  <si>
    <t>GARDEROB</t>
  </si>
  <si>
    <t>Котелевская И.П. №904</t>
  </si>
  <si>
    <t>VEDAMO</t>
  </si>
  <si>
    <t>Чернышева ( был Леонтьев С.Н.) №905</t>
  </si>
  <si>
    <t>BAMBINI</t>
  </si>
  <si>
    <t>Воронин ИП</t>
  </si>
  <si>
    <t>Тигрюля</t>
  </si>
  <si>
    <t xml:space="preserve">Лопашинская Л.А.№907 </t>
  </si>
  <si>
    <t>MODA CRISE</t>
  </si>
  <si>
    <t>Нина О Торговый дом №908</t>
  </si>
  <si>
    <t>№0802</t>
  </si>
  <si>
    <t>VAN CLIFF</t>
  </si>
  <si>
    <t xml:space="preserve">Соскова О.Ю. №909 </t>
  </si>
  <si>
    <t>MONDO 1сч.</t>
  </si>
  <si>
    <t>Сосков С.А. №910</t>
  </si>
  <si>
    <t>MONDO 2сч.</t>
  </si>
  <si>
    <t>GERMAN SHOES</t>
  </si>
  <si>
    <t xml:space="preserve">Синичкин  №912 </t>
  </si>
  <si>
    <t>FC FASHION CLUB</t>
  </si>
  <si>
    <t>Уханева</t>
  </si>
  <si>
    <t>Kalamata</t>
  </si>
  <si>
    <t>Мартынюк №914</t>
  </si>
  <si>
    <t xml:space="preserve"> BORSA</t>
  </si>
  <si>
    <t>"Детский мир"  ООО</t>
  </si>
  <si>
    <t>Рязанцева О.В. №917</t>
  </si>
  <si>
    <t xml:space="preserve">Потапова И.В. №918 </t>
  </si>
  <si>
    <t>W.E.</t>
  </si>
  <si>
    <t xml:space="preserve">Мусихина А.№919 </t>
  </si>
  <si>
    <t>Cosmos</t>
  </si>
  <si>
    <t>Мухина Д.И. №920</t>
  </si>
  <si>
    <t>Дефиле</t>
  </si>
  <si>
    <t xml:space="preserve">Алешина Е.А. №923,924,925 </t>
  </si>
  <si>
    <t xml:space="preserve">Алешина Е.А.  </t>
  </si>
  <si>
    <t>Samsung</t>
  </si>
  <si>
    <t>Антонова Е.Ф.№927</t>
  </si>
  <si>
    <t>DALI</t>
  </si>
  <si>
    <t>Слипченко Е.И. №928</t>
  </si>
  <si>
    <t>WAGGON</t>
  </si>
  <si>
    <t>Нечипоренко Д.К. (цветы)</t>
  </si>
  <si>
    <t>Цветочный магазин на улице перед входом в корп.№9</t>
  </si>
  <si>
    <t>Викулова С.Г./Савкина Н.А.</t>
  </si>
  <si>
    <t>Трюфель</t>
  </si>
  <si>
    <t xml:space="preserve">Владимирова С.В. </t>
  </si>
  <si>
    <t>Ателье возле бутика GARDEROB</t>
  </si>
  <si>
    <t>Столяр К.Ю. (островок кофе)</t>
  </si>
  <si>
    <t>№0617</t>
  </si>
  <si>
    <t>островок кофе (возле CORNERY)</t>
  </si>
  <si>
    <t>ООО ГАНАР</t>
  </si>
  <si>
    <t>Брендсмарт (2-й этаж,сч. на 3 колоннах)</t>
  </si>
  <si>
    <t>Марченко Ю.В. делить на2 с Талиевым</t>
  </si>
  <si>
    <t>№0227</t>
  </si>
  <si>
    <t>справа от входа (ремонт часов)</t>
  </si>
  <si>
    <t>Итого стороние корпус 9</t>
  </si>
  <si>
    <t>Итого</t>
  </si>
  <si>
    <t>ул.Глухова,9:</t>
  </si>
  <si>
    <t>ЧП Матюнькина</t>
  </si>
  <si>
    <t>Ольховская</t>
  </si>
  <si>
    <t>Чупахин</t>
  </si>
  <si>
    <t>Хаммер А.С.</t>
  </si>
  <si>
    <t>Астафьев</t>
  </si>
  <si>
    <t>ФЛП Максина</t>
  </si>
  <si>
    <t>Всего:</t>
  </si>
  <si>
    <t>Главный энергетик ПАО "Муссон"</t>
  </si>
  <si>
    <t>3.(7).ЩО-1 Торгового зала (100 А)</t>
  </si>
  <si>
    <t>4.(8).ЩО-1-1 Торгового зала (100 А)</t>
  </si>
  <si>
    <t>5.(9).ЩО-2 Торгового зала (100 А)</t>
  </si>
  <si>
    <t>6.(10).ЩО-3 Торгового зала (100 А)</t>
  </si>
  <si>
    <t>7.(11).ЩО-4 Раб.освещение (100 А)</t>
  </si>
  <si>
    <t>3.(14).ЩО Маркиз (100 А)</t>
  </si>
  <si>
    <t>4.(15).ЩТ-2 тех.оборудования (100 А)</t>
  </si>
  <si>
    <t>5.(16).ЩТ-4 тех.оборудования (100 А)</t>
  </si>
  <si>
    <t>6.(17).ЩТ-5 тех.оборудования (100 А)</t>
  </si>
  <si>
    <t>7.(18).ЩО-5 раб.освещение (160 А)</t>
  </si>
  <si>
    <t>1.(19).ЩТ-1 тех.оборудование (160 А)</t>
  </si>
  <si>
    <t>2.(20).ЩТ-3 тех.оборудование (160 А)</t>
  </si>
  <si>
    <t>3.(21).ЩО Раб.освещение  тех.помещений (100 А)</t>
  </si>
  <si>
    <t>1.(5).ЩС управления компрессорами (250 А)</t>
  </si>
  <si>
    <t>4.(8).ЩС Торгового зала (100 А)</t>
  </si>
  <si>
    <t>5.(9).ЩС торгового зала (100 А)</t>
  </si>
  <si>
    <t>6.(10).ЩС торгового зала (100 А)</t>
  </si>
  <si>
    <t>1.(11).ЩС управления компрессорами (160 А)</t>
  </si>
  <si>
    <t>2.(12).ЩС-2 торгового зала (125 А)</t>
  </si>
  <si>
    <t>3.(13).ЩС-4 АБК (100 А)</t>
  </si>
  <si>
    <t>1.(17).ЩС управления компрессорами (160 А)</t>
  </si>
  <si>
    <t>2.(18).ЩС управления компрессорами (160 А)</t>
  </si>
  <si>
    <t>3.(19).Щ Силовой (100 А)</t>
  </si>
  <si>
    <t>Итого Яблоко</t>
  </si>
  <si>
    <t>Л.К.-</t>
  </si>
  <si>
    <t>R по факту</t>
  </si>
  <si>
    <t>актив</t>
  </si>
  <si>
    <t>П.К -</t>
  </si>
  <si>
    <t>Установленный счетчик-</t>
  </si>
  <si>
    <t>самокаты</t>
  </si>
  <si>
    <t>Коффишка у"черного моря"</t>
  </si>
  <si>
    <t>Всего</t>
  </si>
  <si>
    <t>Экран на игровой</t>
  </si>
  <si>
    <t>Экран на игровой(счетчик в подвале)</t>
  </si>
  <si>
    <t>Экран на центральном входе</t>
  </si>
  <si>
    <t>На ЩС-6(на лестнице за Чикифе)</t>
  </si>
  <si>
    <t>White House</t>
  </si>
  <si>
    <t>Popilov</t>
  </si>
  <si>
    <t>Экран на улице на центральном входе</t>
  </si>
  <si>
    <t>Еньшина Н.Б. ИП</t>
  </si>
  <si>
    <t>корп.№1, каб.402а</t>
  </si>
  <si>
    <t>Академия хореографии</t>
  </si>
  <si>
    <t>НТС ООО к.412</t>
  </si>
  <si>
    <t>Шведова Н.Ю ИП</t>
  </si>
  <si>
    <t>Сустов В.В.</t>
  </si>
  <si>
    <t>Сустов В.В. ИП</t>
  </si>
  <si>
    <t>Меметов ИП</t>
  </si>
  <si>
    <t>Московчук Н.Ф.  ИП</t>
  </si>
  <si>
    <t>Курбетдинова ИП</t>
  </si>
  <si>
    <t>Мельников ИП</t>
  </si>
  <si>
    <t>Беляева Е.Г. №122</t>
  </si>
  <si>
    <t>Нижметдинов А. ИП №124</t>
  </si>
  <si>
    <t>Колюжная, Куцаков,</t>
  </si>
  <si>
    <t>Нежмединов А.С. переход к.3</t>
  </si>
  <si>
    <t>Нежмединов А.С.  переход к.3</t>
  </si>
  <si>
    <t>Кравченко М.В. №901,902 (2 чел.)</t>
  </si>
  <si>
    <t xml:space="preserve">Левина Е.Е. №911 </t>
  </si>
  <si>
    <t>Титова ИП (яхтинг)</t>
  </si>
  <si>
    <t>СФ ВГБОУ ВПО "РЭУ им. Плеханова"</t>
  </si>
  <si>
    <t>ИТ ГЛОБАЛКОМ рус</t>
  </si>
  <si>
    <t>"Муссон Завод" ООО</t>
  </si>
  <si>
    <t>Кинотеатры(1,2,3,гранд)</t>
  </si>
  <si>
    <t>щитовая 3к.2эт.ЮГ ПР2-02</t>
  </si>
  <si>
    <t>Щитовая 2-го этажа корп.9 (сверху)</t>
  </si>
  <si>
    <r>
      <t xml:space="preserve">Лукьянчиков  А.В. </t>
    </r>
    <r>
      <rPr>
        <b/>
        <sz val="20"/>
        <color rgb="FF7030A0"/>
        <rFont val="Arial Cyr"/>
        <family val="2"/>
        <charset val="204"/>
      </rPr>
      <t>бут.№ 1</t>
    </r>
  </si>
  <si>
    <r>
      <t xml:space="preserve">Байдерин И.В. </t>
    </r>
    <r>
      <rPr>
        <b/>
        <sz val="20"/>
        <color rgb="FF7030A0"/>
        <rFont val="Arial Cyr"/>
        <family val="2"/>
        <charset val="204"/>
      </rPr>
      <t>бут.№2</t>
    </r>
  </si>
  <si>
    <r>
      <t>Глиняник Е.П. бут</t>
    </r>
    <r>
      <rPr>
        <b/>
        <sz val="20"/>
        <color rgb="FF7030A0"/>
        <rFont val="Arial Cyr"/>
        <family val="2"/>
        <charset val="204"/>
      </rPr>
      <t xml:space="preserve"> №3</t>
    </r>
  </si>
  <si>
    <r>
      <t xml:space="preserve">Бережненко Е.К./ Москаленко В.Е.             бут </t>
    </r>
    <r>
      <rPr>
        <b/>
        <sz val="20"/>
        <color rgb="FF7030A0"/>
        <rFont val="Arial Cyr"/>
        <family val="2"/>
        <charset val="204"/>
      </rPr>
      <t>№4</t>
    </r>
  </si>
  <si>
    <r>
      <t xml:space="preserve">Ольховская  В.В. бут </t>
    </r>
    <r>
      <rPr>
        <b/>
        <sz val="20"/>
        <color rgb="FF7030A0"/>
        <rFont val="Arial Cyr"/>
        <family val="2"/>
        <charset val="204"/>
      </rPr>
      <t>№5</t>
    </r>
  </si>
  <si>
    <r>
      <t xml:space="preserve">Турукало Н.П. </t>
    </r>
    <r>
      <rPr>
        <b/>
        <sz val="20"/>
        <color rgb="FF7030A0"/>
        <rFont val="Arial Cyr"/>
        <family val="2"/>
        <charset val="204"/>
      </rPr>
      <t>бут №7</t>
    </r>
  </si>
  <si>
    <r>
      <t xml:space="preserve">Бойченко О.В. </t>
    </r>
    <r>
      <rPr>
        <b/>
        <sz val="20"/>
        <color rgb="FF7030A0"/>
        <rFont val="Arial Cyr"/>
        <family val="2"/>
        <charset val="204"/>
      </rPr>
      <t>бут.№9</t>
    </r>
  </si>
  <si>
    <r>
      <t>Костенко Е. ИП бут.</t>
    </r>
    <r>
      <rPr>
        <b/>
        <sz val="20"/>
        <color rgb="FF7030A0"/>
        <rFont val="Arial Cyr"/>
        <family val="2"/>
        <charset val="204"/>
      </rPr>
      <t>№10</t>
    </r>
  </si>
  <si>
    <r>
      <t xml:space="preserve">Воробьева Л.В. </t>
    </r>
    <r>
      <rPr>
        <b/>
        <sz val="20"/>
        <color rgb="FF7030A0"/>
        <rFont val="Arial Cyr"/>
        <family val="2"/>
        <charset val="204"/>
      </rPr>
      <t>бут.№11</t>
    </r>
  </si>
  <si>
    <r>
      <t xml:space="preserve">Ксенжук Е.А. бутик </t>
    </r>
    <r>
      <rPr>
        <b/>
        <sz val="20"/>
        <color rgb="FF7030A0"/>
        <rFont val="Arial Cyr"/>
        <family val="2"/>
        <charset val="204"/>
      </rPr>
      <t>№ 12</t>
    </r>
  </si>
  <si>
    <r>
      <t>Саленко А.Н.</t>
    </r>
    <r>
      <rPr>
        <b/>
        <sz val="20"/>
        <color rgb="FF7030A0"/>
        <rFont val="Arial Cyr"/>
        <family val="2"/>
        <charset val="204"/>
      </rPr>
      <t xml:space="preserve"> бут№13</t>
    </r>
  </si>
  <si>
    <r>
      <t>Мыркина Ю.О б</t>
    </r>
    <r>
      <rPr>
        <b/>
        <sz val="20"/>
        <color rgb="FF7030A0"/>
        <rFont val="Arial Cyr"/>
        <family val="2"/>
        <charset val="204"/>
      </rPr>
      <t>ут. №14</t>
    </r>
  </si>
  <si>
    <r>
      <t xml:space="preserve">Парелюлько П.А. бутик </t>
    </r>
    <r>
      <rPr>
        <b/>
        <sz val="20"/>
        <color rgb="FF7030A0"/>
        <rFont val="Arial Cyr"/>
        <family val="2"/>
        <charset val="204"/>
      </rPr>
      <t>№ 15</t>
    </r>
  </si>
  <si>
    <r>
      <t xml:space="preserve">Галета  Е.В. </t>
    </r>
    <r>
      <rPr>
        <b/>
        <sz val="20"/>
        <color rgb="FF7030A0"/>
        <rFont val="Arial Cyr"/>
        <family val="2"/>
        <charset val="204"/>
      </rPr>
      <t>бут. № 16</t>
    </r>
  </si>
  <si>
    <r>
      <t xml:space="preserve">Котелевская И.П.  </t>
    </r>
    <r>
      <rPr>
        <b/>
        <sz val="20"/>
        <color rgb="FF7030A0"/>
        <rFont val="Arial Cyr"/>
        <family val="2"/>
        <charset val="204"/>
      </rPr>
      <t>бут.№18</t>
    </r>
  </si>
  <si>
    <r>
      <t xml:space="preserve">Михайленко  В.Ю. </t>
    </r>
    <r>
      <rPr>
        <b/>
        <sz val="20"/>
        <color rgb="FF7030A0"/>
        <rFont val="Arial Cyr"/>
        <family val="2"/>
        <charset val="204"/>
      </rPr>
      <t>бут №21</t>
    </r>
  </si>
  <si>
    <r>
      <t xml:space="preserve">Похомова В.Ю.  </t>
    </r>
    <r>
      <rPr>
        <b/>
        <sz val="20"/>
        <color rgb="FF7030A0"/>
        <rFont val="Arial Cyr"/>
        <family val="2"/>
        <charset val="204"/>
      </rPr>
      <t>бут. №22</t>
    </r>
  </si>
  <si>
    <r>
      <t xml:space="preserve">"Рейманав" ООО </t>
    </r>
    <r>
      <rPr>
        <sz val="12"/>
        <color rgb="FF7030A0"/>
        <rFont val="Arial Cyr"/>
        <family val="2"/>
        <charset val="204"/>
      </rPr>
      <t>(Булавка  Г.А./Кашалаба А.С.</t>
    </r>
    <r>
      <rPr>
        <b/>
        <sz val="12"/>
        <color rgb="FF7030A0"/>
        <rFont val="Arial Cyr"/>
        <family val="2"/>
        <charset val="204"/>
      </rPr>
      <t>бут. № 25</t>
    </r>
  </si>
  <si>
    <r>
      <t>Синичкин  Р.В.</t>
    </r>
    <r>
      <rPr>
        <b/>
        <sz val="19"/>
        <color rgb="FF7030A0"/>
        <rFont val="Arial Cyr"/>
        <family val="2"/>
        <charset val="204"/>
      </rPr>
      <t xml:space="preserve"> бут №26</t>
    </r>
  </si>
  <si>
    <r>
      <t>Иванов Д.В./Чепига В.С.</t>
    </r>
    <r>
      <rPr>
        <b/>
        <sz val="20"/>
        <color rgb="FF7030A0"/>
        <rFont val="Arial Cyr"/>
        <family val="2"/>
        <charset val="204"/>
      </rPr>
      <t>бут.№27</t>
    </r>
    <r>
      <rPr>
        <sz val="20"/>
        <color rgb="FF7030A0"/>
        <rFont val="Arial Cyr"/>
        <family val="2"/>
        <charset val="204"/>
      </rPr>
      <t xml:space="preserve"> </t>
    </r>
  </si>
  <si>
    <r>
      <t xml:space="preserve">Кефели  А.В. </t>
    </r>
    <r>
      <rPr>
        <b/>
        <sz val="20"/>
        <color rgb="FF7030A0"/>
        <rFont val="Arial Cyr"/>
        <family val="2"/>
        <charset val="204"/>
      </rPr>
      <t>бут.№28</t>
    </r>
  </si>
  <si>
    <r>
      <t xml:space="preserve">Васильев Г. Ю. ИП </t>
    </r>
    <r>
      <rPr>
        <b/>
        <sz val="20"/>
        <color rgb="FF7030A0"/>
        <rFont val="Arial Cyr"/>
        <family val="2"/>
        <charset val="204"/>
      </rPr>
      <t>бут.№29</t>
    </r>
  </si>
  <si>
    <r>
      <t xml:space="preserve">Антонова Н.П. </t>
    </r>
    <r>
      <rPr>
        <b/>
        <sz val="20"/>
        <color rgb="FF7030A0"/>
        <rFont val="Arial Cyr"/>
        <family val="2"/>
        <charset val="204"/>
      </rPr>
      <t>бут.№30</t>
    </r>
  </si>
  <si>
    <r>
      <t>Антонова  Н.П.</t>
    </r>
    <r>
      <rPr>
        <b/>
        <sz val="20"/>
        <color rgb="FF7030A0"/>
        <rFont val="Arial Cyr"/>
        <family val="2"/>
        <charset val="204"/>
      </rPr>
      <t xml:space="preserve">бут.№31 </t>
    </r>
  </si>
  <si>
    <r>
      <t xml:space="preserve">Козар Г.В./Козар В.И. </t>
    </r>
    <r>
      <rPr>
        <b/>
        <sz val="20"/>
        <color rgb="FF7030A0"/>
        <rFont val="Arial Cyr"/>
        <family val="2"/>
        <charset val="204"/>
      </rPr>
      <t>бут. № 33</t>
    </r>
  </si>
  <si>
    <r>
      <t xml:space="preserve">Спешкова М.С.  </t>
    </r>
    <r>
      <rPr>
        <b/>
        <sz val="20"/>
        <color rgb="FF7030A0"/>
        <rFont val="Arial Cyr"/>
        <family val="2"/>
        <charset val="204"/>
      </rPr>
      <t>бут. №35</t>
    </r>
  </si>
  <si>
    <r>
      <t xml:space="preserve">Тарлыгин Дмитрий Валерьевич </t>
    </r>
    <r>
      <rPr>
        <b/>
        <sz val="20"/>
        <color rgb="FF7030A0"/>
        <rFont val="Arial Cyr"/>
        <family val="2"/>
        <charset val="204"/>
      </rPr>
      <t>бут. №36</t>
    </r>
  </si>
  <si>
    <r>
      <t xml:space="preserve">Черкашина О.Е.  </t>
    </r>
    <r>
      <rPr>
        <b/>
        <sz val="20"/>
        <color rgb="FF7030A0"/>
        <rFont val="Arial Cyr"/>
        <family val="2"/>
        <charset val="204"/>
      </rPr>
      <t>бут.38/1</t>
    </r>
  </si>
  <si>
    <r>
      <t xml:space="preserve">Ненартович И.Ч.  </t>
    </r>
    <r>
      <rPr>
        <b/>
        <sz val="20"/>
        <color rgb="FF7030A0"/>
        <rFont val="Arial Cyr"/>
        <family val="2"/>
        <charset val="204"/>
      </rPr>
      <t xml:space="preserve">бутик № 38/3 </t>
    </r>
  </si>
  <si>
    <r>
      <t>Щенников Д.Ю.</t>
    </r>
    <r>
      <rPr>
        <b/>
        <sz val="20"/>
        <color rgb="FF7030A0"/>
        <rFont val="Arial Cyr"/>
        <family val="2"/>
        <charset val="204"/>
      </rPr>
      <t>бут. №38/4</t>
    </r>
  </si>
  <si>
    <r>
      <t xml:space="preserve">"РЕСТРО"  ООО  </t>
    </r>
    <r>
      <rPr>
        <b/>
        <i/>
        <sz val="20"/>
        <color rgb="FF7030A0"/>
        <rFont val="Arial Cyr"/>
        <family val="2"/>
        <charset val="204"/>
      </rPr>
      <t>бут№1м</t>
    </r>
  </si>
  <si>
    <r>
      <t>Колесник  Е.Ю. бут.</t>
    </r>
    <r>
      <rPr>
        <b/>
        <sz val="20"/>
        <color rgb="FF7030A0"/>
        <rFont val="Arial Cyr"/>
        <family val="2"/>
        <charset val="204"/>
      </rPr>
      <t>№3м</t>
    </r>
    <r>
      <rPr>
        <sz val="20"/>
        <color rgb="FF7030A0"/>
        <rFont val="Arial Cyr"/>
        <family val="2"/>
        <charset val="204"/>
      </rPr>
      <t xml:space="preserve"> </t>
    </r>
  </si>
  <si>
    <r>
      <t xml:space="preserve">Сорокин  О.А. </t>
    </r>
    <r>
      <rPr>
        <b/>
        <sz val="20"/>
        <color rgb="FF7030A0"/>
        <rFont val="Arial Cyr"/>
        <family val="2"/>
        <charset val="204"/>
      </rPr>
      <t>бут №5м</t>
    </r>
  </si>
  <si>
    <r>
      <t xml:space="preserve">Булдакова И.П.  </t>
    </r>
    <r>
      <rPr>
        <b/>
        <sz val="20"/>
        <color rgb="FF7030A0"/>
        <rFont val="Arial Cyr"/>
        <family val="2"/>
        <charset val="204"/>
      </rPr>
      <t>бут. №6М</t>
    </r>
  </si>
  <si>
    <r>
      <t xml:space="preserve">Дибаева А.О. </t>
    </r>
    <r>
      <rPr>
        <sz val="15"/>
        <color rgb="FF7030A0"/>
        <rFont val="Arial Cyr"/>
        <family val="2"/>
        <charset val="204"/>
      </rPr>
      <t>(был Кориненко Л.Р.)</t>
    </r>
  </si>
  <si>
    <r>
      <t xml:space="preserve">Шурмелева А.А. </t>
    </r>
    <r>
      <rPr>
        <sz val="14"/>
        <color rgb="FF7030A0"/>
        <rFont val="Arial Cyr"/>
        <charset val="204"/>
      </rPr>
      <t xml:space="preserve"> </t>
    </r>
  </si>
  <si>
    <r>
      <t xml:space="preserve">Шведова </t>
    </r>
    <r>
      <rPr>
        <i/>
        <sz val="20"/>
        <color rgb="FF7030A0"/>
        <rFont val="Arial Cyr"/>
        <family val="2"/>
        <charset val="204"/>
      </rPr>
      <t>А.В.</t>
    </r>
    <r>
      <rPr>
        <sz val="20"/>
        <color rgb="FF7030A0"/>
        <rFont val="Arial Cyr"/>
        <family val="2"/>
        <charset val="204"/>
      </rPr>
      <t>№108</t>
    </r>
  </si>
  <si>
    <t>Крокодил, напротив Renzo</t>
  </si>
  <si>
    <t>Детский Крым</t>
  </si>
  <si>
    <t>МАЛИНА</t>
  </si>
  <si>
    <r>
      <t xml:space="preserve">Левченко ИП </t>
    </r>
    <r>
      <rPr>
        <sz val="14"/>
        <color rgb="FF7030A0"/>
        <rFont val="Arial Cyr"/>
        <family val="2"/>
        <charset val="204"/>
      </rPr>
      <t>( был Чубаров )</t>
    </r>
  </si>
  <si>
    <r>
      <t xml:space="preserve">Антонова Е.О. </t>
    </r>
    <r>
      <rPr>
        <b/>
        <sz val="20"/>
        <color rgb="FF7030A0"/>
        <rFont val="Arial Cyr"/>
        <family val="2"/>
        <charset val="204"/>
      </rPr>
      <t xml:space="preserve">бутик № 38/2 </t>
    </r>
  </si>
  <si>
    <t>Кондиционеры кинотеатров1,2,3,гранд+                тепл. вентил.</t>
  </si>
  <si>
    <t>Кинотеатры(осв. корид.+лифт</t>
  </si>
  <si>
    <t>4,5,6+конд.+тепл.вент юг</t>
  </si>
  <si>
    <t>Climber</t>
  </si>
  <si>
    <t>MEGA SHOP (2-й этаж,сч. В щитовой)</t>
  </si>
  <si>
    <t>1.(20).Печь авт№7</t>
  </si>
  <si>
    <t>1.(21).Тех.пом+суши</t>
  </si>
  <si>
    <t>Угол ООО</t>
  </si>
  <si>
    <t>1.(13).ЩО-3 освещение (100 А)</t>
  </si>
  <si>
    <t>2.(12).ЩО Тех.помещений (100 А)</t>
  </si>
  <si>
    <t>Читай город ООО Глобус пресс ХХ1</t>
  </si>
  <si>
    <t>МЕГА ШОП</t>
  </si>
  <si>
    <t xml:space="preserve">Лопашинская </t>
  </si>
  <si>
    <t>Умами</t>
  </si>
  <si>
    <t>Умами островок</t>
  </si>
  <si>
    <t>2brothers(кофе у траволатора)</t>
  </si>
  <si>
    <t>ELIGE</t>
  </si>
  <si>
    <t xml:space="preserve">переменная </t>
  </si>
  <si>
    <t>освещение крыши 2 корпуса</t>
  </si>
  <si>
    <t>Освещение крыши 2 корпуса</t>
  </si>
  <si>
    <t>в щитовой ГРЩ-7</t>
  </si>
  <si>
    <t>Yuliya Myr</t>
  </si>
  <si>
    <t xml:space="preserve">Nurnberg </t>
  </si>
  <si>
    <t>XIAOMI</t>
  </si>
  <si>
    <t>корп.№1, каб.304,б,в (сч. в коридоре перед дверью)</t>
  </si>
  <si>
    <t>0193</t>
  </si>
  <si>
    <t>0046</t>
  </si>
  <si>
    <t>0016</t>
  </si>
  <si>
    <t>3830</t>
  </si>
  <si>
    <t>Экстрим Центр ООО</t>
  </si>
  <si>
    <t>Калиопа</t>
  </si>
  <si>
    <t>Куликов ИП</t>
  </si>
  <si>
    <t xml:space="preserve">магазин "Орвис" </t>
  </si>
  <si>
    <t xml:space="preserve"> "ЧИТАЙ ГОРОД" </t>
  </si>
  <si>
    <r>
      <t>электроэнергии по  ПАО "Муссон" за ДЕКАБРЬ 2020 год  ЧЕРНОЕ</t>
    </r>
    <r>
      <rPr>
        <sz val="28"/>
        <color rgb="FF7030A0"/>
        <rFont val="Arial Cyr"/>
        <charset val="204"/>
      </rPr>
      <t xml:space="preserve">-НЕ СНЯТО!!!! </t>
    </r>
    <r>
      <rPr>
        <sz val="28"/>
        <rFont val="Arial Cyr"/>
        <charset val="204"/>
      </rPr>
      <t xml:space="preserve"> ФИОЛЕТОВОЕ-СНЯТО!)</t>
    </r>
    <r>
      <rPr>
        <sz val="20"/>
        <rFont val="Arial Cyr"/>
        <family val="2"/>
        <charset val="204"/>
      </rPr>
      <t xml:space="preserve">                                                                                                                                                       </t>
    </r>
  </si>
  <si>
    <t>Корпус 62(общага)</t>
  </si>
  <si>
    <t>Склад АО"Муссон"</t>
  </si>
  <si>
    <t>Фаст-фуды (Коновалова ИП)</t>
  </si>
  <si>
    <t>Ресторан над катком</t>
  </si>
  <si>
    <t>РЕСТОРАН "СИБИРЬ"</t>
  </si>
  <si>
    <t>сч. слева от входа в ЧИТАЙ ГОРОД</t>
  </si>
  <si>
    <t>сч.в ОРВИСЕ</t>
  </si>
  <si>
    <r>
      <t>ТП-6 -</t>
    </r>
    <r>
      <rPr>
        <sz val="20"/>
        <color rgb="FFFF0000"/>
        <rFont val="Arial Cyr"/>
        <charset val="204"/>
      </rPr>
      <t>фейверк(55443-54997)</t>
    </r>
  </si>
  <si>
    <t>22538,4065</t>
  </si>
  <si>
    <t>23266,3355</t>
  </si>
  <si>
    <t>Новые печи (100А)</t>
  </si>
  <si>
    <t>Vezze</t>
  </si>
  <si>
    <t>Calioppe+cклад под переходом 3к</t>
  </si>
  <si>
    <t>Activator</t>
  </si>
  <si>
    <t>Аурель</t>
  </si>
  <si>
    <t>Рибай</t>
  </si>
  <si>
    <t>ЭкспрессРемонт(под треволатором)</t>
  </si>
  <si>
    <t>Whitney jeans</t>
  </si>
  <si>
    <t>Dimanche</t>
  </si>
  <si>
    <t>Elfo Kids</t>
  </si>
  <si>
    <t>Magnum</t>
  </si>
  <si>
    <t>Массажные кресла возле Муссонии</t>
  </si>
  <si>
    <t>Jeanstop</t>
  </si>
  <si>
    <t>Mr. Morgan островок</t>
  </si>
  <si>
    <t>Charle</t>
  </si>
  <si>
    <t>Тянучки</t>
  </si>
  <si>
    <t>Femme</t>
  </si>
  <si>
    <t>корп.№1, каб.422(арендосьемщик 401а)</t>
  </si>
  <si>
    <t>корп.№1, каб.304a(сч. в коридоре перед дверью)</t>
  </si>
  <si>
    <t>корп.№1, каб.302, 313,303</t>
  </si>
  <si>
    <t>корп.№1, каб.305(арендосьемщик 211)</t>
  </si>
  <si>
    <t>корп.№1, каб.421(арендосьемщик 401а)</t>
  </si>
  <si>
    <t>корп.№1, каб.213</t>
  </si>
  <si>
    <t>корп.№1, каб.417,415(60квт)</t>
  </si>
  <si>
    <t>Госреестр(3 этаж корпус 1)092-1020</t>
  </si>
  <si>
    <t>Фасадкрым ООО</t>
  </si>
  <si>
    <t>Деркач А.А. ИП оф 305</t>
  </si>
  <si>
    <t>Финэксперт ООО</t>
  </si>
  <si>
    <t>Овчаренко О.В. ООО</t>
  </si>
  <si>
    <t>РТ Соц строй ООО</t>
  </si>
  <si>
    <t>Гуливер Люкс трэйд ООО</t>
  </si>
  <si>
    <t>13141,704</t>
  </si>
  <si>
    <t>13701,548</t>
  </si>
  <si>
    <t>8478,406</t>
  </si>
  <si>
    <t>8892,2</t>
  </si>
  <si>
    <t>Грохольский</t>
  </si>
  <si>
    <t>Семикина</t>
  </si>
  <si>
    <t>COTON (1 счетчик)</t>
  </si>
  <si>
    <t>COTON (2 счетик)</t>
  </si>
  <si>
    <t>Шинкарева</t>
  </si>
  <si>
    <t>Империя меха</t>
  </si>
  <si>
    <t>DOSSU DOSSI</t>
  </si>
  <si>
    <r>
      <t>электроэнергии по  ПАО "Муссон" за ЯНВАРЬ 2021 год  ЧЕРНОЕ</t>
    </r>
    <r>
      <rPr>
        <sz val="28"/>
        <color rgb="FF7030A0"/>
        <rFont val="Arial Cyr"/>
        <charset val="204"/>
      </rPr>
      <t xml:space="preserve">-СНЯТО!!!! </t>
    </r>
    <r>
      <rPr>
        <sz val="28"/>
        <rFont val="Arial Cyr"/>
        <charset val="204"/>
      </rPr>
      <t xml:space="preserve"> ФИОЛЕТОВОЕ- НЕ СНЯТО!)</t>
    </r>
    <r>
      <rPr>
        <sz val="20"/>
        <rFont val="Arial Cyr"/>
        <family val="2"/>
        <charset val="204"/>
      </rPr>
      <t xml:space="preserve">                                                                                                                                                       </t>
    </r>
  </si>
  <si>
    <t xml:space="preserve">ТП-6 </t>
  </si>
  <si>
    <t>23943,773</t>
  </si>
  <si>
    <t>Xclusiff</t>
  </si>
  <si>
    <t>EL"BRAVO(cъехал)</t>
  </si>
  <si>
    <r>
      <t xml:space="preserve">Дибаева А.О. </t>
    </r>
    <r>
      <rPr>
        <sz val="15"/>
        <rFont val="Arial Cyr"/>
        <family val="2"/>
        <charset val="204"/>
      </rPr>
      <t>(был Кориненко Л.Р.)</t>
    </r>
  </si>
  <si>
    <r>
      <t xml:space="preserve">Шурмелева А.А. </t>
    </r>
    <r>
      <rPr>
        <sz val="14"/>
        <rFont val="Arial Cyr"/>
        <charset val="204"/>
      </rPr>
      <t xml:space="preserve"> </t>
    </r>
  </si>
  <si>
    <r>
      <t xml:space="preserve">Лукьянчиков  А.В. </t>
    </r>
    <r>
      <rPr>
        <b/>
        <sz val="20"/>
        <rFont val="Arial Cyr"/>
        <family val="2"/>
        <charset val="204"/>
      </rPr>
      <t>бут.№ 1</t>
    </r>
  </si>
  <si>
    <r>
      <t xml:space="preserve">Байдерин И.В. </t>
    </r>
    <r>
      <rPr>
        <b/>
        <sz val="20"/>
        <rFont val="Arial Cyr"/>
        <family val="2"/>
        <charset val="204"/>
      </rPr>
      <t>бут.№2</t>
    </r>
  </si>
  <si>
    <r>
      <t>Глиняник Е.П. бут</t>
    </r>
    <r>
      <rPr>
        <b/>
        <sz val="20"/>
        <rFont val="Arial Cyr"/>
        <family val="2"/>
        <charset val="204"/>
      </rPr>
      <t xml:space="preserve"> №3</t>
    </r>
  </si>
  <si>
    <r>
      <t xml:space="preserve">Ольховская  В.В. бут </t>
    </r>
    <r>
      <rPr>
        <b/>
        <sz val="20"/>
        <rFont val="Arial Cyr"/>
        <family val="2"/>
        <charset val="204"/>
      </rPr>
      <t>№5</t>
    </r>
  </si>
  <si>
    <r>
      <t xml:space="preserve">Турукало Н.П. </t>
    </r>
    <r>
      <rPr>
        <b/>
        <sz val="20"/>
        <rFont val="Arial Cyr"/>
        <family val="2"/>
        <charset val="204"/>
      </rPr>
      <t>бут №7</t>
    </r>
  </si>
  <si>
    <r>
      <t>Костенко Е. ИП бут.</t>
    </r>
    <r>
      <rPr>
        <b/>
        <sz val="20"/>
        <rFont val="Arial Cyr"/>
        <family val="2"/>
        <charset val="204"/>
      </rPr>
      <t>№10</t>
    </r>
  </si>
  <si>
    <r>
      <t xml:space="preserve">Воробьева Л.В. </t>
    </r>
    <r>
      <rPr>
        <b/>
        <sz val="20"/>
        <rFont val="Arial Cyr"/>
        <family val="2"/>
        <charset val="204"/>
      </rPr>
      <t>бут.№11</t>
    </r>
  </si>
  <si>
    <r>
      <t>Мыркина Ю.О б</t>
    </r>
    <r>
      <rPr>
        <b/>
        <sz val="20"/>
        <rFont val="Arial Cyr"/>
        <family val="2"/>
        <charset val="204"/>
      </rPr>
      <t>ут. №14</t>
    </r>
  </si>
  <si>
    <r>
      <t xml:space="preserve">Парелюлько П.А. бутик </t>
    </r>
    <r>
      <rPr>
        <b/>
        <sz val="20"/>
        <rFont val="Arial Cyr"/>
        <family val="2"/>
        <charset val="204"/>
      </rPr>
      <t>№ 15</t>
    </r>
  </si>
  <si>
    <r>
      <t xml:space="preserve">Галета  Е.В. </t>
    </r>
    <r>
      <rPr>
        <b/>
        <sz val="20"/>
        <rFont val="Arial Cyr"/>
        <family val="2"/>
        <charset val="204"/>
      </rPr>
      <t>бут. № 16</t>
    </r>
  </si>
  <si>
    <r>
      <t xml:space="preserve">Котелевская И.П.  </t>
    </r>
    <r>
      <rPr>
        <b/>
        <sz val="20"/>
        <rFont val="Arial Cyr"/>
        <family val="2"/>
        <charset val="204"/>
      </rPr>
      <t>бут.№18</t>
    </r>
  </si>
  <si>
    <r>
      <t xml:space="preserve">Михайленко  В.Ю. </t>
    </r>
    <r>
      <rPr>
        <b/>
        <sz val="20"/>
        <rFont val="Arial Cyr"/>
        <family val="2"/>
        <charset val="204"/>
      </rPr>
      <t>бут №21</t>
    </r>
  </si>
  <si>
    <r>
      <t xml:space="preserve">"Рейманав" ООО </t>
    </r>
    <r>
      <rPr>
        <sz val="12"/>
        <rFont val="Arial Cyr"/>
        <family val="2"/>
        <charset val="204"/>
      </rPr>
      <t>(Булавка  Г.А./Кашалаба А.С.</t>
    </r>
    <r>
      <rPr>
        <b/>
        <sz val="12"/>
        <rFont val="Arial Cyr"/>
        <family val="2"/>
        <charset val="204"/>
      </rPr>
      <t>бут. № 25</t>
    </r>
  </si>
  <si>
    <r>
      <t>Синичкин  Р.В.</t>
    </r>
    <r>
      <rPr>
        <b/>
        <sz val="19"/>
        <rFont val="Arial Cyr"/>
        <family val="2"/>
        <charset val="204"/>
      </rPr>
      <t xml:space="preserve"> бут №26</t>
    </r>
  </si>
  <si>
    <r>
      <t>Иванов Д.В./Чепига В.С.</t>
    </r>
    <r>
      <rPr>
        <b/>
        <sz val="20"/>
        <rFont val="Arial Cyr"/>
        <family val="2"/>
        <charset val="204"/>
      </rPr>
      <t>бут.№27</t>
    </r>
    <r>
      <rPr>
        <sz val="20"/>
        <rFont val="Arial Cyr"/>
        <family val="2"/>
        <charset val="204"/>
      </rPr>
      <t xml:space="preserve"> </t>
    </r>
  </si>
  <si>
    <r>
      <t xml:space="preserve">Кефели  А.В. </t>
    </r>
    <r>
      <rPr>
        <b/>
        <sz val="20"/>
        <rFont val="Arial Cyr"/>
        <family val="2"/>
        <charset val="204"/>
      </rPr>
      <t>бут.№28</t>
    </r>
  </si>
  <si>
    <r>
      <t xml:space="preserve">Васильев Г. Ю. ИП </t>
    </r>
    <r>
      <rPr>
        <b/>
        <sz val="20"/>
        <rFont val="Arial Cyr"/>
        <family val="2"/>
        <charset val="204"/>
      </rPr>
      <t>бут.№29</t>
    </r>
  </si>
  <si>
    <r>
      <t xml:space="preserve">Антонова Н.П. </t>
    </r>
    <r>
      <rPr>
        <b/>
        <sz val="20"/>
        <rFont val="Arial Cyr"/>
        <family val="2"/>
        <charset val="204"/>
      </rPr>
      <t>бут.№30</t>
    </r>
  </si>
  <si>
    <r>
      <t>Антонова  Н.П.</t>
    </r>
    <r>
      <rPr>
        <b/>
        <sz val="20"/>
        <rFont val="Arial Cyr"/>
        <family val="2"/>
        <charset val="204"/>
      </rPr>
      <t xml:space="preserve">бут.№31 </t>
    </r>
  </si>
  <si>
    <r>
      <t xml:space="preserve">Козар Г.В./Козар В.И. </t>
    </r>
    <r>
      <rPr>
        <b/>
        <sz val="20"/>
        <rFont val="Arial Cyr"/>
        <family val="2"/>
        <charset val="204"/>
      </rPr>
      <t>бут. № 33</t>
    </r>
  </si>
  <si>
    <r>
      <t xml:space="preserve">Спешкова М.С.  </t>
    </r>
    <r>
      <rPr>
        <b/>
        <sz val="20"/>
        <rFont val="Arial Cyr"/>
        <family val="2"/>
        <charset val="204"/>
      </rPr>
      <t>бут. №35</t>
    </r>
  </si>
  <si>
    <r>
      <t xml:space="preserve">Тарлыгин Дмитрий Валерьевич </t>
    </r>
    <r>
      <rPr>
        <b/>
        <sz val="20"/>
        <rFont val="Arial Cyr"/>
        <family val="2"/>
        <charset val="204"/>
      </rPr>
      <t>бут. №36</t>
    </r>
  </si>
  <si>
    <r>
      <t xml:space="preserve">Черкашина О.Е.  </t>
    </r>
    <r>
      <rPr>
        <b/>
        <sz val="20"/>
        <rFont val="Arial Cyr"/>
        <family val="2"/>
        <charset val="204"/>
      </rPr>
      <t>бут.38/1</t>
    </r>
  </si>
  <si>
    <r>
      <t xml:space="preserve">Антонова Е.О. </t>
    </r>
    <r>
      <rPr>
        <b/>
        <sz val="20"/>
        <rFont val="Arial Cyr"/>
        <family val="2"/>
        <charset val="204"/>
      </rPr>
      <t xml:space="preserve">бутик № 38/2 </t>
    </r>
  </si>
  <si>
    <r>
      <t xml:space="preserve">Ненартович И.Ч.  </t>
    </r>
    <r>
      <rPr>
        <b/>
        <sz val="20"/>
        <rFont val="Arial Cyr"/>
        <family val="2"/>
        <charset val="204"/>
      </rPr>
      <t xml:space="preserve">бутик № 38/3 </t>
    </r>
  </si>
  <si>
    <r>
      <t>Щенников Д.Ю.</t>
    </r>
    <r>
      <rPr>
        <b/>
        <sz val="20"/>
        <rFont val="Arial Cyr"/>
        <family val="2"/>
        <charset val="204"/>
      </rPr>
      <t>бут. №38/4</t>
    </r>
  </si>
  <si>
    <r>
      <t xml:space="preserve">"РЕСТРО"  ООО  </t>
    </r>
    <r>
      <rPr>
        <b/>
        <i/>
        <sz val="20"/>
        <rFont val="Arial Cyr"/>
        <family val="2"/>
        <charset val="204"/>
      </rPr>
      <t>бут№1м</t>
    </r>
  </si>
  <si>
    <r>
      <t>Колесник  Е.Ю. бут.</t>
    </r>
    <r>
      <rPr>
        <b/>
        <sz val="20"/>
        <rFont val="Arial Cyr"/>
        <family val="2"/>
        <charset val="204"/>
      </rPr>
      <t>№3м</t>
    </r>
    <r>
      <rPr>
        <sz val="20"/>
        <rFont val="Arial Cyr"/>
        <family val="2"/>
        <charset val="204"/>
      </rPr>
      <t xml:space="preserve"> </t>
    </r>
  </si>
  <si>
    <r>
      <t xml:space="preserve">Сорокин  О.А. </t>
    </r>
    <r>
      <rPr>
        <b/>
        <sz val="20"/>
        <rFont val="Arial Cyr"/>
        <family val="2"/>
        <charset val="204"/>
      </rPr>
      <t>бут №5м</t>
    </r>
  </si>
  <si>
    <r>
      <t xml:space="preserve">Булдакова И.П.  </t>
    </r>
    <r>
      <rPr>
        <b/>
        <sz val="20"/>
        <rFont val="Arial Cyr"/>
        <family val="2"/>
        <charset val="204"/>
      </rPr>
      <t>бут. №6М</t>
    </r>
  </si>
  <si>
    <r>
      <t xml:space="preserve">Шведова </t>
    </r>
    <r>
      <rPr>
        <i/>
        <sz val="20"/>
        <rFont val="Arial Cyr"/>
        <family val="2"/>
        <charset val="204"/>
      </rPr>
      <t>А.В.</t>
    </r>
    <r>
      <rPr>
        <sz val="20"/>
        <rFont val="Arial Cyr"/>
        <family val="2"/>
        <charset val="204"/>
      </rPr>
      <t>№108</t>
    </r>
  </si>
  <si>
    <r>
      <t xml:space="preserve">Левченко ИП </t>
    </r>
    <r>
      <rPr>
        <sz val="14"/>
        <rFont val="Arial Cyr"/>
        <family val="2"/>
        <charset val="204"/>
      </rPr>
      <t>( был Чубаров )</t>
    </r>
  </si>
  <si>
    <t>Экран на улицена центральном входе</t>
  </si>
  <si>
    <t>в феврале убрать 12839</t>
  </si>
  <si>
    <t>Прачечная(между 1 и 2 корпусом)</t>
  </si>
  <si>
    <t>корп.№1, каб.317 с 1 февраля</t>
  </si>
  <si>
    <t>корп.№1, каб.405a,407a,414,405,410 (приносят сами)</t>
  </si>
  <si>
    <t xml:space="preserve">корп.№1, каб.407   </t>
  </si>
  <si>
    <t>корп.№1, каб.418</t>
  </si>
  <si>
    <t>Сервис Групп ООО</t>
  </si>
  <si>
    <t>Ильина</t>
  </si>
  <si>
    <t>Карасева №115</t>
  </si>
  <si>
    <t>Борисенко</t>
  </si>
  <si>
    <t>Орехова №121</t>
  </si>
  <si>
    <t>Хомутова №122</t>
  </si>
  <si>
    <t>Баринов</t>
  </si>
  <si>
    <t>Петрова Л.В. №917</t>
  </si>
  <si>
    <t>Смертин ИП</t>
  </si>
  <si>
    <r>
      <t xml:space="preserve">Алиджан ИП        бут </t>
    </r>
    <r>
      <rPr>
        <b/>
        <sz val="20"/>
        <rFont val="Arial Cyr"/>
        <family val="2"/>
        <charset val="204"/>
      </rPr>
      <t>№4</t>
    </r>
  </si>
  <si>
    <t>Горбатова ИП  бут. №6</t>
  </si>
  <si>
    <r>
      <t xml:space="preserve">Левина ИП </t>
    </r>
    <r>
      <rPr>
        <b/>
        <sz val="20"/>
        <rFont val="Arial Cyr"/>
        <family val="2"/>
        <charset val="204"/>
      </rPr>
      <t>бут.№9</t>
    </r>
  </si>
  <si>
    <r>
      <t xml:space="preserve">Соскова ИП бутик </t>
    </r>
    <r>
      <rPr>
        <b/>
        <sz val="20"/>
        <rFont val="Arial Cyr"/>
        <family val="2"/>
        <charset val="204"/>
      </rPr>
      <t>№ 12</t>
    </r>
  </si>
  <si>
    <r>
      <t>Вивсянюк ИП</t>
    </r>
    <r>
      <rPr>
        <b/>
        <sz val="20"/>
        <rFont val="Arial Cyr"/>
        <family val="2"/>
        <charset val="204"/>
      </rPr>
      <t xml:space="preserve"> бут№13</t>
    </r>
  </si>
  <si>
    <r>
      <t xml:space="preserve">Чернышева ИП  </t>
    </r>
    <r>
      <rPr>
        <b/>
        <sz val="20"/>
        <rFont val="Arial Cyr"/>
        <family val="2"/>
        <charset val="204"/>
      </rPr>
      <t>бут. №22</t>
    </r>
  </si>
  <si>
    <t>Роменская ИП</t>
  </si>
  <si>
    <t>Щенников ИП</t>
  </si>
  <si>
    <t>ОРВИС</t>
  </si>
  <si>
    <t>Бакши ИП</t>
  </si>
  <si>
    <t>Карпенко ИП</t>
  </si>
  <si>
    <t>Виза ТД №111</t>
  </si>
  <si>
    <t>Ларионов ИП</t>
  </si>
  <si>
    <t>Полозова</t>
  </si>
  <si>
    <t>Мартынюк ИП</t>
  </si>
  <si>
    <t>Масалкова (Калиопа)</t>
  </si>
  <si>
    <t>Осипенко ИП</t>
  </si>
  <si>
    <t>Сустов ИП</t>
  </si>
  <si>
    <t>Саленко А.Н. ИП</t>
  </si>
  <si>
    <t>14313,521</t>
  </si>
  <si>
    <t>9233,262</t>
  </si>
  <si>
    <r>
      <t>электроэнергии по  ПАО "Муссон" за ФЕВРАЛЬ 2021 год  ЧЕРНОЕ</t>
    </r>
    <r>
      <rPr>
        <sz val="28"/>
        <color rgb="FF7030A0"/>
        <rFont val="Arial Cyr"/>
        <charset val="204"/>
      </rPr>
      <t xml:space="preserve">- НЕ СНЯТО!!!! </t>
    </r>
    <r>
      <rPr>
        <sz val="28"/>
        <rFont val="Arial Cyr"/>
        <charset val="204"/>
      </rPr>
      <t xml:space="preserve"> ФИОЛЕТОВОЕ- СНЯТО!)</t>
    </r>
    <r>
      <rPr>
        <sz val="20"/>
        <rFont val="Arial Cyr"/>
        <family val="2"/>
        <charset val="204"/>
      </rPr>
      <t xml:space="preserve">                                                                                                                                                       </t>
    </r>
  </si>
  <si>
    <t>"ЯБЛОКО" Февраль</t>
  </si>
  <si>
    <t>Корпус 62(общага) 3этаж</t>
  </si>
  <si>
    <t>24609,0985</t>
  </si>
  <si>
    <r>
      <t xml:space="preserve">Алиджан ИП        бут </t>
    </r>
    <r>
      <rPr>
        <b/>
        <sz val="20"/>
        <color rgb="FF7030A0"/>
        <rFont val="Arial Cyr"/>
        <family val="2"/>
        <charset val="204"/>
      </rPr>
      <t>№4</t>
    </r>
  </si>
  <si>
    <r>
      <t xml:space="preserve">Левина ИП </t>
    </r>
    <r>
      <rPr>
        <b/>
        <sz val="20"/>
        <color rgb="FF7030A0"/>
        <rFont val="Arial Cyr"/>
        <family val="2"/>
        <charset val="204"/>
      </rPr>
      <t>бут.№9</t>
    </r>
  </si>
  <si>
    <r>
      <t xml:space="preserve">Соскова ИП бутик </t>
    </r>
    <r>
      <rPr>
        <b/>
        <sz val="20"/>
        <color rgb="FF7030A0"/>
        <rFont val="Arial Cyr"/>
        <family val="2"/>
        <charset val="204"/>
      </rPr>
      <t>№ 12</t>
    </r>
  </si>
  <si>
    <r>
      <t>Вивсянюк ИП</t>
    </r>
    <r>
      <rPr>
        <b/>
        <sz val="20"/>
        <color rgb="FF7030A0"/>
        <rFont val="Arial Cyr"/>
        <family val="2"/>
        <charset val="204"/>
      </rPr>
      <t xml:space="preserve"> бут№13</t>
    </r>
  </si>
  <si>
    <r>
      <t xml:space="preserve">Чернышева ИП  </t>
    </r>
    <r>
      <rPr>
        <b/>
        <sz val="20"/>
        <color rgb="FF7030A0"/>
        <rFont val="Arial Cyr"/>
        <family val="2"/>
        <charset val="204"/>
      </rPr>
      <t>бут. №22</t>
    </r>
  </si>
  <si>
    <t>Подиум(съехал)</t>
  </si>
  <si>
    <t>EVA(съехал)</t>
  </si>
  <si>
    <t>Страна Гулливера</t>
  </si>
  <si>
    <t>корп.№1, каб.422</t>
  </si>
  <si>
    <t>Итого АО МУССОН:</t>
  </si>
  <si>
    <t>АО "Муссон"</t>
  </si>
  <si>
    <t>СоюзДонСтрой ООО</t>
  </si>
  <si>
    <t>ЦентрМалоэтажногоСтроительства ООО к.418</t>
  </si>
  <si>
    <t>14825,958</t>
  </si>
  <si>
    <t>9657,482</t>
  </si>
  <si>
    <t>Прачечная</t>
  </si>
  <si>
    <r>
      <t>электроэнергии по  ПАО "Муссон" за МАРТ 2021 год  ЧЕРНОЕ</t>
    </r>
    <r>
      <rPr>
        <sz val="28"/>
        <color rgb="FF7030A0"/>
        <rFont val="Arial Cyr"/>
        <charset val="204"/>
      </rPr>
      <t xml:space="preserve">- СНЯТО!!!! </t>
    </r>
    <r>
      <rPr>
        <sz val="28"/>
        <rFont val="Arial Cyr"/>
        <charset val="204"/>
      </rPr>
      <t xml:space="preserve"> ФИОЛЕТОВОЕ- НЕ СНЯТО!)</t>
    </r>
    <r>
      <rPr>
        <sz val="20"/>
        <rFont val="Arial Cyr"/>
        <family val="2"/>
        <charset val="204"/>
      </rPr>
      <t xml:space="preserve">                                                                                                                                                       </t>
    </r>
  </si>
  <si>
    <t>"ЯБЛОКО" Март</t>
  </si>
  <si>
    <t>25343,996</t>
  </si>
  <si>
    <t>Broadway (оранжевая зона) перешел счетчик</t>
  </si>
  <si>
    <t>магазин "Точка" (цоколь) перешел счетчик</t>
  </si>
  <si>
    <t xml:space="preserve">корп.№1, каб.317 </t>
  </si>
  <si>
    <t>"Промальп-Севастополь"  ООО</t>
  </si>
  <si>
    <t>"ПромальпСевастополь" ООО/"ПромальпЭдельвейс" ООО, кор1, 401а</t>
  </si>
  <si>
    <t>Медицинский склад оф к.315</t>
  </si>
  <si>
    <t>Аверин ИП</t>
  </si>
  <si>
    <r>
      <t xml:space="preserve">Бондарь ИП </t>
    </r>
    <r>
      <rPr>
        <sz val="14"/>
        <rFont val="Arial Cyr"/>
        <family val="2"/>
        <charset val="204"/>
      </rPr>
      <t>( был Чубаров )</t>
    </r>
  </si>
  <si>
    <t>Самойлова ИП</t>
  </si>
  <si>
    <t>ЯМАГУЧЧИ</t>
  </si>
  <si>
    <t>Ямагучи Крым ООО №914</t>
  </si>
  <si>
    <t>Горбунов ИП (Прачечная)</t>
  </si>
  <si>
    <t>Ресторан над катком СИБИРЬ</t>
  </si>
  <si>
    <t>15355,06</t>
  </si>
  <si>
    <t>10147,236</t>
  </si>
  <si>
    <t xml:space="preserve">уч.корпус </t>
  </si>
  <si>
    <t>5770</t>
  </si>
  <si>
    <t>79316</t>
  </si>
  <si>
    <t>68088</t>
  </si>
  <si>
    <t>23070</t>
  </si>
  <si>
    <t>76648</t>
  </si>
  <si>
    <t>62120</t>
  </si>
  <si>
    <t>33619</t>
  </si>
  <si>
    <t>93880</t>
  </si>
  <si>
    <t>52835</t>
  </si>
  <si>
    <t>22233</t>
  </si>
  <si>
    <t>62236</t>
  </si>
  <si>
    <t>04093</t>
  </si>
  <si>
    <t>17368</t>
  </si>
  <si>
    <t>14327</t>
  </si>
  <si>
    <t>08265</t>
  </si>
  <si>
    <t>02660</t>
  </si>
  <si>
    <t>93154</t>
  </si>
  <si>
    <t>92107</t>
  </si>
  <si>
    <t>26295</t>
  </si>
  <si>
    <t>09849</t>
  </si>
  <si>
    <t>24924</t>
  </si>
  <si>
    <t>04762</t>
  </si>
  <si>
    <t>78320</t>
  </si>
  <si>
    <t>06490</t>
  </si>
  <si>
    <t>17872</t>
  </si>
  <si>
    <t>14200</t>
  </si>
  <si>
    <t>10775</t>
  </si>
  <si>
    <t>43267</t>
  </si>
  <si>
    <t>07747</t>
  </si>
  <si>
    <t>36398</t>
  </si>
  <si>
    <t>00302</t>
  </si>
  <si>
    <t>02943</t>
  </si>
  <si>
    <t>30475</t>
  </si>
  <si>
    <t>79311</t>
  </si>
  <si>
    <t>26292</t>
  </si>
  <si>
    <t>43092</t>
  </si>
  <si>
    <t>03370</t>
  </si>
  <si>
    <t>03300</t>
  </si>
  <si>
    <t>53920</t>
  </si>
  <si>
    <t>03665</t>
  </si>
  <si>
    <t>26272</t>
  </si>
  <si>
    <t>52502</t>
  </si>
  <si>
    <t>90805</t>
  </si>
  <si>
    <t>26088</t>
  </si>
  <si>
    <t>26209</t>
  </si>
  <si>
    <t>94369</t>
  </si>
  <si>
    <t>23218</t>
  </si>
  <si>
    <t>92062</t>
  </si>
  <si>
    <t>00618</t>
  </si>
  <si>
    <t>01507</t>
  </si>
  <si>
    <t>17347</t>
  </si>
  <si>
    <t>82706</t>
  </si>
  <si>
    <t>70526</t>
  </si>
  <si>
    <t>07359</t>
  </si>
  <si>
    <t>08606</t>
  </si>
  <si>
    <t>00437</t>
  </si>
  <si>
    <t>03233</t>
  </si>
  <si>
    <t>14506</t>
  </si>
  <si>
    <t>10361</t>
  </si>
  <si>
    <t>20776</t>
  </si>
  <si>
    <t>04291</t>
  </si>
  <si>
    <t>51116</t>
  </si>
  <si>
    <t>57838</t>
  </si>
  <si>
    <t>08906</t>
  </si>
  <si>
    <t>23506</t>
  </si>
  <si>
    <t>32406</t>
  </si>
  <si>
    <t>54306</t>
  </si>
  <si>
    <t>21131</t>
  </si>
  <si>
    <t>Мебель</t>
  </si>
  <si>
    <t>08904</t>
  </si>
  <si>
    <t>2831</t>
  </si>
  <si>
    <t>90506</t>
  </si>
  <si>
    <t>35474</t>
  </si>
  <si>
    <t>51173</t>
  </si>
  <si>
    <t>55480</t>
  </si>
  <si>
    <t>38391</t>
  </si>
  <si>
    <t>06743</t>
  </si>
  <si>
    <t>10060</t>
  </si>
  <si>
    <t>68364</t>
  </si>
  <si>
    <t>00401</t>
  </si>
  <si>
    <t xml:space="preserve">Чайная Сказка (островок) </t>
  </si>
  <si>
    <t>62444</t>
  </si>
  <si>
    <t>92643</t>
  </si>
  <si>
    <t>61146</t>
  </si>
  <si>
    <t>04883</t>
  </si>
  <si>
    <t>12762</t>
  </si>
  <si>
    <t>30469</t>
  </si>
  <si>
    <t>40202</t>
  </si>
  <si>
    <t>70776</t>
  </si>
  <si>
    <t>70606</t>
  </si>
  <si>
    <t>03758,03855</t>
  </si>
  <si>
    <t>84691</t>
  </si>
  <si>
    <t>71641</t>
  </si>
  <si>
    <t>64235</t>
  </si>
  <si>
    <t>69787</t>
  </si>
  <si>
    <t>70802</t>
  </si>
  <si>
    <t>69791</t>
  </si>
  <si>
    <t>71049</t>
  </si>
  <si>
    <t>64265</t>
  </si>
  <si>
    <t>63583</t>
  </si>
  <si>
    <t>84513</t>
  </si>
  <si>
    <t>3882</t>
  </si>
  <si>
    <t>46296</t>
  </si>
  <si>
    <t>39873</t>
  </si>
  <si>
    <t>05679</t>
  </si>
  <si>
    <t>65803</t>
  </si>
  <si>
    <t>45419</t>
  </si>
  <si>
    <t>05691</t>
  </si>
  <si>
    <t>2169</t>
  </si>
  <si>
    <t>63943</t>
  </si>
  <si>
    <t>75973</t>
  </si>
  <si>
    <t>54561</t>
  </si>
  <si>
    <t>29736</t>
  </si>
  <si>
    <t>02154</t>
  </si>
  <si>
    <t>79093</t>
  </si>
  <si>
    <t>78650</t>
  </si>
  <si>
    <t>84707</t>
  </si>
  <si>
    <t>02556</t>
  </si>
  <si>
    <t>00617</t>
  </si>
  <si>
    <t>92071,98706</t>
  </si>
  <si>
    <t>00227</t>
  </si>
  <si>
    <t>196911</t>
  </si>
  <si>
    <t>90990,27372</t>
  </si>
  <si>
    <t>04784</t>
  </si>
  <si>
    <t>116306,44271,13827</t>
  </si>
  <si>
    <t>"ЯБЛОКО" Апрель</t>
  </si>
  <si>
    <r>
      <t>электроэнергии по  ПАО "Муссон" за АПРЕЛЬ 2021 год  ЧЕРНОЕ</t>
    </r>
    <r>
      <rPr>
        <sz val="28"/>
        <color rgb="FF7030A0"/>
        <rFont val="Arial Cyr"/>
        <charset val="204"/>
      </rPr>
      <t xml:space="preserve">- НЕ СНЯТО!!!! </t>
    </r>
    <r>
      <rPr>
        <sz val="28"/>
        <rFont val="Arial Cyr"/>
        <charset val="204"/>
      </rPr>
      <t xml:space="preserve"> ФИОЛЕТОВОЕ- СНЯТО!)</t>
    </r>
    <r>
      <rPr>
        <sz val="20"/>
        <rFont val="Arial Cyr"/>
        <family val="2"/>
        <charset val="204"/>
      </rPr>
      <t xml:space="preserve">                                                                                                                                                       </t>
    </r>
  </si>
  <si>
    <t>25874,402</t>
  </si>
  <si>
    <t>Корзинка</t>
  </si>
  <si>
    <t xml:space="preserve">Broadway (оранжевая зона) </t>
  </si>
  <si>
    <t>90990</t>
  </si>
  <si>
    <t>Calioppe cклад под переходом 3к</t>
  </si>
  <si>
    <t>Calioppe</t>
  </si>
  <si>
    <t>44271</t>
  </si>
  <si>
    <t>13827</t>
  </si>
  <si>
    <t>116306</t>
  </si>
  <si>
    <t>03758</t>
  </si>
  <si>
    <t>92071</t>
  </si>
  <si>
    <t>98706</t>
  </si>
  <si>
    <t>Брендсмарт 2-й этаж</t>
  </si>
  <si>
    <r>
      <t xml:space="preserve">Бондарь ИП </t>
    </r>
    <r>
      <rPr>
        <sz val="14"/>
        <color rgb="FF7030A0"/>
        <rFont val="Arial Cyr"/>
        <family val="2"/>
        <charset val="204"/>
      </rPr>
      <t>( был Чубаров )</t>
    </r>
  </si>
  <si>
    <t>Пома А.М.</t>
  </si>
  <si>
    <t>Русанов</t>
  </si>
  <si>
    <t>Мебель ротанг</t>
  </si>
  <si>
    <t>15793,064</t>
  </si>
  <si>
    <t>10435,8</t>
  </si>
  <si>
    <t>15684</t>
  </si>
  <si>
    <t>"ЯБЛОКО" Май</t>
  </si>
  <si>
    <r>
      <t>электроэнергии по  ПАО "Муссон" за Май 2021 год  ЧЕРНОЕ</t>
    </r>
    <r>
      <rPr>
        <sz val="28"/>
        <color rgb="FF7030A0"/>
        <rFont val="Arial Cyr"/>
        <charset val="204"/>
      </rPr>
      <t xml:space="preserve">- СНЯТО!!!! </t>
    </r>
    <r>
      <rPr>
        <sz val="28"/>
        <rFont val="Arial Cyr"/>
        <charset val="204"/>
      </rPr>
      <t xml:space="preserve"> ФИОЛЕТОВОЕ- НЕ СНЯТО!)</t>
    </r>
    <r>
      <rPr>
        <sz val="20"/>
        <rFont val="Arial Cyr"/>
        <family val="2"/>
        <charset val="204"/>
      </rPr>
      <t xml:space="preserve">                                                                                                                                                       </t>
    </r>
  </si>
  <si>
    <t>9872</t>
  </si>
  <si>
    <t>7905</t>
  </si>
  <si>
    <t>4235</t>
  </si>
  <si>
    <t>9988</t>
  </si>
  <si>
    <t>0150</t>
  </si>
  <si>
    <t>0383</t>
  </si>
  <si>
    <t>5861</t>
  </si>
  <si>
    <t>2019/7171</t>
  </si>
  <si>
    <t>7584/5636</t>
  </si>
  <si>
    <t>1227/8110</t>
  </si>
  <si>
    <t>8732</t>
  </si>
  <si>
    <t>4307</t>
  </si>
  <si>
    <t>5916</t>
  </si>
  <si>
    <t>9813</t>
  </si>
  <si>
    <t>18723/6339</t>
  </si>
  <si>
    <t>26142,688</t>
  </si>
  <si>
    <t>Номер счетчика</t>
  </si>
  <si>
    <t>0142</t>
  </si>
  <si>
    <t>7471</t>
  </si>
  <si>
    <t>7556</t>
  </si>
  <si>
    <t>0411</t>
  </si>
  <si>
    <t>7558</t>
  </si>
  <si>
    <t>7477</t>
  </si>
  <si>
    <t>7502</t>
  </si>
  <si>
    <t>0366</t>
  </si>
  <si>
    <t>0297</t>
  </si>
  <si>
    <t>0329</t>
  </si>
  <si>
    <t>8349</t>
  </si>
  <si>
    <t>0328</t>
  </si>
  <si>
    <t>0323</t>
  </si>
  <si>
    <t>0433</t>
  </si>
  <si>
    <t>0327</t>
  </si>
  <si>
    <t>0108</t>
  </si>
  <si>
    <t>0104</t>
  </si>
  <si>
    <t>0322</t>
  </si>
  <si>
    <t>0313</t>
  </si>
  <si>
    <t>0090</t>
  </si>
  <si>
    <t>0320</t>
  </si>
  <si>
    <t>0283</t>
  </si>
  <si>
    <t>0148</t>
  </si>
  <si>
    <t>0281</t>
  </si>
  <si>
    <t>8054</t>
  </si>
  <si>
    <t>5909</t>
  </si>
  <si>
    <t>8848</t>
  </si>
  <si>
    <t>2406</t>
  </si>
  <si>
    <t>8053</t>
  </si>
  <si>
    <t>8050</t>
  </si>
  <si>
    <t>Крым Серебро (напротив Кари)</t>
  </si>
  <si>
    <t>20766</t>
  </si>
  <si>
    <t>103095569</t>
  </si>
  <si>
    <t>00747</t>
  </si>
  <si>
    <t>Севгазпроэктмонтаж ООО к.322б</t>
  </si>
  <si>
    <r>
      <t>электроэнергии по  ПАО "Муссон" за Июнь 2021 год  ЧЕРНОЕ</t>
    </r>
    <r>
      <rPr>
        <sz val="28"/>
        <color rgb="FF7030A0"/>
        <rFont val="Arial Cyr"/>
        <charset val="204"/>
      </rPr>
      <t xml:space="preserve">- НЕ СНЯТО!!!! </t>
    </r>
    <r>
      <rPr>
        <sz val="28"/>
        <rFont val="Arial Cyr"/>
        <charset val="204"/>
      </rPr>
      <t xml:space="preserve"> ФИОЛЕТОВОЕ- СНЯТО!)</t>
    </r>
    <r>
      <rPr>
        <sz val="20"/>
        <rFont val="Arial Cyr"/>
        <family val="2"/>
        <charset val="204"/>
      </rPr>
      <t xml:space="preserve">                                                                                                                                                       </t>
    </r>
  </si>
  <si>
    <t>"ЯБЛОКО" Июнь</t>
  </si>
  <si>
    <r>
      <t xml:space="preserve"> боулинг (</t>
    </r>
    <r>
      <rPr>
        <sz val="20"/>
        <color rgb="FFFF0000"/>
        <rFont val="Arial Cyr"/>
        <charset val="204"/>
      </rPr>
      <t>заменили счетчик 08,07-пересчитать в июле</t>
    </r>
    <r>
      <rPr>
        <sz val="20"/>
        <color rgb="FF7030A0"/>
        <rFont val="Arial Cyr"/>
        <family val="2"/>
        <charset val="204"/>
      </rPr>
      <t>)</t>
    </r>
  </si>
  <si>
    <t>На ЩС-6(на лестнице за Рибай)</t>
  </si>
  <si>
    <t>4288</t>
  </si>
  <si>
    <t>26438,8655</t>
  </si>
  <si>
    <t>DNS (оранжевая зона) счетчик перешел цикл</t>
  </si>
  <si>
    <t>корп.№1, каб.211,322а</t>
  </si>
  <si>
    <t>корп.№1, каб.322б,322</t>
  </si>
  <si>
    <t>382548,8180</t>
  </si>
  <si>
    <t>3500</t>
  </si>
  <si>
    <t>Попкорн(от кинотеатра)</t>
  </si>
  <si>
    <t>корп.№1, 319 (арендосьемщик 416)</t>
  </si>
  <si>
    <t>ИП Заремская</t>
  </si>
  <si>
    <t>корп.№1, каб.416(арендосьемщик 319)</t>
  </si>
  <si>
    <t xml:space="preserve">корпус 29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</si>
</sst>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&quot;р.&quot;_-;\-* #,##0.00&quot;р.&quot;_-;_-* &quot;-&quot;??&quot;р.&quot;_-;_-@_-"/>
    <numFmt numFmtId="165" formatCode="0.0"/>
    <numFmt numFmtId="166" formatCode="0.000"/>
    <numFmt numFmtId="167" formatCode="#,##0.00&quot;р.&quot;"/>
    <numFmt numFmtId="168" formatCode="_-* #,##0.00_р_._-;\-* #,##0.00_р_._-;_-* &quot;-&quot;??_р_._-;_-@_-"/>
  </numFmts>
  <fonts count="114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 Cyr"/>
      <charset val="204"/>
    </font>
    <font>
      <sz val="20"/>
      <name val="Arial Cyr"/>
      <family val="2"/>
      <charset val="204"/>
    </font>
    <font>
      <sz val="20"/>
      <name val="Arial"/>
      <family val="2"/>
      <charset val="204"/>
    </font>
    <font>
      <sz val="14"/>
      <name val="Arial Cyr"/>
      <family val="2"/>
      <charset val="204"/>
    </font>
    <font>
      <sz val="16"/>
      <name val="Arial"/>
      <family val="2"/>
      <charset val="204"/>
    </font>
    <font>
      <b/>
      <sz val="20"/>
      <name val="Arial Cyr"/>
      <charset val="204"/>
    </font>
    <font>
      <b/>
      <sz val="20"/>
      <name val="Arial Cyr"/>
      <family val="2"/>
      <charset val="204"/>
    </font>
    <font>
      <sz val="20"/>
      <color rgb="FF7030A0"/>
      <name val="Arial Cyr"/>
      <family val="2"/>
      <charset val="204"/>
    </font>
    <font>
      <sz val="14"/>
      <color rgb="FF7030A0"/>
      <name val="Arial Cyr"/>
      <family val="2"/>
      <charset val="204"/>
    </font>
    <font>
      <sz val="10"/>
      <color rgb="FF7030A0"/>
      <name val="Arial Cyr"/>
      <family val="2"/>
      <charset val="204"/>
    </font>
    <font>
      <sz val="20"/>
      <color rgb="FF00B050"/>
      <name val="Arial Cyr"/>
      <family val="2"/>
      <charset val="204"/>
    </font>
    <font>
      <sz val="14"/>
      <color rgb="FF00B050"/>
      <name val="Arial Cyr"/>
      <family val="2"/>
      <charset val="204"/>
    </font>
    <font>
      <sz val="10"/>
      <color rgb="FF00B050"/>
      <name val="Arial Cyr"/>
      <family val="2"/>
      <charset val="204"/>
    </font>
    <font>
      <sz val="20"/>
      <color rgb="FFFF0000"/>
      <name val="Arial Cyr"/>
      <family val="2"/>
      <charset val="204"/>
    </font>
    <font>
      <sz val="20"/>
      <name val="Arial Cyr"/>
      <charset val="204"/>
    </font>
    <font>
      <b/>
      <sz val="10"/>
      <color rgb="FF7030A0"/>
      <name val="Arial Cyr"/>
      <family val="2"/>
      <charset val="204"/>
    </font>
    <font>
      <b/>
      <sz val="20"/>
      <color rgb="FF00B050"/>
      <name val="Arial Cyr"/>
      <family val="2"/>
      <charset val="204"/>
    </font>
    <font>
      <b/>
      <sz val="10"/>
      <color rgb="FF00B050"/>
      <name val="Arial Cyr"/>
      <family val="2"/>
      <charset val="204"/>
    </font>
    <font>
      <sz val="16"/>
      <color rgb="FF7030A0"/>
      <name val="Arial Cyr"/>
      <family val="2"/>
      <charset val="204"/>
    </font>
    <font>
      <sz val="16"/>
      <color rgb="FF00B050"/>
      <name val="Arial Cyr"/>
      <family val="2"/>
      <charset val="204"/>
    </font>
    <font>
      <b/>
      <sz val="20"/>
      <color rgb="FF7030A0"/>
      <name val="Arial Cyr"/>
      <family val="2"/>
      <charset val="204"/>
    </font>
    <font>
      <sz val="16"/>
      <color rgb="FF0070C0"/>
      <name val="Arial"/>
      <family val="2"/>
      <charset val="204"/>
    </font>
    <font>
      <sz val="10"/>
      <color rgb="FF0070C0"/>
      <name val="Arial Cyr"/>
      <family val="2"/>
      <charset val="204"/>
    </font>
    <font>
      <sz val="10"/>
      <color theme="7"/>
      <name val="Arial Cyr"/>
      <family val="2"/>
      <charset val="204"/>
    </font>
    <font>
      <b/>
      <sz val="14"/>
      <color rgb="FF7030A0"/>
      <name val="Arial Cyr"/>
      <family val="2"/>
      <charset val="204"/>
    </font>
    <font>
      <sz val="20"/>
      <color rgb="FF7030A0"/>
      <name val="Arial Cyr"/>
      <charset val="204"/>
    </font>
    <font>
      <sz val="10"/>
      <color rgb="FF7030A0"/>
      <name val="Arial Cyr"/>
      <charset val="204"/>
    </font>
    <font>
      <sz val="16"/>
      <color rgb="FF92D050"/>
      <name val="Arial"/>
      <family val="2"/>
      <charset val="204"/>
    </font>
    <font>
      <b/>
      <sz val="14"/>
      <name val="Arial CYR"/>
      <family val="2"/>
      <charset val="204"/>
    </font>
    <font>
      <sz val="10"/>
      <name val="Arial Cyr"/>
      <family val="2"/>
      <charset val="204"/>
    </font>
    <font>
      <sz val="14"/>
      <name val="Arial Cyr"/>
      <charset val="204"/>
    </font>
    <font>
      <sz val="14"/>
      <color rgb="FF7030A0"/>
      <name val="Arial Cyr"/>
      <charset val="204"/>
    </font>
    <font>
      <b/>
      <sz val="16"/>
      <name val="Arial"/>
      <family val="2"/>
      <charset val="204"/>
    </font>
    <font>
      <b/>
      <sz val="10"/>
      <name val="Arial Cyr"/>
      <charset val="204"/>
    </font>
    <font>
      <b/>
      <sz val="20"/>
      <color rgb="FF7030A0"/>
      <name val="Arial Cyr"/>
      <charset val="204"/>
    </font>
    <font>
      <b/>
      <sz val="22"/>
      <name val="Arial Cyr"/>
      <family val="2"/>
      <charset val="204"/>
    </font>
    <font>
      <b/>
      <sz val="10"/>
      <name val="Arial Cyr"/>
      <family val="2"/>
      <charset val="204"/>
    </font>
    <font>
      <sz val="20"/>
      <color rgb="FF00B050"/>
      <name val="Arial Cyr"/>
      <charset val="204"/>
    </font>
    <font>
      <sz val="14"/>
      <color rgb="FF00B050"/>
      <name val="Arial Cyr"/>
      <charset val="204"/>
    </font>
    <font>
      <sz val="20"/>
      <color rgb="FFFF0000"/>
      <name val="Arial Cyr"/>
      <charset val="204"/>
    </font>
    <font>
      <b/>
      <i/>
      <u/>
      <sz val="20"/>
      <name val="Arial Cyr"/>
      <charset val="204"/>
    </font>
    <font>
      <strike/>
      <sz val="20"/>
      <name val="Arial Cyr"/>
      <family val="2"/>
      <charset val="204"/>
    </font>
    <font>
      <b/>
      <sz val="12"/>
      <color rgb="FF7030A0"/>
      <name val="Arial Cyr"/>
      <charset val="204"/>
    </font>
    <font>
      <b/>
      <i/>
      <u/>
      <sz val="22"/>
      <name val="Arial Cyr"/>
      <charset val="204"/>
    </font>
    <font>
      <sz val="16"/>
      <color rgb="FF7030A0"/>
      <name val="Arial Cyr"/>
      <charset val="204"/>
    </font>
    <font>
      <b/>
      <sz val="14"/>
      <color rgb="FF7030A0"/>
      <name val="Arial Cyr"/>
      <charset val="204"/>
    </font>
    <font>
      <sz val="16"/>
      <color rgb="FF7030A0"/>
      <name val="Arial"/>
      <family val="2"/>
      <charset val="204"/>
    </font>
    <font>
      <b/>
      <sz val="20"/>
      <name val="Arial"/>
      <family val="2"/>
      <charset val="204"/>
    </font>
    <font>
      <sz val="11"/>
      <color rgb="FF7030A0"/>
      <name val="Calibri"/>
      <family val="2"/>
      <charset val="204"/>
      <scheme val="minor"/>
    </font>
    <font>
      <strike/>
      <sz val="10"/>
      <name val="Arial Cyr"/>
      <charset val="204"/>
    </font>
    <font>
      <strike/>
      <sz val="11"/>
      <name val="Calibri"/>
      <family val="2"/>
      <charset val="204"/>
      <scheme val="minor"/>
    </font>
    <font>
      <i/>
      <sz val="20"/>
      <color rgb="FF7030A0"/>
      <name val="Arial Cyr"/>
      <family val="2"/>
      <charset val="204"/>
    </font>
    <font>
      <sz val="16"/>
      <name val="Arial Cyr"/>
      <family val="2"/>
      <charset val="204"/>
    </font>
    <font>
      <b/>
      <sz val="22"/>
      <name val="Arial Cyr"/>
      <charset val="204"/>
    </font>
    <font>
      <sz val="20"/>
      <color theme="7" tint="-0.249977111117893"/>
      <name val="Arial Cyr"/>
      <family val="2"/>
      <charset val="204"/>
    </font>
    <font>
      <sz val="10"/>
      <color theme="7" tint="-0.249977111117893"/>
      <name val="Arial Cyr"/>
      <charset val="204"/>
    </font>
    <font>
      <sz val="11"/>
      <color theme="7" tint="-0.249977111117893"/>
      <name val="Calibri"/>
      <family val="2"/>
      <charset val="204"/>
      <scheme val="minor"/>
    </font>
    <font>
      <b/>
      <sz val="18"/>
      <name val="Arial Cyr"/>
      <family val="2"/>
      <charset val="204"/>
    </font>
    <font>
      <b/>
      <sz val="12"/>
      <name val="Arial Cyr"/>
      <family val="2"/>
      <charset val="204"/>
    </font>
    <font>
      <sz val="18"/>
      <name val="Arial Cyr"/>
      <charset val="204"/>
    </font>
    <font>
      <sz val="16"/>
      <name val="Arial Cyr"/>
      <charset val="204"/>
    </font>
    <font>
      <sz val="22"/>
      <name val="Arial Cyr"/>
      <charset val="204"/>
    </font>
    <font>
      <b/>
      <sz val="16"/>
      <name val="Arial CYR"/>
      <family val="2"/>
      <charset val="204"/>
    </font>
    <font>
      <sz val="12"/>
      <name val="Arial Cyr"/>
      <family val="2"/>
      <charset val="204"/>
    </font>
    <font>
      <sz val="10"/>
      <name val="Verdan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20"/>
      <color theme="1"/>
      <name val="Calibri"/>
      <family val="2"/>
      <charset val="204"/>
      <scheme val="minor"/>
    </font>
    <font>
      <sz val="20"/>
      <name val="Calibri"/>
      <family val="2"/>
      <charset val="204"/>
      <scheme val="minor"/>
    </font>
    <font>
      <sz val="20"/>
      <color theme="1"/>
      <name val="Arial"/>
      <family val="2"/>
      <charset val="204"/>
    </font>
    <font>
      <sz val="20"/>
      <color rgb="FFFF0000"/>
      <name val="Arial"/>
      <family val="2"/>
      <charset val="204"/>
    </font>
    <font>
      <b/>
      <sz val="20"/>
      <color rgb="FFFF0000"/>
      <name val="Arial"/>
      <family val="2"/>
      <charset val="204"/>
    </font>
    <font>
      <b/>
      <sz val="20"/>
      <color theme="1"/>
      <name val="Arial"/>
      <family val="2"/>
      <charset val="204"/>
    </font>
    <font>
      <strike/>
      <sz val="20"/>
      <name val="Arial"/>
      <family val="2"/>
      <charset val="204"/>
    </font>
    <font>
      <sz val="18"/>
      <name val="Arial Cyr"/>
      <family val="2"/>
      <charset val="204"/>
    </font>
    <font>
      <sz val="22"/>
      <name val="Arial  cyr"/>
      <charset val="204"/>
    </font>
    <font>
      <sz val="14"/>
      <color rgb="FFFF0000"/>
      <name val="Arial Cyr"/>
      <family val="2"/>
      <charset val="204"/>
    </font>
    <font>
      <sz val="10"/>
      <color rgb="FFFF0000"/>
      <name val="Arial Cyr"/>
      <family val="2"/>
      <charset val="204"/>
    </font>
    <font>
      <b/>
      <sz val="14"/>
      <name val="Arial Cyr"/>
      <charset val="204"/>
    </font>
    <font>
      <i/>
      <sz val="20"/>
      <name val="Arial Cyr"/>
      <family val="2"/>
      <charset val="204"/>
    </font>
    <font>
      <sz val="20"/>
      <name val="Calibri"/>
      <family val="2"/>
      <charset val="204"/>
    </font>
    <font>
      <sz val="12"/>
      <color rgb="FF7030A0"/>
      <name val="Arial Cyr"/>
      <family val="2"/>
      <charset val="204"/>
    </font>
    <font>
      <sz val="18"/>
      <color rgb="FF7030A0"/>
      <name val="Arial Cyr"/>
      <family val="2"/>
      <charset val="204"/>
    </font>
    <font>
      <sz val="20"/>
      <color rgb="FF7030A0"/>
      <name val="Arial"/>
      <family val="2"/>
      <charset val="204"/>
    </font>
    <font>
      <b/>
      <sz val="10"/>
      <color rgb="FF7030A0"/>
      <name val="Arial Cyr"/>
      <charset val="204"/>
    </font>
    <font>
      <b/>
      <sz val="16"/>
      <color rgb="FF7030A0"/>
      <name val="Arial Cyr"/>
      <family val="2"/>
      <charset val="204"/>
    </font>
    <font>
      <sz val="18"/>
      <color rgb="FF7030A0"/>
      <name val="Arial Cyr"/>
      <charset val="204"/>
    </font>
    <font>
      <b/>
      <sz val="12"/>
      <color rgb="FF7030A0"/>
      <name val="Arial Cyr"/>
      <family val="2"/>
      <charset val="204"/>
    </font>
    <font>
      <sz val="19"/>
      <color rgb="FF7030A0"/>
      <name val="Arial Cyr"/>
      <family val="2"/>
      <charset val="204"/>
    </font>
    <font>
      <b/>
      <sz val="19"/>
      <color rgb="FF7030A0"/>
      <name val="Arial Cyr"/>
      <family val="2"/>
      <charset val="204"/>
    </font>
    <font>
      <b/>
      <i/>
      <sz val="20"/>
      <color rgb="FF7030A0"/>
      <name val="Arial Cyr"/>
      <family val="2"/>
      <charset val="204"/>
    </font>
    <font>
      <b/>
      <sz val="20"/>
      <color rgb="FF7030A0"/>
      <name val="Arial"/>
      <family val="2"/>
      <charset val="204"/>
    </font>
    <font>
      <sz val="15"/>
      <color rgb="FF7030A0"/>
      <name val="Arial Cyr"/>
      <family val="2"/>
      <charset val="204"/>
    </font>
    <font>
      <i/>
      <sz val="20"/>
      <color rgb="FF7030A0"/>
      <name val="Calibri"/>
      <family val="2"/>
      <charset val="204"/>
      <scheme val="minor"/>
    </font>
    <font>
      <sz val="22"/>
      <color rgb="FF7030A0"/>
      <name val="Arial  cyr"/>
      <charset val="204"/>
    </font>
    <font>
      <i/>
      <sz val="20"/>
      <color rgb="FF7030A0"/>
      <name val="Arial Cyr"/>
      <charset val="204"/>
    </font>
    <font>
      <i/>
      <sz val="18"/>
      <color rgb="FF7030A0"/>
      <name val="Arial Cyr"/>
      <charset val="204"/>
    </font>
    <font>
      <sz val="11"/>
      <color rgb="FFFF0000"/>
      <name val="Calibri"/>
      <family val="2"/>
      <charset val="204"/>
      <scheme val="minor"/>
    </font>
    <font>
      <b/>
      <sz val="20"/>
      <color rgb="FFFF0000"/>
      <name val="Arial Cyr"/>
      <family val="2"/>
      <charset val="204"/>
    </font>
    <font>
      <b/>
      <sz val="14"/>
      <color rgb="FFFF0000"/>
      <name val="Arial CYR"/>
      <family val="2"/>
      <charset val="204"/>
    </font>
    <font>
      <sz val="10"/>
      <color rgb="FFFF0000"/>
      <name val="Arial Cyr"/>
      <charset val="204"/>
    </font>
    <font>
      <sz val="28"/>
      <name val="Arial Cyr"/>
      <charset val="204"/>
    </font>
    <font>
      <sz val="28"/>
      <color rgb="FF7030A0"/>
      <name val="Arial Cyr"/>
      <charset val="204"/>
    </font>
    <font>
      <sz val="15"/>
      <name val="Arial Cyr"/>
      <family val="2"/>
      <charset val="204"/>
    </font>
    <font>
      <i/>
      <sz val="20"/>
      <name val="Calibri"/>
      <family val="2"/>
      <charset val="204"/>
      <scheme val="minor"/>
    </font>
    <font>
      <i/>
      <sz val="20"/>
      <name val="Arial Cyr"/>
      <charset val="204"/>
    </font>
    <font>
      <sz val="19"/>
      <name val="Arial Cyr"/>
      <family val="2"/>
      <charset val="204"/>
    </font>
    <font>
      <b/>
      <sz val="19"/>
      <name val="Arial Cyr"/>
      <family val="2"/>
      <charset val="204"/>
    </font>
    <font>
      <b/>
      <i/>
      <sz val="20"/>
      <name val="Arial Cyr"/>
      <family val="2"/>
      <charset val="204"/>
    </font>
    <font>
      <i/>
      <sz val="18"/>
      <name val="Arial Cyr"/>
      <charset val="204"/>
    </font>
    <font>
      <sz val="20"/>
      <color rgb="FF7030A0"/>
      <name val="Calibri"/>
      <family val="2"/>
      <charset val="204"/>
    </font>
    <font>
      <sz val="16"/>
      <color rgb="FFFF0000"/>
      <name val="Arial Cyr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</cellStyleXfs>
  <cellXfs count="860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right" vertical="top"/>
    </xf>
    <xf numFmtId="164" fontId="3" fillId="0" borderId="0" xfId="2" applyFont="1" applyFill="1" applyBorder="1" applyAlignment="1">
      <alignment horizontal="left" vertical="center" wrapText="1"/>
    </xf>
    <xf numFmtId="0" fontId="2" fillId="0" borderId="0" xfId="1" applyFont="1" applyFill="1"/>
    <xf numFmtId="1" fontId="5" fillId="2" borderId="0" xfId="1" applyNumberFormat="1" applyFont="1" applyFill="1" applyBorder="1"/>
    <xf numFmtId="0" fontId="5" fillId="2" borderId="0" xfId="1" applyFont="1" applyFill="1"/>
    <xf numFmtId="0" fontId="2" fillId="2" borderId="0" xfId="1" applyFont="1" applyFill="1"/>
    <xf numFmtId="0" fontId="2" fillId="2" borderId="5" xfId="1" applyFont="1" applyFill="1" applyBorder="1"/>
    <xf numFmtId="0" fontId="3" fillId="2" borderId="0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6" fillId="0" borderId="6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top"/>
    </xf>
    <xf numFmtId="0" fontId="7" fillId="2" borderId="0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left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top" wrapText="1"/>
    </xf>
    <xf numFmtId="1" fontId="5" fillId="0" borderId="0" xfId="1" applyNumberFormat="1" applyFont="1" applyFill="1" applyBorder="1"/>
    <xf numFmtId="0" fontId="5" fillId="0" borderId="0" xfId="1" applyFont="1" applyFill="1"/>
    <xf numFmtId="0" fontId="3" fillId="0" borderId="6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8" fillId="0" borderId="6" xfId="1" applyFont="1" applyFill="1" applyBorder="1" applyAlignment="1">
      <alignment horizontal="center" vertical="top" wrapText="1"/>
    </xf>
    <xf numFmtId="0" fontId="9" fillId="0" borderId="6" xfId="1" applyFont="1" applyFill="1" applyBorder="1" applyAlignment="1">
      <alignment vertical="top" wrapText="1"/>
    </xf>
    <xf numFmtId="1" fontId="9" fillId="0" borderId="6" xfId="1" applyNumberFormat="1" applyFont="1" applyFill="1" applyBorder="1"/>
    <xf numFmtId="0" fontId="10" fillId="0" borderId="0" xfId="1" applyFont="1" applyFill="1"/>
    <xf numFmtId="0" fontId="11" fillId="0" borderId="0" xfId="1" applyFont="1" applyFill="1"/>
    <xf numFmtId="1" fontId="9" fillId="0" borderId="0" xfId="1" applyNumberFormat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 wrapText="1"/>
    </xf>
    <xf numFmtId="0" fontId="12" fillId="4" borderId="6" xfId="1" applyFont="1" applyFill="1" applyBorder="1" applyAlignment="1">
      <alignment vertical="top" wrapText="1"/>
    </xf>
    <xf numFmtId="1" fontId="12" fillId="4" borderId="6" xfId="1" applyNumberFormat="1" applyFont="1" applyFill="1" applyBorder="1"/>
    <xf numFmtId="0" fontId="13" fillId="4" borderId="0" xfId="1" applyFont="1" applyFill="1" applyBorder="1"/>
    <xf numFmtId="0" fontId="13" fillId="4" borderId="0" xfId="1" applyFont="1" applyFill="1"/>
    <xf numFmtId="0" fontId="14" fillId="4" borderId="6" xfId="1" applyFont="1" applyFill="1" applyBorder="1"/>
    <xf numFmtId="1" fontId="12" fillId="4" borderId="0" xfId="1" applyNumberFormat="1" applyFont="1" applyFill="1" applyBorder="1" applyAlignment="1">
      <alignment horizontal="center" vertical="center"/>
    </xf>
    <xf numFmtId="1" fontId="12" fillId="4" borderId="0" xfId="1" applyNumberFormat="1" applyFont="1" applyFill="1" applyBorder="1" applyAlignment="1">
      <alignment horizontal="left" vertical="center"/>
    </xf>
    <xf numFmtId="0" fontId="6" fillId="3" borderId="6" xfId="1" applyFont="1" applyFill="1" applyBorder="1" applyAlignment="1">
      <alignment horizontal="center" vertical="center"/>
    </xf>
    <xf numFmtId="0" fontId="2" fillId="3" borderId="0" xfId="1" applyFont="1" applyFill="1"/>
    <xf numFmtId="0" fontId="1" fillId="3" borderId="0" xfId="0" applyFont="1" applyFill="1"/>
    <xf numFmtId="1" fontId="9" fillId="4" borderId="6" xfId="1" applyNumberFormat="1" applyFont="1" applyFill="1" applyBorder="1"/>
    <xf numFmtId="1" fontId="9" fillId="4" borderId="0" xfId="1" applyNumberFormat="1" applyFont="1" applyFill="1" applyBorder="1" applyAlignment="1">
      <alignment horizontal="left" vertical="center"/>
    </xf>
    <xf numFmtId="0" fontId="16" fillId="3" borderId="0" xfId="1" applyFont="1" applyFill="1"/>
    <xf numFmtId="0" fontId="10" fillId="0" borderId="0" xfId="1" applyFont="1" applyFill="1" applyBorder="1"/>
    <xf numFmtId="1" fontId="6" fillId="0" borderId="6" xfId="1" applyNumberFormat="1" applyFont="1" applyFill="1" applyBorder="1" applyAlignment="1">
      <alignment horizontal="center" vertical="center"/>
    </xf>
    <xf numFmtId="0" fontId="16" fillId="0" borderId="0" xfId="1" applyFont="1" applyFill="1"/>
    <xf numFmtId="1" fontId="12" fillId="3" borderId="6" xfId="1" applyNumberFormat="1" applyFont="1" applyFill="1" applyBorder="1"/>
    <xf numFmtId="0" fontId="13" fillId="3" borderId="0" xfId="1" applyFont="1" applyFill="1" applyBorder="1"/>
    <xf numFmtId="0" fontId="13" fillId="3" borderId="0" xfId="1" applyFont="1" applyFill="1"/>
    <xf numFmtId="0" fontId="13" fillId="3" borderId="6" xfId="1" applyFont="1" applyFill="1" applyBorder="1"/>
    <xf numFmtId="1" fontId="12" fillId="3" borderId="0" xfId="1" applyNumberFormat="1" applyFont="1" applyFill="1" applyBorder="1" applyAlignment="1">
      <alignment horizontal="center" vertical="center"/>
    </xf>
    <xf numFmtId="1" fontId="9" fillId="0" borderId="4" xfId="1" applyNumberFormat="1" applyFont="1" applyFill="1" applyBorder="1"/>
    <xf numFmtId="1" fontId="9" fillId="4" borderId="0" xfId="1" applyNumberFormat="1" applyFont="1" applyFill="1" applyBorder="1" applyAlignment="1">
      <alignment horizontal="center" vertical="center"/>
    </xf>
    <xf numFmtId="1" fontId="12" fillId="0" borderId="6" xfId="1" applyNumberFormat="1" applyFont="1" applyFill="1" applyBorder="1"/>
    <xf numFmtId="0" fontId="13" fillId="0" borderId="0" xfId="1" applyFont="1" applyFill="1"/>
    <xf numFmtId="0" fontId="13" fillId="0" borderId="0" xfId="1" applyFont="1" applyFill="1" applyBorder="1"/>
    <xf numFmtId="1" fontId="12" fillId="0" borderId="0" xfId="1" applyNumberFormat="1" applyFont="1" applyFill="1" applyBorder="1" applyAlignment="1">
      <alignment horizontal="center" vertical="center"/>
    </xf>
    <xf numFmtId="1" fontId="12" fillId="0" borderId="0" xfId="1" applyNumberFormat="1" applyFont="1" applyFill="1" applyBorder="1" applyAlignment="1">
      <alignment horizontal="left" vertical="center"/>
    </xf>
    <xf numFmtId="0" fontId="17" fillId="0" borderId="6" xfId="1" applyFont="1" applyFill="1" applyBorder="1"/>
    <xf numFmtId="0" fontId="9" fillId="0" borderId="6" xfId="1" applyFont="1" applyFill="1" applyBorder="1" applyAlignment="1">
      <alignment vertical="top"/>
    </xf>
    <xf numFmtId="0" fontId="12" fillId="3" borderId="6" xfId="1" applyFont="1" applyFill="1" applyBorder="1" applyAlignment="1">
      <alignment vertical="top" wrapText="1"/>
    </xf>
    <xf numFmtId="1" fontId="12" fillId="3" borderId="0" xfId="1" applyNumberFormat="1" applyFont="1" applyFill="1" applyBorder="1" applyAlignment="1">
      <alignment horizontal="left" vertical="center"/>
    </xf>
    <xf numFmtId="0" fontId="3" fillId="4" borderId="6" xfId="1" applyFont="1" applyFill="1" applyBorder="1" applyAlignment="1">
      <alignment horizontal="center" vertical="center" wrapText="1"/>
    </xf>
    <xf numFmtId="0" fontId="6" fillId="4" borderId="6" xfId="1" applyFont="1" applyFill="1" applyBorder="1" applyAlignment="1">
      <alignment horizontal="center" vertical="center"/>
    </xf>
    <xf numFmtId="0" fontId="2" fillId="4" borderId="0" xfId="1" applyFont="1" applyFill="1"/>
    <xf numFmtId="0" fontId="1" fillId="4" borderId="0" xfId="0" applyFont="1" applyFill="1"/>
    <xf numFmtId="0" fontId="12" fillId="3" borderId="6" xfId="1" applyFont="1" applyFill="1" applyBorder="1" applyAlignment="1">
      <alignment vertical="top"/>
    </xf>
    <xf numFmtId="0" fontId="14" fillId="3" borderId="0" xfId="1" applyFont="1" applyFill="1"/>
    <xf numFmtId="0" fontId="20" fillId="0" borderId="6" xfId="1" applyFont="1" applyFill="1" applyBorder="1"/>
    <xf numFmtId="1" fontId="22" fillId="0" borderId="6" xfId="1" applyNumberFormat="1" applyFont="1" applyFill="1" applyBorder="1"/>
    <xf numFmtId="0" fontId="23" fillId="0" borderId="6" xfId="1" applyFont="1" applyFill="1" applyBorder="1" applyAlignment="1">
      <alignment horizontal="center" vertical="center"/>
    </xf>
    <xf numFmtId="0" fontId="24" fillId="0" borderId="0" xfId="1" applyFont="1" applyFill="1"/>
    <xf numFmtId="0" fontId="25" fillId="0" borderId="0" xfId="1" applyFont="1" applyFill="1"/>
    <xf numFmtId="0" fontId="14" fillId="3" borderId="6" xfId="1" applyFont="1" applyFill="1" applyBorder="1"/>
    <xf numFmtId="0" fontId="9" fillId="0" borderId="6" xfId="1" applyFont="1" applyFill="1" applyBorder="1"/>
    <xf numFmtId="14" fontId="6" fillId="0" borderId="6" xfId="1" applyNumberFormat="1" applyFont="1" applyFill="1" applyBorder="1" applyAlignment="1">
      <alignment horizontal="center" vertical="center"/>
    </xf>
    <xf numFmtId="0" fontId="9" fillId="0" borderId="0" xfId="1" applyFont="1" applyFill="1" applyBorder="1"/>
    <xf numFmtId="0" fontId="9" fillId="0" borderId="4" xfId="1" applyFont="1" applyFill="1" applyBorder="1"/>
    <xf numFmtId="0" fontId="26" fillId="0" borderId="0" xfId="1" applyFont="1" applyFill="1"/>
    <xf numFmtId="1" fontId="23" fillId="0" borderId="6" xfId="1" applyNumberFormat="1" applyFont="1" applyFill="1" applyBorder="1" applyAlignment="1">
      <alignment horizontal="center" vertical="center"/>
    </xf>
    <xf numFmtId="0" fontId="27" fillId="0" borderId="6" xfId="1" applyFont="1" applyFill="1" applyBorder="1" applyAlignment="1">
      <alignment vertical="top" wrapText="1"/>
    </xf>
    <xf numFmtId="1" fontId="27" fillId="0" borderId="6" xfId="1" applyNumberFormat="1" applyFont="1" applyFill="1" applyBorder="1"/>
    <xf numFmtId="0" fontId="27" fillId="0" borderId="6" xfId="1" applyFont="1" applyFill="1" applyBorder="1"/>
    <xf numFmtId="0" fontId="28" fillId="0" borderId="0" xfId="1" applyFont="1" applyFill="1"/>
    <xf numFmtId="0" fontId="28" fillId="0" borderId="6" xfId="1" applyFont="1" applyFill="1" applyBorder="1"/>
    <xf numFmtId="1" fontId="27" fillId="0" borderId="0" xfId="1" applyNumberFormat="1" applyFont="1" applyFill="1" applyBorder="1" applyAlignment="1">
      <alignment horizontal="center" vertical="center"/>
    </xf>
    <xf numFmtId="1" fontId="27" fillId="0" borderId="0" xfId="1" applyNumberFormat="1" applyFont="1" applyFill="1" applyBorder="1" applyAlignment="1">
      <alignment horizontal="left" vertical="center"/>
    </xf>
    <xf numFmtId="0" fontId="8" fillId="0" borderId="6" xfId="1" applyFont="1" applyFill="1" applyBorder="1" applyAlignment="1">
      <alignment vertical="top" wrapText="1"/>
    </xf>
    <xf numFmtId="1" fontId="3" fillId="0" borderId="6" xfId="1" applyNumberFormat="1" applyFont="1" applyFill="1" applyBorder="1"/>
    <xf numFmtId="0" fontId="3" fillId="0" borderId="6" xfId="1" applyFont="1" applyFill="1" applyBorder="1"/>
    <xf numFmtId="1" fontId="3" fillId="0" borderId="0" xfId="1" applyNumberFormat="1" applyFont="1" applyFill="1" applyBorder="1"/>
    <xf numFmtId="0" fontId="2" fillId="0" borderId="6" xfId="1" applyFont="1" applyFill="1" applyBorder="1"/>
    <xf numFmtId="1" fontId="3" fillId="0" borderId="0" xfId="1" applyNumberFormat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top"/>
    </xf>
    <xf numFmtId="1" fontId="7" fillId="0" borderId="6" xfId="1" applyNumberFormat="1" applyFont="1" applyFill="1" applyBorder="1"/>
    <xf numFmtId="0" fontId="5" fillId="0" borderId="0" xfId="1" applyFont="1" applyFill="1" applyBorder="1"/>
    <xf numFmtId="49" fontId="3" fillId="3" borderId="6" xfId="1" applyNumberFormat="1" applyFont="1" applyFill="1" applyBorder="1" applyAlignment="1"/>
    <xf numFmtId="1" fontId="6" fillId="3" borderId="6" xfId="1" applyNumberFormat="1" applyFont="1" applyFill="1" applyBorder="1" applyAlignment="1">
      <alignment horizontal="center" vertical="center"/>
    </xf>
    <xf numFmtId="49" fontId="3" fillId="0" borderId="6" xfId="1" applyNumberFormat="1" applyFont="1" applyFill="1" applyBorder="1" applyAlignment="1"/>
    <xf numFmtId="0" fontId="9" fillId="0" borderId="0" xfId="1" applyFont="1" applyFill="1" applyBorder="1" applyAlignment="1">
      <alignment horizontal="center" vertical="center"/>
    </xf>
    <xf numFmtId="1" fontId="29" fillId="0" borderId="6" xfId="1" applyNumberFormat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vertical="top"/>
    </xf>
    <xf numFmtId="0" fontId="3" fillId="0" borderId="0" xfId="1" applyFont="1" applyFill="1" applyBorder="1"/>
    <xf numFmtId="0" fontId="3" fillId="0" borderId="4" xfId="1" applyFont="1" applyFill="1" applyBorder="1"/>
    <xf numFmtId="0" fontId="3" fillId="0" borderId="0" xfId="1" applyFont="1" applyFill="1" applyBorder="1" applyAlignment="1">
      <alignment horizontal="left" vertical="center"/>
    </xf>
    <xf numFmtId="0" fontId="7" fillId="0" borderId="7" xfId="1" applyFont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center" vertical="top" wrapText="1"/>
    </xf>
    <xf numFmtId="1" fontId="8" fillId="0" borderId="1" xfId="1" applyNumberFormat="1" applyFont="1" applyFill="1" applyBorder="1"/>
    <xf numFmtId="0" fontId="8" fillId="0" borderId="7" xfId="1" applyFont="1" applyFill="1" applyBorder="1"/>
    <xf numFmtId="1" fontId="8" fillId="0" borderId="7" xfId="1" applyNumberFormat="1" applyFont="1" applyFill="1" applyBorder="1"/>
    <xf numFmtId="1" fontId="3" fillId="0" borderId="7" xfId="1" applyNumberFormat="1" applyFont="1" applyFill="1" applyBorder="1"/>
    <xf numFmtId="0" fontId="30" fillId="0" borderId="0" xfId="1" applyFont="1" applyFill="1" applyBorder="1"/>
    <xf numFmtId="1" fontId="8" fillId="0" borderId="6" xfId="1" applyNumberFormat="1" applyFont="1" applyFill="1" applyBorder="1"/>
    <xf numFmtId="0" fontId="3" fillId="0" borderId="0" xfId="1" applyFont="1" applyFill="1" applyBorder="1" applyAlignment="1">
      <alignment horizontal="center" vertical="center"/>
    </xf>
    <xf numFmtId="1" fontId="3" fillId="0" borderId="1" xfId="1" applyNumberFormat="1" applyFont="1" applyFill="1" applyBorder="1"/>
    <xf numFmtId="0" fontId="3" fillId="0" borderId="7" xfId="1" applyFont="1" applyFill="1" applyBorder="1"/>
    <xf numFmtId="0" fontId="7" fillId="0" borderId="7" xfId="1" applyFont="1" applyFill="1" applyBorder="1" applyAlignment="1">
      <alignment horizontal="center" vertical="top" wrapText="1"/>
    </xf>
    <xf numFmtId="0" fontId="7" fillId="0" borderId="7" xfId="1" applyFont="1" applyFill="1" applyBorder="1"/>
    <xf numFmtId="1" fontId="7" fillId="0" borderId="7" xfId="1" applyNumberFormat="1" applyFont="1" applyFill="1" applyBorder="1"/>
    <xf numFmtId="0" fontId="31" fillId="0" borderId="0" xfId="1" applyFont="1" applyFill="1"/>
    <xf numFmtId="0" fontId="7" fillId="0" borderId="6" xfId="1" applyFont="1" applyFill="1" applyBorder="1" applyAlignment="1">
      <alignment vertical="top" wrapText="1"/>
    </xf>
    <xf numFmtId="1" fontId="16" fillId="0" borderId="6" xfId="1" applyNumberFormat="1" applyFont="1" applyFill="1" applyBorder="1"/>
    <xf numFmtId="0" fontId="16" fillId="0" borderId="6" xfId="1" applyFont="1" applyFill="1" applyBorder="1"/>
    <xf numFmtId="0" fontId="32" fillId="0" borderId="0" xfId="1" applyFont="1" applyFill="1"/>
    <xf numFmtId="1" fontId="16" fillId="0" borderId="0" xfId="1" applyNumberFormat="1" applyFont="1" applyFill="1" applyBorder="1" applyAlignment="1">
      <alignment horizontal="center" vertical="center"/>
    </xf>
    <xf numFmtId="1" fontId="16" fillId="0" borderId="0" xfId="1" applyNumberFormat="1" applyFont="1" applyFill="1" applyBorder="1" applyAlignment="1">
      <alignment horizontal="left" vertical="center"/>
    </xf>
    <xf numFmtId="0" fontId="27" fillId="0" borderId="6" xfId="1" applyFont="1" applyFill="1" applyBorder="1" applyAlignment="1">
      <alignment vertical="top"/>
    </xf>
    <xf numFmtId="0" fontId="33" fillId="0" borderId="0" xfId="1" applyFont="1" applyFill="1"/>
    <xf numFmtId="0" fontId="33" fillId="0" borderId="0" xfId="1" applyFont="1" applyFill="1" applyBorder="1"/>
    <xf numFmtId="0" fontId="16" fillId="0" borderId="6" xfId="1" applyFont="1" applyFill="1" applyBorder="1" applyAlignment="1">
      <alignment vertical="top"/>
    </xf>
    <xf numFmtId="0" fontId="32" fillId="0" borderId="0" xfId="1" applyFont="1" applyFill="1" applyBorder="1"/>
    <xf numFmtId="0" fontId="34" fillId="0" borderId="6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top" wrapText="1"/>
    </xf>
    <xf numFmtId="0" fontId="7" fillId="0" borderId="6" xfId="1" applyFont="1" applyFill="1" applyBorder="1"/>
    <xf numFmtId="0" fontId="35" fillId="0" borderId="0" xfId="1" applyFont="1" applyFill="1"/>
    <xf numFmtId="0" fontId="35" fillId="0" borderId="4" xfId="1" applyFont="1" applyFill="1" applyBorder="1"/>
    <xf numFmtId="1" fontId="16" fillId="0" borderId="4" xfId="1" applyNumberFormat="1" applyFont="1" applyFill="1" applyBorder="1"/>
    <xf numFmtId="0" fontId="37" fillId="0" borderId="6" xfId="1" applyFont="1" applyFill="1" applyBorder="1" applyAlignment="1">
      <alignment horizontal="center" vertical="top"/>
    </xf>
    <xf numFmtId="0" fontId="5" fillId="0" borderId="6" xfId="1" applyFont="1" applyFill="1" applyBorder="1"/>
    <xf numFmtId="0" fontId="8" fillId="0" borderId="6" xfId="1" applyFont="1" applyFill="1" applyBorder="1" applyAlignment="1">
      <alignment vertical="top"/>
    </xf>
    <xf numFmtId="0" fontId="34" fillId="3" borderId="6" xfId="1" applyFont="1" applyFill="1" applyBorder="1" applyAlignment="1">
      <alignment horizontal="center" vertical="center"/>
    </xf>
    <xf numFmtId="1" fontId="3" fillId="3" borderId="0" xfId="1" applyNumberFormat="1" applyFont="1" applyFill="1" applyBorder="1"/>
    <xf numFmtId="0" fontId="17" fillId="0" borderId="0" xfId="1" applyFont="1" applyFill="1"/>
    <xf numFmtId="0" fontId="17" fillId="0" borderId="4" xfId="1" applyFont="1" applyFill="1" applyBorder="1"/>
    <xf numFmtId="0" fontId="3" fillId="0" borderId="6" xfId="1" applyFont="1" applyFill="1" applyBorder="1" applyAlignment="1">
      <alignment vertical="top" wrapText="1"/>
    </xf>
    <xf numFmtId="0" fontId="38" fillId="0" borderId="0" xfId="1" applyFont="1" applyFill="1"/>
    <xf numFmtId="0" fontId="38" fillId="0" borderId="4" xfId="1" applyFont="1" applyFill="1" applyBorder="1"/>
    <xf numFmtId="1" fontId="3" fillId="0" borderId="4" xfId="1" applyNumberFormat="1" applyFont="1" applyFill="1" applyBorder="1"/>
    <xf numFmtId="0" fontId="7" fillId="3" borderId="2" xfId="1" applyFont="1" applyFill="1" applyBorder="1" applyAlignment="1">
      <alignment horizontal="left" vertical="center" wrapText="1"/>
    </xf>
    <xf numFmtId="0" fontId="38" fillId="3" borderId="0" xfId="1" applyFont="1" applyFill="1"/>
    <xf numFmtId="1" fontId="36" fillId="0" borderId="6" xfId="1" applyNumberFormat="1" applyFont="1" applyFill="1" applyBorder="1"/>
    <xf numFmtId="2" fontId="27" fillId="0" borderId="6" xfId="1" applyNumberFormat="1" applyFont="1" applyFill="1" applyBorder="1"/>
    <xf numFmtId="1" fontId="27" fillId="0" borderId="4" xfId="1" applyNumberFormat="1" applyFont="1" applyFill="1" applyBorder="1"/>
    <xf numFmtId="49" fontId="3" fillId="0" borderId="6" xfId="1" applyNumberFormat="1" applyFont="1" applyFill="1" applyBorder="1" applyAlignment="1">
      <alignment horizontal="center" vertical="center" wrapText="1"/>
    </xf>
    <xf numFmtId="0" fontId="16" fillId="0" borderId="6" xfId="1" applyFont="1" applyFill="1" applyBorder="1" applyAlignment="1">
      <alignment vertical="top" wrapText="1"/>
    </xf>
    <xf numFmtId="0" fontId="32" fillId="0" borderId="6" xfId="1" applyFont="1" applyFill="1" applyBorder="1"/>
    <xf numFmtId="1" fontId="30" fillId="0" borderId="6" xfId="1" applyNumberFormat="1" applyFont="1" applyFill="1" applyBorder="1"/>
    <xf numFmtId="0" fontId="38" fillId="0" borderId="6" xfId="1" applyFont="1" applyFill="1" applyBorder="1"/>
    <xf numFmtId="1" fontId="30" fillId="0" borderId="0" xfId="1" applyNumberFormat="1" applyFont="1" applyFill="1" applyBorder="1"/>
    <xf numFmtId="0" fontId="42" fillId="0" borderId="6" xfId="1" applyFont="1" applyFill="1" applyBorder="1" applyAlignment="1">
      <alignment horizontal="center" vertical="top"/>
    </xf>
    <xf numFmtId="0" fontId="30" fillId="0" borderId="0" xfId="1" applyFont="1" applyFill="1"/>
    <xf numFmtId="0" fontId="26" fillId="0" borderId="6" xfId="1" applyFont="1" applyFill="1" applyBorder="1"/>
    <xf numFmtId="0" fontId="12" fillId="0" borderId="6" xfId="1" applyFont="1" applyFill="1" applyBorder="1" applyAlignment="1">
      <alignment vertical="top" wrapText="1"/>
    </xf>
    <xf numFmtId="0" fontId="14" fillId="0" borderId="0" xfId="1" applyFont="1" applyFill="1"/>
    <xf numFmtId="0" fontId="14" fillId="0" borderId="6" xfId="1" applyFont="1" applyFill="1" applyBorder="1"/>
    <xf numFmtId="0" fontId="19" fillId="0" borderId="0" xfId="1" applyFont="1" applyFill="1"/>
    <xf numFmtId="0" fontId="19" fillId="0" borderId="6" xfId="1" applyFont="1" applyFill="1" applyBorder="1"/>
    <xf numFmtId="1" fontId="22" fillId="0" borderId="4" xfId="1" applyNumberFormat="1" applyFont="1" applyFill="1" applyBorder="1"/>
    <xf numFmtId="0" fontId="43" fillId="0" borderId="6" xfId="1" applyFont="1" applyFill="1" applyBorder="1" applyAlignment="1">
      <alignment vertical="top" wrapText="1"/>
    </xf>
    <xf numFmtId="0" fontId="31" fillId="0" borderId="6" xfId="1" applyFont="1" applyFill="1" applyBorder="1"/>
    <xf numFmtId="0" fontId="12" fillId="0" borderId="6" xfId="1" applyFont="1" applyFill="1" applyBorder="1" applyAlignment="1">
      <alignment vertical="top"/>
    </xf>
    <xf numFmtId="0" fontId="12" fillId="0" borderId="6" xfId="1" applyFont="1" applyFill="1" applyBorder="1"/>
    <xf numFmtId="1" fontId="18" fillId="0" borderId="6" xfId="1" applyNumberFormat="1" applyFont="1" applyFill="1" applyBorder="1"/>
    <xf numFmtId="0" fontId="12" fillId="0" borderId="0" xfId="1" applyFont="1" applyFill="1" applyBorder="1"/>
    <xf numFmtId="0" fontId="12" fillId="0" borderId="4" xfId="1" applyFont="1" applyFill="1" applyBorder="1"/>
    <xf numFmtId="0" fontId="44" fillId="0" borderId="6" xfId="1" applyFont="1" applyFill="1" applyBorder="1"/>
    <xf numFmtId="0" fontId="45" fillId="0" borderId="6" xfId="1" applyFont="1" applyFill="1" applyBorder="1" applyAlignment="1">
      <alignment horizontal="center" vertical="top"/>
    </xf>
    <xf numFmtId="0" fontId="46" fillId="0" borderId="6" xfId="1" applyFont="1" applyFill="1" applyBorder="1"/>
    <xf numFmtId="0" fontId="36" fillId="0" borderId="6" xfId="1" applyFont="1" applyFill="1" applyBorder="1" applyAlignment="1">
      <alignment vertical="top"/>
    </xf>
    <xf numFmtId="0" fontId="47" fillId="0" borderId="0" xfId="1" applyFont="1" applyFill="1"/>
    <xf numFmtId="0" fontId="36" fillId="0" borderId="7" xfId="1" applyFont="1" applyFill="1" applyBorder="1" applyAlignment="1">
      <alignment vertical="top"/>
    </xf>
    <xf numFmtId="1" fontId="36" fillId="0" borderId="7" xfId="1" applyNumberFormat="1" applyFont="1" applyFill="1" applyBorder="1"/>
    <xf numFmtId="0" fontId="7" fillId="0" borderId="7" xfId="1" applyFont="1" applyFill="1" applyBorder="1" applyAlignment="1">
      <alignment vertical="top" wrapText="1"/>
    </xf>
    <xf numFmtId="1" fontId="16" fillId="0" borderId="7" xfId="1" applyNumberFormat="1" applyFont="1" applyFill="1" applyBorder="1"/>
    <xf numFmtId="2" fontId="16" fillId="0" borderId="6" xfId="1" applyNumberFormat="1" applyFont="1" applyFill="1" applyBorder="1"/>
    <xf numFmtId="0" fontId="32" fillId="0" borderId="4" xfId="1" applyFont="1" applyFill="1" applyBorder="1"/>
    <xf numFmtId="2" fontId="46" fillId="0" borderId="6" xfId="1" applyNumberFormat="1" applyFont="1" applyFill="1" applyBorder="1"/>
    <xf numFmtId="0" fontId="48" fillId="0" borderId="6" xfId="1" applyFont="1" applyFill="1" applyBorder="1" applyAlignment="1">
      <alignment horizontal="center" vertical="center"/>
    </xf>
    <xf numFmtId="1" fontId="49" fillId="0" borderId="0" xfId="0" applyNumberFormat="1" applyFont="1" applyFill="1"/>
    <xf numFmtId="0" fontId="42" fillId="0" borderId="6" xfId="1" applyFont="1" applyFill="1" applyBorder="1" applyAlignment="1">
      <alignment horizontal="center" vertical="top" wrapText="1"/>
    </xf>
    <xf numFmtId="0" fontId="9" fillId="0" borderId="6" xfId="1" applyFont="1" applyFill="1" applyBorder="1" applyAlignment="1">
      <alignment horizontal="center" vertical="center" wrapText="1"/>
    </xf>
    <xf numFmtId="0" fontId="50" fillId="0" borderId="0" xfId="0" applyFont="1" applyFill="1"/>
    <xf numFmtId="0" fontId="43" fillId="0" borderId="6" xfId="1" applyFont="1" applyFill="1" applyBorder="1" applyAlignment="1">
      <alignment horizontal="center" vertical="center" wrapText="1"/>
    </xf>
    <xf numFmtId="0" fontId="51" fillId="0" borderId="0" xfId="1" applyFont="1" applyFill="1"/>
    <xf numFmtId="0" fontId="52" fillId="0" borderId="0" xfId="0" applyFont="1" applyFill="1"/>
    <xf numFmtId="1" fontId="3" fillId="0" borderId="6" xfId="1" applyNumberFormat="1" applyFont="1" applyFill="1" applyBorder="1" applyAlignment="1">
      <alignment horizontal="right"/>
    </xf>
    <xf numFmtId="0" fontId="54" fillId="0" borderId="6" xfId="1" applyFont="1" applyFill="1" applyBorder="1"/>
    <xf numFmtId="0" fontId="49" fillId="0" borderId="6" xfId="0" applyFont="1" applyFill="1" applyBorder="1" applyAlignment="1">
      <alignment vertical="top"/>
    </xf>
    <xf numFmtId="1" fontId="49" fillId="0" borderId="6" xfId="1" applyNumberFormat="1" applyFont="1" applyFill="1" applyBorder="1"/>
    <xf numFmtId="0" fontId="49" fillId="0" borderId="0" xfId="1" applyFont="1" applyFill="1"/>
    <xf numFmtId="2" fontId="49" fillId="0" borderId="6" xfId="1" applyNumberFormat="1" applyFont="1" applyFill="1" applyBorder="1"/>
    <xf numFmtId="0" fontId="49" fillId="0" borderId="6" xfId="1" applyFont="1" applyFill="1" applyBorder="1"/>
    <xf numFmtId="1" fontId="4" fillId="0" borderId="6" xfId="1" applyNumberFormat="1" applyFont="1" applyFill="1" applyBorder="1"/>
    <xf numFmtId="0" fontId="49" fillId="0" borderId="6" xfId="1" applyFont="1" applyFill="1" applyBorder="1" applyAlignment="1">
      <alignment vertical="top" wrapText="1"/>
    </xf>
    <xf numFmtId="1" fontId="49" fillId="0" borderId="7" xfId="1" applyNumberFormat="1" applyFont="1" applyFill="1" applyBorder="1"/>
    <xf numFmtId="0" fontId="1" fillId="0" borderId="6" xfId="0" applyFont="1" applyFill="1" applyBorder="1" applyAlignment="1">
      <alignment vertical="top"/>
    </xf>
    <xf numFmtId="2" fontId="8" fillId="0" borderId="6" xfId="1" applyNumberFormat="1" applyFont="1" applyFill="1" applyBorder="1"/>
    <xf numFmtId="0" fontId="30" fillId="0" borderId="6" xfId="1" applyFont="1" applyFill="1" applyBorder="1"/>
    <xf numFmtId="3" fontId="8" fillId="0" borderId="6" xfId="1" applyNumberFormat="1" applyFont="1" applyFill="1" applyBorder="1"/>
    <xf numFmtId="0" fontId="3" fillId="0" borderId="7" xfId="1" applyFont="1" applyFill="1" applyBorder="1" applyAlignment="1">
      <alignment vertical="top" wrapText="1"/>
    </xf>
    <xf numFmtId="0" fontId="7" fillId="0" borderId="6" xfId="1" applyFont="1" applyFill="1" applyBorder="1" applyAlignment="1">
      <alignment horizontal="center" wrapText="1"/>
    </xf>
    <xf numFmtId="0" fontId="35" fillId="0" borderId="6" xfId="1" applyFont="1" applyFill="1" applyBorder="1"/>
    <xf numFmtId="0" fontId="55" fillId="0" borderId="7" xfId="1" applyFont="1" applyFill="1" applyBorder="1" applyAlignment="1">
      <alignment horizontal="center" vertical="top" wrapText="1"/>
    </xf>
    <xf numFmtId="0" fontId="8" fillId="0" borderId="7" xfId="1" applyFont="1" applyFill="1" applyBorder="1" applyAlignment="1">
      <alignment vertical="top" wrapText="1"/>
    </xf>
    <xf numFmtId="0" fontId="50" fillId="0" borderId="0" xfId="0" applyFont="1" applyFill="1" applyAlignment="1">
      <alignment vertical="top"/>
    </xf>
    <xf numFmtId="1" fontId="12" fillId="6" borderId="6" xfId="1" applyNumberFormat="1" applyFont="1" applyFill="1" applyBorder="1"/>
    <xf numFmtId="0" fontId="13" fillId="6" borderId="0" xfId="1" applyFont="1" applyFill="1"/>
    <xf numFmtId="1" fontId="12" fillId="6" borderId="0" xfId="1" applyNumberFormat="1" applyFont="1" applyFill="1" applyBorder="1" applyAlignment="1">
      <alignment horizontal="center" vertical="center"/>
    </xf>
    <xf numFmtId="1" fontId="12" fillId="6" borderId="0" xfId="1" applyNumberFormat="1" applyFont="1" applyFill="1" applyBorder="1" applyAlignment="1">
      <alignment horizontal="left" vertical="center"/>
    </xf>
    <xf numFmtId="0" fontId="56" fillId="0" borderId="6" xfId="1" applyFont="1" applyFill="1" applyBorder="1" applyAlignment="1">
      <alignment horizontal="center" vertical="center" wrapText="1"/>
    </xf>
    <xf numFmtId="0" fontId="57" fillId="0" borderId="0" xfId="1" applyFont="1" applyFill="1"/>
    <xf numFmtId="0" fontId="58" fillId="0" borderId="0" xfId="0" applyFont="1" applyFill="1"/>
    <xf numFmtId="0" fontId="59" fillId="0" borderId="6" xfId="1" applyFont="1" applyFill="1" applyBorder="1" applyAlignment="1">
      <alignment vertical="top"/>
    </xf>
    <xf numFmtId="0" fontId="2" fillId="0" borderId="0" xfId="1" applyFont="1" applyFill="1" applyBorder="1"/>
    <xf numFmtId="0" fontId="2" fillId="0" borderId="4" xfId="1" applyFont="1" applyFill="1" applyBorder="1"/>
    <xf numFmtId="1" fontId="3" fillId="0" borderId="6" xfId="1" applyNumberFormat="1" applyFont="1" applyFill="1" applyBorder="1" applyAlignment="1">
      <alignment vertical="center"/>
    </xf>
    <xf numFmtId="0" fontId="16" fillId="0" borderId="6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60" fillId="0" borderId="6" xfId="1" applyFont="1" applyFill="1" applyBorder="1"/>
    <xf numFmtId="2" fontId="3" fillId="0" borderId="6" xfId="1" applyNumberFormat="1" applyFont="1" applyFill="1" applyBorder="1" applyAlignment="1">
      <alignment horizontal="right" vertical="center" wrapText="1"/>
    </xf>
    <xf numFmtId="0" fontId="1" fillId="0" borderId="0" xfId="0" applyFont="1" applyFill="1" applyAlignment="1">
      <alignment horizontal="right"/>
    </xf>
    <xf numFmtId="1" fontId="3" fillId="0" borderId="0" xfId="1" applyNumberFormat="1" applyFont="1" applyFill="1" applyBorder="1" applyAlignment="1">
      <alignment horizontal="right" vertical="center"/>
    </xf>
    <xf numFmtId="0" fontId="2" fillId="0" borderId="0" xfId="1" applyFont="1" applyFill="1" applyAlignment="1">
      <alignment horizontal="right"/>
    </xf>
    <xf numFmtId="0" fontId="8" fillId="0" borderId="6" xfId="1" applyNumberFormat="1" applyFont="1" applyFill="1" applyBorder="1" applyAlignment="1">
      <alignment horizontal="center" vertical="center" wrapText="1"/>
    </xf>
    <xf numFmtId="0" fontId="61" fillId="0" borderId="0" xfId="1" applyFont="1" applyFill="1"/>
    <xf numFmtId="0" fontId="62" fillId="0" borderId="0" xfId="1" applyFont="1" applyFill="1"/>
    <xf numFmtId="0" fontId="63" fillId="0" borderId="0" xfId="1" applyFont="1" applyFill="1"/>
    <xf numFmtId="1" fontId="63" fillId="0" borderId="6" xfId="1" applyNumberFormat="1" applyFont="1" applyFill="1" applyBorder="1"/>
    <xf numFmtId="0" fontId="62" fillId="0" borderId="6" xfId="1" applyFont="1" applyFill="1" applyBorder="1"/>
    <xf numFmtId="0" fontId="3" fillId="0" borderId="0" xfId="1" applyFont="1" applyFill="1" applyAlignment="1">
      <alignment vertical="top"/>
    </xf>
    <xf numFmtId="0" fontId="3" fillId="0" borderId="0" xfId="1" applyFont="1" applyFill="1"/>
    <xf numFmtId="0" fontId="8" fillId="0" borderId="0" xfId="1" applyFont="1" applyFill="1"/>
    <xf numFmtId="0" fontId="8" fillId="0" borderId="6" xfId="1" applyFont="1" applyFill="1" applyBorder="1"/>
    <xf numFmtId="0" fontId="64" fillId="0" borderId="6" xfId="1" applyFont="1" applyFill="1" applyBorder="1"/>
    <xf numFmtId="1" fontId="8" fillId="0" borderId="4" xfId="1" applyNumberFormat="1" applyFont="1" applyFill="1" applyBorder="1"/>
    <xf numFmtId="1" fontId="8" fillId="0" borderId="0" xfId="1" applyNumberFormat="1" applyFont="1" applyFill="1"/>
    <xf numFmtId="2" fontId="3" fillId="0" borderId="6" xfId="1" applyNumberFormat="1" applyFont="1" applyFill="1" applyBorder="1"/>
    <xf numFmtId="168" fontId="3" fillId="0" borderId="6" xfId="3" applyFont="1" applyFill="1" applyBorder="1"/>
    <xf numFmtId="0" fontId="3" fillId="0" borderId="6" xfId="1" applyFont="1" applyFill="1" applyBorder="1" applyAlignment="1">
      <alignment horizontal="center"/>
    </xf>
    <xf numFmtId="0" fontId="65" fillId="0" borderId="0" xfId="1" applyFont="1" applyFill="1"/>
    <xf numFmtId="2" fontId="65" fillId="0" borderId="0" xfId="1" applyNumberFormat="1" applyFont="1" applyFill="1"/>
    <xf numFmtId="0" fontId="2" fillId="0" borderId="9" xfId="1" applyFont="1" applyFill="1" applyBorder="1"/>
    <xf numFmtId="0" fontId="11" fillId="0" borderId="4" xfId="1" applyFont="1" applyFill="1" applyBorder="1"/>
    <xf numFmtId="0" fontId="3" fillId="0" borderId="1" xfId="1" applyFont="1" applyFill="1" applyBorder="1" applyAlignment="1">
      <alignment horizontal="center"/>
    </xf>
    <xf numFmtId="0" fontId="3" fillId="0" borderId="6" xfId="1" applyFont="1" applyFill="1" applyBorder="1" applyAlignment="1">
      <alignment vertical="center"/>
    </xf>
    <xf numFmtId="0" fontId="12" fillId="7" borderId="6" xfId="1" applyFont="1" applyFill="1" applyBorder="1" applyAlignment="1">
      <alignment horizontal="center" vertical="top" wrapText="1"/>
    </xf>
    <xf numFmtId="1" fontId="12" fillId="7" borderId="6" xfId="1" applyNumberFormat="1" applyFont="1" applyFill="1" applyBorder="1"/>
    <xf numFmtId="1" fontId="18" fillId="7" borderId="6" xfId="1" applyNumberFormat="1" applyFont="1" applyFill="1" applyBorder="1"/>
    <xf numFmtId="0" fontId="13" fillId="7" borderId="6" xfId="1" applyFont="1" applyFill="1" applyBorder="1"/>
    <xf numFmtId="0" fontId="12" fillId="7" borderId="6" xfId="1" applyFont="1" applyFill="1" applyBorder="1" applyAlignment="1">
      <alignment vertical="center"/>
    </xf>
    <xf numFmtId="0" fontId="14" fillId="7" borderId="6" xfId="1" applyFont="1" applyFill="1" applyBorder="1"/>
    <xf numFmtId="0" fontId="12" fillId="7" borderId="6" xfId="1" applyFont="1" applyFill="1" applyBorder="1"/>
    <xf numFmtId="1" fontId="12" fillId="7" borderId="0" xfId="1" applyNumberFormat="1" applyFont="1" applyFill="1" applyBorder="1" applyAlignment="1">
      <alignment horizontal="center" vertical="center"/>
    </xf>
    <xf numFmtId="1" fontId="12" fillId="7" borderId="0" xfId="1" applyNumberFormat="1" applyFont="1" applyFill="1" applyBorder="1" applyAlignment="1">
      <alignment horizontal="left" vertical="center"/>
    </xf>
    <xf numFmtId="0" fontId="8" fillId="0" borderId="6" xfId="1" applyFont="1" applyFill="1" applyBorder="1" applyAlignment="1">
      <alignment horizontal="center"/>
    </xf>
    <xf numFmtId="0" fontId="53" fillId="0" borderId="6" xfId="1" applyFont="1" applyFill="1" applyBorder="1" applyAlignment="1">
      <alignment vertical="top"/>
    </xf>
    <xf numFmtId="0" fontId="9" fillId="4" borderId="6" xfId="1" applyFont="1" applyFill="1" applyBorder="1"/>
    <xf numFmtId="0" fontId="3" fillId="0" borderId="6" xfId="1" applyFont="1" applyFill="1" applyBorder="1" applyAlignment="1"/>
    <xf numFmtId="16" fontId="5" fillId="0" borderId="4" xfId="1" applyNumberFormat="1" applyFont="1" applyFill="1" applyBorder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66" fillId="0" borderId="6" xfId="1" applyFont="1" applyFill="1" applyBorder="1"/>
    <xf numFmtId="0" fontId="3" fillId="0" borderId="0" xfId="1" applyFont="1" applyFill="1" applyBorder="1" applyAlignment="1"/>
    <xf numFmtId="0" fontId="3" fillId="0" borderId="0" xfId="1" applyFont="1" applyFill="1" applyBorder="1" applyAlignment="1">
      <alignment vertical="top"/>
    </xf>
    <xf numFmtId="16" fontId="69" fillId="0" borderId="0" xfId="0" applyNumberFormat="1" applyFont="1"/>
    <xf numFmtId="1" fontId="70" fillId="0" borderId="0" xfId="1" applyNumberFormat="1" applyFont="1" applyFill="1" applyBorder="1"/>
    <xf numFmtId="0" fontId="70" fillId="0" borderId="0" xfId="1" applyFont="1" applyFill="1" applyBorder="1"/>
    <xf numFmtId="0" fontId="69" fillId="0" borderId="0" xfId="0" applyFont="1" applyBorder="1"/>
    <xf numFmtId="0" fontId="69" fillId="0" borderId="0" xfId="0" applyFont="1"/>
    <xf numFmtId="16" fontId="69" fillId="0" borderId="0" xfId="0" applyNumberFormat="1" applyFont="1" applyBorder="1"/>
    <xf numFmtId="0" fontId="70" fillId="0" borderId="0" xfId="1" applyFont="1" applyFill="1" applyBorder="1" applyAlignment="1">
      <alignment vertical="top" wrapText="1"/>
    </xf>
    <xf numFmtId="0" fontId="71" fillId="0" borderId="0" xfId="0" applyFont="1" applyBorder="1"/>
    <xf numFmtId="0" fontId="71" fillId="0" borderId="0" xfId="0" applyFont="1"/>
    <xf numFmtId="0" fontId="4" fillId="0" borderId="6" xfId="1" applyFont="1" applyFill="1" applyBorder="1"/>
    <xf numFmtId="0" fontId="4" fillId="0" borderId="6" xfId="1" applyFont="1" applyFill="1" applyBorder="1" applyAlignment="1">
      <alignment vertical="top"/>
    </xf>
    <xf numFmtId="16" fontId="71" fillId="0" borderId="6" xfId="0" applyNumberFormat="1" applyFont="1" applyBorder="1"/>
    <xf numFmtId="0" fontId="4" fillId="0" borderId="0" xfId="1" applyFont="1" applyFill="1"/>
    <xf numFmtId="1" fontId="4" fillId="0" borderId="4" xfId="1" applyNumberFormat="1" applyFont="1" applyFill="1" applyBorder="1"/>
    <xf numFmtId="16" fontId="72" fillId="0" borderId="6" xfId="0" applyNumberFormat="1" applyFont="1" applyBorder="1"/>
    <xf numFmtId="1" fontId="72" fillId="0" borderId="6" xfId="1" applyNumberFormat="1" applyFont="1" applyFill="1" applyBorder="1"/>
    <xf numFmtId="0" fontId="72" fillId="0" borderId="0" xfId="1" applyFont="1" applyFill="1"/>
    <xf numFmtId="0" fontId="73" fillId="0" borderId="0" xfId="1" applyFont="1" applyFill="1"/>
    <xf numFmtId="0" fontId="73" fillId="0" borderId="6" xfId="1" applyFont="1" applyFill="1" applyBorder="1"/>
    <xf numFmtId="1" fontId="72" fillId="0" borderId="4" xfId="1" applyNumberFormat="1" applyFont="1" applyFill="1" applyBorder="1"/>
    <xf numFmtId="0" fontId="74" fillId="0" borderId="1" xfId="0" applyFont="1" applyBorder="1"/>
    <xf numFmtId="0" fontId="74" fillId="0" borderId="7" xfId="0" applyFont="1" applyBorder="1"/>
    <xf numFmtId="0" fontId="71" fillId="0" borderId="6" xfId="0" applyFont="1" applyBorder="1"/>
    <xf numFmtId="0" fontId="74" fillId="0" borderId="6" xfId="0" applyFont="1" applyBorder="1"/>
    <xf numFmtId="1" fontId="74" fillId="0" borderId="6" xfId="0" applyNumberFormat="1" applyFont="1" applyBorder="1"/>
    <xf numFmtId="0" fontId="4" fillId="0" borderId="0" xfId="0" applyFont="1"/>
    <xf numFmtId="0" fontId="75" fillId="0" borderId="6" xfId="1" applyFont="1" applyFill="1" applyBorder="1" applyAlignment="1">
      <alignment vertical="top" wrapText="1"/>
    </xf>
    <xf numFmtId="1" fontId="4" fillId="0" borderId="0" xfId="1" applyNumberFormat="1" applyFont="1" applyFill="1" applyBorder="1" applyAlignment="1">
      <alignment horizontal="center" vertical="center"/>
    </xf>
    <xf numFmtId="1" fontId="4" fillId="0" borderId="0" xfId="1" applyNumberFormat="1" applyFont="1" applyFill="1" applyBorder="1" applyAlignment="1">
      <alignment horizontal="left" vertical="center"/>
    </xf>
    <xf numFmtId="167" fontId="16" fillId="0" borderId="0" xfId="0" applyNumberFormat="1" applyFont="1" applyBorder="1"/>
    <xf numFmtId="0" fontId="4" fillId="0" borderId="6" xfId="1" applyFont="1" applyFill="1" applyBorder="1" applyAlignment="1">
      <alignment vertical="top" wrapText="1"/>
    </xf>
    <xf numFmtId="1" fontId="38" fillId="0" borderId="1" xfId="1" applyNumberFormat="1" applyFont="1" applyFill="1" applyBorder="1"/>
    <xf numFmtId="0" fontId="76" fillId="0" borderId="6" xfId="1" applyFont="1" applyFill="1" applyBorder="1"/>
    <xf numFmtId="0" fontId="77" fillId="0" borderId="0" xfId="0" applyFont="1" applyFill="1" applyAlignment="1">
      <alignment horizontal="center" vertical="center"/>
    </xf>
    <xf numFmtId="0" fontId="4" fillId="0" borderId="6" xfId="0" applyFont="1" applyFill="1" applyBorder="1"/>
    <xf numFmtId="0" fontId="74" fillId="0" borderId="2" xfId="0" applyFont="1" applyBorder="1"/>
    <xf numFmtId="0" fontId="3" fillId="4" borderId="6" xfId="1" applyFont="1" applyFill="1" applyBorder="1" applyAlignment="1">
      <alignment vertical="top" wrapText="1"/>
    </xf>
    <xf numFmtId="1" fontId="3" fillId="4" borderId="6" xfId="1" applyNumberFormat="1" applyFont="1" applyFill="1" applyBorder="1"/>
    <xf numFmtId="0" fontId="5" fillId="4" borderId="0" xfId="1" applyFont="1" applyFill="1"/>
    <xf numFmtId="1" fontId="3" fillId="4" borderId="0" xfId="1" applyNumberFormat="1" applyFont="1" applyFill="1" applyBorder="1" applyAlignment="1">
      <alignment horizontal="left" vertical="center"/>
    </xf>
    <xf numFmtId="0" fontId="5" fillId="4" borderId="6" xfId="1" applyFont="1" applyFill="1" applyBorder="1"/>
    <xf numFmtId="1" fontId="3" fillId="4" borderId="0" xfId="1" applyNumberFormat="1" applyFont="1" applyFill="1" applyBorder="1" applyAlignment="1">
      <alignment horizontal="center" vertical="center"/>
    </xf>
    <xf numFmtId="0" fontId="15" fillId="0" borderId="6" xfId="1" applyFont="1" applyFill="1" applyBorder="1" applyAlignment="1">
      <alignment vertical="top" wrapText="1"/>
    </xf>
    <xf numFmtId="1" fontId="15" fillId="0" borderId="6" xfId="1" applyNumberFormat="1" applyFont="1" applyFill="1" applyBorder="1"/>
    <xf numFmtId="0" fontId="78" fillId="0" borderId="0" xfId="1" applyFont="1" applyFill="1" applyBorder="1"/>
    <xf numFmtId="0" fontId="78" fillId="0" borderId="0" xfId="1" applyFont="1" applyFill="1"/>
    <xf numFmtId="2" fontId="15" fillId="0" borderId="6" xfId="1" applyNumberFormat="1" applyFont="1" applyFill="1" applyBorder="1"/>
    <xf numFmtId="0" fontId="79" fillId="0" borderId="0" xfId="1" applyFont="1" applyFill="1"/>
    <xf numFmtId="0" fontId="78" fillId="0" borderId="6" xfId="1" applyFont="1" applyFill="1" applyBorder="1"/>
    <xf numFmtId="1" fontId="15" fillId="0" borderId="0" xfId="1" applyNumberFormat="1" applyFont="1" applyFill="1" applyBorder="1" applyAlignment="1">
      <alignment horizontal="center" vertical="center"/>
    </xf>
    <xf numFmtId="1" fontId="15" fillId="0" borderId="0" xfId="1" applyNumberFormat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vertical="top" wrapText="1"/>
    </xf>
    <xf numFmtId="1" fontId="3" fillId="0" borderId="5" xfId="1" applyNumberFormat="1" applyFont="1" applyFill="1" applyBorder="1"/>
    <xf numFmtId="0" fontId="7" fillId="0" borderId="6" xfId="1" applyFont="1" applyFill="1" applyBorder="1" applyAlignment="1">
      <alignment vertical="top"/>
    </xf>
    <xf numFmtId="0" fontId="80" fillId="0" borderId="0" xfId="1" applyFont="1" applyFill="1"/>
    <xf numFmtId="0" fontId="5" fillId="0" borderId="0" xfId="1" applyFont="1" applyFill="1" applyAlignment="1">
      <alignment horizontal="right"/>
    </xf>
    <xf numFmtId="0" fontId="38" fillId="0" borderId="0" xfId="1" applyFont="1" applyFill="1" applyAlignment="1">
      <alignment horizontal="right"/>
    </xf>
    <xf numFmtId="0" fontId="60" fillId="0" borderId="6" xfId="1" applyFont="1" applyFill="1" applyBorder="1" applyAlignment="1">
      <alignment horizontal="right"/>
    </xf>
    <xf numFmtId="0" fontId="16" fillId="0" borderId="6" xfId="0" applyFont="1" applyBorder="1" applyAlignment="1">
      <alignment vertical="top" wrapText="1"/>
    </xf>
    <xf numFmtId="1" fontId="16" fillId="5" borderId="6" xfId="1" applyNumberFormat="1" applyFont="1" applyFill="1" applyBorder="1"/>
    <xf numFmtId="0" fontId="31" fillId="0" borderId="4" xfId="1" applyFont="1" applyFill="1" applyBorder="1"/>
    <xf numFmtId="0" fontId="81" fillId="0" borderId="6" xfId="1" applyFont="1" applyFill="1" applyBorder="1" applyAlignment="1">
      <alignment vertical="top"/>
    </xf>
    <xf numFmtId="0" fontId="3" fillId="0" borderId="6" xfId="1" applyNumberFormat="1" applyFont="1" applyFill="1" applyBorder="1"/>
    <xf numFmtId="0" fontId="82" fillId="0" borderId="2" xfId="1" applyFont="1" applyFill="1" applyBorder="1" applyAlignment="1">
      <alignment vertical="top" wrapText="1"/>
    </xf>
    <xf numFmtId="0" fontId="54" fillId="0" borderId="1" xfId="1" applyFont="1" applyFill="1" applyBorder="1"/>
    <xf numFmtId="1" fontId="3" fillId="0" borderId="9" xfId="1" applyNumberFormat="1" applyFont="1" applyFill="1" applyBorder="1" applyAlignment="1">
      <alignment horizontal="left" vertical="center"/>
    </xf>
    <xf numFmtId="0" fontId="31" fillId="4" borderId="0" xfId="1" applyFont="1" applyFill="1"/>
    <xf numFmtId="165" fontId="16" fillId="0" borderId="6" xfId="1" applyNumberFormat="1" applyFont="1" applyFill="1" applyBorder="1"/>
    <xf numFmtId="1" fontId="10" fillId="0" borderId="0" xfId="1" applyNumberFormat="1" applyFont="1" applyFill="1" applyBorder="1"/>
    <xf numFmtId="1" fontId="10" fillId="0" borderId="4" xfId="1" applyNumberFormat="1" applyFont="1" applyFill="1" applyBorder="1"/>
    <xf numFmtId="0" fontId="10" fillId="0" borderId="6" xfId="1" applyFont="1" applyFill="1" applyBorder="1"/>
    <xf numFmtId="1" fontId="9" fillId="0" borderId="1" xfId="1" applyNumberFormat="1" applyFont="1" applyFill="1" applyBorder="1"/>
    <xf numFmtId="0" fontId="83" fillId="0" borderId="6" xfId="1" applyFont="1" applyFill="1" applyBorder="1"/>
    <xf numFmtId="0" fontId="11" fillId="0" borderId="6" xfId="1" applyFont="1" applyFill="1" applyBorder="1"/>
    <xf numFmtId="0" fontId="9" fillId="4" borderId="6" xfId="1" applyFont="1" applyFill="1" applyBorder="1" applyAlignment="1">
      <alignment vertical="top" wrapText="1"/>
    </xf>
    <xf numFmtId="1" fontId="10" fillId="4" borderId="0" xfId="1" applyNumberFormat="1" applyFont="1" applyFill="1" applyBorder="1"/>
    <xf numFmtId="0" fontId="10" fillId="4" borderId="0" xfId="1" applyFont="1" applyFill="1" applyBorder="1"/>
    <xf numFmtId="0" fontId="10" fillId="4" borderId="0" xfId="1" applyFont="1" applyFill="1"/>
    <xf numFmtId="0" fontId="11" fillId="4" borderId="6" xfId="1" applyFont="1" applyFill="1" applyBorder="1"/>
    <xf numFmtId="0" fontId="9" fillId="0" borderId="6" xfId="1" applyFont="1" applyFill="1" applyBorder="1" applyAlignment="1">
      <alignment horizontal="left" vertical="top" wrapText="1"/>
    </xf>
    <xf numFmtId="0" fontId="84" fillId="0" borderId="6" xfId="1" applyFont="1" applyFill="1" applyBorder="1"/>
    <xf numFmtId="0" fontId="10" fillId="4" borderId="6" xfId="1" applyFont="1" applyFill="1" applyBorder="1"/>
    <xf numFmtId="2" fontId="9" fillId="0" borderId="6" xfId="1" applyNumberFormat="1" applyFont="1" applyFill="1" applyBorder="1"/>
    <xf numFmtId="0" fontId="20" fillId="0" borderId="6" xfId="1" applyFont="1" applyFill="1" applyBorder="1" applyAlignment="1">
      <alignment vertical="top"/>
    </xf>
    <xf numFmtId="1" fontId="9" fillId="4" borderId="6" xfId="1" applyNumberFormat="1" applyFont="1" applyFill="1" applyBorder="1" applyAlignment="1">
      <alignment horizontal="center" vertical="center"/>
    </xf>
    <xf numFmtId="0" fontId="84" fillId="0" borderId="6" xfId="1" applyFont="1" applyFill="1" applyBorder="1" applyAlignment="1">
      <alignment vertical="top" wrapText="1"/>
    </xf>
    <xf numFmtId="0" fontId="9" fillId="0" borderId="0" xfId="1" applyNumberFormat="1" applyFont="1" applyFill="1" applyBorder="1" applyAlignment="1">
      <alignment horizontal="center" vertical="center"/>
    </xf>
    <xf numFmtId="165" fontId="9" fillId="0" borderId="6" xfId="1" applyNumberFormat="1" applyFont="1" applyFill="1" applyBorder="1"/>
    <xf numFmtId="0" fontId="85" fillId="0" borderId="6" xfId="0" applyFont="1" applyFill="1" applyBorder="1"/>
    <xf numFmtId="0" fontId="22" fillId="0" borderId="6" xfId="1" applyFont="1" applyFill="1" applyBorder="1" applyAlignment="1">
      <alignment vertical="top" wrapText="1"/>
    </xf>
    <xf numFmtId="0" fontId="85" fillId="0" borderId="0" xfId="0" applyFont="1" applyFill="1"/>
    <xf numFmtId="0" fontId="9" fillId="0" borderId="0" xfId="1" applyFont="1" applyFill="1" applyBorder="1" applyAlignment="1">
      <alignment horizontal="left" vertical="center"/>
    </xf>
    <xf numFmtId="0" fontId="12" fillId="4" borderId="6" xfId="1" applyFont="1" applyFill="1" applyBorder="1"/>
    <xf numFmtId="0" fontId="12" fillId="4" borderId="0" xfId="1" applyFont="1" applyFill="1"/>
    <xf numFmtId="0" fontId="12" fillId="4" borderId="4" xfId="1" applyFont="1" applyFill="1" applyBorder="1"/>
    <xf numFmtId="1" fontId="12" fillId="4" borderId="4" xfId="1" applyNumberFormat="1" applyFont="1" applyFill="1" applyBorder="1"/>
    <xf numFmtId="0" fontId="12" fillId="4" borderId="0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vertical="top" wrapText="1"/>
    </xf>
    <xf numFmtId="0" fontId="9" fillId="0" borderId="1" xfId="1" applyFont="1" applyFill="1" applyBorder="1"/>
    <xf numFmtId="165" fontId="9" fillId="0" borderId="1" xfId="1" applyNumberFormat="1" applyFont="1" applyFill="1" applyBorder="1"/>
    <xf numFmtId="0" fontId="9" fillId="0" borderId="5" xfId="1" applyFont="1" applyFill="1" applyBorder="1"/>
    <xf numFmtId="1" fontId="9" fillId="0" borderId="5" xfId="1" applyNumberFormat="1" applyFont="1" applyFill="1" applyBorder="1"/>
    <xf numFmtId="0" fontId="9" fillId="0" borderId="7" xfId="1" applyFont="1" applyFill="1" applyBorder="1" applyAlignment="1">
      <alignment vertical="top" wrapText="1"/>
    </xf>
    <xf numFmtId="0" fontId="9" fillId="0" borderId="7" xfId="1" applyFont="1" applyFill="1" applyBorder="1"/>
    <xf numFmtId="1" fontId="9" fillId="0" borderId="7" xfId="1" applyNumberFormat="1" applyFont="1" applyFill="1" applyBorder="1"/>
    <xf numFmtId="0" fontId="9" fillId="0" borderId="7" xfId="1" applyFont="1" applyFill="1" applyBorder="1" applyAlignment="1">
      <alignment horizontal="left" vertical="top" wrapText="1"/>
    </xf>
    <xf numFmtId="1" fontId="9" fillId="0" borderId="6" xfId="1" applyNumberFormat="1" applyFont="1" applyFill="1" applyBorder="1" applyAlignment="1">
      <alignment horizontal="left" vertical="center"/>
    </xf>
    <xf numFmtId="0" fontId="33" fillId="0" borderId="6" xfId="1" applyFont="1" applyFill="1" applyBorder="1"/>
    <xf numFmtId="1" fontId="27" fillId="0" borderId="0" xfId="1" applyNumberFormat="1" applyFont="1" applyFill="1" applyBorder="1" applyAlignment="1">
      <alignment vertical="center"/>
    </xf>
    <xf numFmtId="0" fontId="36" fillId="0" borderId="6" xfId="1" applyFont="1" applyFill="1" applyBorder="1" applyAlignment="1">
      <alignment vertical="top" wrapText="1"/>
    </xf>
    <xf numFmtId="0" fontId="28" fillId="0" borderId="4" xfId="1" applyFont="1" applyFill="1" applyBorder="1"/>
    <xf numFmtId="0" fontId="86" fillId="0" borderId="0" xfId="1" applyFont="1" applyFill="1"/>
    <xf numFmtId="0" fontId="86" fillId="0" borderId="6" xfId="1" applyFont="1" applyFill="1" applyBorder="1"/>
    <xf numFmtId="0" fontId="87" fillId="0" borderId="6" xfId="1" applyFont="1" applyFill="1" applyBorder="1"/>
    <xf numFmtId="0" fontId="26" fillId="0" borderId="0" xfId="1" applyFont="1" applyFill="1" applyBorder="1"/>
    <xf numFmtId="49" fontId="27" fillId="0" borderId="6" xfId="1" applyNumberFormat="1" applyFont="1" applyFill="1" applyBorder="1" applyAlignment="1">
      <alignment horizontal="right"/>
    </xf>
    <xf numFmtId="0" fontId="33" fillId="0" borderId="6" xfId="1" applyFont="1" applyFill="1" applyBorder="1" applyAlignment="1"/>
    <xf numFmtId="0" fontId="88" fillId="0" borderId="6" xfId="1" applyFont="1" applyFill="1" applyBorder="1"/>
    <xf numFmtId="0" fontId="27" fillId="0" borderId="6" xfId="1" applyNumberFormat="1" applyFont="1" applyFill="1" applyBorder="1"/>
    <xf numFmtId="0" fontId="27" fillId="0" borderId="7" xfId="1" applyNumberFormat="1" applyFont="1" applyFill="1" applyBorder="1"/>
    <xf numFmtId="0" fontId="33" fillId="0" borderId="0" xfId="1" applyNumberFormat="1" applyFont="1" applyFill="1"/>
    <xf numFmtId="0" fontId="28" fillId="0" borderId="0" xfId="1" applyNumberFormat="1" applyFont="1" applyFill="1"/>
    <xf numFmtId="0" fontId="33" fillId="0" borderId="6" xfId="1" applyNumberFormat="1" applyFont="1" applyFill="1" applyBorder="1"/>
    <xf numFmtId="0" fontId="36" fillId="0" borderId="7" xfId="1" applyNumberFormat="1" applyFont="1" applyFill="1" applyBorder="1" applyAlignment="1">
      <alignment vertical="top" wrapText="1"/>
    </xf>
    <xf numFmtId="0" fontId="27" fillId="0" borderId="0" xfId="1" applyNumberFormat="1" applyFont="1" applyFill="1" applyBorder="1" applyAlignment="1">
      <alignment horizontal="center" vertical="center"/>
    </xf>
    <xf numFmtId="0" fontId="27" fillId="0" borderId="0" xfId="1" applyNumberFormat="1" applyFont="1" applyFill="1" applyBorder="1" applyAlignment="1">
      <alignment horizontal="left" vertical="center"/>
    </xf>
    <xf numFmtId="1" fontId="27" fillId="0" borderId="6" xfId="1" applyNumberFormat="1" applyFont="1" applyFill="1" applyBorder="1" applyAlignment="1"/>
    <xf numFmtId="0" fontId="33" fillId="0" borderId="0" xfId="1" applyFont="1" applyFill="1" applyAlignment="1"/>
    <xf numFmtId="1" fontId="27" fillId="0" borderId="4" xfId="1" applyNumberFormat="1" applyFont="1" applyFill="1" applyBorder="1" applyAlignment="1"/>
    <xf numFmtId="166" fontId="36" fillId="0" borderId="6" xfId="1" applyNumberFormat="1" applyFont="1" applyFill="1" applyBorder="1"/>
    <xf numFmtId="0" fontId="50" fillId="0" borderId="0" xfId="0" applyFont="1" applyFill="1" applyAlignment="1">
      <alignment horizontal="center" vertical="center"/>
    </xf>
    <xf numFmtId="1" fontId="27" fillId="0" borderId="7" xfId="1" applyNumberFormat="1" applyFont="1" applyFill="1" applyBorder="1"/>
    <xf numFmtId="165" fontId="9" fillId="0" borderId="7" xfId="1" applyNumberFormat="1" applyFont="1" applyFill="1" applyBorder="1"/>
    <xf numFmtId="0" fontId="10" fillId="0" borderId="7" xfId="1" applyFont="1" applyFill="1" applyBorder="1"/>
    <xf numFmtId="1" fontId="9" fillId="0" borderId="8" xfId="1" applyNumberFormat="1" applyFont="1" applyFill="1" applyBorder="1"/>
    <xf numFmtId="0" fontId="9" fillId="0" borderId="6" xfId="1" applyFont="1" applyFill="1" applyBorder="1" applyAlignment="1">
      <alignment vertical="center" wrapText="1"/>
    </xf>
    <xf numFmtId="1" fontId="9" fillId="0" borderId="6" xfId="1" applyNumberFormat="1" applyFont="1" applyFill="1" applyBorder="1" applyAlignment="1">
      <alignment vertical="center"/>
    </xf>
    <xf numFmtId="0" fontId="10" fillId="0" borderId="0" xfId="1" applyFont="1" applyFill="1" applyAlignment="1">
      <alignment vertical="center"/>
    </xf>
    <xf numFmtId="0" fontId="17" fillId="0" borderId="0" xfId="1" applyFont="1" applyFill="1" applyAlignment="1">
      <alignment vertical="center"/>
    </xf>
    <xf numFmtId="0" fontId="17" fillId="0" borderId="6" xfId="1" applyFont="1" applyFill="1" applyBorder="1" applyAlignment="1">
      <alignment vertical="center"/>
    </xf>
    <xf numFmtId="1" fontId="9" fillId="0" borderId="4" xfId="1" applyNumberFormat="1" applyFont="1" applyFill="1" applyBorder="1" applyAlignment="1">
      <alignment vertical="center"/>
    </xf>
    <xf numFmtId="1" fontId="9" fillId="0" borderId="6" xfId="1" applyNumberFormat="1" applyFont="1" applyFill="1" applyBorder="1" applyAlignment="1">
      <alignment horizontal="right"/>
    </xf>
    <xf numFmtId="0" fontId="53" fillId="0" borderId="6" xfId="1" applyFont="1" applyFill="1" applyBorder="1" applyAlignment="1">
      <alignment vertical="top" wrapText="1"/>
    </xf>
    <xf numFmtId="0" fontId="90" fillId="0" borderId="6" xfId="1" applyFont="1" applyFill="1" applyBorder="1" applyAlignment="1">
      <alignment vertical="top" wrapText="1"/>
    </xf>
    <xf numFmtId="0" fontId="11" fillId="0" borderId="0" xfId="1" applyFont="1" applyFill="1" applyAlignment="1">
      <alignment vertical="center"/>
    </xf>
    <xf numFmtId="0" fontId="20" fillId="0" borderId="6" xfId="1" applyFont="1" applyFill="1" applyBorder="1" applyAlignment="1">
      <alignment vertical="center"/>
    </xf>
    <xf numFmtId="1" fontId="9" fillId="0" borderId="6" xfId="1" applyNumberFormat="1" applyFont="1" applyFill="1" applyBorder="1" applyAlignment="1"/>
    <xf numFmtId="1" fontId="17" fillId="0" borderId="1" xfId="1" applyNumberFormat="1" applyFont="1" applyFill="1" applyBorder="1"/>
    <xf numFmtId="0" fontId="22" fillId="0" borderId="6" xfId="1" applyFont="1" applyFill="1" applyBorder="1" applyAlignment="1">
      <alignment vertical="top"/>
    </xf>
    <xf numFmtId="165" fontId="22" fillId="0" borderId="6" xfId="1" applyNumberFormat="1" applyFont="1" applyFill="1" applyBorder="1"/>
    <xf numFmtId="14" fontId="10" fillId="0" borderId="6" xfId="1" applyNumberFormat="1" applyFont="1" applyFill="1" applyBorder="1"/>
    <xf numFmtId="0" fontId="9" fillId="0" borderId="2" xfId="1" applyFont="1" applyFill="1" applyBorder="1" applyAlignment="1">
      <alignment vertical="top"/>
    </xf>
    <xf numFmtId="0" fontId="12" fillId="4" borderId="6" xfId="1" applyFont="1" applyFill="1" applyBorder="1" applyAlignment="1">
      <alignment vertical="top"/>
    </xf>
    <xf numFmtId="165" fontId="12" fillId="4" borderId="6" xfId="1" applyNumberFormat="1" applyFont="1" applyFill="1" applyBorder="1"/>
    <xf numFmtId="0" fontId="13" fillId="4" borderId="6" xfId="1" applyFont="1" applyFill="1" applyBorder="1"/>
    <xf numFmtId="1" fontId="18" fillId="4" borderId="6" xfId="1" applyNumberFormat="1" applyFont="1" applyFill="1" applyBorder="1"/>
    <xf numFmtId="0" fontId="19" fillId="4" borderId="6" xfId="1" applyFont="1" applyFill="1" applyBorder="1"/>
    <xf numFmtId="1" fontId="9" fillId="4" borderId="7" xfId="1" applyNumberFormat="1" applyFont="1" applyFill="1" applyBorder="1"/>
    <xf numFmtId="0" fontId="11" fillId="4" borderId="0" xfId="1" applyFont="1" applyFill="1"/>
    <xf numFmtId="0" fontId="14" fillId="4" borderId="0" xfId="1" applyFont="1" applyFill="1"/>
    <xf numFmtId="0" fontId="89" fillId="0" borderId="7" xfId="1" applyFont="1" applyFill="1" applyBorder="1"/>
    <xf numFmtId="0" fontId="89" fillId="0" borderId="6" xfId="1" applyFont="1" applyFill="1" applyBorder="1"/>
    <xf numFmtId="0" fontId="22" fillId="0" borderId="6" xfId="1" applyFont="1" applyFill="1" applyBorder="1" applyAlignment="1">
      <alignment horizontal="left" vertical="top" wrapText="1"/>
    </xf>
    <xf numFmtId="0" fontId="95" fillId="0" borderId="6" xfId="0" applyFont="1" applyFill="1" applyBorder="1" applyAlignment="1">
      <alignment vertical="top"/>
    </xf>
    <xf numFmtId="0" fontId="96" fillId="0" borderId="0" xfId="0" applyFont="1" applyFill="1" applyAlignment="1">
      <alignment horizontal="center" vertical="center"/>
    </xf>
    <xf numFmtId="0" fontId="84" fillId="0" borderId="7" xfId="1" applyFont="1" applyFill="1" applyBorder="1" applyAlignment="1">
      <alignment vertical="top" wrapText="1"/>
    </xf>
    <xf numFmtId="0" fontId="20" fillId="0" borderId="7" xfId="1" applyFont="1" applyFill="1" applyBorder="1"/>
    <xf numFmtId="1" fontId="85" fillId="0" borderId="6" xfId="1" applyNumberFormat="1" applyFont="1" applyFill="1" applyBorder="1"/>
    <xf numFmtId="0" fontId="97" fillId="0" borderId="6" xfId="1" applyFont="1" applyFill="1" applyBorder="1" applyAlignment="1">
      <alignment vertical="top" wrapText="1"/>
    </xf>
    <xf numFmtId="0" fontId="85" fillId="0" borderId="0" xfId="0" applyFont="1" applyFill="1" applyAlignment="1">
      <alignment horizontal="center" vertical="center"/>
    </xf>
    <xf numFmtId="0" fontId="97" fillId="0" borderId="7" xfId="1" applyFont="1" applyFill="1" applyBorder="1" applyAlignment="1">
      <alignment vertical="top" wrapText="1"/>
    </xf>
    <xf numFmtId="0" fontId="9" fillId="0" borderId="1" xfId="1" applyFont="1" applyFill="1" applyBorder="1" applyAlignment="1">
      <alignment vertical="top"/>
    </xf>
    <xf numFmtId="1" fontId="22" fillId="0" borderId="1" xfId="1" applyNumberFormat="1" applyFont="1" applyFill="1" applyBorder="1"/>
    <xf numFmtId="1" fontId="9" fillId="0" borderId="1" xfId="1" applyNumberFormat="1" applyFont="1" applyFill="1" applyBorder="1" applyAlignment="1">
      <alignment vertical="center"/>
    </xf>
    <xf numFmtId="0" fontId="11" fillId="0" borderId="10" xfId="1" applyFont="1" applyFill="1" applyBorder="1"/>
    <xf numFmtId="0" fontId="9" fillId="0" borderId="6" xfId="1" applyFont="1" applyFill="1" applyBorder="1" applyAlignment="1"/>
    <xf numFmtId="0" fontId="9" fillId="0" borderId="6" xfId="1" applyFont="1" applyFill="1" applyBorder="1" applyAlignment="1">
      <alignment vertical="center"/>
    </xf>
    <xf numFmtId="49" fontId="9" fillId="0" borderId="0" xfId="1" applyNumberFormat="1" applyFont="1" applyFill="1" applyBorder="1" applyAlignment="1">
      <alignment horizontal="center" vertical="center"/>
    </xf>
    <xf numFmtId="3" fontId="9" fillId="0" borderId="6" xfId="1" applyNumberFormat="1" applyFont="1" applyFill="1" applyBorder="1"/>
    <xf numFmtId="16" fontId="10" fillId="0" borderId="6" xfId="1" applyNumberFormat="1" applyFont="1" applyFill="1" applyBorder="1"/>
    <xf numFmtId="0" fontId="9" fillId="0" borderId="0" xfId="1" applyFont="1" applyFill="1"/>
    <xf numFmtId="2" fontId="81" fillId="4" borderId="6" xfId="1" applyNumberFormat="1" applyFont="1" applyFill="1" applyBorder="1" applyAlignment="1">
      <alignment vertical="top"/>
    </xf>
    <xf numFmtId="16" fontId="5" fillId="4" borderId="6" xfId="1" applyNumberFormat="1" applyFont="1" applyFill="1" applyBorder="1"/>
    <xf numFmtId="16" fontId="13" fillId="4" borderId="4" xfId="1" applyNumberFormat="1" applyFont="1" applyFill="1" applyBorder="1"/>
    <xf numFmtId="16" fontId="13" fillId="4" borderId="6" xfId="1" applyNumberFormat="1" applyFont="1" applyFill="1" applyBorder="1"/>
    <xf numFmtId="0" fontId="36" fillId="0" borderId="7" xfId="1" applyFont="1" applyFill="1" applyBorder="1" applyAlignment="1">
      <alignment horizontal="center" wrapText="1"/>
    </xf>
    <xf numFmtId="0" fontId="27" fillId="0" borderId="6" xfId="0" applyFont="1" applyBorder="1" applyAlignment="1">
      <alignment vertical="top" wrapText="1"/>
    </xf>
    <xf numFmtId="167" fontId="27" fillId="0" borderId="0" xfId="0" applyNumberFormat="1" applyFont="1" applyBorder="1"/>
    <xf numFmtId="0" fontId="27" fillId="0" borderId="7" xfId="1" applyFont="1" applyFill="1" applyBorder="1" applyAlignment="1">
      <alignment vertical="top" wrapText="1"/>
    </xf>
    <xf numFmtId="0" fontId="98" fillId="0" borderId="6" xfId="0" applyFont="1" applyBorder="1" applyAlignment="1">
      <alignment vertical="top" wrapText="1"/>
    </xf>
    <xf numFmtId="0" fontId="27" fillId="0" borderId="6" xfId="0" applyFont="1" applyFill="1" applyBorder="1" applyAlignment="1">
      <alignment vertical="top" wrapText="1"/>
    </xf>
    <xf numFmtId="1" fontId="27" fillId="5" borderId="6" xfId="1" applyNumberFormat="1" applyFont="1" applyFill="1" applyBorder="1"/>
    <xf numFmtId="0" fontId="9" fillId="0" borderId="6" xfId="1" applyNumberFormat="1" applyFont="1" applyFill="1" applyBorder="1"/>
    <xf numFmtId="0" fontId="9" fillId="0" borderId="6" xfId="1" applyFont="1" applyFill="1" applyBorder="1" applyAlignment="1">
      <alignment horizontal="left" vertical="center"/>
    </xf>
    <xf numFmtId="0" fontId="9" fillId="0" borderId="7" xfId="1" applyFont="1" applyFill="1" applyBorder="1" applyAlignment="1">
      <alignment horizontal="left" vertical="center"/>
    </xf>
    <xf numFmtId="0" fontId="10" fillId="0" borderId="6" xfId="1" applyFont="1" applyFill="1" applyBorder="1" applyAlignment="1">
      <alignment vertical="center"/>
    </xf>
    <xf numFmtId="1" fontId="9" fillId="0" borderId="9" xfId="1" applyNumberFormat="1" applyFont="1" applyFill="1" applyBorder="1" applyAlignment="1">
      <alignment horizontal="left" vertical="center"/>
    </xf>
    <xf numFmtId="1" fontId="9" fillId="0" borderId="0" xfId="1" applyNumberFormat="1" applyFont="1" applyFill="1" applyBorder="1" applyAlignment="1">
      <alignment horizontal="center" vertical="top"/>
    </xf>
    <xf numFmtId="0" fontId="9" fillId="4" borderId="6" xfId="1" applyFont="1" applyFill="1" applyBorder="1" applyAlignment="1">
      <alignment horizontal="left" vertical="top"/>
    </xf>
    <xf numFmtId="1" fontId="9" fillId="4" borderId="4" xfId="1" applyNumberFormat="1" applyFont="1" applyFill="1" applyBorder="1"/>
    <xf numFmtId="1" fontId="9" fillId="4" borderId="9" xfId="1" applyNumberFormat="1" applyFont="1" applyFill="1" applyBorder="1" applyAlignment="1">
      <alignment horizontal="left" vertical="center"/>
    </xf>
    <xf numFmtId="0" fontId="9" fillId="0" borderId="6" xfId="1" applyFont="1" applyFill="1" applyBorder="1" applyAlignment="1">
      <alignment horizontal="center" vertical="center"/>
    </xf>
    <xf numFmtId="0" fontId="85" fillId="0" borderId="0" xfId="1" applyFont="1" applyFill="1"/>
    <xf numFmtId="0" fontId="93" fillId="0" borderId="0" xfId="1" applyFont="1" applyFill="1"/>
    <xf numFmtId="0" fontId="93" fillId="0" borderId="6" xfId="1" applyFont="1" applyFill="1" applyBorder="1"/>
    <xf numFmtId="1" fontId="85" fillId="0" borderId="4" xfId="1" applyNumberFormat="1" applyFont="1" applyFill="1" applyBorder="1"/>
    <xf numFmtId="165" fontId="27" fillId="0" borderId="6" xfId="1" applyNumberFormat="1" applyFont="1" applyFill="1" applyBorder="1"/>
    <xf numFmtId="16" fontId="85" fillId="0" borderId="6" xfId="0" applyNumberFormat="1" applyFont="1" applyBorder="1" applyAlignment="1">
      <alignment horizontal="left" vertical="top" wrapText="1"/>
    </xf>
    <xf numFmtId="0" fontId="3" fillId="4" borderId="6" xfId="1" applyFont="1" applyFill="1" applyBorder="1" applyAlignment="1">
      <alignment vertical="top"/>
    </xf>
    <xf numFmtId="1" fontId="4" fillId="0" borderId="1" xfId="1" applyNumberFormat="1" applyFont="1" applyFill="1" applyBorder="1"/>
    <xf numFmtId="1" fontId="4" fillId="0" borderId="0" xfId="1" applyNumberFormat="1" applyFont="1" applyFill="1" applyBorder="1"/>
    <xf numFmtId="0" fontId="49" fillId="0" borderId="1" xfId="1" applyFont="1" applyFill="1" applyBorder="1"/>
    <xf numFmtId="1" fontId="4" fillId="0" borderId="5" xfId="1" applyNumberFormat="1" applyFont="1" applyFill="1" applyBorder="1"/>
    <xf numFmtId="0" fontId="4" fillId="0" borderId="9" xfId="1" applyFont="1" applyFill="1" applyBorder="1"/>
    <xf numFmtId="0" fontId="49" fillId="0" borderId="9" xfId="1" applyFont="1" applyFill="1" applyBorder="1"/>
    <xf numFmtId="0" fontId="9" fillId="4" borderId="6" xfId="1" applyFont="1" applyFill="1" applyBorder="1" applyAlignment="1">
      <alignment horizontal="left" vertical="top" shrinkToFit="1"/>
    </xf>
    <xf numFmtId="0" fontId="12" fillId="6" borderId="6" xfId="1" applyFont="1" applyFill="1" applyBorder="1" applyAlignment="1">
      <alignment vertical="top" wrapText="1"/>
    </xf>
    <xf numFmtId="1" fontId="22" fillId="5" borderId="6" xfId="1" applyNumberFormat="1" applyFont="1" applyFill="1" applyBorder="1" applyAlignment="1">
      <alignment horizontal="right"/>
    </xf>
    <xf numFmtId="1" fontId="22" fillId="5" borderId="6" xfId="1" applyNumberFormat="1" applyFont="1" applyFill="1" applyBorder="1"/>
    <xf numFmtId="0" fontId="36" fillId="5" borderId="6" xfId="1" applyNumberFormat="1" applyFont="1" applyFill="1" applyBorder="1"/>
    <xf numFmtId="1" fontId="36" fillId="5" borderId="6" xfId="1" applyNumberFormat="1" applyFont="1" applyFill="1" applyBorder="1"/>
    <xf numFmtId="0" fontId="100" fillId="4" borderId="6" xfId="1" applyFont="1" applyFill="1" applyBorder="1" applyAlignment="1">
      <alignment vertical="top"/>
    </xf>
    <xf numFmtId="1" fontId="15" fillId="4" borderId="6" xfId="1" applyNumberFormat="1" applyFont="1" applyFill="1" applyBorder="1"/>
    <xf numFmtId="0" fontId="99" fillId="4" borderId="0" xfId="0" applyFont="1" applyFill="1"/>
    <xf numFmtId="1" fontId="100" fillId="4" borderId="6" xfId="1" applyNumberFormat="1" applyFont="1" applyFill="1" applyBorder="1"/>
    <xf numFmtId="0" fontId="101" fillId="4" borderId="0" xfId="1" applyFont="1" applyFill="1"/>
    <xf numFmtId="0" fontId="102" fillId="4" borderId="0" xfId="1" applyFont="1" applyFill="1"/>
    <xf numFmtId="0" fontId="102" fillId="4" borderId="6" xfId="1" applyFont="1" applyFill="1" applyBorder="1"/>
    <xf numFmtId="1" fontId="15" fillId="4" borderId="0" xfId="1" applyNumberFormat="1" applyFont="1" applyFill="1" applyBorder="1" applyAlignment="1">
      <alignment horizontal="center" vertical="center"/>
    </xf>
    <xf numFmtId="1" fontId="15" fillId="4" borderId="0" xfId="1" applyNumberFormat="1" applyFont="1" applyFill="1" applyBorder="1" applyAlignment="1">
      <alignment horizontal="left" vertical="center"/>
    </xf>
    <xf numFmtId="0" fontId="16" fillId="0" borderId="1" xfId="1" applyFont="1" applyFill="1" applyBorder="1" applyAlignment="1">
      <alignment vertical="top" wrapText="1"/>
    </xf>
    <xf numFmtId="1" fontId="16" fillId="0" borderId="1" xfId="1" applyNumberFormat="1" applyFont="1" applyFill="1" applyBorder="1"/>
    <xf numFmtId="166" fontId="16" fillId="0" borderId="1" xfId="1" applyNumberFormat="1" applyFont="1" applyFill="1" applyBorder="1"/>
    <xf numFmtId="0" fontId="2" fillId="0" borderId="1" xfId="1" applyFont="1" applyFill="1" applyBorder="1"/>
    <xf numFmtId="0" fontId="3" fillId="4" borderId="6" xfId="1" applyFont="1" applyFill="1" applyBorder="1"/>
    <xf numFmtId="0" fontId="9" fillId="4" borderId="0" xfId="1" applyFont="1" applyFill="1" applyBorder="1" applyAlignment="1">
      <alignment horizontal="center" vertical="center"/>
    </xf>
    <xf numFmtId="1" fontId="18" fillId="6" borderId="6" xfId="1" applyNumberFormat="1" applyFont="1" applyFill="1" applyBorder="1"/>
    <xf numFmtId="0" fontId="14" fillId="6" borderId="0" xfId="1" applyFont="1" applyFill="1"/>
    <xf numFmtId="0" fontId="14" fillId="6" borderId="6" xfId="1" applyFont="1" applyFill="1" applyBorder="1"/>
    <xf numFmtId="1" fontId="78" fillId="4" borderId="0" xfId="1" applyNumberFormat="1" applyFont="1" applyFill="1" applyBorder="1"/>
    <xf numFmtId="0" fontId="78" fillId="4" borderId="0" xfId="1" applyFont="1" applyFill="1" applyBorder="1"/>
    <xf numFmtId="0" fontId="78" fillId="4" borderId="0" xfId="1" applyFont="1" applyFill="1"/>
    <xf numFmtId="0" fontId="79" fillId="4" borderId="6" xfId="1" applyFont="1" applyFill="1" applyBorder="1"/>
    <xf numFmtId="1" fontId="22" fillId="4" borderId="6" xfId="1" applyNumberFormat="1" applyFont="1" applyFill="1" applyBorder="1"/>
    <xf numFmtId="0" fontId="17" fillId="4" borderId="6" xfId="1" applyFont="1" applyFill="1" applyBorder="1"/>
    <xf numFmtId="0" fontId="12" fillId="8" borderId="6" xfId="1" applyFont="1" applyFill="1" applyBorder="1" applyAlignment="1">
      <alignment vertical="top"/>
    </xf>
    <xf numFmtId="1" fontId="12" fillId="8" borderId="6" xfId="1" applyNumberFormat="1" applyFont="1" applyFill="1" applyBorder="1"/>
    <xf numFmtId="0" fontId="13" fillId="8" borderId="0" xfId="1" applyFont="1" applyFill="1" applyBorder="1"/>
    <xf numFmtId="0" fontId="13" fillId="8" borderId="0" xfId="1" applyFont="1" applyFill="1"/>
    <xf numFmtId="0" fontId="14" fillId="8" borderId="0" xfId="1" applyFont="1" applyFill="1"/>
    <xf numFmtId="0" fontId="21" fillId="8" borderId="6" xfId="1" applyFont="1" applyFill="1" applyBorder="1" applyAlignment="1">
      <alignment vertical="top"/>
    </xf>
    <xf numFmtId="1" fontId="12" fillId="8" borderId="0" xfId="1" applyNumberFormat="1" applyFont="1" applyFill="1" applyBorder="1" applyAlignment="1">
      <alignment horizontal="center" vertical="center"/>
    </xf>
    <xf numFmtId="1" fontId="12" fillId="8" borderId="0" xfId="1" applyNumberFormat="1" applyFont="1" applyFill="1" applyBorder="1" applyAlignment="1">
      <alignment horizontal="left" vertical="center"/>
    </xf>
    <xf numFmtId="0" fontId="9" fillId="4" borderId="0" xfId="1" applyFont="1" applyFill="1"/>
    <xf numFmtId="0" fontId="9" fillId="4" borderId="4" xfId="1" applyFont="1" applyFill="1" applyBorder="1"/>
    <xf numFmtId="0" fontId="9" fillId="4" borderId="0" xfId="1" applyFont="1" applyFill="1" applyBorder="1" applyAlignment="1">
      <alignment horizontal="left" vertical="center"/>
    </xf>
    <xf numFmtId="0" fontId="9" fillId="0" borderId="0" xfId="0" applyFont="1" applyFill="1" applyAlignment="1">
      <alignment vertical="top"/>
    </xf>
    <xf numFmtId="164" fontId="3" fillId="0" borderId="0" xfId="2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1" fontId="3" fillId="0" borderId="0" xfId="1" applyNumberFormat="1" applyFont="1" applyFill="1" applyBorder="1" applyAlignment="1">
      <alignment horizontal="left" vertical="center"/>
    </xf>
    <xf numFmtId="0" fontId="4" fillId="0" borderId="6" xfId="1" applyFont="1" applyFill="1" applyBorder="1" applyAlignment="1">
      <alignment horizontal="center" vertical="center" wrapText="1"/>
    </xf>
    <xf numFmtId="1" fontId="9" fillId="0" borderId="0" xfId="1" applyNumberFormat="1" applyFont="1" applyFill="1" applyBorder="1" applyAlignment="1">
      <alignment horizontal="left" vertical="center"/>
    </xf>
    <xf numFmtId="1" fontId="3" fillId="0" borderId="0" xfId="1" applyNumberFormat="1" applyFont="1" applyFill="1" applyBorder="1" applyAlignment="1">
      <alignment horizontal="left" vertical="center"/>
    </xf>
    <xf numFmtId="1" fontId="9" fillId="0" borderId="0" xfId="1" applyNumberFormat="1" applyFont="1" applyFill="1" applyBorder="1" applyAlignment="1">
      <alignment horizontal="left" vertical="center"/>
    </xf>
    <xf numFmtId="0" fontId="85" fillId="0" borderId="0" xfId="0" applyFont="1" applyFill="1" applyAlignment="1">
      <alignment horizontal="left" vertical="center"/>
    </xf>
    <xf numFmtId="0" fontId="27" fillId="0" borderId="0" xfId="1" applyFont="1" applyFill="1" applyBorder="1"/>
    <xf numFmtId="0" fontId="27" fillId="0" borderId="4" xfId="1" applyFont="1" applyFill="1" applyBorder="1"/>
    <xf numFmtId="0" fontId="16" fillId="0" borderId="0" xfId="1" applyFont="1" applyFill="1" applyBorder="1"/>
    <xf numFmtId="0" fontId="16" fillId="0" borderId="4" xfId="1" applyFont="1" applyFill="1" applyBorder="1"/>
    <xf numFmtId="0" fontId="49" fillId="0" borderId="7" xfId="1" applyFont="1" applyFill="1" applyBorder="1" applyAlignment="1">
      <alignment horizontal="center" vertical="top" wrapText="1"/>
    </xf>
    <xf numFmtId="1" fontId="3" fillId="6" borderId="6" xfId="1" applyNumberFormat="1" applyFont="1" applyFill="1" applyBorder="1"/>
    <xf numFmtId="0" fontId="5" fillId="6" borderId="0" xfId="1" applyFont="1" applyFill="1"/>
    <xf numFmtId="1" fontId="3" fillId="6" borderId="0" xfId="1" applyNumberFormat="1" applyFont="1" applyFill="1" applyBorder="1" applyAlignment="1">
      <alignment horizontal="center" vertical="center"/>
    </xf>
    <xf numFmtId="1" fontId="3" fillId="6" borderId="0" xfId="1" applyNumberFormat="1" applyFont="1" applyFill="1" applyBorder="1" applyAlignment="1">
      <alignment horizontal="left" vertical="center"/>
    </xf>
    <xf numFmtId="0" fontId="39" fillId="4" borderId="4" xfId="1" applyFont="1" applyFill="1" applyBorder="1" applyAlignment="1">
      <alignment horizontal="left" vertical="center" wrapText="1"/>
    </xf>
    <xf numFmtId="1" fontId="39" fillId="4" borderId="6" xfId="1" applyNumberFormat="1" applyFont="1" applyFill="1" applyBorder="1"/>
    <xf numFmtId="0" fontId="40" fillId="4" borderId="0" xfId="1" applyFont="1" applyFill="1" applyBorder="1"/>
    <xf numFmtId="0" fontId="39" fillId="4" borderId="6" xfId="1" applyFont="1" applyFill="1" applyBorder="1"/>
    <xf numFmtId="1" fontId="39" fillId="4" borderId="0" xfId="1" applyNumberFormat="1" applyFont="1" applyFill="1" applyBorder="1" applyAlignment="1">
      <alignment horizontal="center" vertical="center"/>
    </xf>
    <xf numFmtId="1" fontId="41" fillId="4" borderId="0" xfId="1" applyNumberFormat="1" applyFont="1" applyFill="1" applyBorder="1" applyAlignment="1">
      <alignment horizontal="left" vertical="center"/>
    </xf>
    <xf numFmtId="0" fontId="3" fillId="6" borderId="6" xfId="1" applyFont="1" applyFill="1" applyBorder="1" applyAlignment="1">
      <alignment vertical="top" wrapText="1"/>
    </xf>
    <xf numFmtId="1" fontId="8" fillId="6" borderId="6" xfId="1" applyNumberFormat="1" applyFont="1" applyFill="1" applyBorder="1"/>
    <xf numFmtId="0" fontId="38" fillId="6" borderId="0" xfId="1" applyFont="1" applyFill="1"/>
    <xf numFmtId="0" fontId="38" fillId="6" borderId="6" xfId="1" applyFont="1" applyFill="1" applyBorder="1"/>
    <xf numFmtId="1" fontId="3" fillId="6" borderId="4" xfId="1" applyNumberFormat="1" applyFont="1" applyFill="1" applyBorder="1"/>
    <xf numFmtId="1" fontId="9" fillId="0" borderId="0" xfId="1" applyNumberFormat="1" applyFont="1" applyFill="1" applyBorder="1" applyAlignment="1">
      <alignment horizontal="left" vertical="center"/>
    </xf>
    <xf numFmtId="1" fontId="9" fillId="0" borderId="0" xfId="1" applyNumberFormat="1" applyFont="1" applyFill="1" applyBorder="1" applyAlignment="1">
      <alignment horizontal="left" vertical="center"/>
    </xf>
    <xf numFmtId="0" fontId="4" fillId="4" borderId="6" xfId="0" applyFont="1" applyFill="1" applyBorder="1" applyAlignment="1">
      <alignment vertical="top"/>
    </xf>
    <xf numFmtId="1" fontId="9" fillId="0" borderId="0" xfId="1" applyNumberFormat="1" applyFont="1" applyFill="1" applyBorder="1" applyAlignment="1">
      <alignment horizontal="left" vertical="center"/>
    </xf>
    <xf numFmtId="1" fontId="9" fillId="0" borderId="0" xfId="1" applyNumberFormat="1" applyFont="1" applyFill="1" applyBorder="1" applyAlignment="1">
      <alignment horizontal="left" vertical="center"/>
    </xf>
    <xf numFmtId="1" fontId="3" fillId="0" borderId="0" xfId="1" applyNumberFormat="1" applyFont="1" applyFill="1" applyBorder="1" applyAlignment="1">
      <alignment horizontal="left" vertical="center"/>
    </xf>
    <xf numFmtId="0" fontId="3" fillId="0" borderId="7" xfId="1" applyFont="1" applyFill="1" applyBorder="1" applyAlignment="1">
      <alignment horizontal="center" vertical="center" wrapText="1"/>
    </xf>
    <xf numFmtId="164" fontId="3" fillId="0" borderId="0" xfId="2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4" fillId="0" borderId="6" xfId="1" applyFont="1" applyFill="1" applyBorder="1" applyAlignment="1">
      <alignment horizontal="center" vertical="center" wrapText="1"/>
    </xf>
    <xf numFmtId="1" fontId="9" fillId="0" borderId="0" xfId="1" applyNumberFormat="1" applyFont="1" applyFill="1" applyBorder="1" applyAlignment="1">
      <alignment horizontal="left" vertical="center"/>
    </xf>
    <xf numFmtId="1" fontId="5" fillId="0" borderId="4" xfId="1" applyNumberFormat="1" applyFont="1" applyFill="1" applyBorder="1"/>
    <xf numFmtId="0" fontId="65" fillId="0" borderId="6" xfId="1" applyFont="1" applyFill="1" applyBorder="1"/>
    <xf numFmtId="1" fontId="5" fillId="4" borderId="0" xfId="1" applyNumberFormat="1" applyFont="1" applyFill="1" applyBorder="1"/>
    <xf numFmtId="0" fontId="5" fillId="4" borderId="0" xfId="1" applyFont="1" applyFill="1" applyBorder="1"/>
    <xf numFmtId="0" fontId="31" fillId="4" borderId="6" xfId="1" applyFont="1" applyFill="1" applyBorder="1"/>
    <xf numFmtId="0" fontId="3" fillId="0" borderId="6" xfId="1" applyFont="1" applyFill="1" applyBorder="1" applyAlignment="1">
      <alignment horizontal="left" vertical="top" wrapText="1"/>
    </xf>
    <xf numFmtId="1" fontId="8" fillId="4" borderId="6" xfId="1" applyNumberFormat="1" applyFont="1" applyFill="1" applyBorder="1"/>
    <xf numFmtId="0" fontId="38" fillId="4" borderId="6" xfId="1" applyFont="1" applyFill="1" applyBorder="1"/>
    <xf numFmtId="0" fontId="3" fillId="4" borderId="0" xfId="1" applyFont="1" applyFill="1" applyBorder="1" applyAlignment="1">
      <alignment horizontal="center" vertical="center"/>
    </xf>
    <xf numFmtId="1" fontId="3" fillId="4" borderId="7" xfId="1" applyNumberFormat="1" applyFont="1" applyFill="1" applyBorder="1"/>
    <xf numFmtId="0" fontId="54" fillId="0" borderId="6" xfId="1" applyFont="1" applyFill="1" applyBorder="1" applyAlignment="1">
      <alignment vertical="top"/>
    </xf>
    <xf numFmtId="1" fontId="3" fillId="4" borderId="6" xfId="1" applyNumberFormat="1" applyFont="1" applyFill="1" applyBorder="1" applyAlignment="1">
      <alignment horizontal="center" vertical="center"/>
    </xf>
    <xf numFmtId="0" fontId="76" fillId="0" borderId="6" xfId="1" applyFont="1" applyFill="1" applyBorder="1" applyAlignment="1">
      <alignment vertical="top" wrapText="1"/>
    </xf>
    <xf numFmtId="0" fontId="3" fillId="0" borderId="0" xfId="1" applyNumberFormat="1" applyFont="1" applyFill="1" applyBorder="1" applyAlignment="1">
      <alignment horizontal="center" vertical="center"/>
    </xf>
    <xf numFmtId="165" fontId="3" fillId="0" borderId="6" xfId="1" applyNumberFormat="1" applyFont="1" applyFill="1" applyBorder="1"/>
    <xf numFmtId="0" fontId="4" fillId="0" borderId="0" xfId="0" applyFont="1" applyFill="1"/>
    <xf numFmtId="0" fontId="3" fillId="4" borderId="0" xfId="1" applyFont="1" applyFill="1"/>
    <xf numFmtId="0" fontId="3" fillId="4" borderId="4" xfId="1" applyFont="1" applyFill="1" applyBorder="1"/>
    <xf numFmtId="1" fontId="3" fillId="4" borderId="4" xfId="1" applyNumberFormat="1" applyFont="1" applyFill="1" applyBorder="1"/>
    <xf numFmtId="0" fontId="3" fillId="4" borderId="0" xfId="1" applyFont="1" applyFill="1" applyBorder="1" applyAlignment="1">
      <alignment horizontal="left" vertical="center"/>
    </xf>
    <xf numFmtId="0" fontId="3" fillId="0" borderId="1" xfId="1" applyFont="1" applyFill="1" applyBorder="1"/>
    <xf numFmtId="165" fontId="3" fillId="0" borderId="1" xfId="1" applyNumberFormat="1" applyFont="1" applyFill="1" applyBorder="1"/>
    <xf numFmtId="0" fontId="3" fillId="0" borderId="5" xfId="1" applyFont="1" applyFill="1" applyBorder="1"/>
    <xf numFmtId="0" fontId="3" fillId="0" borderId="7" xfId="1" applyFont="1" applyFill="1" applyBorder="1" applyAlignment="1">
      <alignment horizontal="left" vertical="top" wrapText="1"/>
    </xf>
    <xf numFmtId="1" fontId="3" fillId="0" borderId="6" xfId="1" applyNumberFormat="1" applyFont="1" applyFill="1" applyBorder="1" applyAlignment="1">
      <alignment horizontal="left" vertical="center"/>
    </xf>
    <xf numFmtId="1" fontId="16" fillId="0" borderId="0" xfId="1" applyNumberFormat="1" applyFont="1" applyFill="1" applyBorder="1" applyAlignment="1">
      <alignment vertical="center"/>
    </xf>
    <xf numFmtId="1" fontId="8" fillId="5" borderId="6" xfId="1" applyNumberFormat="1" applyFont="1" applyFill="1" applyBorder="1" applyAlignment="1">
      <alignment horizontal="right"/>
    </xf>
    <xf numFmtId="1" fontId="8" fillId="5" borderId="6" xfId="1" applyNumberFormat="1" applyFont="1" applyFill="1" applyBorder="1"/>
    <xf numFmtId="0" fontId="7" fillId="0" borderId="7" xfId="1" applyNumberFormat="1" applyFont="1" applyFill="1" applyBorder="1" applyAlignment="1">
      <alignment vertical="top" wrapText="1"/>
    </xf>
    <xf numFmtId="0" fontId="7" fillId="5" borderId="6" xfId="1" applyNumberFormat="1" applyFont="1" applyFill="1" applyBorder="1"/>
    <xf numFmtId="0" fontId="16" fillId="0" borderId="6" xfId="1" applyNumberFormat="1" applyFont="1" applyFill="1" applyBorder="1"/>
    <xf numFmtId="0" fontId="16" fillId="0" borderId="7" xfId="1" applyNumberFormat="1" applyFont="1" applyFill="1" applyBorder="1"/>
    <xf numFmtId="0" fontId="32" fillId="0" borderId="0" xfId="1" applyNumberFormat="1" applyFont="1" applyFill="1"/>
    <xf numFmtId="0" fontId="2" fillId="0" borderId="0" xfId="1" applyNumberFormat="1" applyFont="1" applyFill="1"/>
    <xf numFmtId="0" fontId="32" fillId="0" borderId="6" xfId="1" applyNumberFormat="1" applyFont="1" applyFill="1" applyBorder="1"/>
    <xf numFmtId="0" fontId="16" fillId="0" borderId="0" xfId="1" applyNumberFormat="1" applyFont="1" applyFill="1" applyBorder="1" applyAlignment="1">
      <alignment horizontal="center" vertical="center"/>
    </xf>
    <xf numFmtId="0" fontId="16" fillId="0" borderId="0" xfId="1" applyNumberFormat="1" applyFont="1" applyFill="1" applyBorder="1" applyAlignment="1">
      <alignment horizontal="left" vertical="center"/>
    </xf>
    <xf numFmtId="1" fontId="7" fillId="5" borderId="6" xfId="1" applyNumberFormat="1" applyFont="1" applyFill="1" applyBorder="1"/>
    <xf numFmtId="49" fontId="16" fillId="0" borderId="6" xfId="1" applyNumberFormat="1" applyFont="1" applyFill="1" applyBorder="1" applyAlignment="1">
      <alignment horizontal="right"/>
    </xf>
    <xf numFmtId="14" fontId="5" fillId="0" borderId="6" xfId="1" applyNumberFormat="1" applyFont="1" applyFill="1" applyBorder="1"/>
    <xf numFmtId="0" fontId="3" fillId="0" borderId="2" xfId="1" applyFont="1" applyFill="1" applyBorder="1" applyAlignment="1">
      <alignment vertical="top"/>
    </xf>
    <xf numFmtId="0" fontId="60" fillId="0" borderId="7" xfId="1" applyFont="1" applyFill="1" applyBorder="1"/>
    <xf numFmtId="1" fontId="3" fillId="0" borderId="0" xfId="1" applyNumberFormat="1" applyFont="1" applyFill="1" applyBorder="1" applyAlignment="1">
      <alignment horizontal="left" vertical="center"/>
    </xf>
    <xf numFmtId="0" fontId="8" fillId="0" borderId="6" xfId="1" applyFont="1" applyFill="1" applyBorder="1" applyAlignment="1">
      <alignment horizontal="left" vertical="top" wrapText="1"/>
    </xf>
    <xf numFmtId="0" fontId="106" fillId="0" borderId="6" xfId="0" applyFont="1" applyFill="1" applyBorder="1" applyAlignment="1">
      <alignment vertical="top"/>
    </xf>
    <xf numFmtId="0" fontId="76" fillId="0" borderId="7" xfId="1" applyFont="1" applyFill="1" applyBorder="1" applyAlignment="1">
      <alignment vertical="top" wrapText="1"/>
    </xf>
    <xf numFmtId="0" fontId="54" fillId="0" borderId="7" xfId="1" applyFont="1" applyFill="1" applyBorder="1"/>
    <xf numFmtId="0" fontId="107" fillId="0" borderId="6" xfId="1" applyFont="1" applyFill="1" applyBorder="1" applyAlignment="1">
      <alignment vertical="top" wrapText="1"/>
    </xf>
    <xf numFmtId="0" fontId="4" fillId="0" borderId="0" xfId="0" applyFont="1" applyFill="1" applyAlignment="1">
      <alignment horizontal="center" vertical="center"/>
    </xf>
    <xf numFmtId="0" fontId="107" fillId="0" borderId="7" xfId="1" applyFont="1" applyFill="1" applyBorder="1" applyAlignment="1">
      <alignment vertical="top" wrapText="1"/>
    </xf>
    <xf numFmtId="1" fontId="16" fillId="0" borderId="6" xfId="1" applyNumberFormat="1" applyFont="1" applyFill="1" applyBorder="1" applyAlignment="1"/>
    <xf numFmtId="0" fontId="32" fillId="0" borderId="0" xfId="1" applyFont="1" applyFill="1" applyAlignment="1"/>
    <xf numFmtId="0" fontId="32" fillId="0" borderId="6" xfId="1" applyFont="1" applyFill="1" applyBorder="1" applyAlignment="1"/>
    <xf numFmtId="1" fontId="16" fillId="0" borderId="4" xfId="1" applyNumberFormat="1" applyFont="1" applyFill="1" applyBorder="1" applyAlignment="1"/>
    <xf numFmtId="166" fontId="7" fillId="0" borderId="6" xfId="1" applyNumberFormat="1" applyFont="1" applyFill="1" applyBorder="1"/>
    <xf numFmtId="165" fontId="3" fillId="0" borderId="7" xfId="1" applyNumberFormat="1" applyFont="1" applyFill="1" applyBorder="1"/>
    <xf numFmtId="0" fontId="5" fillId="0" borderId="7" xfId="1" applyFont="1" applyFill="1" applyBorder="1"/>
    <xf numFmtId="1" fontId="3" fillId="0" borderId="8" xfId="1" applyNumberFormat="1" applyFont="1" applyFill="1" applyBorder="1"/>
    <xf numFmtId="0" fontId="3" fillId="0" borderId="6" xfId="1" applyFont="1" applyFill="1" applyBorder="1" applyAlignment="1">
      <alignment vertical="center" wrapText="1"/>
    </xf>
    <xf numFmtId="0" fontId="5" fillId="0" borderId="0" xfId="1" applyFont="1" applyFill="1" applyAlignment="1">
      <alignment vertical="center"/>
    </xf>
    <xf numFmtId="0" fontId="38" fillId="0" borderId="0" xfId="1" applyFont="1" applyFill="1" applyAlignment="1">
      <alignment vertical="center"/>
    </xf>
    <xf numFmtId="0" fontId="38" fillId="0" borderId="6" xfId="1" applyFont="1" applyFill="1" applyBorder="1" applyAlignment="1">
      <alignment vertical="center"/>
    </xf>
    <xf numFmtId="1" fontId="3" fillId="0" borderId="4" xfId="1" applyNumberFormat="1" applyFont="1" applyFill="1" applyBorder="1" applyAlignment="1">
      <alignment vertical="center"/>
    </xf>
    <xf numFmtId="0" fontId="81" fillId="0" borderId="6" xfId="1" applyFont="1" applyFill="1" applyBorder="1" applyAlignment="1">
      <alignment vertical="top" wrapText="1"/>
    </xf>
    <xf numFmtId="0" fontId="108" fillId="0" borderId="6" xfId="1" applyFont="1" applyFill="1" applyBorder="1" applyAlignment="1">
      <alignment vertical="top" wrapText="1"/>
    </xf>
    <xf numFmtId="0" fontId="4" fillId="0" borderId="0" xfId="0" applyFont="1" applyFill="1" applyAlignment="1">
      <alignment horizontal="left" vertical="center"/>
    </xf>
    <xf numFmtId="0" fontId="31" fillId="0" borderId="0" xfId="1" applyFont="1" applyFill="1" applyAlignment="1">
      <alignment vertical="center"/>
    </xf>
    <xf numFmtId="0" fontId="54" fillId="0" borderId="6" xfId="1" applyFont="1" applyFill="1" applyBorder="1" applyAlignment="1">
      <alignment vertical="center"/>
    </xf>
    <xf numFmtId="1" fontId="3" fillId="0" borderId="6" xfId="1" applyNumberFormat="1" applyFont="1" applyFill="1" applyBorder="1" applyAlignment="1"/>
    <xf numFmtId="49" fontId="3" fillId="0" borderId="0" xfId="1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vertical="top"/>
    </xf>
    <xf numFmtId="1" fontId="3" fillId="0" borderId="1" xfId="1" applyNumberFormat="1" applyFont="1" applyFill="1" applyBorder="1" applyAlignment="1">
      <alignment vertical="center"/>
    </xf>
    <xf numFmtId="0" fontId="31" fillId="0" borderId="10" xfId="1" applyFont="1" applyFill="1" applyBorder="1"/>
    <xf numFmtId="3" fontId="3" fillId="0" borderId="6" xfId="1" applyNumberFormat="1" applyFont="1" applyFill="1" applyBorder="1"/>
    <xf numFmtId="16" fontId="5" fillId="0" borderId="6" xfId="1" applyNumberFormat="1" applyFont="1" applyFill="1" applyBorder="1"/>
    <xf numFmtId="1" fontId="3" fillId="0" borderId="0" xfId="1" applyNumberFormat="1" applyFont="1" applyFill="1" applyBorder="1" applyAlignment="1">
      <alignment horizontal="left" vertical="center"/>
    </xf>
    <xf numFmtId="0" fontId="72" fillId="0" borderId="0" xfId="0" applyFont="1"/>
    <xf numFmtId="16" fontId="4" fillId="0" borderId="6" xfId="0" applyNumberFormat="1" applyFont="1" applyBorder="1" applyAlignment="1">
      <alignment horizontal="left" vertical="top" wrapText="1"/>
    </xf>
    <xf numFmtId="165" fontId="8" fillId="0" borderId="6" xfId="1" applyNumberFormat="1" applyFont="1" applyFill="1" applyBorder="1"/>
    <xf numFmtId="0" fontId="7" fillId="0" borderId="7" xfId="1" applyFont="1" applyFill="1" applyBorder="1" applyAlignment="1">
      <alignment horizontal="center" wrapText="1"/>
    </xf>
    <xf numFmtId="0" fontId="16" fillId="0" borderId="7" xfId="1" applyFont="1" applyFill="1" applyBorder="1" applyAlignment="1">
      <alignment vertical="top" wrapText="1"/>
    </xf>
    <xf numFmtId="0" fontId="111" fillId="0" borderId="6" xfId="0" applyFont="1" applyBorder="1" applyAlignment="1">
      <alignment vertical="top" wrapText="1"/>
    </xf>
    <xf numFmtId="0" fontId="16" fillId="0" borderId="6" xfId="0" applyFont="1" applyFill="1" applyBorder="1" applyAlignment="1">
      <alignment vertical="top" wrapText="1"/>
    </xf>
    <xf numFmtId="1" fontId="3" fillId="0" borderId="0" xfId="1" applyNumberFormat="1" applyFont="1" applyFill="1" applyBorder="1" applyAlignment="1">
      <alignment horizontal="left" vertical="center"/>
    </xf>
    <xf numFmtId="0" fontId="3" fillId="0" borderId="6" xfId="1" applyFont="1" applyFill="1" applyBorder="1" applyAlignment="1">
      <alignment horizontal="left" vertical="center"/>
    </xf>
    <xf numFmtId="0" fontId="3" fillId="0" borderId="7" xfId="1" applyFont="1" applyFill="1" applyBorder="1" applyAlignment="1">
      <alignment horizontal="left" vertical="center"/>
    </xf>
    <xf numFmtId="0" fontId="3" fillId="0" borderId="0" xfId="0" applyFont="1" applyFill="1" applyAlignment="1">
      <alignment vertical="top"/>
    </xf>
    <xf numFmtId="0" fontId="5" fillId="0" borderId="6" xfId="1" applyFont="1" applyFill="1" applyBorder="1" applyAlignment="1">
      <alignment vertical="center"/>
    </xf>
    <xf numFmtId="1" fontId="3" fillId="0" borderId="0" xfId="1" applyNumberFormat="1" applyFont="1" applyFill="1" applyBorder="1" applyAlignment="1">
      <alignment horizontal="center" vertical="top"/>
    </xf>
    <xf numFmtId="0" fontId="3" fillId="4" borderId="6" xfId="1" applyFont="1" applyFill="1" applyBorder="1" applyAlignment="1">
      <alignment horizontal="left" vertical="top"/>
    </xf>
    <xf numFmtId="1" fontId="3" fillId="4" borderId="9" xfId="1" applyNumberFormat="1" applyFont="1" applyFill="1" applyBorder="1" applyAlignment="1">
      <alignment horizontal="left" vertical="center"/>
    </xf>
    <xf numFmtId="1" fontId="3" fillId="0" borderId="0" xfId="1" applyNumberFormat="1" applyFont="1" applyFill="1" applyBorder="1" applyAlignment="1">
      <alignment horizontal="left" vertical="center"/>
    </xf>
    <xf numFmtId="1" fontId="3" fillId="0" borderId="0" xfId="1" applyNumberFormat="1" applyFont="1" applyFill="1" applyBorder="1" applyAlignment="1">
      <alignment horizontal="left" vertical="center"/>
    </xf>
    <xf numFmtId="1" fontId="9" fillId="0" borderId="0" xfId="1" applyNumberFormat="1" applyFont="1" applyFill="1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 wrapText="1"/>
    </xf>
    <xf numFmtId="164" fontId="3" fillId="0" borderId="0" xfId="2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1" fontId="3" fillId="0" borderId="0" xfId="1" applyNumberFormat="1" applyFont="1" applyFill="1" applyBorder="1" applyAlignment="1">
      <alignment horizontal="left" vertical="center"/>
    </xf>
    <xf numFmtId="0" fontId="61" fillId="0" borderId="6" xfId="1" applyFont="1" applyFill="1" applyBorder="1"/>
    <xf numFmtId="2" fontId="62" fillId="0" borderId="6" xfId="1" applyNumberFormat="1" applyFont="1" applyFill="1" applyBorder="1"/>
    <xf numFmtId="1" fontId="9" fillId="0" borderId="0" xfId="1" applyNumberFormat="1" applyFont="1" applyFill="1" applyBorder="1" applyAlignment="1">
      <alignment horizontal="left" vertical="center"/>
    </xf>
    <xf numFmtId="1" fontId="9" fillId="0" borderId="0" xfId="1" applyNumberFormat="1" applyFont="1" applyFill="1" applyBorder="1" applyAlignment="1">
      <alignment horizontal="left" vertical="center"/>
    </xf>
    <xf numFmtId="0" fontId="85" fillId="0" borderId="0" xfId="0" applyFont="1" applyFill="1" applyAlignment="1">
      <alignment horizontal="left" vertical="center"/>
    </xf>
    <xf numFmtId="0" fontId="71" fillId="0" borderId="4" xfId="0" applyFont="1" applyBorder="1"/>
    <xf numFmtId="0" fontId="22" fillId="0" borderId="7" xfId="1" applyFont="1" applyFill="1" applyBorder="1" applyAlignment="1">
      <alignment vertical="top" wrapText="1"/>
    </xf>
    <xf numFmtId="3" fontId="22" fillId="0" borderId="6" xfId="1" applyNumberFormat="1" applyFont="1" applyFill="1" applyBorder="1"/>
    <xf numFmtId="1" fontId="22" fillId="0" borderId="7" xfId="1" applyNumberFormat="1" applyFont="1" applyFill="1" applyBorder="1"/>
    <xf numFmtId="2" fontId="22" fillId="0" borderId="6" xfId="1" applyNumberFormat="1" applyFont="1" applyFill="1" applyBorder="1"/>
    <xf numFmtId="0" fontId="10" fillId="0" borderId="0" xfId="1" applyFont="1" applyFill="1" applyAlignment="1">
      <alignment horizontal="right"/>
    </xf>
    <xf numFmtId="0" fontId="17" fillId="0" borderId="0" xfId="1" applyFont="1" applyFill="1" applyAlignment="1">
      <alignment horizontal="right"/>
    </xf>
    <xf numFmtId="0" fontId="89" fillId="0" borderId="6" xfId="1" applyFont="1" applyFill="1" applyBorder="1" applyAlignment="1">
      <alignment horizontal="right"/>
    </xf>
    <xf numFmtId="0" fontId="9" fillId="4" borderId="6" xfId="1" applyFont="1" applyFill="1" applyBorder="1" applyAlignment="1">
      <alignment vertical="top"/>
    </xf>
    <xf numFmtId="0" fontId="85" fillId="4" borderId="6" xfId="0" applyFont="1" applyFill="1" applyBorder="1" applyAlignment="1">
      <alignment vertical="top"/>
    </xf>
    <xf numFmtId="1" fontId="9" fillId="0" borderId="0" xfId="1" applyNumberFormat="1" applyFont="1" applyFill="1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 wrapText="1"/>
    </xf>
    <xf numFmtId="164" fontId="3" fillId="0" borderId="0" xfId="2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1" fontId="9" fillId="0" borderId="0" xfId="1" applyNumberFormat="1" applyFont="1" applyFill="1" applyBorder="1" applyAlignment="1">
      <alignment horizontal="left" vertical="center"/>
    </xf>
    <xf numFmtId="0" fontId="4" fillId="0" borderId="6" xfId="1" applyFont="1" applyFill="1" applyBorder="1" applyAlignment="1">
      <alignment horizontal="center" vertical="center" wrapText="1"/>
    </xf>
    <xf numFmtId="1" fontId="3" fillId="0" borderId="0" xfId="1" applyNumberFormat="1" applyFont="1" applyFill="1" applyBorder="1" applyAlignment="1">
      <alignment horizontal="left" vertical="center"/>
    </xf>
    <xf numFmtId="0" fontId="36" fillId="0" borderId="1" xfId="1" applyFont="1" applyFill="1" applyBorder="1" applyAlignment="1">
      <alignment vertical="top" wrapText="1"/>
    </xf>
    <xf numFmtId="1" fontId="9" fillId="0" borderId="0" xfId="1" applyNumberFormat="1" applyFont="1" applyFill="1" applyBorder="1" applyAlignment="1">
      <alignment horizontal="left" vertical="center"/>
    </xf>
    <xf numFmtId="1" fontId="3" fillId="0" borderId="0" xfId="1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7" fillId="0" borderId="1" xfId="1" applyFont="1" applyFill="1" applyBorder="1" applyAlignment="1">
      <alignment vertical="top" wrapText="1"/>
    </xf>
    <xf numFmtId="0" fontId="12" fillId="4" borderId="6" xfId="1" applyFont="1" applyFill="1" applyBorder="1" applyAlignment="1">
      <alignment horizontal="center" vertical="top" wrapText="1"/>
    </xf>
    <xf numFmtId="0" fontId="12" fillId="4" borderId="6" xfId="1" applyFont="1" applyFill="1" applyBorder="1" applyAlignment="1">
      <alignment vertical="center"/>
    </xf>
    <xf numFmtId="1" fontId="12" fillId="4" borderId="6" xfId="1" applyNumberFormat="1" applyFont="1" applyFill="1" applyBorder="1" applyAlignment="1">
      <alignment horizontal="left" vertical="center"/>
    </xf>
    <xf numFmtId="1" fontId="3" fillId="0" borderId="0" xfId="1" applyNumberFormat="1" applyFont="1" applyFill="1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 wrapText="1"/>
    </xf>
    <xf numFmtId="164" fontId="3" fillId="0" borderId="0" xfId="2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1" fontId="9" fillId="0" borderId="0" xfId="1" applyNumberFormat="1" applyFont="1" applyFill="1" applyBorder="1" applyAlignment="1">
      <alignment horizontal="left" vertical="center"/>
    </xf>
    <xf numFmtId="0" fontId="4" fillId="0" borderId="6" xfId="1" applyFont="1" applyFill="1" applyBorder="1" applyAlignment="1">
      <alignment horizontal="center" vertical="center" wrapText="1"/>
    </xf>
    <xf numFmtId="1" fontId="3" fillId="0" borderId="0" xfId="1" applyNumberFormat="1" applyFont="1" applyFill="1" applyBorder="1" applyAlignment="1">
      <alignment horizontal="left" vertical="center"/>
    </xf>
    <xf numFmtId="49" fontId="3" fillId="0" borderId="0" xfId="1" applyNumberFormat="1" applyFont="1" applyFill="1" applyBorder="1" applyAlignment="1">
      <alignment horizontal="center" vertical="center" wrapText="1"/>
    </xf>
    <xf numFmtId="49" fontId="3" fillId="4" borderId="0" xfId="1" applyNumberFormat="1" applyFont="1" applyFill="1" applyBorder="1" applyAlignment="1">
      <alignment horizontal="center" vertical="center"/>
    </xf>
    <xf numFmtId="49" fontId="3" fillId="4" borderId="0" xfId="1" applyNumberFormat="1" applyFont="1" applyFill="1" applyBorder="1" applyAlignment="1">
      <alignment horizontal="left" vertical="center"/>
    </xf>
    <xf numFmtId="49" fontId="12" fillId="3" borderId="0" xfId="1" applyNumberFormat="1" applyFont="1" applyFill="1" applyBorder="1" applyAlignment="1">
      <alignment horizontal="center" vertical="center"/>
    </xf>
    <xf numFmtId="49" fontId="3" fillId="4" borderId="6" xfId="1" applyNumberFormat="1" applyFont="1" applyFill="1" applyBorder="1" applyAlignment="1">
      <alignment horizontal="center" vertical="center"/>
    </xf>
    <xf numFmtId="49" fontId="12" fillId="8" borderId="0" xfId="1" applyNumberFormat="1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horizontal="center" vertical="center"/>
    </xf>
    <xf numFmtId="49" fontId="12" fillId="4" borderId="0" xfId="1" applyNumberFormat="1" applyFont="1" applyFill="1" applyBorder="1" applyAlignment="1">
      <alignment horizontal="center" vertical="center"/>
    </xf>
    <xf numFmtId="49" fontId="1" fillId="0" borderId="0" xfId="0" applyNumberFormat="1" applyFont="1" applyFill="1"/>
    <xf numFmtId="49" fontId="39" fillId="4" borderId="0" xfId="1" applyNumberFormat="1" applyFont="1" applyFill="1" applyBorder="1" applyAlignment="1">
      <alignment horizontal="center" vertical="center"/>
    </xf>
    <xf numFmtId="49" fontId="12" fillId="0" borderId="0" xfId="1" applyNumberFormat="1" applyFont="1" applyFill="1" applyBorder="1" applyAlignment="1">
      <alignment horizontal="center" vertical="center"/>
    </xf>
    <xf numFmtId="49" fontId="27" fillId="0" borderId="0" xfId="1" applyNumberFormat="1" applyFont="1" applyFill="1" applyBorder="1" applyAlignment="1">
      <alignment horizontal="center" vertical="center"/>
    </xf>
    <xf numFmtId="49" fontId="15" fillId="4" borderId="0" xfId="1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77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12" fillId="6" borderId="0" xfId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top"/>
    </xf>
    <xf numFmtId="49" fontId="3" fillId="6" borderId="0" xfId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right" vertical="center"/>
    </xf>
    <xf numFmtId="49" fontId="2" fillId="0" borderId="0" xfId="1" applyNumberFormat="1" applyFont="1" applyFill="1" applyBorder="1" applyAlignment="1">
      <alignment horizontal="center" vertical="center"/>
    </xf>
    <xf numFmtId="49" fontId="3" fillId="0" borderId="6" xfId="1" applyNumberFormat="1" applyFont="1" applyFill="1" applyBorder="1" applyAlignment="1">
      <alignment horizontal="center" vertical="center"/>
    </xf>
    <xf numFmtId="1" fontId="9" fillId="0" borderId="0" xfId="1" applyNumberFormat="1" applyFont="1" applyFill="1" applyBorder="1" applyAlignment="1">
      <alignment horizontal="left" vertical="center"/>
    </xf>
    <xf numFmtId="0" fontId="85" fillId="0" borderId="0" xfId="0" applyFont="1" applyFill="1" applyAlignment="1">
      <alignment horizontal="left" vertical="center"/>
    </xf>
    <xf numFmtId="49" fontId="9" fillId="4" borderId="0" xfId="1" applyNumberFormat="1" applyFont="1" applyFill="1" applyBorder="1" applyAlignment="1">
      <alignment horizontal="left" vertical="center"/>
    </xf>
    <xf numFmtId="49" fontId="9" fillId="4" borderId="0" xfId="1" applyNumberFormat="1" applyFont="1" applyFill="1" applyBorder="1" applyAlignment="1">
      <alignment horizontal="center" vertical="center"/>
    </xf>
    <xf numFmtId="49" fontId="9" fillId="4" borderId="6" xfId="1" applyNumberFormat="1" applyFont="1" applyFill="1" applyBorder="1" applyAlignment="1">
      <alignment horizontal="center" vertical="center"/>
    </xf>
    <xf numFmtId="49" fontId="85" fillId="0" borderId="0" xfId="0" applyNumberFormat="1" applyFont="1" applyFill="1" applyAlignment="1">
      <alignment horizontal="center" vertical="center"/>
    </xf>
    <xf numFmtId="0" fontId="112" fillId="0" borderId="2" xfId="1" applyFont="1" applyFill="1" applyBorder="1" applyAlignment="1">
      <alignment vertical="top" wrapText="1"/>
    </xf>
    <xf numFmtId="0" fontId="20" fillId="0" borderId="1" xfId="1" applyFont="1" applyFill="1" applyBorder="1"/>
    <xf numFmtId="49" fontId="96" fillId="0" borderId="0" xfId="0" applyNumberFormat="1" applyFont="1" applyFill="1" applyAlignment="1">
      <alignment horizontal="center" vertical="center"/>
    </xf>
    <xf numFmtId="1" fontId="27" fillId="5" borderId="1" xfId="1" applyNumberFormat="1" applyFont="1" applyFill="1" applyBorder="1"/>
    <xf numFmtId="1" fontId="27" fillId="0" borderId="1" xfId="1" applyNumberFormat="1" applyFont="1" applyFill="1" applyBorder="1"/>
    <xf numFmtId="0" fontId="86" fillId="0" borderId="1" xfId="1" applyFont="1" applyFill="1" applyBorder="1"/>
    <xf numFmtId="1" fontId="27" fillId="0" borderId="5" xfId="1" applyNumberFormat="1" applyFont="1" applyFill="1" applyBorder="1"/>
    <xf numFmtId="0" fontId="27" fillId="0" borderId="7" xfId="0" applyFont="1" applyBorder="1" applyAlignment="1">
      <alignment vertical="top" wrapText="1"/>
    </xf>
    <xf numFmtId="0" fontId="86" fillId="0" borderId="7" xfId="1" applyFont="1" applyFill="1" applyBorder="1"/>
    <xf numFmtId="1" fontId="27" fillId="0" borderId="8" xfId="1" applyNumberFormat="1" applyFont="1" applyFill="1" applyBorder="1"/>
    <xf numFmtId="0" fontId="9" fillId="0" borderId="8" xfId="1" applyFont="1" applyFill="1" applyBorder="1"/>
    <xf numFmtId="1" fontId="9" fillId="0" borderId="0" xfId="1" applyNumberFormat="1" applyFont="1" applyFill="1" applyBorder="1" applyAlignment="1">
      <alignment horizontal="left" vertical="center"/>
    </xf>
    <xf numFmtId="1" fontId="3" fillId="0" borderId="0" xfId="1" applyNumberFormat="1" applyFont="1" applyFill="1" applyBorder="1" applyAlignment="1">
      <alignment horizontal="left" vertical="center"/>
    </xf>
    <xf numFmtId="1" fontId="9" fillId="0" borderId="0" xfId="1" applyNumberFormat="1" applyFont="1" applyFill="1" applyBorder="1" applyAlignment="1">
      <alignment horizontal="left" vertical="center"/>
    </xf>
    <xf numFmtId="49" fontId="9" fillId="0" borderId="0" xfId="1" applyNumberFormat="1" applyFont="1" applyFill="1" applyBorder="1" applyAlignment="1">
      <alignment horizontal="center" vertical="top"/>
    </xf>
    <xf numFmtId="1" fontId="9" fillId="0" borderId="0" xfId="1" applyNumberFormat="1" applyFont="1" applyFill="1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 wrapText="1"/>
    </xf>
    <xf numFmtId="164" fontId="3" fillId="0" borderId="0" xfId="2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1" fontId="3" fillId="0" borderId="0" xfId="1" applyNumberFormat="1" applyFont="1" applyFill="1" applyBorder="1" applyAlignment="1">
      <alignment horizontal="left" vertical="center"/>
    </xf>
    <xf numFmtId="1" fontId="9" fillId="0" borderId="0" xfId="1" applyNumberFormat="1" applyFont="1" applyFill="1" applyBorder="1" applyAlignment="1">
      <alignment horizontal="left" vertical="center"/>
    </xf>
    <xf numFmtId="1" fontId="3" fillId="0" borderId="0" xfId="1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" fontId="3" fillId="0" borderId="0" xfId="1" applyNumberFormat="1" applyFont="1" applyFill="1" applyBorder="1" applyAlignment="1">
      <alignment horizontal="left" vertical="center"/>
    </xf>
    <xf numFmtId="0" fontId="72" fillId="0" borderId="0" xfId="0" applyFont="1" applyAlignment="1"/>
    <xf numFmtId="49" fontId="71" fillId="0" borderId="6" xfId="0" applyNumberFormat="1" applyFont="1" applyBorder="1" applyAlignment="1">
      <alignment horizontal="right"/>
    </xf>
    <xf numFmtId="49" fontId="72" fillId="0" borderId="0" xfId="0" applyNumberFormat="1" applyFont="1" applyAlignment="1">
      <alignment horizontal="right"/>
    </xf>
    <xf numFmtId="49" fontId="71" fillId="0" borderId="0" xfId="0" applyNumberFormat="1" applyFont="1" applyAlignment="1">
      <alignment horizontal="right"/>
    </xf>
    <xf numFmtId="49" fontId="4" fillId="0" borderId="6" xfId="0" applyNumberFormat="1" applyFont="1" applyBorder="1" applyAlignment="1">
      <alignment horizontal="right"/>
    </xf>
    <xf numFmtId="1" fontId="16" fillId="5" borderId="1" xfId="1" applyNumberFormat="1" applyFont="1" applyFill="1" applyBorder="1"/>
    <xf numFmtId="0" fontId="35" fillId="0" borderId="1" xfId="1" applyFont="1" applyFill="1" applyBorder="1"/>
    <xf numFmtId="1" fontId="16" fillId="0" borderId="5" xfId="1" applyNumberFormat="1" applyFont="1" applyFill="1" applyBorder="1"/>
    <xf numFmtId="0" fontId="16" fillId="0" borderId="7" xfId="0" applyFont="1" applyBorder="1" applyAlignment="1">
      <alignment vertical="top" wrapText="1"/>
    </xf>
    <xf numFmtId="0" fontId="35" fillId="0" borderId="7" xfId="1" applyFont="1" applyFill="1" applyBorder="1"/>
    <xf numFmtId="1" fontId="16" fillId="0" borderId="8" xfId="1" applyNumberFormat="1" applyFont="1" applyFill="1" applyBorder="1"/>
    <xf numFmtId="0" fontId="3" fillId="0" borderId="8" xfId="1" applyFont="1" applyFill="1" applyBorder="1"/>
    <xf numFmtId="1" fontId="3" fillId="0" borderId="0" xfId="1" applyNumberFormat="1" applyFont="1" applyFill="1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 wrapText="1"/>
    </xf>
    <xf numFmtId="164" fontId="3" fillId="0" borderId="0" xfId="2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1" fontId="9" fillId="0" borderId="0" xfId="1" applyNumberFormat="1" applyFont="1" applyFill="1" applyBorder="1" applyAlignment="1">
      <alignment horizontal="left" vertical="center"/>
    </xf>
    <xf numFmtId="0" fontId="4" fillId="0" borderId="6" xfId="1" applyFont="1" applyFill="1" applyBorder="1" applyAlignment="1">
      <alignment horizontal="center" vertical="center" wrapText="1"/>
    </xf>
    <xf numFmtId="1" fontId="3" fillId="0" borderId="0" xfId="1" applyNumberFormat="1" applyFont="1" applyFill="1" applyBorder="1" applyAlignment="1">
      <alignment horizontal="left" vertical="center"/>
    </xf>
    <xf numFmtId="1" fontId="9" fillId="0" borderId="0" xfId="1" applyNumberFormat="1" applyFont="1" applyFill="1" applyBorder="1" applyAlignment="1">
      <alignment horizontal="left" vertical="center"/>
    </xf>
    <xf numFmtId="0" fontId="85" fillId="0" borderId="0" xfId="0" applyFont="1" applyFill="1" applyAlignment="1">
      <alignment horizontal="left" vertical="center"/>
    </xf>
    <xf numFmtId="49" fontId="9" fillId="0" borderId="6" xfId="1" applyNumberFormat="1" applyFont="1" applyFill="1" applyBorder="1" applyAlignment="1">
      <alignment horizontal="center" vertical="center"/>
    </xf>
    <xf numFmtId="0" fontId="50" fillId="0" borderId="0" xfId="0" applyFont="1" applyFill="1" applyAlignment="1">
      <alignment horizontal="left" vertical="center"/>
    </xf>
    <xf numFmtId="49" fontId="15" fillId="0" borderId="0" xfId="1" applyNumberFormat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vertical="top" wrapText="1"/>
    </xf>
    <xf numFmtId="1" fontId="15" fillId="4" borderId="7" xfId="1" applyNumberFormat="1" applyFont="1" applyFill="1" applyBorder="1"/>
    <xf numFmtId="0" fontId="79" fillId="4" borderId="0" xfId="1" applyFont="1" applyFill="1"/>
    <xf numFmtId="0" fontId="113" fillId="0" borderId="6" xfId="1" applyFont="1" applyFill="1" applyBorder="1" applyAlignment="1">
      <alignment vertical="top"/>
    </xf>
    <xf numFmtId="49" fontId="15" fillId="4" borderId="6" xfId="1" applyNumberFormat="1" applyFont="1" applyFill="1" applyBorder="1" applyAlignment="1">
      <alignment horizontal="center" vertical="center"/>
    </xf>
    <xf numFmtId="0" fontId="15" fillId="0" borderId="6" xfId="1" applyFont="1" applyFill="1" applyBorder="1" applyAlignment="1">
      <alignment horizontal="left" vertical="top" wrapText="1"/>
    </xf>
    <xf numFmtId="0" fontId="50" fillId="0" borderId="6" xfId="0" applyFont="1" applyFill="1" applyBorder="1" applyAlignment="1">
      <alignment vertical="top"/>
    </xf>
    <xf numFmtId="0" fontId="6" fillId="0" borderId="1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/>
    </xf>
    <xf numFmtId="0" fontId="27" fillId="0" borderId="5" xfId="1" applyFont="1" applyFill="1" applyBorder="1" applyAlignment="1">
      <alignment horizontal="center" vertical="center" wrapText="1"/>
    </xf>
    <xf numFmtId="0" fontId="27" fillId="0" borderId="8" xfId="1" applyFont="1" applyFill="1" applyBorder="1" applyAlignment="1">
      <alignment horizontal="center" vertical="center" wrapText="1"/>
    </xf>
    <xf numFmtId="0" fontId="36" fillId="0" borderId="1" xfId="1" applyFont="1" applyFill="1" applyBorder="1" applyAlignment="1">
      <alignment horizontal="left" vertical="center"/>
    </xf>
    <xf numFmtId="0" fontId="36" fillId="0" borderId="7" xfId="1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center" vertical="top" wrapText="1"/>
    </xf>
    <xf numFmtId="0" fontId="9" fillId="0" borderId="7" xfId="1" applyFont="1" applyFill="1" applyBorder="1" applyAlignment="1">
      <alignment horizontal="center" vertical="top" wrapText="1"/>
    </xf>
    <xf numFmtId="1" fontId="9" fillId="0" borderId="0" xfId="1" applyNumberFormat="1" applyFont="1" applyFill="1" applyBorder="1" applyAlignment="1">
      <alignment horizontal="left" vertical="center"/>
    </xf>
    <xf numFmtId="0" fontId="85" fillId="0" borderId="0" xfId="0" applyFont="1" applyFill="1" applyAlignment="1">
      <alignment horizontal="left"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7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7" fillId="0" borderId="4" xfId="1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center" wrapText="1"/>
    </xf>
    <xf numFmtId="164" fontId="3" fillId="0" borderId="0" xfId="2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top" wrapText="1"/>
    </xf>
    <xf numFmtId="0" fontId="3" fillId="2" borderId="7" xfId="1" applyFont="1" applyFill="1" applyBorder="1" applyAlignment="1">
      <alignment horizontal="center" vertical="top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9" fillId="0" borderId="12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72" fillId="0" borderId="11" xfId="0" applyFont="1" applyBorder="1" applyAlignment="1">
      <alignment horizontal="center"/>
    </xf>
    <xf numFmtId="0" fontId="72" fillId="0" borderId="0" xfId="0" applyFont="1" applyAlignment="1">
      <alignment horizontal="center"/>
    </xf>
    <xf numFmtId="0" fontId="4" fillId="0" borderId="6" xfId="1" applyFont="1" applyFill="1" applyBorder="1" applyAlignment="1">
      <alignment horizontal="center" vertical="top" wrapText="1"/>
    </xf>
    <xf numFmtId="0" fontId="3" fillId="0" borderId="12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top"/>
    </xf>
    <xf numFmtId="0" fontId="3" fillId="0" borderId="7" xfId="1" applyFont="1" applyFill="1" applyBorder="1" applyAlignment="1">
      <alignment horizontal="left" vertical="top"/>
    </xf>
    <xf numFmtId="0" fontId="16" fillId="0" borderId="5" xfId="1" applyFont="1" applyFill="1" applyBorder="1" applyAlignment="1">
      <alignment horizontal="center" vertical="center" wrapText="1"/>
    </xf>
    <xf numFmtId="0" fontId="16" fillId="0" borderId="8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/>
    </xf>
    <xf numFmtId="0" fontId="7" fillId="0" borderId="7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center" vertical="top" wrapText="1"/>
    </xf>
    <xf numFmtId="0" fontId="3" fillId="0" borderId="7" xfId="1" applyFont="1" applyFill="1" applyBorder="1" applyAlignment="1">
      <alignment horizontal="center" vertical="top" wrapText="1"/>
    </xf>
    <xf numFmtId="1" fontId="3" fillId="0" borderId="0" xfId="1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9" fillId="0" borderId="1" xfId="1" applyFont="1" applyFill="1" applyBorder="1" applyAlignment="1">
      <alignment horizontal="left" vertical="top"/>
    </xf>
    <xf numFmtId="0" fontId="9" fillId="0" borderId="7" xfId="1" applyFont="1" applyFill="1" applyBorder="1" applyAlignment="1">
      <alignment horizontal="left" vertical="top"/>
    </xf>
    <xf numFmtId="0" fontId="71" fillId="0" borderId="13" xfId="0" applyFont="1" applyBorder="1" applyAlignment="1">
      <alignment horizontal="center"/>
    </xf>
    <xf numFmtId="0" fontId="71" fillId="0" borderId="14" xfId="0" applyFont="1" applyBorder="1" applyAlignment="1">
      <alignment horizontal="center"/>
    </xf>
    <xf numFmtId="0" fontId="71" fillId="0" borderId="15" xfId="0" applyFont="1" applyBorder="1" applyAlignment="1">
      <alignment horizontal="center"/>
    </xf>
    <xf numFmtId="0" fontId="9" fillId="0" borderId="1" xfId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  <xf numFmtId="1" fontId="9" fillId="0" borderId="12" xfId="1" applyNumberFormat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1" fontId="3" fillId="0" borderId="12" xfId="1" applyNumberFormat="1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</cellXfs>
  <cellStyles count="4">
    <cellStyle name="Денежный 2" xfId="2"/>
    <cellStyle name="Обычный" xfId="0" builtinId="0"/>
    <cellStyle name="Обычный 2" xfId="1"/>
    <cellStyle name="Финансовый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16203</xdr:colOff>
      <xdr:row>340</xdr:row>
      <xdr:rowOff>247</xdr:rowOff>
    </xdr:from>
    <xdr:to>
      <xdr:col>22</xdr:col>
      <xdr:colOff>22883</xdr:colOff>
      <xdr:row>340</xdr:row>
      <xdr:rowOff>190500</xdr:rowOff>
    </xdr:to>
    <xdr:sp macro="" textlink="">
      <xdr:nvSpPr>
        <xdr:cNvPr id="2" name="Правая круглая скобка 1"/>
        <xdr:cNvSpPr/>
      </xdr:nvSpPr>
      <xdr:spPr>
        <a:xfrm>
          <a:off x="32496453" y="116548147"/>
          <a:ext cx="6680" cy="190253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16203</xdr:colOff>
      <xdr:row>340</xdr:row>
      <xdr:rowOff>247</xdr:rowOff>
    </xdr:from>
    <xdr:to>
      <xdr:col>22</xdr:col>
      <xdr:colOff>22883</xdr:colOff>
      <xdr:row>340</xdr:row>
      <xdr:rowOff>190500</xdr:rowOff>
    </xdr:to>
    <xdr:sp macro="" textlink="">
      <xdr:nvSpPr>
        <xdr:cNvPr id="2" name="Правая круглая скобка 1"/>
        <xdr:cNvSpPr/>
      </xdr:nvSpPr>
      <xdr:spPr>
        <a:xfrm>
          <a:off x="32496453" y="116548147"/>
          <a:ext cx="6680" cy="190253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16203</xdr:colOff>
      <xdr:row>340</xdr:row>
      <xdr:rowOff>247</xdr:rowOff>
    </xdr:from>
    <xdr:to>
      <xdr:col>22</xdr:col>
      <xdr:colOff>22883</xdr:colOff>
      <xdr:row>340</xdr:row>
      <xdr:rowOff>190500</xdr:rowOff>
    </xdr:to>
    <xdr:sp macro="" textlink="">
      <xdr:nvSpPr>
        <xdr:cNvPr id="2" name="Правая круглая скобка 1"/>
        <xdr:cNvSpPr/>
      </xdr:nvSpPr>
      <xdr:spPr>
        <a:xfrm>
          <a:off x="32496453" y="115957597"/>
          <a:ext cx="6680" cy="190253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16203</xdr:colOff>
      <xdr:row>340</xdr:row>
      <xdr:rowOff>247</xdr:rowOff>
    </xdr:from>
    <xdr:to>
      <xdr:col>22</xdr:col>
      <xdr:colOff>22883</xdr:colOff>
      <xdr:row>340</xdr:row>
      <xdr:rowOff>190500</xdr:rowOff>
    </xdr:to>
    <xdr:sp macro="" textlink="">
      <xdr:nvSpPr>
        <xdr:cNvPr id="2" name="Правая круглая скобка 1"/>
        <xdr:cNvSpPr/>
      </xdr:nvSpPr>
      <xdr:spPr>
        <a:xfrm>
          <a:off x="35820678" y="115967122"/>
          <a:ext cx="6680" cy="190253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16203</xdr:colOff>
      <xdr:row>340</xdr:row>
      <xdr:rowOff>247</xdr:rowOff>
    </xdr:from>
    <xdr:to>
      <xdr:col>22</xdr:col>
      <xdr:colOff>22883</xdr:colOff>
      <xdr:row>340</xdr:row>
      <xdr:rowOff>190500</xdr:rowOff>
    </xdr:to>
    <xdr:sp macro="" textlink="">
      <xdr:nvSpPr>
        <xdr:cNvPr id="2" name="Правая круглая скобка 1"/>
        <xdr:cNvSpPr/>
      </xdr:nvSpPr>
      <xdr:spPr>
        <a:xfrm>
          <a:off x="35258703" y="115967122"/>
          <a:ext cx="6680" cy="190253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16203</xdr:colOff>
      <xdr:row>340</xdr:row>
      <xdr:rowOff>247</xdr:rowOff>
    </xdr:from>
    <xdr:to>
      <xdr:col>22</xdr:col>
      <xdr:colOff>22883</xdr:colOff>
      <xdr:row>340</xdr:row>
      <xdr:rowOff>190500</xdr:rowOff>
    </xdr:to>
    <xdr:sp macro="" textlink="">
      <xdr:nvSpPr>
        <xdr:cNvPr id="2" name="Правая круглая скобка 1"/>
        <xdr:cNvSpPr/>
      </xdr:nvSpPr>
      <xdr:spPr>
        <a:xfrm>
          <a:off x="34172853" y="116929147"/>
          <a:ext cx="6680" cy="190253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16203</xdr:colOff>
      <xdr:row>340</xdr:row>
      <xdr:rowOff>247</xdr:rowOff>
    </xdr:from>
    <xdr:to>
      <xdr:col>22</xdr:col>
      <xdr:colOff>22883</xdr:colOff>
      <xdr:row>340</xdr:row>
      <xdr:rowOff>190500</xdr:rowOff>
    </xdr:to>
    <xdr:sp macro="" textlink="">
      <xdr:nvSpPr>
        <xdr:cNvPr id="2" name="Правая круглая скобка 1"/>
        <xdr:cNvSpPr/>
      </xdr:nvSpPr>
      <xdr:spPr>
        <a:xfrm>
          <a:off x="33829953" y="116938672"/>
          <a:ext cx="6680" cy="190253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747"/>
  <sheetViews>
    <sheetView zoomScale="55" zoomScaleNormal="55" workbookViewId="0">
      <pane xSplit="1" ySplit="6" topLeftCell="B311" activePane="bottomRight" state="frozen"/>
      <selection pane="topRight" activeCell="B1" sqref="B1"/>
      <selection pane="bottomLeft" activeCell="A7" sqref="A7"/>
      <selection pane="bottomRight" activeCell="V168" sqref="B168:V168"/>
    </sheetView>
  </sheetViews>
  <sheetFormatPr defaultRowHeight="15"/>
  <cols>
    <col min="1" max="1" width="0.28515625" style="1" customWidth="1"/>
    <col min="2" max="2" width="75.85546875" style="2" customWidth="1"/>
    <col min="3" max="3" width="26.28515625" style="1" customWidth="1"/>
    <col min="4" max="4" width="23.42578125" style="1" customWidth="1"/>
    <col min="5" max="5" width="19" style="1" customWidth="1"/>
    <col min="6" max="6" width="20.28515625" style="1" customWidth="1"/>
    <col min="7" max="7" width="19.42578125" style="1" customWidth="1"/>
    <col min="8" max="8" width="27.28515625" style="1" customWidth="1"/>
    <col min="9" max="9" width="16.140625" style="1" customWidth="1"/>
    <col min="10" max="10" width="0.28515625" style="1" hidden="1" customWidth="1"/>
    <col min="11" max="11" width="28.85546875" style="1" hidden="1" customWidth="1"/>
    <col min="12" max="12" width="29.5703125" style="1" hidden="1" customWidth="1"/>
    <col min="13" max="13" width="27.85546875" style="1" hidden="1" customWidth="1"/>
    <col min="14" max="14" width="28" style="1" hidden="1" customWidth="1"/>
    <col min="15" max="15" width="27.85546875" style="1" customWidth="1"/>
    <col min="16" max="16" width="28.5703125" style="1" customWidth="1"/>
    <col min="17" max="17" width="0.140625" style="1" customWidth="1"/>
    <col min="18" max="18" width="38.85546875" style="1" hidden="1" customWidth="1"/>
    <col min="19" max="19" width="11.42578125" style="1" customWidth="1"/>
    <col min="20" max="20" width="25.28515625" style="1" customWidth="1"/>
    <col min="21" max="21" width="27.85546875" style="3" customWidth="1"/>
    <col min="22" max="22" width="138" style="4" customWidth="1"/>
    <col min="23" max="23" width="26" style="1" customWidth="1"/>
    <col min="24" max="24" width="16.7109375" style="1" customWidth="1"/>
    <col min="25" max="25" width="15.42578125" style="1" customWidth="1"/>
    <col min="26" max="26" width="10.5703125" style="1" bestFit="1" customWidth="1"/>
    <col min="27" max="16384" width="9.140625" style="1"/>
  </cols>
  <sheetData>
    <row r="1" spans="1:62" ht="25.5" customHeight="1"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810"/>
      <c r="AR1" s="810"/>
      <c r="AS1" s="810"/>
      <c r="AT1" s="810"/>
      <c r="AU1" s="810"/>
      <c r="AV1" s="810"/>
      <c r="AW1" s="810"/>
      <c r="AX1" s="810"/>
      <c r="AY1" s="810"/>
      <c r="AZ1" s="810"/>
      <c r="BA1" s="810"/>
      <c r="BB1" s="810"/>
      <c r="BC1" s="810"/>
      <c r="BD1" s="810"/>
      <c r="BE1" s="810"/>
      <c r="BF1" s="810"/>
      <c r="BG1" s="810"/>
      <c r="BH1" s="810"/>
      <c r="BI1" s="810"/>
      <c r="BJ1" s="810"/>
    </row>
    <row r="2" spans="1:62" ht="25.5">
      <c r="B2" s="5" t="s">
        <v>0</v>
      </c>
    </row>
    <row r="3" spans="1:62" ht="25.5" customHeight="1">
      <c r="A3" s="811" t="s">
        <v>790</v>
      </c>
      <c r="B3" s="811"/>
      <c r="C3" s="811"/>
      <c r="D3" s="811"/>
      <c r="E3" s="811"/>
      <c r="F3" s="811"/>
      <c r="G3" s="811"/>
      <c r="H3" s="811"/>
      <c r="I3" s="811"/>
      <c r="J3" s="811"/>
      <c r="K3" s="811"/>
      <c r="L3" s="811"/>
      <c r="M3" s="811"/>
      <c r="N3" s="811"/>
      <c r="O3" s="811"/>
      <c r="P3" s="811"/>
      <c r="Q3" s="811"/>
      <c r="R3" s="811"/>
      <c r="S3" s="811"/>
      <c r="T3" s="811"/>
      <c r="U3" s="535"/>
      <c r="V3" s="6"/>
      <c r="W3" s="7"/>
      <c r="X3" s="7"/>
      <c r="Y3" s="7"/>
      <c r="Z3" s="7"/>
      <c r="AA3" s="7"/>
      <c r="AB3" s="7"/>
      <c r="AC3" s="7"/>
    </row>
    <row r="4" spans="1:62" ht="25.5" customHeight="1">
      <c r="A4" s="812"/>
      <c r="B4" s="814" t="s">
        <v>1</v>
      </c>
      <c r="C4" s="816" t="s">
        <v>2</v>
      </c>
      <c r="D4" s="816" t="s">
        <v>3</v>
      </c>
      <c r="E4" s="818" t="s">
        <v>4</v>
      </c>
      <c r="F4" s="819"/>
      <c r="G4" s="820"/>
      <c r="H4" s="816" t="s">
        <v>5</v>
      </c>
      <c r="I4" s="816" t="s">
        <v>6</v>
      </c>
      <c r="J4" s="8"/>
      <c r="K4" s="9"/>
      <c r="L4" s="9"/>
      <c r="M4" s="9"/>
      <c r="N4" s="9"/>
      <c r="O4" s="816" t="s">
        <v>7</v>
      </c>
      <c r="P4" s="816" t="s">
        <v>8</v>
      </c>
      <c r="Q4" s="10"/>
      <c r="R4" s="11"/>
      <c r="S4" s="816" t="s">
        <v>9</v>
      </c>
      <c r="T4" s="816" t="s">
        <v>2</v>
      </c>
      <c r="U4" s="12"/>
      <c r="V4" s="13"/>
      <c r="W4" s="14"/>
      <c r="X4" s="7"/>
      <c r="Y4" s="7"/>
      <c r="Z4" s="7"/>
      <c r="AA4" s="7"/>
      <c r="AB4" s="7"/>
      <c r="AC4" s="7"/>
      <c r="AD4" s="7"/>
    </row>
    <row r="5" spans="1:62" ht="76.5" customHeight="1">
      <c r="A5" s="813"/>
      <c r="B5" s="815"/>
      <c r="C5" s="817"/>
      <c r="D5" s="817"/>
      <c r="E5" s="15" t="s">
        <v>10</v>
      </c>
      <c r="F5" s="15" t="s">
        <v>11</v>
      </c>
      <c r="G5" s="15" t="s">
        <v>12</v>
      </c>
      <c r="H5" s="817"/>
      <c r="I5" s="817"/>
      <c r="J5" s="8"/>
      <c r="K5" s="9"/>
      <c r="L5" s="9"/>
      <c r="M5" s="9"/>
      <c r="N5" s="9"/>
      <c r="O5" s="817"/>
      <c r="P5" s="817"/>
      <c r="Q5" s="10"/>
      <c r="R5" s="16"/>
      <c r="S5" s="817"/>
      <c r="T5" s="817"/>
      <c r="U5" s="17" t="s">
        <v>13</v>
      </c>
      <c r="V5" s="18" t="s">
        <v>14</v>
      </c>
      <c r="W5" s="14"/>
      <c r="X5" s="7"/>
      <c r="Y5" s="7"/>
      <c r="Z5" s="7"/>
      <c r="AA5" s="7"/>
      <c r="AB5" s="7"/>
      <c r="AC5" s="7"/>
    </row>
    <row r="6" spans="1:62" ht="25.5">
      <c r="A6" s="19" t="s">
        <v>15</v>
      </c>
      <c r="B6" s="20">
        <v>2</v>
      </c>
      <c r="C6" s="19">
        <v>3</v>
      </c>
      <c r="D6" s="19">
        <v>4</v>
      </c>
      <c r="E6" s="19">
        <v>5</v>
      </c>
      <c r="F6" s="19">
        <v>6</v>
      </c>
      <c r="G6" s="19">
        <v>7</v>
      </c>
      <c r="H6" s="19">
        <v>8</v>
      </c>
      <c r="I6" s="19">
        <v>9</v>
      </c>
      <c r="J6" s="21"/>
      <c r="K6" s="22"/>
      <c r="L6" s="22"/>
      <c r="M6" s="22"/>
      <c r="N6" s="22"/>
      <c r="O6" s="19">
        <v>10</v>
      </c>
      <c r="P6" s="19">
        <v>11</v>
      </c>
      <c r="Q6" s="7"/>
      <c r="R6" s="23">
        <v>12</v>
      </c>
      <c r="S6" s="19">
        <v>13</v>
      </c>
      <c r="T6" s="19">
        <v>14</v>
      </c>
      <c r="U6" s="24"/>
      <c r="V6" s="25"/>
      <c r="W6" s="14"/>
      <c r="X6" s="7"/>
      <c r="Y6" s="7"/>
      <c r="Z6" s="7"/>
      <c r="AA6" s="7"/>
      <c r="AB6" s="7"/>
      <c r="AC6" s="7"/>
    </row>
    <row r="7" spans="1:62" ht="26.25">
      <c r="A7" s="19"/>
      <c r="B7" s="26" t="s">
        <v>16</v>
      </c>
      <c r="C7" s="19"/>
      <c r="D7" s="539"/>
      <c r="E7" s="19"/>
      <c r="F7" s="19"/>
      <c r="G7" s="19"/>
      <c r="H7" s="19"/>
      <c r="I7" s="19"/>
      <c r="J7" s="21"/>
      <c r="K7" s="22"/>
      <c r="L7" s="22"/>
      <c r="M7" s="22"/>
      <c r="N7" s="22"/>
      <c r="O7" s="19"/>
      <c r="P7" s="19"/>
      <c r="Q7" s="7"/>
      <c r="R7" s="23"/>
      <c r="S7" s="19"/>
      <c r="T7" s="19"/>
      <c r="U7" s="24"/>
      <c r="V7" s="25"/>
      <c r="W7" s="14"/>
      <c r="X7" s="7"/>
      <c r="Y7" s="7"/>
      <c r="Z7" s="7"/>
      <c r="AA7" s="7"/>
      <c r="AB7" s="7"/>
      <c r="AC7" s="7"/>
    </row>
    <row r="8" spans="1:62" ht="25.5">
      <c r="A8" s="19"/>
      <c r="B8" s="27" t="s">
        <v>17</v>
      </c>
      <c r="C8" s="28">
        <f>H8+E8</f>
        <v>5243</v>
      </c>
      <c r="D8" s="28"/>
      <c r="E8" s="28">
        <v>0</v>
      </c>
      <c r="F8" s="28">
        <v>0</v>
      </c>
      <c r="G8" s="28">
        <v>0</v>
      </c>
      <c r="H8" s="28">
        <f>T8+T9</f>
        <v>5243</v>
      </c>
      <c r="I8" s="28">
        <f>0.4*C8</f>
        <v>2097.2000000000003</v>
      </c>
      <c r="J8" s="346"/>
      <c r="K8" s="346"/>
      <c r="L8" s="346"/>
      <c r="M8" s="347"/>
      <c r="N8" s="29"/>
      <c r="O8" s="28">
        <v>592515</v>
      </c>
      <c r="P8" s="28">
        <v>596469</v>
      </c>
      <c r="Q8" s="30"/>
      <c r="R8" s="348"/>
      <c r="S8" s="28">
        <v>1</v>
      </c>
      <c r="T8" s="28">
        <f>(P8-O8)*S8</f>
        <v>3954</v>
      </c>
      <c r="U8" s="31">
        <v>108076</v>
      </c>
      <c r="V8" s="540" t="s">
        <v>18</v>
      </c>
      <c r="W8" s="14" t="s">
        <v>19</v>
      </c>
      <c r="X8" s="7"/>
      <c r="Y8" s="7"/>
      <c r="Z8" s="7"/>
      <c r="AA8" s="7"/>
      <c r="AB8" s="7"/>
      <c r="AC8" s="7"/>
    </row>
    <row r="9" spans="1:62" ht="25.5">
      <c r="A9" s="19"/>
      <c r="B9" s="27"/>
      <c r="C9" s="28"/>
      <c r="D9" s="28"/>
      <c r="E9" s="28"/>
      <c r="F9" s="28"/>
      <c r="G9" s="28"/>
      <c r="H9" s="28"/>
      <c r="I9" s="28"/>
      <c r="J9" s="346"/>
      <c r="K9" s="346"/>
      <c r="L9" s="346"/>
      <c r="M9" s="346"/>
      <c r="N9" s="29"/>
      <c r="O9" s="349">
        <v>272839</v>
      </c>
      <c r="P9" s="349">
        <v>274128</v>
      </c>
      <c r="Q9" s="30"/>
      <c r="R9" s="350"/>
      <c r="S9" s="349">
        <v>1</v>
      </c>
      <c r="T9" s="28">
        <f>(P9-O9)*S9</f>
        <v>1289</v>
      </c>
      <c r="U9" s="31">
        <v>108093</v>
      </c>
      <c r="V9" s="540"/>
      <c r="W9" s="14" t="s">
        <v>19</v>
      </c>
      <c r="X9" s="7"/>
      <c r="Y9" s="7"/>
      <c r="Z9" s="7"/>
      <c r="AA9" s="7"/>
      <c r="AB9" s="7"/>
      <c r="AC9" s="7"/>
    </row>
    <row r="10" spans="1:62" ht="25.5">
      <c r="A10" s="19"/>
      <c r="B10" s="27" t="s">
        <v>20</v>
      </c>
      <c r="C10" s="28">
        <f>H10+E10</f>
        <v>18157.999999999996</v>
      </c>
      <c r="D10" s="28"/>
      <c r="E10" s="28">
        <f>F10+G10</f>
        <v>0</v>
      </c>
      <c r="F10" s="28">
        <v>0</v>
      </c>
      <c r="G10" s="28">
        <v>0</v>
      </c>
      <c r="H10" s="28">
        <f>T10+T11</f>
        <v>18157.999999999996</v>
      </c>
      <c r="I10" s="28">
        <f>0.4*C10</f>
        <v>7263.1999999999989</v>
      </c>
      <c r="J10" s="346"/>
      <c r="K10" s="346"/>
      <c r="L10" s="346"/>
      <c r="M10" s="346"/>
      <c r="N10" s="29"/>
      <c r="O10" s="349">
        <v>4761.2</v>
      </c>
      <c r="P10" s="349">
        <v>5572.4</v>
      </c>
      <c r="Q10" s="30"/>
      <c r="R10" s="351"/>
      <c r="S10" s="349">
        <v>15</v>
      </c>
      <c r="T10" s="28">
        <f>(P10-O10)*S10</f>
        <v>12167.999999999996</v>
      </c>
      <c r="U10" s="31">
        <v>798111</v>
      </c>
      <c r="V10" s="540" t="s">
        <v>21</v>
      </c>
      <c r="W10" s="14" t="s">
        <v>22</v>
      </c>
      <c r="X10" s="7"/>
      <c r="Y10" s="7"/>
      <c r="Z10" s="7"/>
      <c r="AA10" s="7"/>
      <c r="AB10" s="7"/>
      <c r="AC10" s="7"/>
    </row>
    <row r="11" spans="1:62" ht="25.5">
      <c r="A11" s="19"/>
      <c r="B11" s="27" t="s">
        <v>23</v>
      </c>
      <c r="C11" s="28"/>
      <c r="D11" s="28"/>
      <c r="E11" s="28"/>
      <c r="F11" s="28"/>
      <c r="G11" s="28"/>
      <c r="H11" s="28"/>
      <c r="I11" s="28"/>
      <c r="J11" s="346"/>
      <c r="K11" s="346"/>
      <c r="L11" s="346"/>
      <c r="M11" s="346"/>
      <c r="N11" s="29"/>
      <c r="O11" s="349">
        <v>43881</v>
      </c>
      <c r="P11" s="349">
        <v>49871</v>
      </c>
      <c r="Q11" s="30"/>
      <c r="R11" s="351"/>
      <c r="S11" s="349">
        <v>1</v>
      </c>
      <c r="T11" s="28">
        <f>(P11-O11)*S11</f>
        <v>5990</v>
      </c>
      <c r="U11" s="31">
        <v>16029</v>
      </c>
      <c r="V11" s="540" t="s">
        <v>24</v>
      </c>
      <c r="W11" s="14" t="s">
        <v>22</v>
      </c>
      <c r="X11" s="7"/>
      <c r="Y11" s="7"/>
      <c r="Z11" s="7"/>
      <c r="AA11" s="7"/>
      <c r="AB11" s="7"/>
      <c r="AC11" s="7"/>
    </row>
    <row r="12" spans="1:62" s="42" customFormat="1" ht="25.5">
      <c r="A12" s="32"/>
      <c r="B12" s="352"/>
      <c r="C12" s="43"/>
      <c r="D12" s="43"/>
      <c r="E12" s="43"/>
      <c r="F12" s="43"/>
      <c r="G12" s="43"/>
      <c r="H12" s="43"/>
      <c r="I12" s="43"/>
      <c r="J12" s="353"/>
      <c r="K12" s="354"/>
      <c r="L12" s="354"/>
      <c r="M12" s="355"/>
      <c r="N12" s="355"/>
      <c r="O12" s="43"/>
      <c r="P12" s="43"/>
      <c r="Q12" s="356"/>
      <c r="R12" s="356"/>
      <c r="S12" s="43"/>
      <c r="T12" s="43"/>
      <c r="U12" s="55"/>
      <c r="V12" s="44"/>
      <c r="W12" s="40"/>
      <c r="X12" s="41"/>
      <c r="Y12" s="41"/>
      <c r="Z12" s="41"/>
      <c r="AA12" s="41"/>
      <c r="AB12" s="41"/>
      <c r="AC12" s="41"/>
    </row>
    <row r="13" spans="1:62" s="42" customFormat="1" ht="25.5" customHeight="1">
      <c r="A13" s="32"/>
      <c r="B13" s="352" t="s">
        <v>25</v>
      </c>
      <c r="C13" s="43">
        <f>(C98-C46-C14-C95-C96)</f>
        <v>3254.4599999997808</v>
      </c>
      <c r="D13" s="500"/>
      <c r="E13" s="500"/>
      <c r="F13" s="500"/>
      <c r="G13" s="500"/>
      <c r="H13" s="500"/>
      <c r="I13" s="500"/>
      <c r="J13" s="517"/>
      <c r="K13" s="518"/>
      <c r="L13" s="518"/>
      <c r="M13" s="519"/>
      <c r="N13" s="519"/>
      <c r="O13" s="500"/>
      <c r="P13" s="500"/>
      <c r="Q13" s="520"/>
      <c r="R13" s="520"/>
      <c r="S13" s="500"/>
      <c r="T13" s="500"/>
      <c r="U13" s="507" t="s">
        <v>773</v>
      </c>
      <c r="V13" s="44"/>
      <c r="W13" s="40"/>
      <c r="X13" s="45"/>
      <c r="Y13" s="45"/>
      <c r="Z13" s="45"/>
      <c r="AA13" s="45"/>
      <c r="AB13" s="45"/>
      <c r="AC13" s="41"/>
    </row>
    <row r="14" spans="1:62" ht="25.5">
      <c r="A14" s="19"/>
      <c r="B14" s="357" t="s">
        <v>791</v>
      </c>
      <c r="C14" s="28">
        <f>H14</f>
        <v>18894</v>
      </c>
      <c r="D14" s="28"/>
      <c r="E14" s="28">
        <v>0</v>
      </c>
      <c r="F14" s="28">
        <v>0</v>
      </c>
      <c r="G14" s="28">
        <v>0</v>
      </c>
      <c r="H14" s="28">
        <f>T14</f>
        <v>18894</v>
      </c>
      <c r="I14" s="28">
        <f>0.4*C14</f>
        <v>7557.6</v>
      </c>
      <c r="J14" s="46" t="s">
        <v>15</v>
      </c>
      <c r="K14" s="46"/>
      <c r="L14" s="46"/>
      <c r="M14" s="29"/>
      <c r="N14" s="29"/>
      <c r="O14" s="28">
        <v>1456.3</v>
      </c>
      <c r="P14" s="28">
        <v>2401</v>
      </c>
      <c r="Q14" s="348" t="s">
        <v>26</v>
      </c>
      <c r="R14" s="348"/>
      <c r="S14" s="28">
        <v>20</v>
      </c>
      <c r="T14" s="28">
        <f>(P14-O14)*S14</f>
        <v>18894</v>
      </c>
      <c r="U14" s="31">
        <v>182341</v>
      </c>
      <c r="V14" s="540" t="s">
        <v>27</v>
      </c>
      <c r="W14" s="47" t="s">
        <v>27</v>
      </c>
      <c r="X14" s="48"/>
      <c r="Y14" s="48"/>
      <c r="Z14" s="48"/>
      <c r="AA14" s="48"/>
      <c r="AB14" s="48"/>
      <c r="AC14" s="7"/>
    </row>
    <row r="15" spans="1:62" s="42" customFormat="1" ht="28.5" customHeight="1">
      <c r="A15" s="32"/>
      <c r="B15" s="493"/>
      <c r="C15" s="43"/>
      <c r="D15" s="43"/>
      <c r="E15" s="43"/>
      <c r="F15" s="43"/>
      <c r="G15" s="43"/>
      <c r="H15" s="43"/>
      <c r="I15" s="43"/>
      <c r="J15" s="354"/>
      <c r="K15" s="354"/>
      <c r="L15" s="354"/>
      <c r="M15" s="355"/>
      <c r="N15" s="355"/>
      <c r="O15" s="43"/>
      <c r="P15" s="43"/>
      <c r="Q15" s="359"/>
      <c r="R15" s="359"/>
      <c r="S15" s="43"/>
      <c r="T15" s="43"/>
      <c r="U15" s="55"/>
      <c r="V15" s="44"/>
      <c r="W15" s="40"/>
      <c r="X15" s="45"/>
      <c r="Y15" s="45"/>
      <c r="Z15" s="45"/>
      <c r="AA15" s="45"/>
      <c r="AB15" s="45"/>
      <c r="AC15" s="41"/>
    </row>
    <row r="16" spans="1:62" ht="33" customHeight="1">
      <c r="A16" s="19"/>
      <c r="B16" s="27" t="s">
        <v>792</v>
      </c>
      <c r="C16" s="28">
        <f t="shared" ref="C16:C22" si="0">H16+E16</f>
        <v>1234.78</v>
      </c>
      <c r="D16" s="28"/>
      <c r="E16" s="28">
        <f>F16+G16</f>
        <v>80.78</v>
      </c>
      <c r="F16" s="28">
        <f>0.04*H16</f>
        <v>46.160000000000004</v>
      </c>
      <c r="G16" s="28">
        <f>0.03*H16</f>
        <v>34.619999999999997</v>
      </c>
      <c r="H16" s="28">
        <f>T16</f>
        <v>1154</v>
      </c>
      <c r="I16" s="28">
        <f>0.6*C16</f>
        <v>740.86799999999994</v>
      </c>
      <c r="J16" s="29"/>
      <c r="K16" s="29"/>
      <c r="L16" s="29"/>
      <c r="M16" s="29"/>
      <c r="N16" s="29"/>
      <c r="O16" s="28">
        <v>48609</v>
      </c>
      <c r="P16" s="28">
        <v>49763</v>
      </c>
      <c r="Q16" s="30"/>
      <c r="R16" s="358"/>
      <c r="S16" s="54">
        <v>1</v>
      </c>
      <c r="T16" s="28">
        <f>(P16-O16)*S16</f>
        <v>1154</v>
      </c>
      <c r="U16" s="31">
        <v>84036</v>
      </c>
      <c r="V16" s="540" t="s">
        <v>30</v>
      </c>
      <c r="W16" s="14" t="s">
        <v>31</v>
      </c>
      <c r="X16" s="48"/>
      <c r="Y16" s="48"/>
      <c r="Z16" s="48"/>
      <c r="AA16" s="48"/>
      <c r="AB16" s="48"/>
      <c r="AC16" s="7"/>
    </row>
    <row r="17" spans="1:29" ht="30" customHeight="1">
      <c r="A17" s="19"/>
      <c r="B17" s="352" t="s">
        <v>32</v>
      </c>
      <c r="C17" s="43">
        <f t="shared" si="0"/>
        <v>18309</v>
      </c>
      <c r="D17" s="43"/>
      <c r="E17" s="43"/>
      <c r="F17" s="43"/>
      <c r="G17" s="43"/>
      <c r="H17" s="43">
        <f>T17</f>
        <v>18309</v>
      </c>
      <c r="I17" s="43">
        <f>0.2*C17</f>
        <v>3661.8</v>
      </c>
      <c r="J17" s="354"/>
      <c r="K17" s="354"/>
      <c r="L17" s="354"/>
      <c r="M17" s="355"/>
      <c r="N17" s="355"/>
      <c r="O17" s="43">
        <v>558843</v>
      </c>
      <c r="P17" s="43">
        <v>577152</v>
      </c>
      <c r="Q17" s="359" t="s">
        <v>33</v>
      </c>
      <c r="R17" s="359"/>
      <c r="S17" s="43">
        <v>1</v>
      </c>
      <c r="T17" s="43">
        <f>P17-O17</f>
        <v>18309</v>
      </c>
      <c r="U17" s="55">
        <v>2648</v>
      </c>
      <c r="V17" s="44" t="s">
        <v>34</v>
      </c>
      <c r="W17" s="14" t="s">
        <v>35</v>
      </c>
      <c r="X17" s="48"/>
      <c r="Y17" s="48"/>
      <c r="Z17" s="48"/>
      <c r="AA17" s="48"/>
      <c r="AB17" s="48"/>
      <c r="AC17" s="7"/>
    </row>
    <row r="18" spans="1:29" ht="28.5" customHeight="1">
      <c r="A18" s="19"/>
      <c r="B18" s="27" t="s">
        <v>36</v>
      </c>
      <c r="C18" s="28">
        <f t="shared" si="0"/>
        <v>307.93999999999869</v>
      </c>
      <c r="D18" s="28"/>
      <c r="E18" s="28">
        <f>F18+G18</f>
        <v>0</v>
      </c>
      <c r="F18" s="28">
        <v>0</v>
      </c>
      <c r="G18" s="28">
        <v>0</v>
      </c>
      <c r="H18" s="28">
        <f>T18</f>
        <v>307.93999999999869</v>
      </c>
      <c r="I18" s="28">
        <f>T20</f>
        <v>0</v>
      </c>
      <c r="J18" s="29"/>
      <c r="K18" s="46"/>
      <c r="L18" s="46"/>
      <c r="M18" s="29"/>
      <c r="N18" s="29"/>
      <c r="O18" s="360">
        <v>849.23599999999999</v>
      </c>
      <c r="P18" s="360">
        <v>856.93449999999996</v>
      </c>
      <c r="Q18" s="348" t="s">
        <v>37</v>
      </c>
      <c r="R18" s="348"/>
      <c r="S18" s="28">
        <v>40</v>
      </c>
      <c r="T18" s="28">
        <f>(P18-O18)*S18</f>
        <v>307.93999999999869</v>
      </c>
      <c r="U18" s="31">
        <v>28377662</v>
      </c>
      <c r="V18" s="540" t="s">
        <v>38</v>
      </c>
      <c r="W18" s="14"/>
      <c r="X18" s="48"/>
      <c r="Y18" s="48"/>
      <c r="Z18" s="48"/>
      <c r="AA18" s="48"/>
      <c r="AB18" s="48"/>
      <c r="AC18" s="7"/>
    </row>
    <row r="19" spans="1:29" ht="28.5" customHeight="1">
      <c r="A19" s="19"/>
      <c r="B19" s="63" t="s">
        <v>36</v>
      </c>
      <c r="C19" s="49">
        <f t="shared" si="0"/>
        <v>0</v>
      </c>
      <c r="D19" s="49"/>
      <c r="E19" s="49">
        <f>F19+G19</f>
        <v>0</v>
      </c>
      <c r="F19" s="49"/>
      <c r="G19" s="49"/>
      <c r="H19" s="49"/>
      <c r="I19" s="49"/>
      <c r="J19" s="51"/>
      <c r="K19" s="50"/>
      <c r="L19" s="50"/>
      <c r="M19" s="51"/>
      <c r="N19" s="51"/>
      <c r="O19" s="49">
        <v>0.95</v>
      </c>
      <c r="P19" s="49">
        <v>0.95</v>
      </c>
      <c r="Q19" s="52"/>
      <c r="R19" s="52"/>
      <c r="S19" s="49">
        <v>40</v>
      </c>
      <c r="T19" s="49">
        <f>(P19-O19)*S19</f>
        <v>0</v>
      </c>
      <c r="U19" s="53">
        <v>28392412</v>
      </c>
      <c r="V19" s="64" t="s">
        <v>39</v>
      </c>
      <c r="W19" s="14"/>
      <c r="X19" s="48"/>
      <c r="Y19" s="48"/>
      <c r="Z19" s="48"/>
      <c r="AA19" s="48"/>
      <c r="AB19" s="48"/>
      <c r="AC19" s="7"/>
    </row>
    <row r="20" spans="1:29" ht="31.5" customHeight="1">
      <c r="A20" s="19"/>
      <c r="B20" s="27" t="s">
        <v>40</v>
      </c>
      <c r="C20" s="28">
        <f t="shared" si="0"/>
        <v>0</v>
      </c>
      <c r="D20" s="28"/>
      <c r="E20" s="28">
        <f>F20+G20</f>
        <v>0</v>
      </c>
      <c r="F20" s="28">
        <f>0.04*H20</f>
        <v>0</v>
      </c>
      <c r="G20" s="28">
        <f>0.03*H20</f>
        <v>0</v>
      </c>
      <c r="H20" s="28">
        <f>T20</f>
        <v>0</v>
      </c>
      <c r="I20" s="28">
        <f>0.6*C20</f>
        <v>0</v>
      </c>
      <c r="J20" s="29"/>
      <c r="K20" s="29"/>
      <c r="L20" s="29"/>
      <c r="M20" s="29"/>
      <c r="N20" s="29"/>
      <c r="O20" s="28">
        <f>13159+2088+1399</f>
        <v>16646</v>
      </c>
      <c r="P20" s="28">
        <f>13159+2088+1399</f>
        <v>16646</v>
      </c>
      <c r="Q20" s="30"/>
      <c r="R20" s="358"/>
      <c r="S20" s="54">
        <v>1</v>
      </c>
      <c r="T20" s="28">
        <f>(P20-O20)*S20</f>
        <v>0</v>
      </c>
      <c r="U20" s="31" t="s">
        <v>41</v>
      </c>
      <c r="V20" s="540" t="s">
        <v>42</v>
      </c>
      <c r="W20" s="14" t="s">
        <v>43</v>
      </c>
      <c r="X20" s="48"/>
      <c r="Y20" s="48"/>
      <c r="Z20" s="48"/>
      <c r="AA20" s="48"/>
      <c r="AB20" s="48"/>
      <c r="AC20" s="7"/>
    </row>
    <row r="21" spans="1:29" ht="31.5" customHeight="1">
      <c r="A21" s="19"/>
      <c r="B21" s="27" t="s">
        <v>44</v>
      </c>
      <c r="C21" s="28">
        <f t="shared" si="0"/>
        <v>15284</v>
      </c>
      <c r="D21" s="28"/>
      <c r="E21" s="28">
        <v>0</v>
      </c>
      <c r="F21" s="28">
        <v>0</v>
      </c>
      <c r="G21" s="28">
        <v>0</v>
      </c>
      <c r="H21" s="28">
        <f>T21</f>
        <v>15284</v>
      </c>
      <c r="I21" s="28">
        <f t="shared" ref="I21:I28" si="1">0.4*C21</f>
        <v>6113.6</v>
      </c>
      <c r="J21" s="29"/>
      <c r="K21" s="46"/>
      <c r="L21" s="46"/>
      <c r="M21" s="29"/>
      <c r="N21" s="29"/>
      <c r="O21" s="28">
        <v>1126.2</v>
      </c>
      <c r="P21" s="28">
        <v>1890.4</v>
      </c>
      <c r="Q21" s="61"/>
      <c r="R21" s="61"/>
      <c r="S21" s="28">
        <v>20</v>
      </c>
      <c r="T21" s="28">
        <f>(P21-O21)*S21</f>
        <v>15284</v>
      </c>
      <c r="U21" s="31">
        <v>88154</v>
      </c>
      <c r="V21" s="540" t="s">
        <v>45</v>
      </c>
      <c r="W21" s="14" t="s">
        <v>31</v>
      </c>
      <c r="X21" s="48"/>
      <c r="Y21" s="48"/>
      <c r="Z21" s="48"/>
      <c r="AA21" s="48"/>
      <c r="AB21" s="48"/>
      <c r="AC21" s="7"/>
    </row>
    <row r="22" spans="1:29" s="42" customFormat="1" ht="24" customHeight="1">
      <c r="A22" s="32"/>
      <c r="B22" s="62" t="s">
        <v>46</v>
      </c>
      <c r="C22" s="28">
        <f t="shared" si="0"/>
        <v>206.51</v>
      </c>
      <c r="D22" s="28"/>
      <c r="E22" s="28">
        <f>F22+G22</f>
        <v>13.51</v>
      </c>
      <c r="F22" s="28">
        <f>0.04*H22</f>
        <v>7.72</v>
      </c>
      <c r="G22" s="28">
        <f>0.03*H22</f>
        <v>5.79</v>
      </c>
      <c r="H22" s="28">
        <f>T22</f>
        <v>193</v>
      </c>
      <c r="I22" s="28">
        <f>0.6*C22</f>
        <v>123.90599999999999</v>
      </c>
      <c r="J22" s="29"/>
      <c r="K22" s="29"/>
      <c r="L22" s="29"/>
      <c r="M22" s="29"/>
      <c r="N22" s="29"/>
      <c r="O22" s="28">
        <v>26250</v>
      </c>
      <c r="P22" s="28">
        <v>26443</v>
      </c>
      <c r="Q22" s="30"/>
      <c r="R22" s="358"/>
      <c r="S22" s="54">
        <v>1</v>
      </c>
      <c r="T22" s="28">
        <f>(P22-O22)*S22</f>
        <v>193</v>
      </c>
      <c r="U22" s="31">
        <v>7862</v>
      </c>
      <c r="V22" s="540" t="s">
        <v>47</v>
      </c>
      <c r="W22" s="40" t="s">
        <v>48</v>
      </c>
      <c r="X22" s="45"/>
      <c r="Y22" s="45"/>
      <c r="Z22" s="45"/>
      <c r="AA22" s="45"/>
      <c r="AB22" s="45"/>
      <c r="AC22" s="41"/>
    </row>
    <row r="23" spans="1:29" s="42" customFormat="1" ht="24.75" customHeight="1">
      <c r="A23" s="32"/>
      <c r="B23" s="352"/>
      <c r="C23" s="521"/>
      <c r="D23" s="43"/>
      <c r="E23" s="43"/>
      <c r="F23" s="43"/>
      <c r="G23" s="43"/>
      <c r="H23" s="43"/>
      <c r="I23" s="521"/>
      <c r="J23" s="354"/>
      <c r="K23" s="354"/>
      <c r="L23" s="354"/>
      <c r="M23" s="355"/>
      <c r="N23" s="355"/>
      <c r="O23" s="43"/>
      <c r="P23" s="43"/>
      <c r="Q23" s="522"/>
      <c r="R23" s="522"/>
      <c r="S23" s="43"/>
      <c r="T23" s="43"/>
      <c r="U23" s="513"/>
      <c r="V23" s="44" t="s">
        <v>15</v>
      </c>
      <c r="W23" s="40"/>
      <c r="X23" s="41"/>
      <c r="Y23" s="41"/>
      <c r="Z23" s="41"/>
      <c r="AA23" s="41"/>
      <c r="AB23" s="41"/>
      <c r="AC23" s="41"/>
    </row>
    <row r="24" spans="1:29" s="42" customFormat="1" ht="26.25" customHeight="1">
      <c r="A24" s="32"/>
      <c r="B24" s="33"/>
      <c r="C24" s="433"/>
      <c r="D24" s="34"/>
      <c r="E24" s="34"/>
      <c r="F24" s="34"/>
      <c r="G24" s="34"/>
      <c r="H24" s="34"/>
      <c r="I24" s="433"/>
      <c r="J24" s="35"/>
      <c r="K24" s="35"/>
      <c r="L24" s="35"/>
      <c r="M24" s="36"/>
      <c r="N24" s="36"/>
      <c r="O24" s="34"/>
      <c r="P24" s="34"/>
      <c r="Q24" s="434"/>
      <c r="R24" s="434"/>
      <c r="S24" s="34"/>
      <c r="T24" s="34"/>
      <c r="U24" s="374"/>
      <c r="V24" s="39"/>
      <c r="W24" s="40"/>
      <c r="X24" s="41"/>
      <c r="Y24" s="41"/>
      <c r="Z24" s="41"/>
      <c r="AA24" s="41"/>
      <c r="AB24" s="41"/>
      <c r="AC24" s="41"/>
    </row>
    <row r="25" spans="1:29" ht="25.5">
      <c r="A25" s="19"/>
      <c r="B25" s="27" t="s">
        <v>49</v>
      </c>
      <c r="C25" s="28">
        <f t="shared" ref="C25:C30" si="2">H25+E25</f>
        <v>27359.999999999127</v>
      </c>
      <c r="D25" s="28"/>
      <c r="E25" s="28">
        <v>0</v>
      </c>
      <c r="F25" s="28">
        <v>0</v>
      </c>
      <c r="G25" s="28">
        <v>0</v>
      </c>
      <c r="H25" s="28">
        <f>T25</f>
        <v>27359.999999999127</v>
      </c>
      <c r="I25" s="28">
        <f t="shared" si="1"/>
        <v>10943.999999999651</v>
      </c>
      <c r="J25" s="46"/>
      <c r="K25" s="46"/>
      <c r="L25" s="46"/>
      <c r="M25" s="29"/>
      <c r="N25" s="29"/>
      <c r="O25" s="28">
        <v>47244</v>
      </c>
      <c r="P25" s="28">
        <v>47335.199999999997</v>
      </c>
      <c r="Q25" s="348" t="s">
        <v>50</v>
      </c>
      <c r="R25" s="348"/>
      <c r="S25" s="28">
        <v>300</v>
      </c>
      <c r="T25" s="28">
        <f>(P25-O25)*S25</f>
        <v>27359.999999999127</v>
      </c>
      <c r="U25" s="31" t="s">
        <v>51</v>
      </c>
      <c r="V25" s="540" t="s">
        <v>52</v>
      </c>
      <c r="W25" s="14" t="s">
        <v>53</v>
      </c>
      <c r="X25" s="7"/>
      <c r="Y25" s="7"/>
      <c r="Z25" s="7"/>
      <c r="AA25" s="7"/>
      <c r="AB25" s="7"/>
      <c r="AC25" s="7"/>
    </row>
    <row r="26" spans="1:29" s="42" customFormat="1" ht="24" customHeight="1">
      <c r="A26" s="32"/>
      <c r="B26" s="352"/>
      <c r="C26" s="43"/>
      <c r="D26" s="43"/>
      <c r="E26" s="43"/>
      <c r="F26" s="43"/>
      <c r="G26" s="43"/>
      <c r="H26" s="43"/>
      <c r="I26" s="43"/>
      <c r="J26" s="354"/>
      <c r="K26" s="354"/>
      <c r="L26" s="354"/>
      <c r="M26" s="355"/>
      <c r="N26" s="355"/>
      <c r="O26" s="435"/>
      <c r="P26" s="435"/>
      <c r="Q26" s="436"/>
      <c r="R26" s="356"/>
      <c r="S26" s="435"/>
      <c r="T26" s="435"/>
      <c r="U26" s="55"/>
      <c r="V26" s="44"/>
      <c r="W26" s="40"/>
      <c r="X26" s="41"/>
      <c r="Y26" s="41"/>
      <c r="Z26" s="41"/>
      <c r="AA26" s="41"/>
      <c r="AB26" s="41"/>
      <c r="AC26" s="41"/>
    </row>
    <row r="27" spans="1:29" s="68" customFormat="1" ht="55.5" customHeight="1">
      <c r="A27" s="65"/>
      <c r="B27" s="352" t="s">
        <v>54</v>
      </c>
      <c r="C27" s="28">
        <f t="shared" si="2"/>
        <v>14100</v>
      </c>
      <c r="D27" s="28"/>
      <c r="E27" s="28">
        <v>0</v>
      </c>
      <c r="F27" s="28">
        <v>0</v>
      </c>
      <c r="G27" s="28">
        <v>0</v>
      </c>
      <c r="H27" s="28">
        <f t="shared" ref="H27:H33" si="3">T27</f>
        <v>14100</v>
      </c>
      <c r="I27" s="28">
        <f t="shared" si="1"/>
        <v>5640</v>
      </c>
      <c r="J27" s="46"/>
      <c r="K27" s="46"/>
      <c r="L27" s="46"/>
      <c r="M27" s="29"/>
      <c r="N27" s="29"/>
      <c r="O27" s="28">
        <v>3097.4</v>
      </c>
      <c r="P27" s="28">
        <v>3214.9</v>
      </c>
      <c r="Q27" s="30"/>
      <c r="R27" s="361"/>
      <c r="S27" s="28">
        <v>120</v>
      </c>
      <c r="T27" s="28">
        <f>(P27-O27)*S27</f>
        <v>14100</v>
      </c>
      <c r="U27" s="362">
        <v>470</v>
      </c>
      <c r="V27" s="540" t="s">
        <v>52</v>
      </c>
      <c r="W27" s="66" t="s">
        <v>48</v>
      </c>
      <c r="X27" s="67"/>
      <c r="Y27" s="67"/>
      <c r="Z27" s="67"/>
      <c r="AA27" s="67"/>
      <c r="AB27" s="67"/>
      <c r="AC27" s="67"/>
    </row>
    <row r="28" spans="1:29" ht="50.25" customHeight="1">
      <c r="A28" s="19"/>
      <c r="B28" s="357" t="s">
        <v>55</v>
      </c>
      <c r="C28" s="28">
        <f t="shared" si="2"/>
        <v>185.99999999989086</v>
      </c>
      <c r="D28" s="28"/>
      <c r="E28" s="28">
        <v>0</v>
      </c>
      <c r="F28" s="28">
        <v>0</v>
      </c>
      <c r="G28" s="28">
        <v>0</v>
      </c>
      <c r="H28" s="28">
        <f t="shared" si="3"/>
        <v>185.99999999989086</v>
      </c>
      <c r="I28" s="28">
        <f t="shared" si="1"/>
        <v>74.39999999995635</v>
      </c>
      <c r="J28" s="46"/>
      <c r="K28" s="46"/>
      <c r="L28" s="46"/>
      <c r="M28" s="29"/>
      <c r="N28" s="29"/>
      <c r="O28" s="28">
        <v>14805.6</v>
      </c>
      <c r="P28" s="28">
        <v>14854</v>
      </c>
      <c r="Q28" s="30"/>
      <c r="R28" s="361"/>
      <c r="S28" s="28">
        <v>300</v>
      </c>
      <c r="T28" s="28">
        <f>(P28-O28)*S28-T32-T27</f>
        <v>185.99999999989086</v>
      </c>
      <c r="U28" s="31" t="s">
        <v>56</v>
      </c>
      <c r="V28" s="540" t="s">
        <v>52</v>
      </c>
      <c r="W28" s="14" t="s">
        <v>57</v>
      </c>
      <c r="X28" s="7"/>
      <c r="Y28" s="7"/>
      <c r="Z28" s="7"/>
      <c r="AA28" s="7"/>
      <c r="AB28" s="7"/>
      <c r="AC28" s="7"/>
    </row>
    <row r="29" spans="1:29" s="42" customFormat="1" ht="24" customHeight="1">
      <c r="A29" s="32"/>
      <c r="B29" s="523" t="s">
        <v>58</v>
      </c>
      <c r="C29" s="524">
        <f t="shared" si="2"/>
        <v>0</v>
      </c>
      <c r="D29" s="524"/>
      <c r="E29" s="524">
        <v>0</v>
      </c>
      <c r="F29" s="524">
        <v>0</v>
      </c>
      <c r="G29" s="524">
        <v>0</v>
      </c>
      <c r="H29" s="524">
        <f t="shared" si="3"/>
        <v>0</v>
      </c>
      <c r="I29" s="524">
        <f>0.4*C29</f>
        <v>0</v>
      </c>
      <c r="J29" s="525"/>
      <c r="K29" s="525"/>
      <c r="L29" s="525"/>
      <c r="M29" s="526"/>
      <c r="N29" s="526"/>
      <c r="O29" s="524">
        <v>2357</v>
      </c>
      <c r="P29" s="524">
        <v>2357</v>
      </c>
      <c r="Q29" s="527"/>
      <c r="R29" s="528"/>
      <c r="S29" s="524">
        <v>300</v>
      </c>
      <c r="T29" s="524">
        <f>(P29-O29)*S29</f>
        <v>0</v>
      </c>
      <c r="U29" s="529" t="s">
        <v>59</v>
      </c>
      <c r="V29" s="530" t="s">
        <v>52</v>
      </c>
      <c r="W29" s="40"/>
      <c r="X29" s="41"/>
      <c r="Y29" s="41"/>
      <c r="Z29" s="41"/>
      <c r="AA29" s="41"/>
      <c r="AB29" s="41"/>
      <c r="AC29" s="41"/>
    </row>
    <row r="30" spans="1:29" ht="30" customHeight="1">
      <c r="A30" s="19"/>
      <c r="B30" s="27" t="s">
        <v>793</v>
      </c>
      <c r="C30" s="28">
        <f t="shared" si="2"/>
        <v>30230.945399999691</v>
      </c>
      <c r="D30" s="28"/>
      <c r="E30" s="28">
        <f>F30+G30</f>
        <v>1977.7253999999798</v>
      </c>
      <c r="F30" s="28">
        <f>0.04*H30</f>
        <v>1130.1287999999884</v>
      </c>
      <c r="G30" s="28">
        <f>0.03*H30</f>
        <v>847.59659999999133</v>
      </c>
      <c r="H30" s="28">
        <f t="shared" si="3"/>
        <v>28253.21999999971</v>
      </c>
      <c r="I30" s="28">
        <f>T31</f>
        <v>87103.999999999942</v>
      </c>
      <c r="J30" s="46"/>
      <c r="K30" s="46"/>
      <c r="L30" s="46"/>
      <c r="M30" s="29"/>
      <c r="N30" s="29"/>
      <c r="O30" s="28">
        <v>40185.919000000002</v>
      </c>
      <c r="P30" s="28">
        <v>40656.805999999997</v>
      </c>
      <c r="Q30" s="30"/>
      <c r="R30" s="71"/>
      <c r="S30" s="28">
        <v>60</v>
      </c>
      <c r="T30" s="28">
        <f>(P30-O30)*S30</f>
        <v>28253.21999999971</v>
      </c>
      <c r="U30" s="31" t="s">
        <v>60</v>
      </c>
      <c r="V30" s="540" t="s">
        <v>61</v>
      </c>
      <c r="W30" s="14" t="s">
        <v>57</v>
      </c>
      <c r="X30" s="7"/>
      <c r="Y30" s="7"/>
      <c r="Z30" s="7"/>
      <c r="AA30" s="7"/>
      <c r="AB30" s="7"/>
      <c r="AC30" s="7"/>
    </row>
    <row r="31" spans="1:29" ht="25.5">
      <c r="A31" s="19"/>
      <c r="B31" s="27" t="s">
        <v>62</v>
      </c>
      <c r="C31" s="28">
        <f>T31</f>
        <v>87103.999999999942</v>
      </c>
      <c r="D31" s="28"/>
      <c r="E31" s="28">
        <f>F31+G31</f>
        <v>6097.2799999999952</v>
      </c>
      <c r="F31" s="28">
        <f>0.04*H31</f>
        <v>3484.1599999999976</v>
      </c>
      <c r="G31" s="28">
        <f>0.03*H31</f>
        <v>2613.1199999999981</v>
      </c>
      <c r="H31" s="28">
        <f t="shared" si="3"/>
        <v>87103.999999999942</v>
      </c>
      <c r="I31" s="28">
        <f>0.6*C31</f>
        <v>52262.399999999965</v>
      </c>
      <c r="J31" s="29"/>
      <c r="K31" s="29"/>
      <c r="L31" s="29"/>
      <c r="M31" s="29"/>
      <c r="N31" s="29"/>
      <c r="O31" s="28">
        <v>7599.5</v>
      </c>
      <c r="P31" s="28">
        <v>8143.9</v>
      </c>
      <c r="Q31" s="30"/>
      <c r="R31" s="358"/>
      <c r="S31" s="54">
        <v>160</v>
      </c>
      <c r="T31" s="28">
        <f>(P31-O31)*S31</f>
        <v>87103.999999999942</v>
      </c>
      <c r="U31" s="31">
        <v>4435</v>
      </c>
      <c r="V31" s="540" t="s">
        <v>63</v>
      </c>
      <c r="W31" s="14" t="s">
        <v>53</v>
      </c>
      <c r="X31" s="7"/>
      <c r="Y31" s="7"/>
      <c r="Z31" s="7"/>
      <c r="AA31" s="7"/>
      <c r="AB31" s="7"/>
      <c r="AC31" s="7"/>
    </row>
    <row r="32" spans="1:29" ht="51" customHeight="1">
      <c r="A32" s="19"/>
      <c r="B32" s="363" t="s">
        <v>794</v>
      </c>
      <c r="C32" s="28">
        <f>H32+E32</f>
        <v>250.38</v>
      </c>
      <c r="D32" s="28"/>
      <c r="E32" s="28">
        <f>F32+G32</f>
        <v>16.38</v>
      </c>
      <c r="F32" s="28">
        <f>0.04*H32</f>
        <v>9.36</v>
      </c>
      <c r="G32" s="28">
        <f>0.03*H32</f>
        <v>7.02</v>
      </c>
      <c r="H32" s="28">
        <f t="shared" si="3"/>
        <v>234</v>
      </c>
      <c r="I32" s="72">
        <f>T33-I34</f>
        <v>2247</v>
      </c>
      <c r="J32" s="46"/>
      <c r="K32" s="46"/>
      <c r="L32" s="46"/>
      <c r="M32" s="29"/>
      <c r="N32" s="29"/>
      <c r="O32" s="28">
        <v>0</v>
      </c>
      <c r="P32" s="28">
        <v>3.9</v>
      </c>
      <c r="Q32" s="30"/>
      <c r="R32" s="71"/>
      <c r="S32" s="28">
        <v>60</v>
      </c>
      <c r="T32" s="28">
        <f>(P32-O32)*S32</f>
        <v>234</v>
      </c>
      <c r="U32" s="31">
        <v>18628</v>
      </c>
      <c r="V32" s="540" t="s">
        <v>795</v>
      </c>
      <c r="W32" s="73" t="s">
        <v>57</v>
      </c>
      <c r="X32" s="74"/>
      <c r="Y32" s="74"/>
      <c r="Z32" s="74"/>
      <c r="AA32" s="75"/>
      <c r="AB32" s="7"/>
      <c r="AC32" s="7"/>
    </row>
    <row r="33" spans="1:29" ht="25.5">
      <c r="A33" s="19"/>
      <c r="B33" s="62" t="s">
        <v>64</v>
      </c>
      <c r="C33" s="28">
        <f>H33+E33</f>
        <v>2404.29</v>
      </c>
      <c r="D33" s="28"/>
      <c r="E33" s="28">
        <f>F33+G33</f>
        <v>157.29</v>
      </c>
      <c r="F33" s="28">
        <f>0.04*H33</f>
        <v>89.88</v>
      </c>
      <c r="G33" s="28">
        <f>0.03*H33</f>
        <v>67.41</v>
      </c>
      <c r="H33" s="28">
        <f t="shared" si="3"/>
        <v>2247</v>
      </c>
      <c r="I33" s="28">
        <f>0.6*C33</f>
        <v>1442.5739999999998</v>
      </c>
      <c r="J33" s="29"/>
      <c r="K33" s="29"/>
      <c r="L33" s="29"/>
      <c r="M33" s="29"/>
      <c r="N33" s="29"/>
      <c r="O33" s="28">
        <v>22650</v>
      </c>
      <c r="P33" s="28">
        <v>24897</v>
      </c>
      <c r="Q33" s="30"/>
      <c r="R33" s="358"/>
      <c r="S33" s="54">
        <v>1</v>
      </c>
      <c r="T33" s="28">
        <f>(P33-O33)*S33</f>
        <v>2247</v>
      </c>
      <c r="U33" s="31"/>
      <c r="V33" s="542" t="s">
        <v>65</v>
      </c>
      <c r="W33" s="14" t="s">
        <v>48</v>
      </c>
      <c r="X33" s="7"/>
      <c r="Y33" s="7"/>
      <c r="Z33" s="7"/>
      <c r="AA33" s="7"/>
      <c r="AB33" s="7"/>
      <c r="AC33" s="7"/>
    </row>
    <row r="34" spans="1:29" s="42" customFormat="1" ht="31.5" customHeight="1">
      <c r="A34" s="32"/>
      <c r="B34" s="33"/>
      <c r="C34" s="34"/>
      <c r="D34" s="34"/>
      <c r="E34" s="34"/>
      <c r="F34" s="34"/>
      <c r="G34" s="34"/>
      <c r="H34" s="34"/>
      <c r="I34" s="34"/>
      <c r="J34" s="35"/>
      <c r="K34" s="35"/>
      <c r="L34" s="35"/>
      <c r="M34" s="36"/>
      <c r="N34" s="36"/>
      <c r="O34" s="34"/>
      <c r="P34" s="34"/>
      <c r="Q34" s="437"/>
      <c r="R34" s="37"/>
      <c r="S34" s="34"/>
      <c r="T34" s="34"/>
      <c r="U34" s="38"/>
      <c r="V34" s="39"/>
      <c r="W34" s="40"/>
      <c r="X34" s="41"/>
      <c r="Y34" s="41"/>
      <c r="Z34" s="41"/>
      <c r="AA34" s="41"/>
      <c r="AB34" s="41"/>
      <c r="AC34" s="41"/>
    </row>
    <row r="35" spans="1:29" s="68" customFormat="1" ht="31.5" customHeight="1">
      <c r="A35" s="65"/>
      <c r="B35" s="352" t="s">
        <v>682</v>
      </c>
      <c r="C35" s="28">
        <f t="shared" ref="C35:C40" si="4">H35+E35</f>
        <v>596</v>
      </c>
      <c r="D35" s="28"/>
      <c r="E35" s="28">
        <v>0</v>
      </c>
      <c r="F35" s="28">
        <v>0</v>
      </c>
      <c r="G35" s="28">
        <v>0</v>
      </c>
      <c r="H35" s="28">
        <f>T35</f>
        <v>596</v>
      </c>
      <c r="I35" s="28">
        <f t="shared" ref="I35:I43" si="5">0.4*C35</f>
        <v>238.4</v>
      </c>
      <c r="J35" s="46"/>
      <c r="K35" s="46"/>
      <c r="L35" s="46"/>
      <c r="M35" s="29"/>
      <c r="N35" s="29"/>
      <c r="O35" s="28">
        <v>4237</v>
      </c>
      <c r="P35" s="28">
        <v>4833</v>
      </c>
      <c r="Q35" s="30"/>
      <c r="R35" s="361"/>
      <c r="S35" s="28">
        <v>1</v>
      </c>
      <c r="T35" s="28">
        <f>(P35-O35)*S35</f>
        <v>596</v>
      </c>
      <c r="U35" s="55">
        <v>9051</v>
      </c>
      <c r="V35" s="44" t="s">
        <v>683</v>
      </c>
      <c r="W35" s="66"/>
      <c r="X35" s="67"/>
      <c r="Y35" s="67"/>
      <c r="Z35" s="67"/>
      <c r="AA35" s="67"/>
      <c r="AB35" s="67"/>
      <c r="AC35" s="67"/>
    </row>
    <row r="36" spans="1:29" ht="30" customHeight="1">
      <c r="A36" s="19"/>
      <c r="B36" s="27" t="s">
        <v>66</v>
      </c>
      <c r="C36" s="28">
        <f t="shared" si="4"/>
        <v>18227</v>
      </c>
      <c r="D36" s="28"/>
      <c r="E36" s="28">
        <v>0</v>
      </c>
      <c r="F36" s="28">
        <v>0</v>
      </c>
      <c r="G36" s="28">
        <v>0</v>
      </c>
      <c r="H36" s="28">
        <f>T36</f>
        <v>18227</v>
      </c>
      <c r="I36" s="28">
        <f t="shared" si="5"/>
        <v>7290.8</v>
      </c>
      <c r="J36" s="46"/>
      <c r="K36" s="46"/>
      <c r="L36" s="46"/>
      <c r="M36" s="29"/>
      <c r="N36" s="29"/>
      <c r="O36" s="28">
        <v>28571.7</v>
      </c>
      <c r="P36" s="28">
        <v>28811.7</v>
      </c>
      <c r="Q36" s="30"/>
      <c r="R36" s="351"/>
      <c r="S36" s="28">
        <v>80</v>
      </c>
      <c r="T36" s="28">
        <f>(P36-O36)*S36-T35-T271-T272-T270-T279-T280-T282-T284</f>
        <v>18227</v>
      </c>
      <c r="U36" s="31">
        <v>81596396</v>
      </c>
      <c r="V36" s="540" t="s">
        <v>61</v>
      </c>
      <c r="W36" s="14" t="s">
        <v>57</v>
      </c>
      <c r="X36" s="7"/>
      <c r="Y36" s="7"/>
      <c r="Z36" s="7"/>
      <c r="AA36" s="7"/>
      <c r="AB36" s="7"/>
      <c r="AC36" s="7"/>
    </row>
    <row r="37" spans="1:29" ht="30" customHeight="1">
      <c r="A37" s="19"/>
      <c r="B37" s="27" t="s">
        <v>67</v>
      </c>
      <c r="C37" s="28">
        <f t="shared" si="4"/>
        <v>356.31</v>
      </c>
      <c r="D37" s="28"/>
      <c r="E37" s="28">
        <f>F37+G37</f>
        <v>23.310000000000002</v>
      </c>
      <c r="F37" s="28">
        <f>0.04*H37</f>
        <v>13.32</v>
      </c>
      <c r="G37" s="28">
        <f>0.03*H37</f>
        <v>9.99</v>
      </c>
      <c r="H37" s="28">
        <f>T37</f>
        <v>333</v>
      </c>
      <c r="I37" s="28">
        <f>0.6*C37</f>
        <v>213.786</v>
      </c>
      <c r="J37" s="29"/>
      <c r="K37" s="29"/>
      <c r="L37" s="29"/>
      <c r="M37" s="29"/>
      <c r="N37" s="29"/>
      <c r="O37" s="28">
        <v>77952</v>
      </c>
      <c r="P37" s="28">
        <v>78285</v>
      </c>
      <c r="Q37" s="30"/>
      <c r="R37" s="358"/>
      <c r="S37" s="54">
        <v>1</v>
      </c>
      <c r="T37" s="28">
        <f>(P37-O37)*S37</f>
        <v>333</v>
      </c>
      <c r="U37" s="364">
        <v>15737.0376</v>
      </c>
      <c r="V37" s="540" t="s">
        <v>68</v>
      </c>
      <c r="W37" s="14" t="s">
        <v>57</v>
      </c>
      <c r="X37" s="7"/>
      <c r="Y37" s="7"/>
      <c r="Z37" s="7"/>
      <c r="AA37" s="7"/>
      <c r="AB37" s="7"/>
      <c r="AC37" s="7"/>
    </row>
    <row r="38" spans="1:29" ht="28.5" customHeight="1">
      <c r="A38" s="19"/>
      <c r="B38" s="320"/>
      <c r="C38" s="321"/>
      <c r="D38" s="321"/>
      <c r="E38" s="321"/>
      <c r="F38" s="321"/>
      <c r="G38" s="321"/>
      <c r="H38" s="321"/>
      <c r="I38" s="321"/>
      <c r="J38" s="322"/>
      <c r="K38" s="322"/>
      <c r="L38" s="322"/>
      <c r="M38" s="323"/>
      <c r="N38" s="323"/>
      <c r="O38" s="324"/>
      <c r="P38" s="324"/>
      <c r="Q38" s="325"/>
      <c r="R38" s="326"/>
      <c r="S38" s="321"/>
      <c r="T38" s="321"/>
      <c r="U38" s="327"/>
      <c r="V38" s="328"/>
      <c r="W38" s="14" t="s">
        <v>48</v>
      </c>
      <c r="X38" s="7"/>
      <c r="Y38" s="7"/>
      <c r="Z38" s="7"/>
      <c r="AA38" s="7"/>
      <c r="AB38" s="7"/>
      <c r="AC38" s="7"/>
    </row>
    <row r="39" spans="1:29" ht="60" customHeight="1">
      <c r="A39" s="19"/>
      <c r="B39" s="27" t="s">
        <v>69</v>
      </c>
      <c r="C39" s="28">
        <f t="shared" si="4"/>
        <v>3289.1800000000621</v>
      </c>
      <c r="D39" s="28"/>
      <c r="E39" s="28">
        <f>F39+G39</f>
        <v>215.18000000000407</v>
      </c>
      <c r="F39" s="28">
        <f>0.04*H39</f>
        <v>122.96000000000232</v>
      </c>
      <c r="G39" s="77">
        <f>0.03*H39</f>
        <v>92.220000000001747</v>
      </c>
      <c r="H39" s="28">
        <f>T39-H214-H216-H215-H213-H188-H169-H232-H233</f>
        <v>3074.0000000000582</v>
      </c>
      <c r="I39" s="28">
        <f t="shared" si="5"/>
        <v>1315.672000000025</v>
      </c>
      <c r="J39" s="46"/>
      <c r="K39" s="46"/>
      <c r="L39" s="46"/>
      <c r="M39" s="29"/>
      <c r="N39" s="29"/>
      <c r="O39" s="365">
        <v>15444.3</v>
      </c>
      <c r="P39" s="365">
        <v>15663.2</v>
      </c>
      <c r="Q39" s="30"/>
      <c r="R39" s="348"/>
      <c r="S39" s="28">
        <v>40</v>
      </c>
      <c r="T39" s="28">
        <f>(P39-O39)*S39</f>
        <v>8756.0000000000582</v>
      </c>
      <c r="U39" s="31">
        <v>81596438</v>
      </c>
      <c r="V39" s="540" t="s">
        <v>796</v>
      </c>
      <c r="W39" s="14" t="s">
        <v>48</v>
      </c>
      <c r="X39" s="7"/>
      <c r="Y39" s="7"/>
      <c r="Z39" s="7"/>
      <c r="AA39" s="7"/>
      <c r="AB39" s="7"/>
      <c r="AC39" s="7"/>
    </row>
    <row r="40" spans="1:29" ht="30" customHeight="1">
      <c r="A40" s="19"/>
      <c r="B40" s="27" t="s">
        <v>70</v>
      </c>
      <c r="C40" s="28">
        <f t="shared" si="4"/>
        <v>1778.34</v>
      </c>
      <c r="D40" s="28"/>
      <c r="E40" s="28">
        <f>F40+G40</f>
        <v>116.34</v>
      </c>
      <c r="F40" s="28">
        <f>0.04*H40</f>
        <v>66.48</v>
      </c>
      <c r="G40" s="77">
        <f>0.03*H40</f>
        <v>49.86</v>
      </c>
      <c r="H40" s="28">
        <f>T40-T232</f>
        <v>1662</v>
      </c>
      <c r="I40" s="28">
        <f t="shared" si="5"/>
        <v>711.33600000000001</v>
      </c>
      <c r="J40" s="46"/>
      <c r="K40" s="46"/>
      <c r="L40" s="46"/>
      <c r="M40" s="29"/>
      <c r="N40" s="29"/>
      <c r="O40" s="28">
        <v>34839</v>
      </c>
      <c r="P40" s="28">
        <v>34927</v>
      </c>
      <c r="Q40" s="30"/>
      <c r="R40" s="348"/>
      <c r="S40" s="28">
        <v>40</v>
      </c>
      <c r="T40" s="28">
        <f>(P40-O40)*S40</f>
        <v>3520</v>
      </c>
      <c r="U40" s="31">
        <v>218822</v>
      </c>
      <c r="V40" s="540" t="s">
        <v>797</v>
      </c>
      <c r="W40" s="78" t="s">
        <v>48</v>
      </c>
      <c r="X40" s="7"/>
      <c r="Y40" s="7"/>
      <c r="Z40" s="7"/>
      <c r="AA40" s="7"/>
      <c r="AB40" s="7"/>
      <c r="AC40" s="7"/>
    </row>
    <row r="41" spans="1:29" ht="51" customHeight="1">
      <c r="A41" s="19"/>
      <c r="B41" s="89" t="s">
        <v>775</v>
      </c>
      <c r="C41" s="84">
        <f>H41</f>
        <v>1931</v>
      </c>
      <c r="D41" s="85"/>
      <c r="E41" s="84">
        <f>F41+G41</f>
        <v>135.16999999999999</v>
      </c>
      <c r="F41" s="84">
        <f>0.04*H41</f>
        <v>77.239999999999995</v>
      </c>
      <c r="G41" s="84">
        <f>0.03*H41</f>
        <v>57.93</v>
      </c>
      <c r="H41" s="85">
        <f t="shared" ref="H41:H49" si="6">T41</f>
        <v>1931</v>
      </c>
      <c r="I41" s="484">
        <f>C41*0.4</f>
        <v>772.40000000000009</v>
      </c>
      <c r="J41" s="131"/>
      <c r="K41" s="131"/>
      <c r="L41" s="131"/>
      <c r="M41" s="131"/>
      <c r="N41" s="131"/>
      <c r="O41" s="85">
        <v>17662</v>
      </c>
      <c r="P41" s="85">
        <v>19593</v>
      </c>
      <c r="Q41" s="544"/>
      <c r="R41" s="545"/>
      <c r="S41" s="545">
        <v>1</v>
      </c>
      <c r="T41" s="85">
        <f t="shared" ref="T41:T47" si="7">(P41-O41)*S41</f>
        <v>1931</v>
      </c>
      <c r="U41" s="88">
        <v>2406</v>
      </c>
      <c r="V41" s="89" t="s">
        <v>776</v>
      </c>
      <c r="W41" s="14"/>
      <c r="X41" s="7"/>
      <c r="Y41" s="7"/>
      <c r="Z41" s="7"/>
      <c r="AA41" s="7"/>
      <c r="AB41" s="7"/>
      <c r="AC41" s="7"/>
    </row>
    <row r="42" spans="1:29" ht="24.75" customHeight="1">
      <c r="A42" s="19"/>
      <c r="B42" s="366" t="s">
        <v>71</v>
      </c>
      <c r="C42" s="28">
        <f>H42</f>
        <v>3184</v>
      </c>
      <c r="D42" s="77"/>
      <c r="E42" s="28">
        <f>F42+G42</f>
        <v>222.88</v>
      </c>
      <c r="F42" s="28">
        <f>0.04*H42</f>
        <v>127.36</v>
      </c>
      <c r="G42" s="28">
        <f>0.03*H42</f>
        <v>95.52</v>
      </c>
      <c r="H42" s="77">
        <f t="shared" si="6"/>
        <v>3184</v>
      </c>
      <c r="I42" s="365">
        <f>C42*0.4</f>
        <v>1273.6000000000001</v>
      </c>
      <c r="J42" s="46"/>
      <c r="K42" s="46"/>
      <c r="L42" s="46"/>
      <c r="M42" s="46"/>
      <c r="N42" s="46"/>
      <c r="O42" s="77">
        <v>31451</v>
      </c>
      <c r="P42" s="77">
        <v>34635</v>
      </c>
      <c r="Q42" s="79"/>
      <c r="R42" s="80"/>
      <c r="S42" s="80">
        <v>1</v>
      </c>
      <c r="T42" s="77">
        <f t="shared" si="7"/>
        <v>3184</v>
      </c>
      <c r="U42" s="31">
        <v>6249</v>
      </c>
      <c r="V42" s="540" t="s">
        <v>72</v>
      </c>
      <c r="W42" s="14" t="s">
        <v>48</v>
      </c>
      <c r="X42" s="7"/>
      <c r="Y42" s="7"/>
      <c r="Z42" s="7"/>
      <c r="AA42" s="7"/>
      <c r="AB42" s="7"/>
      <c r="AC42" s="7"/>
    </row>
    <row r="43" spans="1:29" ht="33" customHeight="1">
      <c r="A43" s="19"/>
      <c r="B43" s="27" t="s">
        <v>73</v>
      </c>
      <c r="C43" s="28">
        <f>H43</f>
        <v>862</v>
      </c>
      <c r="D43" s="28"/>
      <c r="E43" s="28"/>
      <c r="F43" s="28"/>
      <c r="G43" s="77">
        <v>0</v>
      </c>
      <c r="H43" s="28">
        <f t="shared" si="6"/>
        <v>862</v>
      </c>
      <c r="I43" s="28">
        <f t="shared" si="5"/>
        <v>344.8</v>
      </c>
      <c r="J43" s="28">
        <f>0.55*D43</f>
        <v>0</v>
      </c>
      <c r="K43" s="28">
        <f>0.55*E43</f>
        <v>0</v>
      </c>
      <c r="L43" s="28">
        <f>0.55*F43</f>
        <v>0</v>
      </c>
      <c r="M43" s="28">
        <f>0.55*G43</f>
        <v>0</v>
      </c>
      <c r="N43" s="28">
        <f>0.55*H43</f>
        <v>474.1</v>
      </c>
      <c r="O43" s="28">
        <v>44099</v>
      </c>
      <c r="P43" s="28">
        <v>44961</v>
      </c>
      <c r="Q43" s="30"/>
      <c r="R43" s="351"/>
      <c r="S43" s="28">
        <v>1</v>
      </c>
      <c r="T43" s="28">
        <f t="shared" si="7"/>
        <v>862</v>
      </c>
      <c r="U43" s="31" t="s">
        <v>74</v>
      </c>
      <c r="V43" s="540" t="s">
        <v>75</v>
      </c>
      <c r="W43" s="47" t="s">
        <v>57</v>
      </c>
      <c r="X43" s="7"/>
      <c r="Y43" s="7"/>
      <c r="Z43" s="7"/>
      <c r="AA43" s="7"/>
      <c r="AB43" s="7"/>
      <c r="AC43" s="7"/>
    </row>
    <row r="44" spans="1:29" ht="27.75" customHeight="1">
      <c r="A44" s="19"/>
      <c r="B44" s="367" t="s">
        <v>76</v>
      </c>
      <c r="C44" s="72">
        <f>H44+E44</f>
        <v>25933.333199999761</v>
      </c>
      <c r="D44" s="72"/>
      <c r="E44" s="72">
        <f>F44+G44</f>
        <v>1696.5731999999844</v>
      </c>
      <c r="F44" s="72">
        <f>0.04*H44</f>
        <v>969.47039999999106</v>
      </c>
      <c r="G44" s="72">
        <f>0.03*H44</f>
        <v>727.10279999999329</v>
      </c>
      <c r="H44" s="72">
        <f t="shared" si="6"/>
        <v>24236.759999999776</v>
      </c>
      <c r="I44" s="72">
        <f>T492</f>
        <v>0</v>
      </c>
      <c r="J44" s="81"/>
      <c r="K44" s="81"/>
      <c r="L44" s="81"/>
      <c r="M44" s="81"/>
      <c r="N44" s="81"/>
      <c r="O44" s="28">
        <v>39748.934000000001</v>
      </c>
      <c r="P44" s="28">
        <v>39950.906999999999</v>
      </c>
      <c r="Q44" s="29" t="s">
        <v>33</v>
      </c>
      <c r="R44" s="348"/>
      <c r="S44" s="54">
        <v>120</v>
      </c>
      <c r="T44" s="28">
        <f t="shared" si="7"/>
        <v>24236.759999999776</v>
      </c>
      <c r="U44" s="31">
        <v>42000</v>
      </c>
      <c r="V44" s="540" t="s">
        <v>77</v>
      </c>
      <c r="W44" s="82" t="s">
        <v>57</v>
      </c>
      <c r="X44" s="7"/>
      <c r="Y44" s="7"/>
      <c r="Z44" s="7"/>
      <c r="AA44" s="7"/>
      <c r="AB44" s="7"/>
      <c r="AC44" s="7"/>
    </row>
    <row r="45" spans="1:29" ht="27.75" customHeight="1">
      <c r="A45" s="19"/>
      <c r="B45" s="83" t="s">
        <v>78</v>
      </c>
      <c r="C45" s="84">
        <f>H45</f>
        <v>1997</v>
      </c>
      <c r="D45" s="84"/>
      <c r="E45" s="84"/>
      <c r="F45" s="84"/>
      <c r="G45" s="85">
        <v>0</v>
      </c>
      <c r="H45" s="84">
        <f t="shared" si="6"/>
        <v>1997</v>
      </c>
      <c r="I45" s="84">
        <f>0.4*C45</f>
        <v>798.80000000000007</v>
      </c>
      <c r="J45" s="84">
        <f>0.55*D45</f>
        <v>0</v>
      </c>
      <c r="K45" s="84">
        <f>0.55*E45</f>
        <v>0</v>
      </c>
      <c r="L45" s="84">
        <f>0.55*F45</f>
        <v>0</v>
      </c>
      <c r="M45" s="84">
        <f>0.55*G45</f>
        <v>0</v>
      </c>
      <c r="N45" s="84">
        <f>0.55*H45</f>
        <v>1098.3500000000001</v>
      </c>
      <c r="O45" s="84">
        <v>284678</v>
      </c>
      <c r="P45" s="84">
        <v>287121</v>
      </c>
      <c r="Q45" s="86"/>
      <c r="R45" s="87"/>
      <c r="S45" s="84">
        <v>1</v>
      </c>
      <c r="T45" s="84">
        <f>(P45-O45)*S45-446</f>
        <v>1997</v>
      </c>
      <c r="U45" s="88">
        <v>15695</v>
      </c>
      <c r="V45" s="89" t="s">
        <v>798</v>
      </c>
      <c r="W45" s="47" t="s">
        <v>48</v>
      </c>
      <c r="X45" s="7"/>
      <c r="Y45" s="7"/>
      <c r="Z45" s="7"/>
      <c r="AA45" s="7"/>
      <c r="AB45" s="7"/>
      <c r="AC45" s="7"/>
    </row>
    <row r="46" spans="1:29" ht="26.25" customHeight="1">
      <c r="A46" s="19"/>
      <c r="B46" s="368" t="s">
        <v>79</v>
      </c>
      <c r="C46" s="28">
        <f>H46</f>
        <v>76.900000000000091</v>
      </c>
      <c r="D46" s="77"/>
      <c r="E46" s="28">
        <f>F46+G46</f>
        <v>5.3830000000000062</v>
      </c>
      <c r="F46" s="28">
        <f>0.04*H46</f>
        <v>3.0760000000000036</v>
      </c>
      <c r="G46" s="28">
        <f>0.03*H46</f>
        <v>2.3070000000000026</v>
      </c>
      <c r="H46" s="77">
        <f t="shared" si="6"/>
        <v>76.900000000000091</v>
      </c>
      <c r="I46" s="365">
        <f>C46*0.4</f>
        <v>30.760000000000037</v>
      </c>
      <c r="J46" s="46"/>
      <c r="K46" s="46"/>
      <c r="L46" s="46"/>
      <c r="M46" s="46"/>
      <c r="N46" s="46"/>
      <c r="O46" s="77">
        <v>2310</v>
      </c>
      <c r="P46" s="77">
        <v>2386.9</v>
      </c>
      <c r="Q46" s="79"/>
      <c r="R46" s="80"/>
      <c r="S46" s="80">
        <v>1</v>
      </c>
      <c r="T46" s="77">
        <f t="shared" si="7"/>
        <v>76.900000000000091</v>
      </c>
      <c r="U46" s="31">
        <v>364814</v>
      </c>
      <c r="V46" s="540" t="s">
        <v>27</v>
      </c>
      <c r="W46" s="47" t="s">
        <v>27</v>
      </c>
      <c r="X46" s="7"/>
      <c r="Y46" s="7"/>
      <c r="Z46" s="7"/>
      <c r="AA46" s="7"/>
      <c r="AB46" s="7"/>
      <c r="AC46" s="7"/>
    </row>
    <row r="47" spans="1:29" ht="27.75" customHeight="1">
      <c r="A47" s="19"/>
      <c r="B47" s="366" t="s">
        <v>80</v>
      </c>
      <c r="C47" s="28">
        <f>H47</f>
        <v>9581</v>
      </c>
      <c r="D47" s="77"/>
      <c r="E47" s="28">
        <f>F47+G47</f>
        <v>670.67000000000007</v>
      </c>
      <c r="F47" s="28">
        <f>0.04*H47</f>
        <v>383.24</v>
      </c>
      <c r="G47" s="28">
        <f>0.03*H47</f>
        <v>287.43</v>
      </c>
      <c r="H47" s="77">
        <f t="shared" si="6"/>
        <v>9581</v>
      </c>
      <c r="I47" s="365">
        <f>C47*0.4</f>
        <v>3832.4</v>
      </c>
      <c r="J47" s="46"/>
      <c r="K47" s="46"/>
      <c r="L47" s="46"/>
      <c r="M47" s="46"/>
      <c r="N47" s="46"/>
      <c r="O47" s="77">
        <v>96674</v>
      </c>
      <c r="P47" s="77">
        <v>106255</v>
      </c>
      <c r="Q47" s="79"/>
      <c r="R47" s="80"/>
      <c r="S47" s="80">
        <v>1</v>
      </c>
      <c r="T47" s="77">
        <f t="shared" si="7"/>
        <v>9581</v>
      </c>
      <c r="U47" s="31">
        <v>9148</v>
      </c>
      <c r="V47" s="540" t="s">
        <v>81</v>
      </c>
      <c r="W47" s="47" t="s">
        <v>82</v>
      </c>
      <c r="X47" s="7"/>
      <c r="Y47" s="7"/>
      <c r="Z47" s="7"/>
      <c r="AA47" s="7"/>
      <c r="AB47" s="7"/>
      <c r="AC47" s="7"/>
    </row>
    <row r="48" spans="1:29" ht="27.75" customHeight="1">
      <c r="A48" s="19"/>
      <c r="B48" s="352" t="s">
        <v>684</v>
      </c>
      <c r="C48" s="28">
        <f t="shared" ref="C48" si="8">H48+E48</f>
        <v>10138</v>
      </c>
      <c r="D48" s="28"/>
      <c r="E48" s="28">
        <v>0</v>
      </c>
      <c r="F48" s="28">
        <v>0</v>
      </c>
      <c r="G48" s="28">
        <v>0</v>
      </c>
      <c r="H48" s="28">
        <f>T48</f>
        <v>10138</v>
      </c>
      <c r="I48" s="28">
        <f t="shared" ref="I48" si="9">0.4*C48</f>
        <v>4055.2000000000003</v>
      </c>
      <c r="J48" s="46"/>
      <c r="K48" s="46"/>
      <c r="L48" s="46"/>
      <c r="M48" s="29"/>
      <c r="N48" s="29"/>
      <c r="O48" s="28">
        <v>79936</v>
      </c>
      <c r="P48" s="28">
        <v>90074</v>
      </c>
      <c r="Q48" s="30"/>
      <c r="R48" s="361"/>
      <c r="S48" s="28">
        <v>1</v>
      </c>
      <c r="T48" s="28">
        <f>(P48-O48)*S48</f>
        <v>10138</v>
      </c>
      <c r="U48" s="55">
        <v>5732</v>
      </c>
      <c r="V48" s="44" t="s">
        <v>685</v>
      </c>
      <c r="W48" s="47"/>
      <c r="X48" s="7"/>
      <c r="Y48" s="7"/>
      <c r="Z48" s="7"/>
      <c r="AA48" s="7"/>
      <c r="AB48" s="7"/>
      <c r="AC48" s="7"/>
    </row>
    <row r="49" spans="1:29" ht="38.25" customHeight="1">
      <c r="A49" s="19"/>
      <c r="B49" s="366" t="s">
        <v>83</v>
      </c>
      <c r="C49" s="28">
        <f>H49</f>
        <v>4101</v>
      </c>
      <c r="D49" s="77"/>
      <c r="E49" s="28">
        <f>F49+G49</f>
        <v>287.07</v>
      </c>
      <c r="F49" s="28">
        <f>0.04*H49</f>
        <v>164.04</v>
      </c>
      <c r="G49" s="28">
        <f>0.03*H49</f>
        <v>123.03</v>
      </c>
      <c r="H49" s="77">
        <f t="shared" si="6"/>
        <v>4101</v>
      </c>
      <c r="I49" s="365">
        <f>C49*0.4</f>
        <v>1640.4</v>
      </c>
      <c r="J49" s="46"/>
      <c r="K49" s="46"/>
      <c r="L49" s="46"/>
      <c r="M49" s="46"/>
      <c r="N49" s="46"/>
      <c r="O49" s="77">
        <v>58850</v>
      </c>
      <c r="P49" s="77">
        <v>64435</v>
      </c>
      <c r="Q49" s="79"/>
      <c r="R49" s="80"/>
      <c r="S49" s="80">
        <v>1</v>
      </c>
      <c r="T49" s="77">
        <f>(P49-O49)*S49-T225-T223-T227-T226-T228</f>
        <v>4101</v>
      </c>
      <c r="U49" s="31">
        <v>6252</v>
      </c>
      <c r="V49" s="540" t="s">
        <v>72</v>
      </c>
      <c r="W49" s="47" t="s">
        <v>48</v>
      </c>
      <c r="X49" s="7"/>
      <c r="Y49" s="7"/>
      <c r="Z49" s="7"/>
      <c r="AA49" s="7"/>
      <c r="AB49" s="7"/>
      <c r="AC49" s="7"/>
    </row>
    <row r="50" spans="1:29" ht="33" hidden="1" customHeight="1">
      <c r="A50" s="19"/>
      <c r="B50" s="90"/>
      <c r="C50" s="91"/>
      <c r="D50" s="91"/>
      <c r="E50" s="91"/>
      <c r="F50" s="91"/>
      <c r="G50" s="92"/>
      <c r="H50" s="91"/>
      <c r="I50" s="91"/>
      <c r="J50" s="93"/>
      <c r="K50" s="93"/>
      <c r="L50" s="93"/>
      <c r="M50" s="93"/>
      <c r="N50" s="93"/>
      <c r="O50" s="91"/>
      <c r="P50" s="91"/>
      <c r="Q50" s="7"/>
      <c r="R50" s="94"/>
      <c r="S50" s="91"/>
      <c r="T50" s="91"/>
      <c r="U50" s="95"/>
      <c r="V50" s="538"/>
      <c r="W50" s="47"/>
      <c r="X50" s="7"/>
      <c r="Y50" s="7"/>
      <c r="Z50" s="7"/>
      <c r="AA50" s="7"/>
      <c r="AB50" s="7"/>
      <c r="AC50" s="7"/>
    </row>
    <row r="51" spans="1:29" ht="33" hidden="1" customHeight="1">
      <c r="A51" s="19"/>
      <c r="B51" s="90"/>
      <c r="C51" s="91"/>
      <c r="D51" s="91"/>
      <c r="E51" s="91"/>
      <c r="F51" s="91"/>
      <c r="G51" s="92"/>
      <c r="H51" s="91"/>
      <c r="I51" s="91"/>
      <c r="J51" s="93"/>
      <c r="K51" s="93"/>
      <c r="L51" s="93"/>
      <c r="M51" s="93"/>
      <c r="N51" s="93"/>
      <c r="O51" s="91"/>
      <c r="P51" s="91"/>
      <c r="Q51" s="7"/>
      <c r="R51" s="94"/>
      <c r="S51" s="91"/>
      <c r="T51" s="91"/>
      <c r="U51" s="95"/>
      <c r="V51" s="538"/>
      <c r="W51" s="47"/>
      <c r="X51" s="7"/>
      <c r="Y51" s="7"/>
      <c r="Z51" s="7"/>
      <c r="AA51" s="7"/>
      <c r="AB51" s="7"/>
      <c r="AC51" s="7"/>
    </row>
    <row r="52" spans="1:29" ht="33" hidden="1" customHeight="1">
      <c r="A52" s="19"/>
      <c r="B52" s="90"/>
      <c r="C52" s="91"/>
      <c r="D52" s="91"/>
      <c r="E52" s="91"/>
      <c r="F52" s="91"/>
      <c r="G52" s="92"/>
      <c r="H52" s="91"/>
      <c r="I52" s="91"/>
      <c r="J52" s="93"/>
      <c r="K52" s="93"/>
      <c r="L52" s="93"/>
      <c r="M52" s="93"/>
      <c r="N52" s="93"/>
      <c r="O52" s="91"/>
      <c r="P52" s="91"/>
      <c r="Q52" s="7"/>
      <c r="R52" s="94"/>
      <c r="S52" s="91"/>
      <c r="T52" s="91"/>
      <c r="U52" s="95"/>
      <c r="V52" s="538"/>
      <c r="W52" s="47"/>
      <c r="X52" s="7"/>
      <c r="Y52" s="7"/>
      <c r="Z52" s="7"/>
      <c r="AA52" s="7"/>
      <c r="AB52" s="7"/>
      <c r="AC52" s="7"/>
    </row>
    <row r="53" spans="1:29" ht="61.5" customHeight="1">
      <c r="A53" s="19"/>
      <c r="B53" s="485" t="s">
        <v>84</v>
      </c>
      <c r="C53" s="445">
        <f>H53+E53</f>
        <v>13867.2</v>
      </c>
      <c r="D53" s="445"/>
      <c r="E53" s="445">
        <f>F53+G53</f>
        <v>907.2</v>
      </c>
      <c r="F53" s="445">
        <f>0.04*H53</f>
        <v>518.4</v>
      </c>
      <c r="G53" s="445">
        <f>0.03*H53</f>
        <v>388.8</v>
      </c>
      <c r="H53" s="445">
        <f>T53</f>
        <v>12960</v>
      </c>
      <c r="I53" s="445">
        <f>0.6*C53</f>
        <v>8320.32</v>
      </c>
      <c r="J53" s="480"/>
      <c r="K53" s="480"/>
      <c r="L53" s="480"/>
      <c r="M53" s="480"/>
      <c r="N53" s="480"/>
      <c r="O53" s="445">
        <v>27354</v>
      </c>
      <c r="P53" s="445">
        <v>27678</v>
      </c>
      <c r="Q53" s="481"/>
      <c r="R53" s="482"/>
      <c r="S53" s="483">
        <v>40</v>
      </c>
      <c r="T53" s="445">
        <f>(P53-O53)*S53</f>
        <v>12960</v>
      </c>
      <c r="U53" s="31"/>
      <c r="V53" s="542" t="s">
        <v>85</v>
      </c>
      <c r="W53" s="47" t="s">
        <v>82</v>
      </c>
      <c r="X53" s="7"/>
      <c r="Y53" s="7"/>
      <c r="Z53" s="7"/>
      <c r="AA53" s="7"/>
      <c r="AB53" s="7"/>
      <c r="AC53" s="7"/>
    </row>
    <row r="54" spans="1:29" ht="30.75" customHeight="1">
      <c r="A54" s="19"/>
      <c r="B54" s="96" t="s">
        <v>86</v>
      </c>
      <c r="C54" s="97">
        <f>SUM(C8:C53)</f>
        <v>338445.56859999831</v>
      </c>
      <c r="D54" s="91"/>
      <c r="E54" s="91"/>
      <c r="F54" s="91"/>
      <c r="G54" s="92"/>
      <c r="H54" s="91"/>
      <c r="I54" s="91"/>
      <c r="J54" s="93"/>
      <c r="K54" s="93"/>
      <c r="L54" s="93"/>
      <c r="M54" s="93"/>
      <c r="N54" s="93"/>
      <c r="O54" s="91"/>
      <c r="P54" s="91"/>
      <c r="Q54" s="7"/>
      <c r="R54" s="94"/>
      <c r="S54" s="91"/>
      <c r="T54" s="91"/>
      <c r="U54" s="95"/>
      <c r="V54" s="538"/>
      <c r="W54" s="47"/>
      <c r="X54" s="7"/>
      <c r="Y54" s="7"/>
      <c r="Z54" s="7"/>
      <c r="AA54" s="7"/>
      <c r="AB54" s="7"/>
      <c r="AC54" s="7"/>
    </row>
    <row r="55" spans="1:29" ht="26.25">
      <c r="A55" s="19"/>
      <c r="B55" s="26" t="s">
        <v>87</v>
      </c>
      <c r="C55" s="91"/>
      <c r="D55" s="91"/>
      <c r="E55" s="91"/>
      <c r="F55" s="91"/>
      <c r="G55" s="92"/>
      <c r="H55" s="91"/>
      <c r="I55" s="91"/>
      <c r="J55" s="98"/>
      <c r="K55" s="98"/>
      <c r="L55" s="98"/>
      <c r="M55" s="22"/>
      <c r="N55" s="22"/>
      <c r="O55" s="91"/>
      <c r="P55" s="91"/>
      <c r="Q55" s="7"/>
      <c r="R55" s="94"/>
      <c r="S55" s="91"/>
      <c r="T55" s="91"/>
      <c r="U55" s="95"/>
      <c r="V55" s="538"/>
      <c r="W55" s="47"/>
      <c r="X55" s="7"/>
      <c r="Y55" s="7"/>
      <c r="Z55" s="7"/>
      <c r="AA55" s="7"/>
      <c r="AB55" s="7"/>
      <c r="AC55" s="7"/>
    </row>
    <row r="56" spans="1:29" s="42" customFormat="1" ht="25.5">
      <c r="A56" s="99"/>
      <c r="B56" s="430"/>
      <c r="C56" s="34"/>
      <c r="D56" s="370"/>
      <c r="E56" s="34"/>
      <c r="F56" s="34"/>
      <c r="G56" s="34"/>
      <c r="H56" s="370"/>
      <c r="I56" s="431"/>
      <c r="J56" s="432"/>
      <c r="K56" s="432"/>
      <c r="L56" s="432"/>
      <c r="M56" s="432"/>
      <c r="N56" s="432"/>
      <c r="O56" s="370"/>
      <c r="P56" s="370"/>
      <c r="Q56" s="370"/>
      <c r="R56" s="370"/>
      <c r="S56" s="370"/>
      <c r="T56" s="34"/>
      <c r="U56" s="38"/>
      <c r="V56" s="39"/>
      <c r="W56" s="100"/>
      <c r="X56" s="41"/>
      <c r="Y56" s="41"/>
      <c r="Z56" s="41"/>
      <c r="AA56" s="41"/>
      <c r="AB56" s="41"/>
      <c r="AC56" s="41"/>
    </row>
    <row r="57" spans="1:29" ht="25.5">
      <c r="A57" s="101"/>
      <c r="B57" s="62" t="s">
        <v>88</v>
      </c>
      <c r="C57" s="28">
        <f>H57</f>
        <v>873</v>
      </c>
      <c r="D57" s="77"/>
      <c r="E57" s="28">
        <f>F57+G57</f>
        <v>61.11</v>
      </c>
      <c r="F57" s="28">
        <f>0.04*H57</f>
        <v>34.92</v>
      </c>
      <c r="G57" s="28">
        <f>0.03*H57</f>
        <v>26.189999999999998</v>
      </c>
      <c r="H57" s="77">
        <f t="shared" ref="H57:H62" si="10">T57</f>
        <v>873</v>
      </c>
      <c r="I57" s="365">
        <f>C57*0.4</f>
        <v>349.20000000000005</v>
      </c>
      <c r="J57" s="46"/>
      <c r="K57" s="46"/>
      <c r="L57" s="46"/>
      <c r="M57" s="46"/>
      <c r="N57" s="46"/>
      <c r="O57" s="77">
        <v>381173</v>
      </c>
      <c r="P57" s="77">
        <v>382046</v>
      </c>
      <c r="Q57" s="79"/>
      <c r="R57" s="80"/>
      <c r="S57" s="80">
        <v>1</v>
      </c>
      <c r="T57" s="77">
        <f>(P57-O57)*S57</f>
        <v>873</v>
      </c>
      <c r="U57" s="102">
        <v>4786</v>
      </c>
      <c r="V57" s="369" t="s">
        <v>89</v>
      </c>
      <c r="W57" s="47" t="s">
        <v>90</v>
      </c>
      <c r="X57" s="7"/>
      <c r="Y57" s="7"/>
      <c r="Z57" s="7"/>
      <c r="AA57" s="7"/>
      <c r="AB57" s="7"/>
      <c r="AC57" s="7"/>
    </row>
    <row r="58" spans="1:29" ht="25.5">
      <c r="A58" s="101"/>
      <c r="B58" s="62" t="s">
        <v>711</v>
      </c>
      <c r="C58" s="28">
        <f>H58</f>
        <v>2272.5200000000768</v>
      </c>
      <c r="D58" s="77"/>
      <c r="E58" s="28"/>
      <c r="F58" s="28"/>
      <c r="G58" s="28"/>
      <c r="H58" s="77">
        <f t="shared" si="10"/>
        <v>2272.5200000000768</v>
      </c>
      <c r="I58" s="77">
        <f>T59</f>
        <v>108</v>
      </c>
      <c r="J58" s="46"/>
      <c r="K58" s="46"/>
      <c r="L58" s="46"/>
      <c r="M58" s="46"/>
      <c r="N58" s="46"/>
      <c r="O58" s="77">
        <v>20448.913</v>
      </c>
      <c r="P58" s="77">
        <v>20692.632000000001</v>
      </c>
      <c r="Q58" s="79"/>
      <c r="R58" s="80"/>
      <c r="S58" s="80">
        <v>80</v>
      </c>
      <c r="T58" s="77">
        <f>(P58-O58)*S58-T624</f>
        <v>2272.5200000000768</v>
      </c>
      <c r="U58" s="102" t="s">
        <v>91</v>
      </c>
      <c r="V58" s="369" t="s">
        <v>92</v>
      </c>
      <c r="W58" s="47" t="s">
        <v>90</v>
      </c>
      <c r="X58" s="7"/>
      <c r="Y58" s="7"/>
      <c r="Z58" s="7"/>
      <c r="AA58" s="7"/>
      <c r="AB58" s="7"/>
      <c r="AC58" s="7"/>
    </row>
    <row r="59" spans="1:29" ht="25.5">
      <c r="A59" s="101"/>
      <c r="B59" s="62" t="s">
        <v>93</v>
      </c>
      <c r="C59" s="28">
        <f>H59</f>
        <v>108</v>
      </c>
      <c r="D59" s="77"/>
      <c r="E59" s="28">
        <f>F59+G59</f>
        <v>7.5600000000000005</v>
      </c>
      <c r="F59" s="28">
        <f>0.04*H59</f>
        <v>4.32</v>
      </c>
      <c r="G59" s="28">
        <f>0.03*H59</f>
        <v>3.2399999999999998</v>
      </c>
      <c r="H59" s="77">
        <f t="shared" si="10"/>
        <v>108</v>
      </c>
      <c r="I59" s="365">
        <f>C59*0.4</f>
        <v>43.2</v>
      </c>
      <c r="J59" s="46"/>
      <c r="K59" s="46"/>
      <c r="L59" s="46"/>
      <c r="M59" s="46"/>
      <c r="N59" s="46"/>
      <c r="O59" s="77">
        <v>11560</v>
      </c>
      <c r="P59" s="77">
        <v>11668</v>
      </c>
      <c r="Q59" s="79"/>
      <c r="R59" s="80"/>
      <c r="S59" s="80">
        <v>1</v>
      </c>
      <c r="T59" s="77">
        <f>(P59-O59)*S59</f>
        <v>108</v>
      </c>
      <c r="U59" s="31">
        <v>6221</v>
      </c>
      <c r="V59" s="369" t="s">
        <v>94</v>
      </c>
      <c r="W59" s="47" t="s">
        <v>43</v>
      </c>
      <c r="X59" s="7"/>
      <c r="Y59" s="7"/>
      <c r="Z59" s="7"/>
      <c r="AA59" s="7"/>
      <c r="AB59" s="7"/>
      <c r="AC59" s="7"/>
    </row>
    <row r="60" spans="1:29" ht="76.5">
      <c r="A60" s="101"/>
      <c r="B60" s="27" t="s">
        <v>756</v>
      </c>
      <c r="C60" s="28">
        <f>T60</f>
        <v>1121.9999999999891</v>
      </c>
      <c r="D60" s="77"/>
      <c r="E60" s="28"/>
      <c r="F60" s="28"/>
      <c r="G60" s="28"/>
      <c r="H60" s="77">
        <f t="shared" si="10"/>
        <v>1121.9999999999891</v>
      </c>
      <c r="I60" s="77">
        <f>T61</f>
        <v>688</v>
      </c>
      <c r="J60" s="46"/>
      <c r="K60" s="46"/>
      <c r="L60" s="46"/>
      <c r="M60" s="46"/>
      <c r="N60" s="46"/>
      <c r="O60" s="77">
        <v>5403.64</v>
      </c>
      <c r="P60" s="77">
        <v>5422.34</v>
      </c>
      <c r="Q60" s="79"/>
      <c r="R60" s="80"/>
      <c r="S60" s="80">
        <v>60</v>
      </c>
      <c r="T60" s="77">
        <f>(P60-O60)*S60</f>
        <v>1121.9999999999891</v>
      </c>
      <c r="U60" s="102" t="s">
        <v>95</v>
      </c>
      <c r="V60" s="369" t="s">
        <v>96</v>
      </c>
      <c r="W60" s="103" t="s">
        <v>90</v>
      </c>
      <c r="X60" s="7"/>
      <c r="Y60" s="7"/>
      <c r="Z60" s="7"/>
      <c r="AA60" s="7"/>
      <c r="AB60" s="7"/>
      <c r="AC60" s="7"/>
    </row>
    <row r="61" spans="1:29" ht="52.5" customHeight="1">
      <c r="A61" s="101"/>
      <c r="B61" s="27" t="s">
        <v>757</v>
      </c>
      <c r="C61" s="28">
        <f>H61</f>
        <v>688</v>
      </c>
      <c r="D61" s="77"/>
      <c r="E61" s="28"/>
      <c r="F61" s="28"/>
      <c r="G61" s="28"/>
      <c r="H61" s="77">
        <f t="shared" si="10"/>
        <v>688</v>
      </c>
      <c r="I61" s="77">
        <f>T62</f>
        <v>232</v>
      </c>
      <c r="J61" s="46"/>
      <c r="K61" s="46"/>
      <c r="L61" s="46"/>
      <c r="M61" s="46"/>
      <c r="N61" s="46"/>
      <c r="O61" s="77">
        <v>827.3</v>
      </c>
      <c r="P61" s="77">
        <v>844.8</v>
      </c>
      <c r="Q61" s="79"/>
      <c r="R61" s="80"/>
      <c r="S61" s="80">
        <v>120</v>
      </c>
      <c r="T61" s="77">
        <f>(P61-O61)*S61-T636-T59-T65-T62</f>
        <v>688</v>
      </c>
      <c r="U61" s="102"/>
      <c r="V61" s="821" t="s">
        <v>712</v>
      </c>
      <c r="W61" s="103"/>
      <c r="X61" s="7"/>
      <c r="Y61" s="7"/>
      <c r="Z61" s="7"/>
      <c r="AA61" s="7"/>
      <c r="AB61" s="7"/>
      <c r="AC61" s="7"/>
    </row>
    <row r="62" spans="1:29" s="42" customFormat="1" ht="30" customHeight="1">
      <c r="A62" s="99"/>
      <c r="B62" s="352" t="s">
        <v>758</v>
      </c>
      <c r="C62" s="28">
        <f>T62</f>
        <v>232</v>
      </c>
      <c r="D62" s="77"/>
      <c r="E62" s="28"/>
      <c r="F62" s="28"/>
      <c r="G62" s="28"/>
      <c r="H62" s="77">
        <f t="shared" si="10"/>
        <v>232</v>
      </c>
      <c r="I62" s="77">
        <f>T63</f>
        <v>0</v>
      </c>
      <c r="J62" s="46"/>
      <c r="K62" s="46"/>
      <c r="L62" s="46"/>
      <c r="M62" s="46"/>
      <c r="N62" s="46"/>
      <c r="O62" s="77">
        <v>12123</v>
      </c>
      <c r="P62" s="77">
        <v>12355</v>
      </c>
      <c r="Q62" s="79"/>
      <c r="R62" s="80"/>
      <c r="S62" s="80">
        <v>1</v>
      </c>
      <c r="T62" s="77">
        <f>(P62-O62)*S62</f>
        <v>232</v>
      </c>
      <c r="U62" s="513"/>
      <c r="V62" s="821"/>
      <c r="W62" s="100"/>
      <c r="X62" s="41"/>
      <c r="Y62" s="41"/>
      <c r="Z62" s="41"/>
      <c r="AA62" s="41"/>
      <c r="AB62" s="41"/>
      <c r="AC62" s="41"/>
    </row>
    <row r="63" spans="1:29" s="42" customFormat="1" ht="25.5">
      <c r="A63" s="99"/>
      <c r="B63" s="352"/>
      <c r="C63" s="43"/>
      <c r="D63" s="270"/>
      <c r="E63" s="43"/>
      <c r="F63" s="43"/>
      <c r="G63" s="43"/>
      <c r="H63" s="270"/>
      <c r="I63" s="270"/>
      <c r="J63" s="355"/>
      <c r="K63" s="355"/>
      <c r="L63" s="355"/>
      <c r="M63" s="355"/>
      <c r="N63" s="355"/>
      <c r="O63" s="43"/>
      <c r="P63" s="43"/>
      <c r="Q63" s="531"/>
      <c r="R63" s="532"/>
      <c r="S63" s="477"/>
      <c r="T63" s="270"/>
      <c r="U63" s="513"/>
      <c r="V63" s="533"/>
      <c r="W63" s="100"/>
      <c r="X63" s="41"/>
      <c r="Y63" s="41"/>
      <c r="Z63" s="41"/>
      <c r="AA63" s="41"/>
      <c r="AB63" s="41"/>
      <c r="AC63" s="41"/>
    </row>
    <row r="64" spans="1:29" ht="25.5">
      <c r="A64" s="101"/>
      <c r="B64" s="375" t="s">
        <v>97</v>
      </c>
      <c r="C64" s="349">
        <f>H64</f>
        <v>802.00000000000728</v>
      </c>
      <c r="D64" s="376"/>
      <c r="E64" s="349"/>
      <c r="F64" s="349"/>
      <c r="G64" s="349"/>
      <c r="H64" s="376">
        <f>T64</f>
        <v>802.00000000000728</v>
      </c>
      <c r="I64" s="376">
        <f>T64*0.3</f>
        <v>240.60000000000218</v>
      </c>
      <c r="J64" s="46"/>
      <c r="K64" s="46"/>
      <c r="L64" s="46"/>
      <c r="M64" s="46"/>
      <c r="N64" s="46"/>
      <c r="O64" s="377">
        <v>3862.2</v>
      </c>
      <c r="P64" s="377">
        <v>3902.3</v>
      </c>
      <c r="Q64" s="79"/>
      <c r="R64" s="378"/>
      <c r="S64" s="379">
        <v>20</v>
      </c>
      <c r="T64" s="376">
        <f>(P64-O64)*S64</f>
        <v>802.00000000000728</v>
      </c>
      <c r="U64" s="102">
        <v>5621</v>
      </c>
      <c r="V64" s="369" t="s">
        <v>98</v>
      </c>
      <c r="W64" s="47" t="s">
        <v>90</v>
      </c>
      <c r="X64" s="7"/>
      <c r="Y64" s="7"/>
      <c r="Z64" s="7"/>
      <c r="AA64" s="7"/>
      <c r="AB64" s="7"/>
      <c r="AC64" s="7"/>
    </row>
    <row r="65" spans="1:29" ht="25.5">
      <c r="A65" s="101"/>
      <c r="B65" s="27" t="s">
        <v>99</v>
      </c>
      <c r="C65" s="349">
        <f>H65</f>
        <v>1072</v>
      </c>
      <c r="D65" s="77"/>
      <c r="E65" s="28"/>
      <c r="F65" s="28"/>
      <c r="G65" s="28"/>
      <c r="H65" s="77">
        <f>T65</f>
        <v>1072</v>
      </c>
      <c r="I65" s="77">
        <f>T65*0.3</f>
        <v>321.59999999999997</v>
      </c>
      <c r="J65" s="348"/>
      <c r="K65" s="348"/>
      <c r="L65" s="348"/>
      <c r="M65" s="348"/>
      <c r="N65" s="348"/>
      <c r="O65" s="28">
        <v>215902</v>
      </c>
      <c r="P65" s="28">
        <v>216974</v>
      </c>
      <c r="Q65" s="77"/>
      <c r="R65" s="77"/>
      <c r="S65" s="28">
        <v>1</v>
      </c>
      <c r="T65" s="77">
        <f>(P65-O65)*S65</f>
        <v>1072</v>
      </c>
      <c r="U65" s="102">
        <v>4785</v>
      </c>
      <c r="V65" s="369" t="s">
        <v>89</v>
      </c>
      <c r="W65" s="47" t="s">
        <v>43</v>
      </c>
      <c r="X65" s="7"/>
      <c r="Y65" s="7"/>
      <c r="Z65" s="7"/>
      <c r="AA65" s="7"/>
      <c r="AB65" s="7"/>
      <c r="AC65" s="7"/>
    </row>
    <row r="66" spans="1:29" ht="26.25">
      <c r="A66" s="108"/>
      <c r="B66" s="109" t="s">
        <v>100</v>
      </c>
      <c r="C66" s="110">
        <f>SUM(C56:C65)</f>
        <v>7169.5200000000732</v>
      </c>
      <c r="D66" s="111"/>
      <c r="E66" s="112"/>
      <c r="F66" s="112"/>
      <c r="G66" s="112"/>
      <c r="H66" s="111"/>
      <c r="I66" s="113">
        <f>SUM(I56:I65)</f>
        <v>1982.6000000000022</v>
      </c>
      <c r="J66" s="114"/>
      <c r="K66" s="114"/>
      <c r="L66" s="114"/>
      <c r="M66" s="114"/>
      <c r="N66" s="114"/>
      <c r="O66" s="115"/>
      <c r="P66" s="115"/>
      <c r="Q66" s="92"/>
      <c r="R66" s="92"/>
      <c r="S66" s="91"/>
      <c r="T66" s="92"/>
      <c r="U66" s="116"/>
      <c r="V66" s="107"/>
      <c r="W66" s="14"/>
      <c r="X66" s="7"/>
      <c r="Y66" s="7"/>
      <c r="Z66" s="7"/>
      <c r="AA66" s="7"/>
      <c r="AB66" s="7"/>
      <c r="AC66" s="7"/>
    </row>
    <row r="67" spans="1:29" ht="26.25">
      <c r="A67" s="536"/>
      <c r="B67" s="109" t="s">
        <v>101</v>
      </c>
      <c r="C67" s="117"/>
      <c r="D67" s="118"/>
      <c r="E67" s="113"/>
      <c r="F67" s="113"/>
      <c r="G67" s="113"/>
      <c r="H67" s="118"/>
      <c r="I67" s="118"/>
      <c r="J67" s="98"/>
      <c r="K67" s="98"/>
      <c r="L67" s="98"/>
      <c r="M67" s="98"/>
      <c r="N67" s="98"/>
      <c r="O67" s="91"/>
      <c r="P67" s="91"/>
      <c r="Q67" s="92"/>
      <c r="R67" s="92"/>
      <c r="S67" s="91"/>
      <c r="T67" s="92"/>
      <c r="U67" s="116"/>
      <c r="V67" s="107"/>
      <c r="W67" s="14"/>
      <c r="X67" s="7"/>
      <c r="Y67" s="7"/>
      <c r="Z67" s="7"/>
      <c r="AA67" s="7"/>
      <c r="AB67" s="7"/>
      <c r="AC67" s="7"/>
    </row>
    <row r="68" spans="1:29" ht="31.5" customHeight="1">
      <c r="A68" s="536"/>
      <c r="B68" s="380" t="s">
        <v>102</v>
      </c>
      <c r="C68" s="349">
        <v>1521</v>
      </c>
      <c r="D68" s="381"/>
      <c r="E68" s="382"/>
      <c r="F68" s="382"/>
      <c r="G68" s="382"/>
      <c r="H68" s="381"/>
      <c r="I68" s="381"/>
      <c r="J68" s="46"/>
      <c r="K68" s="46"/>
      <c r="L68" s="46"/>
      <c r="M68" s="46"/>
      <c r="N68" s="46"/>
      <c r="O68" s="28">
        <f>12183.39+30327.6</f>
        <v>42510.99</v>
      </c>
      <c r="P68" s="28">
        <f>12459.05+30905.94</f>
        <v>43364.99</v>
      </c>
      <c r="Q68" s="77"/>
      <c r="R68" s="77"/>
      <c r="S68" s="28">
        <v>80</v>
      </c>
      <c r="T68" s="77">
        <f>(P68-O68)*S68-T72-T73</f>
        <v>62408</v>
      </c>
      <c r="U68" s="102" t="s">
        <v>103</v>
      </c>
      <c r="V68" s="369" t="s">
        <v>104</v>
      </c>
      <c r="W68" s="14" t="s">
        <v>48</v>
      </c>
      <c r="X68" s="48"/>
      <c r="Y68" s="7"/>
      <c r="Z68" s="7"/>
      <c r="AA68" s="7"/>
      <c r="AB68" s="7"/>
      <c r="AC68" s="7"/>
    </row>
    <row r="69" spans="1:29" ht="51.75" customHeight="1">
      <c r="A69" s="536"/>
      <c r="B69" s="383" t="s">
        <v>105</v>
      </c>
      <c r="C69" s="349">
        <f>T71</f>
        <v>10348.000000000029</v>
      </c>
      <c r="D69" s="381"/>
      <c r="E69" s="382"/>
      <c r="F69" s="382"/>
      <c r="G69" s="382"/>
      <c r="H69" s="381"/>
      <c r="I69" s="381"/>
      <c r="J69" s="46"/>
      <c r="K69" s="46"/>
      <c r="L69" s="46"/>
      <c r="M69" s="46"/>
      <c r="N69" s="46"/>
      <c r="O69" s="28"/>
      <c r="P69" s="28"/>
      <c r="Q69" s="77"/>
      <c r="R69" s="77"/>
      <c r="S69" s="28"/>
      <c r="T69" s="77"/>
      <c r="U69" s="102"/>
      <c r="V69" s="369"/>
      <c r="W69" s="14" t="s">
        <v>48</v>
      </c>
      <c r="X69" s="48"/>
      <c r="Y69" s="7"/>
      <c r="Z69" s="7"/>
      <c r="AA69" s="7"/>
      <c r="AB69" s="7"/>
      <c r="AC69" s="7"/>
    </row>
    <row r="70" spans="1:29" ht="25.5">
      <c r="A70" s="536"/>
      <c r="B70" s="384" t="s">
        <v>106</v>
      </c>
      <c r="C70" s="28">
        <f>H70</f>
        <v>8794</v>
      </c>
      <c r="D70" s="28"/>
      <c r="E70" s="28">
        <f>F70+G70</f>
        <v>615.57999999999993</v>
      </c>
      <c r="F70" s="28">
        <f>0.04*H70</f>
        <v>351.76</v>
      </c>
      <c r="G70" s="28">
        <f>0.03*H70</f>
        <v>263.82</v>
      </c>
      <c r="H70" s="28">
        <f>T70</f>
        <v>8794</v>
      </c>
      <c r="I70" s="28">
        <f>0.6*C70</f>
        <v>5276.4</v>
      </c>
      <c r="J70" s="29"/>
      <c r="K70" s="29"/>
      <c r="L70" s="29"/>
      <c r="M70" s="29"/>
      <c r="N70" s="29"/>
      <c r="O70" s="28">
        <f>161667+7902</f>
        <v>169569</v>
      </c>
      <c r="P70" s="28">
        <f>168713+9650</f>
        <v>178363</v>
      </c>
      <c r="Q70" s="30"/>
      <c r="R70" s="351"/>
      <c r="S70" s="54">
        <v>1</v>
      </c>
      <c r="T70" s="28">
        <f>(P70-O70)*S70</f>
        <v>8794</v>
      </c>
      <c r="U70" s="31">
        <v>7584</v>
      </c>
      <c r="V70" s="540" t="s">
        <v>106</v>
      </c>
      <c r="W70" s="14" t="s">
        <v>48</v>
      </c>
      <c r="X70" s="48"/>
      <c r="Y70" s="7"/>
      <c r="Z70" s="7"/>
      <c r="AA70" s="7"/>
      <c r="AB70" s="7"/>
      <c r="AC70" s="7"/>
    </row>
    <row r="71" spans="1:29" ht="28.5" customHeight="1">
      <c r="A71" s="536"/>
      <c r="B71" s="380" t="s">
        <v>107</v>
      </c>
      <c r="C71" s="349">
        <f>T68-C706</f>
        <v>17552.530000000006</v>
      </c>
      <c r="D71" s="381"/>
      <c r="E71" s="382"/>
      <c r="F71" s="382"/>
      <c r="G71" s="382"/>
      <c r="H71" s="381"/>
      <c r="I71" s="382">
        <f>T69-I707</f>
        <v>0</v>
      </c>
      <c r="J71" s="46"/>
      <c r="K71" s="46"/>
      <c r="L71" s="46"/>
      <c r="M71" s="46"/>
      <c r="N71" s="46"/>
      <c r="O71" s="28">
        <f>4327.32+3854.51</f>
        <v>8181.83</v>
      </c>
      <c r="P71" s="28">
        <f>4454.96+3856.22</f>
        <v>8311.18</v>
      </c>
      <c r="Q71" s="77"/>
      <c r="R71" s="77"/>
      <c r="S71" s="28">
        <v>80</v>
      </c>
      <c r="T71" s="77">
        <f>(P71-O71)*S71</f>
        <v>10348.000000000029</v>
      </c>
      <c r="U71" s="102" t="s">
        <v>108</v>
      </c>
      <c r="V71" s="369" t="s">
        <v>109</v>
      </c>
      <c r="W71" s="14" t="s">
        <v>48</v>
      </c>
      <c r="X71" s="48"/>
      <c r="Y71" s="7"/>
      <c r="Z71" s="7"/>
      <c r="AA71" s="7"/>
      <c r="AB71" s="7"/>
      <c r="AC71" s="7"/>
    </row>
    <row r="72" spans="1:29" ht="28.5" customHeight="1">
      <c r="A72" s="536"/>
      <c r="B72" s="352" t="s">
        <v>684</v>
      </c>
      <c r="C72" s="28">
        <f t="shared" ref="C72" si="11">H72+E72</f>
        <v>5403</v>
      </c>
      <c r="D72" s="28"/>
      <c r="E72" s="28">
        <v>0</v>
      </c>
      <c r="F72" s="28">
        <v>0</v>
      </c>
      <c r="G72" s="28">
        <v>0</v>
      </c>
      <c r="H72" s="28">
        <f>T72</f>
        <v>5403</v>
      </c>
      <c r="I72" s="28">
        <f t="shared" ref="I72" si="12">0.4*C72</f>
        <v>2161.2000000000003</v>
      </c>
      <c r="J72" s="46"/>
      <c r="K72" s="46"/>
      <c r="L72" s="46"/>
      <c r="M72" s="29"/>
      <c r="N72" s="29"/>
      <c r="O72" s="28">
        <v>44794</v>
      </c>
      <c r="P72" s="28">
        <v>50197</v>
      </c>
      <c r="Q72" s="30"/>
      <c r="R72" s="361"/>
      <c r="S72" s="28">
        <v>1</v>
      </c>
      <c r="T72" s="28">
        <f>(P72-O72)*S72</f>
        <v>5403</v>
      </c>
      <c r="U72" s="55">
        <v>5837</v>
      </c>
      <c r="V72" s="44" t="s">
        <v>713</v>
      </c>
      <c r="W72" s="14"/>
      <c r="X72" s="48"/>
      <c r="Y72" s="7"/>
      <c r="Z72" s="7"/>
      <c r="AA72" s="7"/>
      <c r="AB72" s="7"/>
      <c r="AC72" s="7"/>
    </row>
    <row r="73" spans="1:29" ht="28.5" customHeight="1">
      <c r="A73" s="536"/>
      <c r="B73" s="380" t="s">
        <v>110</v>
      </c>
      <c r="C73" s="28">
        <f>H73+E73</f>
        <v>544.63</v>
      </c>
      <c r="D73" s="28"/>
      <c r="E73" s="28">
        <f>F73+G73</f>
        <v>35.629999999999995</v>
      </c>
      <c r="F73" s="28">
        <f>0.04*H73</f>
        <v>20.36</v>
      </c>
      <c r="G73" s="28">
        <f>0.03*H73</f>
        <v>15.27</v>
      </c>
      <c r="H73" s="28">
        <f>T73</f>
        <v>509</v>
      </c>
      <c r="I73" s="28">
        <f>0.6*C73</f>
        <v>326.77799999999996</v>
      </c>
      <c r="J73" s="46"/>
      <c r="K73" s="46"/>
      <c r="L73" s="46"/>
      <c r="M73" s="46"/>
      <c r="N73" s="46"/>
      <c r="O73" s="28">
        <v>14628</v>
      </c>
      <c r="P73" s="28">
        <v>15137</v>
      </c>
      <c r="Q73" s="77"/>
      <c r="R73" s="77"/>
      <c r="S73" s="28">
        <v>1</v>
      </c>
      <c r="T73" s="28">
        <f>(P73-O73)*S73</f>
        <v>509</v>
      </c>
      <c r="U73" s="102">
        <v>9868</v>
      </c>
      <c r="V73" s="369" t="s">
        <v>111</v>
      </c>
      <c r="W73" s="14" t="s">
        <v>48</v>
      </c>
      <c r="X73" s="48"/>
      <c r="Y73" s="7"/>
      <c r="Z73" s="7"/>
      <c r="AA73" s="7"/>
      <c r="AB73" s="7"/>
      <c r="AC73" s="7"/>
    </row>
    <row r="74" spans="1:29" ht="26.25">
      <c r="A74" s="108"/>
      <c r="B74" s="119" t="s">
        <v>112</v>
      </c>
      <c r="C74" s="97">
        <f>SUM(C68:C73)</f>
        <v>44163.160000000033</v>
      </c>
      <c r="D74" s="120"/>
      <c r="E74" s="121"/>
      <c r="F74" s="121"/>
      <c r="G74" s="121"/>
      <c r="H74" s="120"/>
      <c r="I74" s="121"/>
      <c r="J74" s="98"/>
      <c r="K74" s="98"/>
      <c r="L74" s="98"/>
      <c r="M74" s="98"/>
      <c r="N74" s="98"/>
      <c r="O74" s="91"/>
      <c r="P74" s="91"/>
      <c r="Q74" s="92"/>
      <c r="R74" s="92"/>
      <c r="S74" s="91"/>
      <c r="T74" s="92"/>
      <c r="U74" s="116"/>
      <c r="V74" s="107"/>
      <c r="W74" s="14" t="s">
        <v>48</v>
      </c>
      <c r="X74" s="48"/>
      <c r="Y74" s="122"/>
      <c r="Z74" s="122"/>
      <c r="AA74" s="122"/>
      <c r="AB74" s="122"/>
      <c r="AC74" s="122"/>
    </row>
    <row r="75" spans="1:29" ht="25.5">
      <c r="A75" s="536"/>
      <c r="B75" s="1"/>
      <c r="U75" s="1"/>
      <c r="V75" s="1"/>
      <c r="W75" s="14"/>
      <c r="X75" s="48"/>
      <c r="Y75" s="7"/>
      <c r="Z75" s="7"/>
      <c r="AA75" s="7"/>
      <c r="AB75" s="7"/>
      <c r="AC75" s="7"/>
    </row>
    <row r="76" spans="1:29" ht="26.25">
      <c r="A76" s="536"/>
      <c r="B76" s="123" t="s">
        <v>113</v>
      </c>
      <c r="C76" s="124"/>
      <c r="D76" s="125"/>
      <c r="E76" s="124"/>
      <c r="F76" s="124"/>
      <c r="G76" s="124"/>
      <c r="H76" s="124"/>
      <c r="I76" s="124"/>
      <c r="J76" s="126"/>
      <c r="K76" s="126"/>
      <c r="L76" s="126"/>
      <c r="M76" s="126"/>
      <c r="N76" s="126"/>
      <c r="O76" s="124"/>
      <c r="P76" s="124"/>
      <c r="Q76" s="125"/>
      <c r="R76" s="125"/>
      <c r="S76" s="124"/>
      <c r="T76" s="124"/>
      <c r="U76" s="127"/>
      <c r="V76" s="128"/>
      <c r="W76" s="14"/>
      <c r="X76" s="7"/>
      <c r="Y76" s="7"/>
      <c r="Z76" s="7"/>
      <c r="AA76" s="7"/>
      <c r="AB76" s="7"/>
      <c r="AC76" s="7"/>
    </row>
    <row r="77" spans="1:29" ht="25.5">
      <c r="A77" s="19"/>
      <c r="B77" s="129" t="s">
        <v>114</v>
      </c>
      <c r="C77" s="84">
        <f>(T77+T78)</f>
        <v>36289.600000000268</v>
      </c>
      <c r="D77" s="84"/>
      <c r="E77" s="84">
        <f>F77+G77</f>
        <v>0</v>
      </c>
      <c r="F77" s="84">
        <v>0</v>
      </c>
      <c r="G77" s="84">
        <v>0</v>
      </c>
      <c r="H77" s="84">
        <f>T77</f>
        <v>40.799999999999272</v>
      </c>
      <c r="I77" s="84">
        <f>T79</f>
        <v>0</v>
      </c>
      <c r="J77" s="130"/>
      <c r="K77" s="131"/>
      <c r="L77" s="131"/>
      <c r="M77" s="130"/>
      <c r="N77" s="130"/>
      <c r="O77" s="84">
        <v>4066</v>
      </c>
      <c r="P77" s="84">
        <v>4067.02</v>
      </c>
      <c r="Q77" s="385" t="s">
        <v>37</v>
      </c>
      <c r="R77" s="385"/>
      <c r="S77" s="84">
        <v>40</v>
      </c>
      <c r="T77" s="84">
        <f>(P77-O77)*S77</f>
        <v>40.799999999999272</v>
      </c>
      <c r="U77" s="88">
        <v>7163</v>
      </c>
      <c r="V77" s="386" t="s">
        <v>115</v>
      </c>
      <c r="W77" s="14" t="s">
        <v>116</v>
      </c>
      <c r="X77" s="7"/>
      <c r="Y77" s="7"/>
      <c r="Z77" s="7"/>
      <c r="AA77" s="7"/>
      <c r="AB77" s="7"/>
      <c r="AC77" s="7"/>
    </row>
    <row r="78" spans="1:29" ht="26.25" customHeight="1">
      <c r="A78" s="19"/>
      <c r="B78" s="129"/>
      <c r="C78" s="84"/>
      <c r="D78" s="84"/>
      <c r="E78" s="84">
        <f>F78+G78</f>
        <v>0</v>
      </c>
      <c r="F78" s="84">
        <v>0</v>
      </c>
      <c r="G78" s="84">
        <v>0</v>
      </c>
      <c r="H78" s="84">
        <f>T78</f>
        <v>36248.800000000265</v>
      </c>
      <c r="I78" s="84">
        <f>T81</f>
        <v>0</v>
      </c>
      <c r="J78" s="130"/>
      <c r="K78" s="131"/>
      <c r="L78" s="131"/>
      <c r="M78" s="130"/>
      <c r="N78" s="130"/>
      <c r="O78" s="84">
        <v>8872.32</v>
      </c>
      <c r="P78" s="84">
        <v>9598.64</v>
      </c>
      <c r="Q78" s="385" t="s">
        <v>37</v>
      </c>
      <c r="R78" s="385"/>
      <c r="S78" s="84">
        <v>50</v>
      </c>
      <c r="T78" s="84">
        <f>(P78-O78)*S78-T98</f>
        <v>36248.800000000265</v>
      </c>
      <c r="U78" s="88">
        <v>7215</v>
      </c>
      <c r="V78" s="386" t="s">
        <v>117</v>
      </c>
      <c r="W78" s="14" t="s">
        <v>27</v>
      </c>
      <c r="X78" s="7"/>
      <c r="Y78" s="7"/>
      <c r="Z78" s="7"/>
      <c r="AA78" s="7"/>
      <c r="AB78" s="7"/>
      <c r="AC78" s="7"/>
    </row>
    <row r="79" spans="1:29" ht="25.5">
      <c r="A79" s="19"/>
      <c r="B79" s="132"/>
      <c r="C79" s="124"/>
      <c r="D79" s="124"/>
      <c r="E79" s="124"/>
      <c r="F79" s="124"/>
      <c r="G79" s="124"/>
      <c r="H79" s="124"/>
      <c r="I79" s="124"/>
      <c r="J79" s="133"/>
      <c r="K79" s="133"/>
      <c r="L79" s="133"/>
      <c r="M79" s="133"/>
      <c r="N79" s="133"/>
      <c r="O79" s="124"/>
      <c r="P79" s="124"/>
      <c r="Q79" s="125"/>
      <c r="R79" s="125"/>
      <c r="S79" s="124"/>
      <c r="T79" s="124"/>
      <c r="U79" s="127"/>
      <c r="V79" s="128"/>
      <c r="W79" s="134" t="s">
        <v>118</v>
      </c>
      <c r="X79" s="7"/>
      <c r="Y79" s="7"/>
      <c r="Z79" s="7"/>
      <c r="AA79" s="7"/>
      <c r="AB79" s="7"/>
      <c r="AC79" s="7"/>
    </row>
    <row r="80" spans="1:29" ht="25.5">
      <c r="A80" s="19"/>
      <c r="B80" s="129" t="s">
        <v>119</v>
      </c>
      <c r="C80" s="84">
        <f>H80+E80</f>
        <v>388.40999999999997</v>
      </c>
      <c r="D80" s="84"/>
      <c r="E80" s="84">
        <f>F80+G80</f>
        <v>25.409999999999997</v>
      </c>
      <c r="F80" s="84">
        <f>0.04*H80</f>
        <v>14.52</v>
      </c>
      <c r="G80" s="84">
        <f>0.03*H80</f>
        <v>10.889999999999999</v>
      </c>
      <c r="H80" s="84">
        <f>T80</f>
        <v>363</v>
      </c>
      <c r="I80" s="84">
        <f>0.6*C80</f>
        <v>233.04599999999996</v>
      </c>
      <c r="J80" s="131"/>
      <c r="K80" s="131"/>
      <c r="L80" s="131"/>
      <c r="M80" s="131"/>
      <c r="N80" s="131"/>
      <c r="O80" s="84">
        <v>3291</v>
      </c>
      <c r="P80" s="84">
        <v>3654</v>
      </c>
      <c r="Q80" s="85"/>
      <c r="R80" s="85"/>
      <c r="S80" s="84">
        <v>1</v>
      </c>
      <c r="T80" s="84">
        <f>(P80-O80)*S80</f>
        <v>363</v>
      </c>
      <c r="U80" s="88"/>
      <c r="V80" s="89" t="s">
        <v>120</v>
      </c>
      <c r="W80" s="134" t="s">
        <v>116</v>
      </c>
      <c r="X80" s="7"/>
      <c r="Y80" s="7"/>
      <c r="Z80" s="7"/>
      <c r="AA80" s="7"/>
      <c r="AB80" s="7"/>
      <c r="AC80" s="7"/>
    </row>
    <row r="81" spans="1:29" ht="26.25">
      <c r="A81" s="135"/>
      <c r="B81" s="136" t="s">
        <v>121</v>
      </c>
      <c r="C81" s="97">
        <f>C77+C79</f>
        <v>36289.600000000268</v>
      </c>
      <c r="D81" s="137"/>
      <c r="E81" s="97"/>
      <c r="F81" s="97"/>
      <c r="G81" s="97"/>
      <c r="H81" s="97"/>
      <c r="I81" s="124">
        <f>I79+I77</f>
        <v>0</v>
      </c>
      <c r="J81" s="126"/>
      <c r="K81" s="126"/>
      <c r="L81" s="126"/>
      <c r="M81" s="126"/>
      <c r="N81" s="126"/>
      <c r="O81" s="124"/>
      <c r="P81" s="124"/>
      <c r="Q81" s="138"/>
      <c r="R81" s="139"/>
      <c r="S81" s="140"/>
      <c r="T81" s="124"/>
      <c r="U81" s="127"/>
      <c r="V81" s="128"/>
      <c r="W81" s="14"/>
      <c r="X81" s="7"/>
      <c r="Y81" s="7"/>
      <c r="Z81" s="7"/>
      <c r="AA81" s="7"/>
      <c r="AB81" s="7"/>
      <c r="AC81" s="7"/>
    </row>
    <row r="82" spans="1:29" ht="26.25">
      <c r="A82" s="135"/>
      <c r="B82" s="136" t="s">
        <v>122</v>
      </c>
      <c r="C82" s="97"/>
      <c r="D82" s="137"/>
      <c r="E82" s="97"/>
      <c r="F82" s="97"/>
      <c r="G82" s="97"/>
      <c r="H82" s="97"/>
      <c r="I82" s="124"/>
      <c r="J82" s="126"/>
      <c r="K82" s="126"/>
      <c r="L82" s="126"/>
      <c r="M82" s="126"/>
      <c r="N82" s="126"/>
      <c r="O82" s="124"/>
      <c r="P82" s="124"/>
      <c r="Q82" s="138"/>
      <c r="R82" s="139"/>
      <c r="S82" s="140"/>
      <c r="T82" s="124"/>
      <c r="U82" s="127"/>
      <c r="V82" s="128"/>
      <c r="W82" s="14"/>
      <c r="X82" s="7"/>
      <c r="Y82" s="7"/>
      <c r="Z82" s="7"/>
      <c r="AA82" s="7"/>
      <c r="AB82" s="7"/>
      <c r="AC82" s="7"/>
    </row>
    <row r="83" spans="1:29" ht="26.25">
      <c r="A83" s="19"/>
      <c r="B83" s="387" t="s">
        <v>123</v>
      </c>
      <c r="C83" s="84">
        <f>H83+E83</f>
        <v>2540</v>
      </c>
      <c r="D83" s="84"/>
      <c r="E83" s="84">
        <f>F83+G83</f>
        <v>0</v>
      </c>
      <c r="F83" s="84">
        <v>0</v>
      </c>
      <c r="G83" s="84">
        <v>0</v>
      </c>
      <c r="H83" s="84">
        <f>T83</f>
        <v>2540</v>
      </c>
      <c r="I83" s="84">
        <f>T86</f>
        <v>0</v>
      </c>
      <c r="J83" s="130"/>
      <c r="K83" s="131"/>
      <c r="L83" s="131"/>
      <c r="M83" s="130"/>
      <c r="N83" s="130"/>
      <c r="O83" s="84">
        <v>3676.4</v>
      </c>
      <c r="P83" s="84">
        <v>3739.9</v>
      </c>
      <c r="Q83" s="385" t="s">
        <v>37</v>
      </c>
      <c r="R83" s="385"/>
      <c r="S83" s="84">
        <v>40</v>
      </c>
      <c r="T83" s="84">
        <f>(P83-O83)*S83</f>
        <v>2540</v>
      </c>
      <c r="U83" s="88">
        <v>5669</v>
      </c>
      <c r="V83" s="89" t="s">
        <v>124</v>
      </c>
      <c r="W83" s="14" t="s">
        <v>19</v>
      </c>
      <c r="X83" s="7"/>
      <c r="Y83" s="7"/>
      <c r="Z83" s="7"/>
      <c r="AA83" s="7"/>
      <c r="AB83" s="7"/>
      <c r="AC83" s="7"/>
    </row>
    <row r="84" spans="1:29" ht="30.75" customHeight="1">
      <c r="A84" s="19"/>
      <c r="B84" s="83" t="s">
        <v>125</v>
      </c>
      <c r="C84" s="84">
        <f>H84+E84</f>
        <v>14773</v>
      </c>
      <c r="D84" s="84"/>
      <c r="E84" s="84">
        <f>F84+G84</f>
        <v>0</v>
      </c>
      <c r="F84" s="84">
        <v>0</v>
      </c>
      <c r="G84" s="84">
        <v>0</v>
      </c>
      <c r="H84" s="84">
        <f>T84</f>
        <v>14773</v>
      </c>
      <c r="I84" s="84">
        <f>T87</f>
        <v>0</v>
      </c>
      <c r="J84" s="130"/>
      <c r="K84" s="131"/>
      <c r="L84" s="131"/>
      <c r="M84" s="130"/>
      <c r="N84" s="130"/>
      <c r="O84" s="84">
        <v>2552</v>
      </c>
      <c r="P84" s="84">
        <v>2815.5</v>
      </c>
      <c r="Q84" s="385" t="s">
        <v>37</v>
      </c>
      <c r="R84" s="385"/>
      <c r="S84" s="84">
        <v>120</v>
      </c>
      <c r="T84" s="84">
        <f>(P84-O84)*S84-T377-T343-T83-T362-T376-T172</f>
        <v>14773</v>
      </c>
      <c r="U84" s="88">
        <v>1152</v>
      </c>
      <c r="V84" s="89" t="s">
        <v>124</v>
      </c>
      <c r="W84" s="14" t="s">
        <v>19</v>
      </c>
      <c r="X84" s="7"/>
      <c r="Y84" s="7"/>
      <c r="Z84" s="7"/>
      <c r="AA84" s="7"/>
      <c r="AB84" s="7"/>
      <c r="AC84" s="7"/>
    </row>
    <row r="85" spans="1:29" ht="27.75">
      <c r="A85" s="19"/>
      <c r="B85" s="141" t="s">
        <v>126</v>
      </c>
      <c r="C85" s="115">
        <f>SUM(C54+C74+C81+C66+C83+C84)</f>
        <v>443380.84859999869</v>
      </c>
      <c r="D85" s="91"/>
      <c r="E85" s="115"/>
      <c r="F85" s="91"/>
      <c r="G85" s="91"/>
      <c r="H85" s="115"/>
      <c r="I85" s="91">
        <f>SUM(I8:I43)+I74+I81+I66</f>
        <v>201415.94199999952</v>
      </c>
      <c r="J85" s="22"/>
      <c r="K85" s="22"/>
      <c r="L85" s="22"/>
      <c r="M85" s="22"/>
      <c r="N85" s="22"/>
      <c r="O85" s="91"/>
      <c r="P85" s="91"/>
      <c r="Q85" s="22"/>
      <c r="R85" s="142"/>
      <c r="S85" s="91"/>
      <c r="T85" s="91"/>
      <c r="U85" s="95"/>
      <c r="V85" s="538"/>
      <c r="W85" s="14"/>
      <c r="X85" s="7"/>
      <c r="Y85" s="7"/>
      <c r="Z85" s="7"/>
      <c r="AA85" s="7"/>
      <c r="AB85" s="7"/>
      <c r="AC85" s="7"/>
    </row>
    <row r="86" spans="1:29" ht="26.25">
      <c r="A86" s="19"/>
      <c r="B86" s="143"/>
      <c r="C86" s="115"/>
      <c r="D86" s="91"/>
      <c r="E86" s="115"/>
      <c r="F86" s="91"/>
      <c r="G86" s="91"/>
      <c r="H86" s="91"/>
      <c r="I86" s="91"/>
      <c r="J86" s="22"/>
      <c r="K86" s="22"/>
      <c r="L86" s="22"/>
      <c r="M86" s="22"/>
      <c r="N86" s="22"/>
      <c r="O86" s="91"/>
      <c r="P86" s="91"/>
      <c r="Q86" s="22"/>
      <c r="R86" s="142"/>
      <c r="S86" s="91"/>
      <c r="T86" s="91"/>
      <c r="U86" s="95"/>
      <c r="V86" s="538"/>
      <c r="W86" s="14"/>
      <c r="X86" s="7"/>
      <c r="Y86" s="7"/>
      <c r="Z86" s="7"/>
      <c r="AA86" s="7"/>
      <c r="AB86" s="7"/>
      <c r="AC86" s="7"/>
    </row>
    <row r="87" spans="1:29" ht="25.5">
      <c r="A87" s="822"/>
      <c r="B87" s="823"/>
      <c r="C87" s="91"/>
      <c r="D87" s="91"/>
      <c r="E87" s="92"/>
      <c r="F87" s="91"/>
      <c r="G87" s="91"/>
      <c r="H87" s="91"/>
      <c r="I87" s="91"/>
      <c r="J87" s="22"/>
      <c r="K87" s="22"/>
      <c r="L87" s="22"/>
      <c r="M87" s="22"/>
      <c r="N87" s="22"/>
      <c r="O87" s="91"/>
      <c r="P87" s="91"/>
      <c r="Q87" s="22"/>
      <c r="R87" s="142"/>
      <c r="S87" s="91"/>
      <c r="T87" s="91"/>
      <c r="U87" s="95"/>
      <c r="V87" s="538"/>
      <c r="W87" s="14"/>
      <c r="X87" s="7"/>
      <c r="Y87" s="7"/>
      <c r="Z87" s="7"/>
      <c r="AA87" s="7"/>
      <c r="AB87" s="7"/>
      <c r="AC87" s="7"/>
    </row>
    <row r="88" spans="1:29" ht="25.5">
      <c r="A88" s="19"/>
      <c r="B88" s="62" t="s">
        <v>127</v>
      </c>
      <c r="C88" s="28">
        <f>H88-C89-C90-C726-D720</f>
        <v>26664.279999999853</v>
      </c>
      <c r="D88" s="28"/>
      <c r="E88" s="28"/>
      <c r="F88" s="28"/>
      <c r="G88" s="28"/>
      <c r="H88" s="28">
        <f>T88</f>
        <v>33854.279999999853</v>
      </c>
      <c r="I88" s="28">
        <v>0</v>
      </c>
      <c r="J88" s="29"/>
      <c r="K88" s="29"/>
      <c r="L88" s="29"/>
      <c r="M88" s="29"/>
      <c r="N88" s="29"/>
      <c r="O88" s="28">
        <v>37782.709000000003</v>
      </c>
      <c r="P88" s="28">
        <v>38629.065999999999</v>
      </c>
      <c r="Q88" s="30"/>
      <c r="R88" s="351"/>
      <c r="S88" s="28">
        <v>40</v>
      </c>
      <c r="T88" s="28">
        <f>(P88-O88)*S88</f>
        <v>33854.279999999853</v>
      </c>
      <c r="U88" s="31">
        <v>95964307</v>
      </c>
      <c r="V88" s="542" t="s">
        <v>128</v>
      </c>
      <c r="W88" s="14"/>
      <c r="X88" s="7"/>
      <c r="Y88" s="7"/>
      <c r="Z88" s="93"/>
      <c r="AA88" s="93"/>
      <c r="AB88" s="93"/>
      <c r="AC88" s="7"/>
    </row>
    <row r="89" spans="1:29" s="42" customFormat="1" ht="25.5">
      <c r="A89" s="32"/>
      <c r="B89" s="69" t="s">
        <v>129</v>
      </c>
      <c r="C89" s="49">
        <f>H89</f>
        <v>1200</v>
      </c>
      <c r="D89" s="49"/>
      <c r="E89" s="49"/>
      <c r="F89" s="49"/>
      <c r="G89" s="49"/>
      <c r="H89" s="49">
        <v>1200</v>
      </c>
      <c r="I89" s="49">
        <v>0</v>
      </c>
      <c r="J89" s="51"/>
      <c r="K89" s="51"/>
      <c r="L89" s="51"/>
      <c r="M89" s="51"/>
      <c r="N89" s="51"/>
      <c r="O89" s="49"/>
      <c r="P89" s="49"/>
      <c r="Q89" s="70"/>
      <c r="R89" s="76"/>
      <c r="S89" s="49"/>
      <c r="T89" s="49"/>
      <c r="U89" s="53" t="s">
        <v>29</v>
      </c>
      <c r="V89" s="64"/>
      <c r="W89" s="144"/>
      <c r="X89" s="41"/>
      <c r="Y89" s="41"/>
      <c r="Z89" s="145"/>
      <c r="AA89" s="145"/>
      <c r="AB89" s="145"/>
      <c r="AC89" s="41"/>
    </row>
    <row r="90" spans="1:29" ht="26.25">
      <c r="A90" s="19"/>
      <c r="B90" s="27" t="s">
        <v>130</v>
      </c>
      <c r="C90" s="72">
        <f>H90+E90</f>
        <v>4207</v>
      </c>
      <c r="D90" s="77"/>
      <c r="E90" s="28">
        <f>247</f>
        <v>247</v>
      </c>
      <c r="F90" s="28"/>
      <c r="G90" s="28"/>
      <c r="H90" s="28">
        <f>T90</f>
        <v>3960</v>
      </c>
      <c r="I90" s="28"/>
      <c r="J90" s="29"/>
      <c r="K90" s="29"/>
      <c r="L90" s="29"/>
      <c r="M90" s="29"/>
      <c r="N90" s="29"/>
      <c r="O90" s="28">
        <v>14887</v>
      </c>
      <c r="P90" s="28">
        <v>15019</v>
      </c>
      <c r="Q90" s="146"/>
      <c r="R90" s="147"/>
      <c r="S90" s="54">
        <v>30</v>
      </c>
      <c r="T90" s="28">
        <f>(P90-O90)*S90</f>
        <v>3960</v>
      </c>
      <c r="U90" s="31"/>
      <c r="V90" s="542" t="s">
        <v>131</v>
      </c>
      <c r="W90" s="14"/>
      <c r="X90" s="7"/>
      <c r="Y90" s="7"/>
      <c r="Z90" s="93"/>
      <c r="AA90" s="93"/>
      <c r="AB90" s="93"/>
      <c r="AC90" s="7"/>
    </row>
    <row r="91" spans="1:29" ht="25.5" customHeight="1">
      <c r="A91" s="19"/>
      <c r="B91" s="148"/>
      <c r="C91" s="115"/>
      <c r="D91" s="92"/>
      <c r="E91" s="91"/>
      <c r="F91" s="91"/>
      <c r="G91" s="91"/>
      <c r="H91" s="91"/>
      <c r="I91" s="91"/>
      <c r="J91" s="22"/>
      <c r="K91" s="22"/>
      <c r="L91" s="22"/>
      <c r="M91" s="22"/>
      <c r="N91" s="22"/>
      <c r="O91" s="91"/>
      <c r="P91" s="91"/>
      <c r="Q91" s="149"/>
      <c r="R91" s="150"/>
      <c r="S91" s="151"/>
      <c r="T91" s="91"/>
      <c r="U91" s="95"/>
      <c r="V91" s="538"/>
      <c r="W91" s="14"/>
      <c r="X91" s="7"/>
      <c r="Y91" s="7"/>
      <c r="Z91" s="7"/>
      <c r="AA91" s="7"/>
      <c r="AB91" s="7"/>
      <c r="AC91" s="7"/>
    </row>
    <row r="92" spans="1:29" ht="26.25">
      <c r="A92" s="19"/>
      <c r="B92" s="96" t="s">
        <v>86</v>
      </c>
      <c r="C92" s="115">
        <f>C88+C89+C90+C726+D726</f>
        <v>33854.279999999853</v>
      </c>
      <c r="D92" s="28"/>
      <c r="E92" s="72"/>
      <c r="F92" s="28"/>
      <c r="G92" s="28"/>
      <c r="H92" s="72"/>
      <c r="I92" s="91">
        <v>0</v>
      </c>
      <c r="J92" s="22"/>
      <c r="K92" s="22"/>
      <c r="L92" s="22"/>
      <c r="M92" s="22"/>
      <c r="N92" s="22"/>
      <c r="O92" s="91"/>
      <c r="P92" s="91"/>
      <c r="Q92" s="22" t="s">
        <v>26</v>
      </c>
      <c r="R92" s="142"/>
      <c r="S92" s="91"/>
      <c r="T92" s="91">
        <v>0</v>
      </c>
      <c r="U92" s="31"/>
      <c r="V92" s="540"/>
      <c r="W92" s="14"/>
      <c r="X92" s="7"/>
      <c r="Y92" s="7"/>
      <c r="Z92" s="149"/>
      <c r="AA92" s="149"/>
      <c r="AB92" s="149"/>
      <c r="AC92" s="149"/>
    </row>
    <row r="93" spans="1:29" ht="26.25">
      <c r="A93" s="19"/>
      <c r="B93" s="143"/>
      <c r="C93" s="115"/>
      <c r="D93" s="91"/>
      <c r="E93" s="115"/>
      <c r="F93" s="91"/>
      <c r="G93" s="91"/>
      <c r="H93" s="91"/>
      <c r="I93" s="91"/>
      <c r="J93" s="22"/>
      <c r="K93" s="22"/>
      <c r="L93" s="22"/>
      <c r="M93" s="22"/>
      <c r="N93" s="22"/>
      <c r="O93" s="91"/>
      <c r="P93" s="91"/>
      <c r="Q93" s="22" t="s">
        <v>28</v>
      </c>
      <c r="R93" s="142"/>
      <c r="S93" s="91"/>
      <c r="T93" s="91"/>
      <c r="U93" s="95"/>
      <c r="V93" s="538"/>
      <c r="W93" s="14"/>
      <c r="X93" s="7"/>
      <c r="Y93" s="7"/>
      <c r="Z93" s="149"/>
      <c r="AA93" s="149"/>
      <c r="AB93" s="149"/>
      <c r="AC93" s="149"/>
    </row>
    <row r="94" spans="1:29" ht="25.5" customHeight="1">
      <c r="A94" s="808" t="s">
        <v>132</v>
      </c>
      <c r="B94" s="809"/>
      <c r="C94" s="91"/>
      <c r="D94" s="91"/>
      <c r="E94" s="92"/>
      <c r="F94" s="91"/>
      <c r="G94" s="91"/>
      <c r="H94" s="91"/>
      <c r="I94" s="91"/>
      <c r="J94" s="22"/>
      <c r="K94" s="22"/>
      <c r="L94" s="22"/>
      <c r="M94" s="22"/>
      <c r="N94" s="22"/>
      <c r="O94" s="91"/>
      <c r="P94" s="91"/>
      <c r="Q94" s="22" t="s">
        <v>33</v>
      </c>
      <c r="R94" s="142"/>
      <c r="S94" s="91"/>
      <c r="T94" s="91"/>
      <c r="U94" s="95"/>
      <c r="V94" s="538"/>
      <c r="W94" s="14"/>
      <c r="X94" s="7"/>
      <c r="Y94" s="7"/>
      <c r="Z94" s="149"/>
      <c r="AA94" s="149"/>
      <c r="AB94" s="149"/>
      <c r="AC94" s="149"/>
    </row>
    <row r="95" spans="1:29" s="42" customFormat="1" ht="25.5" customHeight="1">
      <c r="A95" s="152"/>
      <c r="B95" s="553"/>
      <c r="C95" s="554"/>
      <c r="D95" s="554"/>
      <c r="E95" s="554"/>
      <c r="F95" s="554"/>
      <c r="G95" s="554"/>
      <c r="H95" s="554"/>
      <c r="I95" s="554"/>
      <c r="J95" s="555"/>
      <c r="K95" s="555"/>
      <c r="L95" s="555"/>
      <c r="M95" s="555"/>
      <c r="N95" s="555"/>
      <c r="O95" s="554"/>
      <c r="P95" s="554"/>
      <c r="Q95" s="556"/>
      <c r="R95" s="556"/>
      <c r="S95" s="554"/>
      <c r="T95" s="554"/>
      <c r="U95" s="557"/>
      <c r="V95" s="558"/>
      <c r="W95" s="40"/>
      <c r="X95" s="41"/>
      <c r="Y95" s="41"/>
      <c r="Z95" s="153"/>
      <c r="AA95" s="153"/>
      <c r="AB95" s="153"/>
      <c r="AC95" s="153"/>
    </row>
    <row r="96" spans="1:29" ht="25.5" customHeight="1">
      <c r="A96" s="537"/>
      <c r="B96" s="387" t="s">
        <v>133</v>
      </c>
      <c r="C96" s="154">
        <f>H96+E96</f>
        <v>8865.8399999999529</v>
      </c>
      <c r="D96" s="85"/>
      <c r="E96" s="84">
        <f>F96+G96</f>
        <v>0</v>
      </c>
      <c r="F96" s="84">
        <v>0</v>
      </c>
      <c r="G96" s="84">
        <v>0</v>
      </c>
      <c r="H96" s="84">
        <f>T96</f>
        <v>8865.8399999999529</v>
      </c>
      <c r="I96" s="84">
        <f>0.5*C96</f>
        <v>4432.9199999999764</v>
      </c>
      <c r="J96" s="130"/>
      <c r="K96" s="130"/>
      <c r="L96" s="130"/>
      <c r="M96" s="130"/>
      <c r="N96" s="130"/>
      <c r="O96" s="155">
        <v>13291.298000000001</v>
      </c>
      <c r="P96" s="155">
        <v>13512.944</v>
      </c>
      <c r="Q96" s="86"/>
      <c r="R96" s="388"/>
      <c r="S96" s="156">
        <v>40</v>
      </c>
      <c r="T96" s="84">
        <f>(P96-O96)*S96</f>
        <v>8865.8399999999529</v>
      </c>
      <c r="U96" s="88" t="s">
        <v>134</v>
      </c>
      <c r="V96" s="89" t="s">
        <v>135</v>
      </c>
      <c r="W96" s="14" t="s">
        <v>27</v>
      </c>
      <c r="X96" s="7"/>
      <c r="Y96" s="7"/>
      <c r="Z96" s="149"/>
      <c r="AA96" s="149"/>
      <c r="AB96" s="149"/>
      <c r="AC96" s="149"/>
    </row>
    <row r="97" spans="1:29" ht="25.5" customHeight="1">
      <c r="A97" s="537"/>
      <c r="B97" s="83"/>
      <c r="C97" s="84"/>
      <c r="D97" s="84"/>
      <c r="E97" s="84"/>
      <c r="F97" s="84"/>
      <c r="G97" s="84"/>
      <c r="H97" s="84"/>
      <c r="I97" s="84">
        <f>0.5*C97</f>
        <v>0</v>
      </c>
      <c r="J97" s="130"/>
      <c r="K97" s="130"/>
      <c r="L97" s="130"/>
      <c r="M97" s="130"/>
      <c r="N97" s="130"/>
      <c r="O97" s="84"/>
      <c r="P97" s="84"/>
      <c r="Q97" s="389"/>
      <c r="R97" s="390"/>
      <c r="S97" s="156"/>
      <c r="T97" s="84"/>
      <c r="U97" s="88"/>
      <c r="V97" s="89"/>
      <c r="W97" s="14"/>
      <c r="X97" s="7"/>
      <c r="Y97" s="7"/>
      <c r="Z97" s="149"/>
      <c r="AA97" s="149"/>
      <c r="AB97" s="149"/>
      <c r="AC97" s="149"/>
    </row>
    <row r="98" spans="1:29" ht="25.5" customHeight="1">
      <c r="A98" s="537"/>
      <c r="B98" s="798" t="s">
        <v>136</v>
      </c>
      <c r="C98" s="84">
        <f>H98+E98</f>
        <v>31091.199999999735</v>
      </c>
      <c r="D98" s="84"/>
      <c r="E98" s="84">
        <f>F98+G98</f>
        <v>0</v>
      </c>
      <c r="F98" s="84">
        <v>0</v>
      </c>
      <c r="G98" s="84">
        <v>0</v>
      </c>
      <c r="H98" s="84">
        <f>T98+T99</f>
        <v>31091.199999999735</v>
      </c>
      <c r="I98" s="84">
        <f>0.6*C98</f>
        <v>18654.719999999841</v>
      </c>
      <c r="J98" s="130"/>
      <c r="K98" s="130"/>
      <c r="L98" s="130"/>
      <c r="M98" s="130"/>
      <c r="N98" s="130"/>
      <c r="O98" s="84">
        <v>64090</v>
      </c>
      <c r="P98" s="84">
        <v>64090.84</v>
      </c>
      <c r="Q98" s="389"/>
      <c r="R98" s="390"/>
      <c r="S98" s="156">
        <v>80</v>
      </c>
      <c r="T98" s="84">
        <f>(P98-O98)*S98</f>
        <v>67.199999999720603</v>
      </c>
      <c r="U98" s="88"/>
      <c r="V98" s="89" t="s">
        <v>137</v>
      </c>
      <c r="W98" s="14" t="s">
        <v>27</v>
      </c>
      <c r="X98" s="7"/>
      <c r="Y98" s="7"/>
      <c r="Z98" s="149"/>
      <c r="AA98" s="149"/>
      <c r="AB98" s="149"/>
      <c r="AC98" s="149"/>
    </row>
    <row r="99" spans="1:29" ht="25.5">
      <c r="A99" s="19"/>
      <c r="B99" s="799"/>
      <c r="C99" s="84"/>
      <c r="D99" s="84"/>
      <c r="E99" s="84"/>
      <c r="F99" s="84"/>
      <c r="G99" s="84"/>
      <c r="H99" s="84"/>
      <c r="I99" s="84">
        <f>0.6*C99</f>
        <v>0</v>
      </c>
      <c r="J99" s="130"/>
      <c r="K99" s="130"/>
      <c r="L99" s="130"/>
      <c r="M99" s="130"/>
      <c r="N99" s="130"/>
      <c r="O99" s="84">
        <v>1958</v>
      </c>
      <c r="P99" s="84">
        <v>2151.9</v>
      </c>
      <c r="Q99" s="389"/>
      <c r="R99" s="390"/>
      <c r="S99" s="156">
        <v>80</v>
      </c>
      <c r="T99" s="84">
        <f>(P99-O99)*S99*2</f>
        <v>31024.000000000015</v>
      </c>
      <c r="U99" s="88"/>
      <c r="V99" s="89" t="s">
        <v>138</v>
      </c>
      <c r="W99" s="14" t="s">
        <v>27</v>
      </c>
      <c r="X99" s="93"/>
      <c r="Y99" s="93"/>
      <c r="Z99" s="149"/>
      <c r="AA99" s="149"/>
      <c r="AB99" s="149"/>
      <c r="AC99" s="149"/>
    </row>
    <row r="100" spans="1:29" ht="25.5">
      <c r="A100" s="157"/>
      <c r="B100" s="83"/>
      <c r="C100" s="84"/>
      <c r="D100" s="84"/>
      <c r="E100" s="85"/>
      <c r="F100" s="85"/>
      <c r="G100" s="85"/>
      <c r="H100" s="84"/>
      <c r="I100" s="85"/>
      <c r="J100" s="130"/>
      <c r="K100" s="130"/>
      <c r="L100" s="130"/>
      <c r="M100" s="130"/>
      <c r="N100" s="130"/>
      <c r="O100" s="84"/>
      <c r="P100" s="84"/>
      <c r="Q100" s="130"/>
      <c r="R100" s="385"/>
      <c r="S100" s="84"/>
      <c r="T100" s="84"/>
      <c r="U100" s="88"/>
      <c r="V100" s="89"/>
      <c r="W100" s="47"/>
      <c r="X100" s="93"/>
      <c r="Y100" s="93"/>
      <c r="Z100" s="149"/>
      <c r="AA100" s="149"/>
      <c r="AB100" s="149"/>
      <c r="AC100" s="149"/>
    </row>
    <row r="101" spans="1:29" ht="26.25">
      <c r="A101" s="157"/>
      <c r="B101" s="387" t="s">
        <v>710</v>
      </c>
      <c r="C101" s="154">
        <f>H101+E101</f>
        <v>17660</v>
      </c>
      <c r="D101" s="84"/>
      <c r="E101" s="84">
        <f>F101+G101</f>
        <v>0</v>
      </c>
      <c r="F101" s="84">
        <f>X101</f>
        <v>0</v>
      </c>
      <c r="G101" s="84">
        <f>Y101</f>
        <v>0</v>
      </c>
      <c r="H101" s="84">
        <f>T102+T105+T108</f>
        <v>17660</v>
      </c>
      <c r="I101" s="84">
        <f>T103+0.5*(T108+T105)</f>
        <v>2920</v>
      </c>
      <c r="J101" s="130"/>
      <c r="K101" s="130"/>
      <c r="L101" s="130"/>
      <c r="M101" s="130"/>
      <c r="N101" s="130" t="s">
        <v>139</v>
      </c>
      <c r="O101" s="84"/>
      <c r="P101" s="84"/>
      <c r="Q101" s="389"/>
      <c r="R101" s="385"/>
      <c r="S101" s="84">
        <v>1</v>
      </c>
      <c r="T101" s="84">
        <f t="shared" ref="T101:T108" si="13">(P101-O101)*S101</f>
        <v>0</v>
      </c>
      <c r="U101" s="88"/>
      <c r="V101" s="89"/>
      <c r="W101" s="47" t="s">
        <v>31</v>
      </c>
      <c r="X101" s="93"/>
      <c r="Y101" s="93"/>
      <c r="Z101" s="7"/>
      <c r="AA101" s="7"/>
      <c r="AB101" s="7"/>
      <c r="AC101" s="7"/>
    </row>
    <row r="102" spans="1:29" ht="25.5">
      <c r="A102" s="157"/>
      <c r="B102" s="83" t="s">
        <v>140</v>
      </c>
      <c r="C102" s="84"/>
      <c r="D102" s="84"/>
      <c r="E102" s="84"/>
      <c r="F102" s="84"/>
      <c r="G102" s="84"/>
      <c r="H102" s="84"/>
      <c r="I102" s="85"/>
      <c r="J102" s="130"/>
      <c r="K102" s="130"/>
      <c r="L102" s="130"/>
      <c r="M102" s="130"/>
      <c r="N102" s="130"/>
      <c r="O102" s="84">
        <v>28364</v>
      </c>
      <c r="P102" s="84">
        <v>28561</v>
      </c>
      <c r="Q102" s="389"/>
      <c r="R102" s="385"/>
      <c r="S102" s="84">
        <v>60</v>
      </c>
      <c r="T102" s="84">
        <f>(P102-O102)*S102</f>
        <v>11820</v>
      </c>
      <c r="U102" s="88">
        <v>36259</v>
      </c>
      <c r="V102" s="89" t="s">
        <v>141</v>
      </c>
      <c r="W102" s="14"/>
      <c r="X102" s="7"/>
      <c r="Y102" s="7"/>
      <c r="Z102" s="7"/>
      <c r="AA102" s="7"/>
      <c r="AB102" s="7"/>
      <c r="AC102" s="7"/>
    </row>
    <row r="103" spans="1:29" ht="25.5">
      <c r="A103" s="157"/>
      <c r="B103" s="83"/>
      <c r="C103" s="84"/>
      <c r="D103" s="84"/>
      <c r="E103" s="84"/>
      <c r="F103" s="84"/>
      <c r="G103" s="84"/>
      <c r="H103" s="84"/>
      <c r="I103" s="85"/>
      <c r="J103" s="130"/>
      <c r="K103" s="130"/>
      <c r="L103" s="130"/>
      <c r="M103" s="130"/>
      <c r="N103" s="130"/>
      <c r="O103" s="84"/>
      <c r="P103" s="84"/>
      <c r="Q103" s="389"/>
      <c r="R103" s="385"/>
      <c r="S103" s="84">
        <v>60</v>
      </c>
      <c r="T103" s="84">
        <f t="shared" si="13"/>
        <v>0</v>
      </c>
      <c r="U103" s="88"/>
      <c r="V103" s="89"/>
      <c r="W103" s="134"/>
      <c r="X103" s="149"/>
      <c r="Y103" s="149"/>
      <c r="Z103" s="7"/>
      <c r="AA103" s="7"/>
      <c r="AB103" s="7"/>
      <c r="AC103" s="7"/>
    </row>
    <row r="104" spans="1:29" ht="25.5">
      <c r="A104" s="157"/>
      <c r="B104" s="83"/>
      <c r="C104" s="84"/>
      <c r="D104" s="84"/>
      <c r="E104" s="84"/>
      <c r="F104" s="84"/>
      <c r="G104" s="84"/>
      <c r="H104" s="84"/>
      <c r="I104" s="85"/>
      <c r="J104" s="130"/>
      <c r="K104" s="130"/>
      <c r="L104" s="130"/>
      <c r="M104" s="130"/>
      <c r="N104" s="130"/>
      <c r="O104" s="84"/>
      <c r="P104" s="84"/>
      <c r="Q104" s="389"/>
      <c r="R104" s="385"/>
      <c r="S104" s="84">
        <v>60</v>
      </c>
      <c r="T104" s="84">
        <f t="shared" si="13"/>
        <v>0</v>
      </c>
      <c r="U104" s="88"/>
      <c r="V104" s="89"/>
      <c r="W104" s="134"/>
      <c r="X104" s="149"/>
      <c r="Y104" s="149"/>
      <c r="Z104" s="7"/>
      <c r="AA104" s="7"/>
      <c r="AB104" s="7"/>
      <c r="AC104" s="7"/>
    </row>
    <row r="105" spans="1:29" ht="25.5">
      <c r="A105" s="157"/>
      <c r="B105" s="83" t="s">
        <v>142</v>
      </c>
      <c r="C105" s="84"/>
      <c r="D105" s="84"/>
      <c r="E105" s="84"/>
      <c r="F105" s="84"/>
      <c r="G105" s="84"/>
      <c r="H105" s="84"/>
      <c r="I105" s="85"/>
      <c r="J105" s="130"/>
      <c r="K105" s="130"/>
      <c r="L105" s="130"/>
      <c r="M105" s="130"/>
      <c r="N105" s="130"/>
      <c r="O105" s="84">
        <v>5766</v>
      </c>
      <c r="P105" s="84">
        <v>5822</v>
      </c>
      <c r="Q105" s="389"/>
      <c r="R105" s="390"/>
      <c r="S105" s="84">
        <v>40</v>
      </c>
      <c r="T105" s="84">
        <f t="shared" si="13"/>
        <v>2240</v>
      </c>
      <c r="U105" s="88">
        <v>580023</v>
      </c>
      <c r="V105" s="89"/>
      <c r="W105" s="134"/>
      <c r="X105" s="149"/>
      <c r="Y105" s="149"/>
      <c r="Z105" s="7"/>
      <c r="AA105" s="7"/>
      <c r="AB105" s="7"/>
      <c r="AC105" s="7"/>
    </row>
    <row r="106" spans="1:29" ht="25.5">
      <c r="A106" s="157"/>
      <c r="B106" s="83"/>
      <c r="C106" s="84"/>
      <c r="D106" s="84"/>
      <c r="E106" s="84"/>
      <c r="F106" s="84"/>
      <c r="G106" s="84"/>
      <c r="H106" s="84"/>
      <c r="I106" s="85"/>
      <c r="J106" s="130"/>
      <c r="K106" s="130"/>
      <c r="L106" s="130"/>
      <c r="M106" s="130"/>
      <c r="N106" s="130"/>
      <c r="O106" s="84"/>
      <c r="P106" s="84"/>
      <c r="Q106" s="389"/>
      <c r="R106" s="385"/>
      <c r="S106" s="84">
        <v>20</v>
      </c>
      <c r="T106" s="84">
        <f t="shared" si="13"/>
        <v>0</v>
      </c>
      <c r="U106" s="88"/>
      <c r="V106" s="89"/>
      <c r="W106" s="134"/>
      <c r="X106" s="149"/>
      <c r="Y106" s="149"/>
      <c r="Z106" s="7"/>
      <c r="AA106" s="7"/>
      <c r="AB106" s="7"/>
      <c r="AC106" s="7"/>
    </row>
    <row r="107" spans="1:29" ht="25.5">
      <c r="A107" s="157"/>
      <c r="B107" s="83"/>
      <c r="C107" s="84"/>
      <c r="D107" s="84"/>
      <c r="E107" s="84"/>
      <c r="F107" s="84"/>
      <c r="G107" s="84"/>
      <c r="H107" s="84"/>
      <c r="I107" s="85"/>
      <c r="J107" s="130"/>
      <c r="K107" s="130"/>
      <c r="L107" s="130"/>
      <c r="M107" s="130"/>
      <c r="N107" s="130"/>
      <c r="O107" s="84"/>
      <c r="P107" s="84"/>
      <c r="Q107" s="389"/>
      <c r="R107" s="385"/>
      <c r="S107" s="84">
        <v>40</v>
      </c>
      <c r="T107" s="84">
        <f t="shared" si="13"/>
        <v>0</v>
      </c>
      <c r="U107" s="88"/>
      <c r="V107" s="89"/>
      <c r="W107" s="134"/>
      <c r="X107" s="149"/>
      <c r="Y107" s="149"/>
      <c r="Z107" s="7"/>
      <c r="AA107" s="7"/>
      <c r="AB107" s="7"/>
      <c r="AC107" s="7"/>
    </row>
    <row r="108" spans="1:29" ht="25.5">
      <c r="A108" s="157"/>
      <c r="B108" s="83" t="s">
        <v>143</v>
      </c>
      <c r="C108" s="84"/>
      <c r="D108" s="84"/>
      <c r="E108" s="84"/>
      <c r="F108" s="84"/>
      <c r="G108" s="84"/>
      <c r="H108" s="84"/>
      <c r="I108" s="85"/>
      <c r="J108" s="130"/>
      <c r="K108" s="130"/>
      <c r="L108" s="130"/>
      <c r="M108" s="130"/>
      <c r="N108" s="130"/>
      <c r="O108" s="84">
        <v>4914</v>
      </c>
      <c r="P108" s="84">
        <v>5004</v>
      </c>
      <c r="Q108" s="389"/>
      <c r="R108" s="385"/>
      <c r="S108" s="84">
        <v>40</v>
      </c>
      <c r="T108" s="84">
        <f t="shared" si="13"/>
        <v>3600</v>
      </c>
      <c r="U108" s="88">
        <v>951989</v>
      </c>
      <c r="V108" s="89"/>
      <c r="W108" s="14"/>
      <c r="X108" s="7"/>
      <c r="Y108" s="7"/>
      <c r="Z108" s="7"/>
      <c r="AA108" s="7"/>
      <c r="AB108" s="7"/>
      <c r="AC108" s="7"/>
    </row>
    <row r="109" spans="1:29" ht="27.75">
      <c r="A109" s="19"/>
      <c r="B109" s="141" t="s">
        <v>86</v>
      </c>
      <c r="C109" s="115">
        <f>C96+C101</f>
        <v>26525.839999999953</v>
      </c>
      <c r="D109" s="115"/>
      <c r="E109" s="115"/>
      <c r="F109" s="91"/>
      <c r="G109" s="91"/>
      <c r="H109" s="115">
        <f>SUM(H99:H108)</f>
        <v>17660</v>
      </c>
      <c r="I109" s="115">
        <f>I101+I99</f>
        <v>2920</v>
      </c>
      <c r="J109" s="160">
        <f>SUM(J99:J105)</f>
        <v>0</v>
      </c>
      <c r="K109" s="160">
        <f>SUM(K99:K105)</f>
        <v>0</v>
      </c>
      <c r="L109" s="160">
        <f>SUM(L99:L105)</f>
        <v>0</v>
      </c>
      <c r="M109" s="160">
        <f>SUM(M99:M105)</f>
        <v>0</v>
      </c>
      <c r="N109" s="22"/>
      <c r="O109" s="91"/>
      <c r="P109" s="91"/>
      <c r="Q109" s="149"/>
      <c r="R109" s="161"/>
      <c r="S109" s="91"/>
      <c r="T109" s="91"/>
      <c r="U109" s="95"/>
      <c r="V109" s="538"/>
      <c r="W109" s="14"/>
      <c r="X109" s="7"/>
      <c r="Y109" s="7"/>
      <c r="Z109" s="7"/>
      <c r="AA109" s="7"/>
      <c r="AB109" s="7"/>
      <c r="AC109" s="7"/>
    </row>
    <row r="110" spans="1:29" ht="26.25">
      <c r="A110" s="19"/>
      <c r="B110" s="143"/>
      <c r="C110" s="115"/>
      <c r="D110" s="115"/>
      <c r="E110" s="115"/>
      <c r="F110" s="91"/>
      <c r="G110" s="91"/>
      <c r="H110" s="91"/>
      <c r="I110" s="115"/>
      <c r="J110" s="162"/>
      <c r="K110" s="162"/>
      <c r="L110" s="162"/>
      <c r="M110" s="162"/>
      <c r="N110" s="22"/>
      <c r="O110" s="91"/>
      <c r="P110" s="91"/>
      <c r="Q110" s="149"/>
      <c r="R110" s="161"/>
      <c r="S110" s="91"/>
      <c r="T110" s="91"/>
      <c r="U110" s="95"/>
      <c r="V110" s="538"/>
      <c r="W110" s="14"/>
      <c r="X110" s="7"/>
      <c r="Y110" s="7"/>
      <c r="Z110" s="7"/>
      <c r="AA110" s="7"/>
      <c r="AB110" s="7"/>
      <c r="AC110" s="7"/>
    </row>
    <row r="111" spans="1:29" ht="26.25">
      <c r="A111" s="19"/>
      <c r="B111" s="163" t="s">
        <v>144</v>
      </c>
      <c r="C111" s="115"/>
      <c r="D111" s="115"/>
      <c r="E111" s="115"/>
      <c r="F111" s="91"/>
      <c r="G111" s="91"/>
      <c r="H111" s="91"/>
      <c r="I111" s="91"/>
      <c r="J111" s="162"/>
      <c r="K111" s="162"/>
      <c r="L111" s="162"/>
      <c r="M111" s="162"/>
      <c r="N111" s="22"/>
      <c r="O111" s="91"/>
      <c r="P111" s="91"/>
      <c r="Q111" s="22" t="s">
        <v>50</v>
      </c>
      <c r="R111" s="142"/>
      <c r="S111" s="91"/>
      <c r="T111" s="91"/>
      <c r="U111" s="95"/>
      <c r="V111" s="538"/>
      <c r="W111" s="14"/>
      <c r="X111" s="7"/>
      <c r="Y111" s="7"/>
      <c r="Z111" s="7"/>
      <c r="AA111" s="7"/>
      <c r="AB111" s="7"/>
      <c r="AC111" s="7"/>
    </row>
    <row r="112" spans="1:29" ht="26.25">
      <c r="A112" s="19"/>
      <c r="C112" s="91"/>
      <c r="D112" s="115"/>
      <c r="E112" s="115"/>
      <c r="F112" s="91"/>
      <c r="G112" s="91"/>
      <c r="H112" s="91"/>
      <c r="I112" s="91"/>
      <c r="J112" s="164"/>
      <c r="K112" s="164"/>
      <c r="L112" s="164"/>
      <c r="M112" s="164"/>
      <c r="N112" s="164"/>
      <c r="O112" s="91"/>
      <c r="P112" s="91"/>
      <c r="Q112" s="7"/>
      <c r="R112" s="94"/>
      <c r="S112" s="91"/>
      <c r="T112" s="91"/>
      <c r="U112" s="95"/>
      <c r="V112" s="538"/>
      <c r="W112" s="14"/>
      <c r="X112" s="7"/>
      <c r="Y112" s="7"/>
      <c r="Z112" s="7"/>
      <c r="AA112" s="7"/>
      <c r="AB112" s="7"/>
      <c r="AC112" s="7"/>
    </row>
    <row r="113" spans="1:29" ht="26.25">
      <c r="A113" s="19"/>
      <c r="B113" s="163" t="s">
        <v>145</v>
      </c>
      <c r="C113" s="91"/>
      <c r="D113" s="115"/>
      <c r="E113" s="115"/>
      <c r="F113" s="91"/>
      <c r="G113" s="91"/>
      <c r="H113" s="91"/>
      <c r="I113" s="91"/>
      <c r="J113" s="164"/>
      <c r="K113" s="164"/>
      <c r="L113" s="164"/>
      <c r="M113" s="164"/>
      <c r="N113" s="164"/>
      <c r="O113" s="91"/>
      <c r="P113" s="91"/>
      <c r="Q113" s="7"/>
      <c r="R113" s="94"/>
      <c r="S113" s="91"/>
      <c r="T113" s="91"/>
      <c r="U113" s="95"/>
      <c r="V113" s="538"/>
      <c r="W113" s="14"/>
      <c r="X113" s="7"/>
      <c r="Y113" s="7"/>
      <c r="Z113" s="7"/>
      <c r="AA113" s="7"/>
      <c r="AB113" s="7"/>
      <c r="AC113" s="7"/>
    </row>
    <row r="114" spans="1:29" ht="25.5">
      <c r="A114" s="19"/>
      <c r="B114" s="27" t="s">
        <v>787</v>
      </c>
      <c r="C114" s="28">
        <f>H114+E114</f>
        <v>175</v>
      </c>
      <c r="D114" s="28"/>
      <c r="E114" s="28"/>
      <c r="F114" s="28">
        <f t="shared" ref="F114:F124" si="14">0.04*H114</f>
        <v>7</v>
      </c>
      <c r="G114" s="28">
        <f t="shared" ref="G114:G124" si="15">0.03*H114</f>
        <v>5.25</v>
      </c>
      <c r="H114" s="28">
        <f>T114</f>
        <v>175</v>
      </c>
      <c r="I114" s="28">
        <f>0.6*C114</f>
        <v>105</v>
      </c>
      <c r="J114" s="29"/>
      <c r="K114" s="29"/>
      <c r="L114" s="29"/>
      <c r="M114" s="29"/>
      <c r="N114" s="29" t="s">
        <v>146</v>
      </c>
      <c r="O114" s="28">
        <v>196522</v>
      </c>
      <c r="P114" s="28">
        <v>196697</v>
      </c>
      <c r="Q114" s="30"/>
      <c r="R114" s="351"/>
      <c r="S114" s="54">
        <v>1</v>
      </c>
      <c r="T114" s="28">
        <f>(P114-O114)*S114</f>
        <v>175</v>
      </c>
      <c r="U114" s="31">
        <v>42221906</v>
      </c>
      <c r="V114" s="540" t="s">
        <v>147</v>
      </c>
      <c r="W114" s="47" t="s">
        <v>31</v>
      </c>
      <c r="X114" s="7"/>
      <c r="Y114" s="7"/>
      <c r="Z114" s="7"/>
      <c r="AA114" s="7"/>
      <c r="AB114" s="7"/>
      <c r="AC114" s="7"/>
    </row>
    <row r="115" spans="1:29" ht="25.5">
      <c r="A115" s="19"/>
      <c r="B115" s="27" t="s">
        <v>148</v>
      </c>
      <c r="C115" s="28">
        <f>H115+E115</f>
        <v>8637.0399999999681</v>
      </c>
      <c r="D115" s="28"/>
      <c r="E115" s="28">
        <f t="shared" ref="E115:E130" si="16">F115+G115</f>
        <v>565.03999999999792</v>
      </c>
      <c r="F115" s="28">
        <f t="shared" si="14"/>
        <v>322.87999999999886</v>
      </c>
      <c r="G115" s="28">
        <f t="shared" si="15"/>
        <v>242.15999999999912</v>
      </c>
      <c r="H115" s="28">
        <f>T115</f>
        <v>8071.9999999999709</v>
      </c>
      <c r="I115" s="28">
        <f>0.6*C115</f>
        <v>5182.2239999999811</v>
      </c>
      <c r="J115" s="29"/>
      <c r="K115" s="29"/>
      <c r="L115" s="29"/>
      <c r="M115" s="29"/>
      <c r="N115" s="29" t="s">
        <v>149</v>
      </c>
      <c r="O115" s="28">
        <v>8828.5</v>
      </c>
      <c r="P115" s="28">
        <v>8929.4</v>
      </c>
      <c r="Q115" s="146"/>
      <c r="R115" s="165"/>
      <c r="S115" s="54">
        <v>80</v>
      </c>
      <c r="T115" s="28">
        <f>(P115-O115)*S115</f>
        <v>8071.9999999999709</v>
      </c>
      <c r="U115" s="31">
        <v>440479</v>
      </c>
      <c r="V115" s="540" t="s">
        <v>150</v>
      </c>
      <c r="W115" s="47" t="s">
        <v>31</v>
      </c>
      <c r="X115" s="7"/>
      <c r="Y115" s="7"/>
      <c r="Z115" s="7"/>
      <c r="AA115" s="7"/>
      <c r="AB115" s="7"/>
      <c r="AC115" s="7"/>
    </row>
    <row r="116" spans="1:29" ht="25.5">
      <c r="A116" s="19"/>
      <c r="B116" s="166" t="s">
        <v>151</v>
      </c>
      <c r="C116" s="56">
        <f>H116+E116</f>
        <v>0</v>
      </c>
      <c r="D116" s="56"/>
      <c r="E116" s="56">
        <f t="shared" si="16"/>
        <v>0</v>
      </c>
      <c r="F116" s="56">
        <f t="shared" si="14"/>
        <v>0</v>
      </c>
      <c r="G116" s="56">
        <f t="shared" si="15"/>
        <v>0</v>
      </c>
      <c r="H116" s="56">
        <f>T116</f>
        <v>0</v>
      </c>
      <c r="I116" s="56">
        <f>0.5*C116</f>
        <v>0</v>
      </c>
      <c r="J116" s="57"/>
      <c r="K116" s="57"/>
      <c r="L116" s="57"/>
      <c r="M116" s="57"/>
      <c r="N116" s="57"/>
      <c r="O116" s="56">
        <v>162</v>
      </c>
      <c r="P116" s="56">
        <v>162</v>
      </c>
      <c r="Q116" s="167"/>
      <c r="R116" s="168"/>
      <c r="S116" s="56">
        <v>1</v>
      </c>
      <c r="T116" s="56">
        <f>(P116-O116)*S116</f>
        <v>0</v>
      </c>
      <c r="U116" s="59">
        <v>1605</v>
      </c>
      <c r="V116" s="60" t="s">
        <v>152</v>
      </c>
      <c r="W116" s="14"/>
      <c r="X116" s="7"/>
      <c r="Y116" s="7"/>
      <c r="Z116" s="7"/>
      <c r="AA116" s="7"/>
      <c r="AB116" s="7"/>
      <c r="AC116" s="7"/>
    </row>
    <row r="117" spans="1:29" ht="25.5">
      <c r="A117" s="19"/>
      <c r="B117" s="166" t="s">
        <v>153</v>
      </c>
      <c r="C117" s="56">
        <f t="shared" ref="C117:C130" si="17">H117+E117</f>
        <v>0</v>
      </c>
      <c r="D117" s="56"/>
      <c r="E117" s="56">
        <f t="shared" si="16"/>
        <v>0</v>
      </c>
      <c r="F117" s="56">
        <f t="shared" si="14"/>
        <v>0</v>
      </c>
      <c r="G117" s="56">
        <f t="shared" si="15"/>
        <v>0</v>
      </c>
      <c r="H117" s="56">
        <f t="shared" ref="H117:H130" si="18">T117</f>
        <v>0</v>
      </c>
      <c r="I117" s="56">
        <f>0.6*C117</f>
        <v>0</v>
      </c>
      <c r="J117" s="57"/>
      <c r="K117" s="57"/>
      <c r="L117" s="57"/>
      <c r="M117" s="57"/>
      <c r="N117" s="57" t="s">
        <v>154</v>
      </c>
      <c r="O117" s="56">
        <v>982</v>
      </c>
      <c r="P117" s="56">
        <v>982</v>
      </c>
      <c r="Q117" s="169"/>
      <c r="R117" s="170"/>
      <c r="S117" s="56">
        <v>1</v>
      </c>
      <c r="T117" s="56">
        <f t="shared" ref="T117:T130" si="19">(P117-O117)*S117</f>
        <v>0</v>
      </c>
      <c r="U117" s="59" t="s">
        <v>155</v>
      </c>
      <c r="V117" s="60" t="s">
        <v>156</v>
      </c>
      <c r="W117" s="14"/>
      <c r="X117" s="7"/>
      <c r="Y117" s="7"/>
      <c r="Z117" s="7"/>
      <c r="AA117" s="7"/>
      <c r="AB117" s="7"/>
      <c r="AC117" s="7"/>
    </row>
    <row r="118" spans="1:29" ht="26.25">
      <c r="A118" s="19"/>
      <c r="B118" s="367" t="s">
        <v>157</v>
      </c>
      <c r="C118" s="495">
        <f t="shared" si="17"/>
        <v>62017.2</v>
      </c>
      <c r="D118" s="72"/>
      <c r="E118" s="72">
        <f t="shared" si="16"/>
        <v>4057.2</v>
      </c>
      <c r="F118" s="72">
        <f t="shared" si="14"/>
        <v>2318.4</v>
      </c>
      <c r="G118" s="72">
        <f t="shared" si="15"/>
        <v>1738.8</v>
      </c>
      <c r="H118" s="72">
        <f t="shared" si="18"/>
        <v>57960</v>
      </c>
      <c r="I118" s="72">
        <v>11490</v>
      </c>
      <c r="J118" s="81"/>
      <c r="K118" s="81"/>
      <c r="L118" s="81"/>
      <c r="M118" s="81"/>
      <c r="N118" s="81"/>
      <c r="O118" s="72">
        <v>45038</v>
      </c>
      <c r="P118" s="72">
        <v>45521</v>
      </c>
      <c r="Q118" s="146"/>
      <c r="R118" s="391"/>
      <c r="S118" s="171">
        <v>120</v>
      </c>
      <c r="T118" s="28">
        <f t="shared" si="19"/>
        <v>57960</v>
      </c>
      <c r="U118" s="31"/>
      <c r="V118" s="542" t="s">
        <v>158</v>
      </c>
      <c r="W118" s="14" t="s">
        <v>48</v>
      </c>
      <c r="X118" s="7"/>
      <c r="Y118" s="7"/>
      <c r="Z118" s="7"/>
      <c r="AA118" s="7"/>
      <c r="AB118" s="7"/>
      <c r="AC118" s="7"/>
    </row>
    <row r="119" spans="1:29" ht="25.5">
      <c r="A119" s="19"/>
      <c r="B119" s="27" t="s">
        <v>159</v>
      </c>
      <c r="C119" s="28">
        <f t="shared" si="17"/>
        <v>28.89</v>
      </c>
      <c r="D119" s="28"/>
      <c r="E119" s="28">
        <f t="shared" si="16"/>
        <v>1.8900000000000001</v>
      </c>
      <c r="F119" s="28">
        <f t="shared" si="14"/>
        <v>1.08</v>
      </c>
      <c r="G119" s="28">
        <f t="shared" si="15"/>
        <v>0.80999999999999994</v>
      </c>
      <c r="H119" s="28">
        <f t="shared" si="18"/>
        <v>27</v>
      </c>
      <c r="I119" s="28">
        <f>0.6*C119</f>
        <v>17.334</v>
      </c>
      <c r="J119" s="29"/>
      <c r="K119" s="29"/>
      <c r="L119" s="29"/>
      <c r="M119" s="29"/>
      <c r="N119" s="29"/>
      <c r="O119" s="28">
        <v>59533</v>
      </c>
      <c r="P119" s="28">
        <v>59560</v>
      </c>
      <c r="Q119" s="30"/>
      <c r="R119" s="351"/>
      <c r="S119" s="54">
        <v>1</v>
      </c>
      <c r="T119" s="28">
        <f t="shared" si="19"/>
        <v>27</v>
      </c>
      <c r="U119" s="31">
        <v>91423</v>
      </c>
      <c r="V119" s="540" t="s">
        <v>21</v>
      </c>
      <c r="W119" s="14" t="s">
        <v>22</v>
      </c>
      <c r="X119" s="7"/>
      <c r="Y119" s="7"/>
      <c r="Z119" s="7"/>
      <c r="AA119" s="7"/>
      <c r="AB119" s="7"/>
      <c r="AC119" s="7"/>
    </row>
    <row r="120" spans="1:29" ht="25.5">
      <c r="A120" s="19"/>
      <c r="B120" s="148"/>
      <c r="C120" s="91"/>
      <c r="D120" s="91"/>
      <c r="E120" s="91"/>
      <c r="F120" s="91"/>
      <c r="G120" s="91"/>
      <c r="H120" s="91"/>
      <c r="I120" s="91"/>
      <c r="J120" s="22"/>
      <c r="K120" s="22"/>
      <c r="L120" s="22"/>
      <c r="M120" s="22"/>
      <c r="N120" s="22"/>
      <c r="O120" s="91"/>
      <c r="P120" s="91"/>
      <c r="Q120" s="122"/>
      <c r="R120" s="173"/>
      <c r="S120" s="151"/>
      <c r="T120" s="91"/>
      <c r="U120" s="95"/>
      <c r="V120" s="538"/>
      <c r="W120" s="14"/>
      <c r="X120" s="7"/>
      <c r="Y120" s="7"/>
      <c r="Z120" s="7"/>
      <c r="AA120" s="7"/>
      <c r="AB120" s="7"/>
      <c r="AC120" s="7"/>
    </row>
    <row r="121" spans="1:29" ht="25.5">
      <c r="A121" s="19"/>
      <c r="B121" s="27" t="s">
        <v>148</v>
      </c>
      <c r="C121" s="28">
        <f t="shared" si="17"/>
        <v>604.65700000000038</v>
      </c>
      <c r="D121" s="28"/>
      <c r="E121" s="28">
        <f t="shared" si="16"/>
        <v>39.557000000000023</v>
      </c>
      <c r="F121" s="28">
        <f t="shared" si="14"/>
        <v>22.604000000000013</v>
      </c>
      <c r="G121" s="28">
        <f t="shared" si="15"/>
        <v>16.95300000000001</v>
      </c>
      <c r="H121" s="28">
        <f t="shared" si="18"/>
        <v>565.10000000000036</v>
      </c>
      <c r="I121" s="28">
        <f>0.6*C121</f>
        <v>362.79420000000022</v>
      </c>
      <c r="J121" s="29"/>
      <c r="K121" s="29"/>
      <c r="L121" s="29"/>
      <c r="M121" s="29"/>
      <c r="N121" s="29"/>
      <c r="O121" s="28">
        <v>5275</v>
      </c>
      <c r="P121" s="28">
        <v>5840.1</v>
      </c>
      <c r="Q121" s="30"/>
      <c r="R121" s="351"/>
      <c r="S121" s="54">
        <v>1</v>
      </c>
      <c r="T121" s="28">
        <f t="shared" si="19"/>
        <v>565.10000000000036</v>
      </c>
      <c r="U121" s="31"/>
      <c r="V121" s="540" t="s">
        <v>160</v>
      </c>
      <c r="W121" s="134" t="s">
        <v>31</v>
      </c>
      <c r="X121" s="7"/>
      <c r="Y121" s="7"/>
      <c r="Z121" s="7"/>
      <c r="AA121" s="7"/>
      <c r="AB121" s="7"/>
      <c r="AC121" s="7"/>
    </row>
    <row r="122" spans="1:29" ht="25.5">
      <c r="A122" s="19"/>
      <c r="B122" s="27" t="s">
        <v>161</v>
      </c>
      <c r="C122" s="28">
        <f t="shared" si="17"/>
        <v>864.56</v>
      </c>
      <c r="D122" s="28"/>
      <c r="E122" s="28">
        <f t="shared" si="16"/>
        <v>56.56</v>
      </c>
      <c r="F122" s="28">
        <f t="shared" si="14"/>
        <v>32.32</v>
      </c>
      <c r="G122" s="28">
        <f t="shared" si="15"/>
        <v>24.24</v>
      </c>
      <c r="H122" s="28">
        <f t="shared" si="18"/>
        <v>808</v>
      </c>
      <c r="I122" s="28">
        <f>0.6*C122</f>
        <v>518.73599999999999</v>
      </c>
      <c r="J122" s="29"/>
      <c r="K122" s="29"/>
      <c r="L122" s="29"/>
      <c r="M122" s="29"/>
      <c r="N122" s="29"/>
      <c r="O122" s="28">
        <f>56264+29407</f>
        <v>85671</v>
      </c>
      <c r="P122" s="28">
        <f>56805+29674</f>
        <v>86479</v>
      </c>
      <c r="Q122" s="30"/>
      <c r="R122" s="351"/>
      <c r="S122" s="54">
        <v>1</v>
      </c>
      <c r="T122" s="28">
        <f t="shared" si="19"/>
        <v>808</v>
      </c>
      <c r="U122" s="31">
        <v>18723</v>
      </c>
      <c r="V122" s="540" t="s">
        <v>162</v>
      </c>
      <c r="W122" s="14" t="s">
        <v>31</v>
      </c>
      <c r="X122" s="7"/>
      <c r="Y122" s="7"/>
      <c r="Z122" s="7"/>
      <c r="AA122" s="7"/>
      <c r="AB122" s="7"/>
      <c r="AC122" s="7"/>
    </row>
    <row r="123" spans="1:29" ht="25.5">
      <c r="A123" s="19"/>
      <c r="B123" s="27" t="s">
        <v>163</v>
      </c>
      <c r="C123" s="28">
        <f>H123+E123</f>
        <v>2665.37</v>
      </c>
      <c r="D123" s="28"/>
      <c r="E123" s="28">
        <f t="shared" si="16"/>
        <v>174.37</v>
      </c>
      <c r="F123" s="28">
        <f t="shared" si="14"/>
        <v>99.64</v>
      </c>
      <c r="G123" s="28">
        <f t="shared" si="15"/>
        <v>74.73</v>
      </c>
      <c r="H123" s="28">
        <f>T123</f>
        <v>2491</v>
      </c>
      <c r="I123" s="28">
        <f>0.6*C123</f>
        <v>1599.222</v>
      </c>
      <c r="J123" s="29"/>
      <c r="K123" s="29"/>
      <c r="L123" s="29"/>
      <c r="M123" s="29"/>
      <c r="N123" s="29" t="s">
        <v>146</v>
      </c>
      <c r="O123" s="28">
        <v>32797</v>
      </c>
      <c r="P123" s="28">
        <v>35288</v>
      </c>
      <c r="Q123" s="30"/>
      <c r="R123" s="351"/>
      <c r="S123" s="54">
        <v>1</v>
      </c>
      <c r="T123" s="28">
        <f>(P123-O123)*S123</f>
        <v>2491</v>
      </c>
      <c r="U123" s="31">
        <v>3275</v>
      </c>
      <c r="V123" s="542" t="s">
        <v>164</v>
      </c>
      <c r="W123" s="14" t="s">
        <v>82</v>
      </c>
      <c r="X123" s="7"/>
      <c r="Y123" s="7"/>
      <c r="Z123" s="7"/>
      <c r="AA123" s="7"/>
      <c r="AB123" s="7"/>
      <c r="AC123" s="7"/>
    </row>
    <row r="124" spans="1:29" ht="52.5">
      <c r="A124" s="19"/>
      <c r="B124" s="367" t="s">
        <v>708</v>
      </c>
      <c r="C124" s="496">
        <f t="shared" si="17"/>
        <v>5820.8</v>
      </c>
      <c r="D124" s="72"/>
      <c r="E124" s="72">
        <f t="shared" si="16"/>
        <v>380.79999999999995</v>
      </c>
      <c r="F124" s="72">
        <f t="shared" si="14"/>
        <v>217.6</v>
      </c>
      <c r="G124" s="72">
        <f t="shared" si="15"/>
        <v>163.19999999999999</v>
      </c>
      <c r="H124" s="72">
        <f t="shared" si="18"/>
        <v>5440</v>
      </c>
      <c r="I124" s="72">
        <f>T553</f>
        <v>0</v>
      </c>
      <c r="J124" s="392"/>
      <c r="K124" s="392"/>
      <c r="L124" s="392"/>
      <c r="M124" s="392"/>
      <c r="N124" s="392"/>
      <c r="O124" s="72">
        <v>12588</v>
      </c>
      <c r="P124" s="72">
        <v>12656</v>
      </c>
      <c r="Q124" s="81"/>
      <c r="R124" s="165"/>
      <c r="S124" s="171">
        <v>80</v>
      </c>
      <c r="T124" s="72">
        <f t="shared" si="19"/>
        <v>5440</v>
      </c>
      <c r="U124" s="31"/>
      <c r="V124" s="540" t="s">
        <v>165</v>
      </c>
      <c r="W124" s="14" t="s">
        <v>166</v>
      </c>
      <c r="X124" s="7"/>
      <c r="Y124" s="7"/>
      <c r="Z124" s="7"/>
      <c r="AA124" s="7"/>
      <c r="AB124" s="7"/>
      <c r="AC124" s="7"/>
    </row>
    <row r="125" spans="1:29" ht="25.5">
      <c r="A125" s="19"/>
      <c r="B125" s="172"/>
      <c r="C125" s="91"/>
      <c r="D125" s="91"/>
      <c r="E125" s="91"/>
      <c r="F125" s="91"/>
      <c r="G125" s="91"/>
      <c r="H125" s="91"/>
      <c r="I125" s="91"/>
      <c r="J125" s="22"/>
      <c r="K125" s="22"/>
      <c r="L125" s="22"/>
      <c r="M125" s="22"/>
      <c r="N125" s="22"/>
      <c r="O125" s="91"/>
      <c r="P125" s="91"/>
      <c r="Q125" s="122"/>
      <c r="R125" s="173"/>
      <c r="S125" s="151"/>
      <c r="T125" s="91"/>
      <c r="U125" s="95"/>
      <c r="V125" s="538"/>
      <c r="W125" s="14" t="s">
        <v>82</v>
      </c>
      <c r="X125" s="7"/>
      <c r="Y125" s="7"/>
      <c r="Z125" s="7"/>
      <c r="AA125" s="7"/>
      <c r="AB125" s="7"/>
      <c r="AC125" s="7"/>
    </row>
    <row r="126" spans="1:29" ht="25.5">
      <c r="A126" s="19"/>
      <c r="B126" s="27" t="s">
        <v>167</v>
      </c>
      <c r="C126" s="28">
        <f>H126+E126</f>
        <v>1122.3000000000156</v>
      </c>
      <c r="D126" s="28"/>
      <c r="E126" s="28">
        <f t="shared" si="16"/>
        <v>78.300000000001091</v>
      </c>
      <c r="F126" s="28">
        <f>0.035*H126</f>
        <v>36.540000000000511</v>
      </c>
      <c r="G126" s="28">
        <f>H126*0.04</f>
        <v>41.760000000000581</v>
      </c>
      <c r="H126" s="28">
        <f t="shared" si="18"/>
        <v>1044.0000000000146</v>
      </c>
      <c r="I126" s="28">
        <f t="shared" ref="I126:I130" si="20">0.6*C126</f>
        <v>673.38000000000932</v>
      </c>
      <c r="J126" s="29"/>
      <c r="K126" s="29"/>
      <c r="L126" s="29"/>
      <c r="M126" s="29"/>
      <c r="N126" s="29"/>
      <c r="O126" s="28">
        <v>8118.4</v>
      </c>
      <c r="P126" s="28">
        <v>8170.6</v>
      </c>
      <c r="Q126" s="30"/>
      <c r="R126" s="351"/>
      <c r="S126" s="54">
        <v>20</v>
      </c>
      <c r="T126" s="28">
        <f t="shared" si="19"/>
        <v>1044.0000000000146</v>
      </c>
      <c r="U126" s="31">
        <v>33780</v>
      </c>
      <c r="V126" s="540" t="s">
        <v>168</v>
      </c>
      <c r="W126" s="14" t="s">
        <v>22</v>
      </c>
      <c r="X126" s="7"/>
      <c r="Y126" s="7"/>
      <c r="Z126" s="7"/>
      <c r="AA126" s="7"/>
      <c r="AB126" s="7"/>
      <c r="AC126" s="7"/>
    </row>
    <row r="127" spans="1:29" ht="25.5">
      <c r="A127" s="19"/>
      <c r="B127" s="166" t="s">
        <v>169</v>
      </c>
      <c r="C127" s="56">
        <f t="shared" si="17"/>
        <v>0</v>
      </c>
      <c r="D127" s="56"/>
      <c r="E127" s="56">
        <f t="shared" si="16"/>
        <v>0</v>
      </c>
      <c r="F127" s="56">
        <f>0.04*H127</f>
        <v>0</v>
      </c>
      <c r="G127" s="56">
        <f>0.03*H127</f>
        <v>0</v>
      </c>
      <c r="H127" s="56">
        <f t="shared" si="18"/>
        <v>0</v>
      </c>
      <c r="I127" s="56">
        <f t="shared" si="20"/>
        <v>0</v>
      </c>
      <c r="J127" s="57"/>
      <c r="K127" s="57"/>
      <c r="L127" s="57"/>
      <c r="M127" s="57"/>
      <c r="N127" s="57" t="s">
        <v>170</v>
      </c>
      <c r="O127" s="56">
        <v>16165</v>
      </c>
      <c r="P127" s="56">
        <v>16165</v>
      </c>
      <c r="Q127" s="169"/>
      <c r="R127" s="170"/>
      <c r="S127" s="56">
        <v>1</v>
      </c>
      <c r="T127" s="56">
        <f t="shared" si="19"/>
        <v>0</v>
      </c>
      <c r="U127" s="59">
        <v>24339</v>
      </c>
      <c r="V127" s="60" t="s">
        <v>171</v>
      </c>
      <c r="W127" s="14"/>
      <c r="X127" s="7"/>
      <c r="Y127" s="7"/>
      <c r="Z127" s="7"/>
      <c r="AA127" s="7"/>
      <c r="AB127" s="7"/>
      <c r="AC127" s="7"/>
    </row>
    <row r="128" spans="1:29" ht="25.5">
      <c r="A128" s="19"/>
      <c r="B128" s="62" t="s">
        <v>172</v>
      </c>
      <c r="C128" s="28">
        <f t="shared" si="17"/>
        <v>207.57999999999998</v>
      </c>
      <c r="D128" s="28"/>
      <c r="E128" s="28">
        <f t="shared" si="16"/>
        <v>13.579999999999998</v>
      </c>
      <c r="F128" s="28">
        <f>0.04*H128</f>
        <v>7.76</v>
      </c>
      <c r="G128" s="28">
        <f>0.03*H128</f>
        <v>5.8199999999999994</v>
      </c>
      <c r="H128" s="28">
        <f t="shared" si="18"/>
        <v>194</v>
      </c>
      <c r="I128" s="28">
        <f t="shared" si="20"/>
        <v>124.54799999999999</v>
      </c>
      <c r="J128" s="29"/>
      <c r="K128" s="29"/>
      <c r="L128" s="29"/>
      <c r="M128" s="29"/>
      <c r="N128" s="29"/>
      <c r="O128" s="28">
        <v>2363</v>
      </c>
      <c r="P128" s="28">
        <v>2557</v>
      </c>
      <c r="Q128" s="30"/>
      <c r="R128" s="351"/>
      <c r="S128" s="54">
        <v>1</v>
      </c>
      <c r="T128" s="28">
        <f t="shared" si="19"/>
        <v>194</v>
      </c>
      <c r="U128" s="31">
        <v>2466</v>
      </c>
      <c r="V128" s="542" t="s">
        <v>173</v>
      </c>
      <c r="W128" s="14"/>
      <c r="X128" s="7"/>
      <c r="Y128" s="7"/>
      <c r="Z128" s="7"/>
      <c r="AA128" s="7"/>
      <c r="AB128" s="7"/>
      <c r="AC128" s="7"/>
    </row>
    <row r="129" spans="1:29" ht="26.25">
      <c r="A129" s="19"/>
      <c r="B129" s="174"/>
      <c r="C129" s="56">
        <f t="shared" si="17"/>
        <v>0</v>
      </c>
      <c r="D129" s="175"/>
      <c r="E129" s="56">
        <f t="shared" si="16"/>
        <v>0</v>
      </c>
      <c r="F129" s="56">
        <f>0.04*H129</f>
        <v>0</v>
      </c>
      <c r="G129" s="56">
        <f>0.03*H129</f>
        <v>0</v>
      </c>
      <c r="H129" s="56">
        <f t="shared" si="18"/>
        <v>0</v>
      </c>
      <c r="I129" s="176">
        <f t="shared" si="20"/>
        <v>0</v>
      </c>
      <c r="J129" s="58"/>
      <c r="K129" s="58"/>
      <c r="L129" s="58"/>
      <c r="M129" s="58"/>
      <c r="N129" s="58"/>
      <c r="O129" s="175">
        <v>16982</v>
      </c>
      <c r="P129" s="175">
        <v>16982</v>
      </c>
      <c r="Q129" s="177"/>
      <c r="R129" s="178"/>
      <c r="S129" s="175">
        <v>1</v>
      </c>
      <c r="T129" s="56">
        <f t="shared" si="19"/>
        <v>0</v>
      </c>
      <c r="U129" s="59">
        <v>2437131</v>
      </c>
      <c r="V129" s="60" t="s">
        <v>174</v>
      </c>
      <c r="W129" s="14"/>
      <c r="X129" s="7"/>
      <c r="Y129" s="7"/>
      <c r="Z129" s="7"/>
      <c r="AA129" s="7"/>
      <c r="AB129" s="7"/>
      <c r="AC129" s="7"/>
    </row>
    <row r="130" spans="1:29" ht="26.25">
      <c r="A130" s="19"/>
      <c r="B130" s="27" t="s">
        <v>175</v>
      </c>
      <c r="C130" s="28">
        <f t="shared" si="17"/>
        <v>0</v>
      </c>
      <c r="D130" s="77"/>
      <c r="E130" s="28">
        <f t="shared" si="16"/>
        <v>0</v>
      </c>
      <c r="F130" s="28">
        <f>0.04*H130</f>
        <v>0</v>
      </c>
      <c r="G130" s="28">
        <f>0.03*H130</f>
        <v>0</v>
      </c>
      <c r="H130" s="28">
        <f t="shared" si="18"/>
        <v>0</v>
      </c>
      <c r="I130" s="72">
        <f t="shared" si="20"/>
        <v>0</v>
      </c>
      <c r="J130" s="46"/>
      <c r="K130" s="46"/>
      <c r="L130" s="46"/>
      <c r="M130" s="46"/>
      <c r="N130" s="46"/>
      <c r="O130" s="77">
        <v>31237</v>
      </c>
      <c r="P130" s="77">
        <v>31237</v>
      </c>
      <c r="Q130" s="79"/>
      <c r="R130" s="80"/>
      <c r="S130" s="77">
        <v>1</v>
      </c>
      <c r="T130" s="28">
        <f t="shared" si="19"/>
        <v>0</v>
      </c>
      <c r="U130" s="31">
        <v>286946</v>
      </c>
      <c r="V130" s="540" t="s">
        <v>176</v>
      </c>
      <c r="W130" s="14" t="s">
        <v>22</v>
      </c>
      <c r="X130" s="7"/>
      <c r="Y130" s="7"/>
      <c r="Z130" s="7"/>
      <c r="AA130" s="7"/>
      <c r="AB130" s="7"/>
      <c r="AC130" s="7"/>
    </row>
    <row r="131" spans="1:29" ht="25.5">
      <c r="A131" s="19"/>
      <c r="B131" s="129"/>
      <c r="C131" s="84"/>
      <c r="D131" s="84"/>
      <c r="E131" s="84"/>
      <c r="F131" s="84"/>
      <c r="G131" s="84"/>
      <c r="H131" s="84"/>
      <c r="I131" s="84"/>
      <c r="J131" s="130"/>
      <c r="K131" s="130"/>
      <c r="L131" s="130"/>
      <c r="M131" s="130"/>
      <c r="N131" s="130"/>
      <c r="O131" s="84"/>
      <c r="P131" s="84"/>
      <c r="Q131" s="86"/>
      <c r="R131" s="179"/>
      <c r="S131" s="156"/>
      <c r="T131" s="84"/>
      <c r="U131" s="88"/>
      <c r="V131" s="89"/>
      <c r="W131" s="14"/>
      <c r="X131" s="7"/>
      <c r="Y131" s="7"/>
      <c r="Z131" s="7"/>
      <c r="AA131" s="7"/>
      <c r="AB131" s="7"/>
      <c r="AC131" s="7"/>
    </row>
    <row r="132" spans="1:29" ht="27.75">
      <c r="A132" s="19"/>
      <c r="B132" s="141" t="s">
        <v>86</v>
      </c>
      <c r="C132" s="97">
        <f>SUM(C114:C131)</f>
        <v>82143.396999999983</v>
      </c>
      <c r="D132" s="115"/>
      <c r="E132" s="115"/>
      <c r="F132" s="91"/>
      <c r="G132" s="91"/>
      <c r="H132" s="91"/>
      <c r="I132" s="124"/>
      <c r="J132" s="164"/>
      <c r="K132" s="164"/>
      <c r="L132" s="164"/>
      <c r="M132" s="164"/>
      <c r="N132" s="164"/>
      <c r="O132" s="91"/>
      <c r="P132" s="91"/>
      <c r="Q132" s="7"/>
      <c r="R132" s="94"/>
      <c r="S132" s="91"/>
      <c r="T132" s="91"/>
      <c r="U132" s="95"/>
      <c r="V132" s="538"/>
      <c r="W132" s="14"/>
      <c r="X132" s="7"/>
      <c r="Y132" s="7"/>
      <c r="Z132" s="7"/>
      <c r="AA132" s="7"/>
      <c r="AB132" s="7"/>
      <c r="AC132" s="7"/>
    </row>
    <row r="133" spans="1:29" ht="27.75">
      <c r="A133" s="19"/>
      <c r="B133" s="180" t="s">
        <v>177</v>
      </c>
      <c r="C133" s="91"/>
      <c r="D133" s="115"/>
      <c r="E133" s="115"/>
      <c r="F133" s="91"/>
      <c r="G133" s="91"/>
      <c r="H133" s="91"/>
      <c r="I133" s="124"/>
      <c r="J133" s="164"/>
      <c r="K133" s="164"/>
      <c r="L133" s="164"/>
      <c r="M133" s="164"/>
      <c r="N133" s="164"/>
      <c r="O133" s="91"/>
      <c r="P133" s="91"/>
      <c r="Q133" s="7"/>
      <c r="R133" s="94"/>
      <c r="S133" s="91"/>
      <c r="T133" s="91"/>
      <c r="U133" s="95"/>
      <c r="V133" s="538"/>
      <c r="W133" s="14"/>
      <c r="X133" s="7"/>
      <c r="Y133" s="7"/>
      <c r="Z133" s="7"/>
      <c r="AA133" s="7"/>
      <c r="AB133" s="7"/>
      <c r="AC133" s="7"/>
    </row>
    <row r="134" spans="1:29" ht="26.25">
      <c r="A134" s="19"/>
      <c r="B134" s="387" t="s">
        <v>178</v>
      </c>
      <c r="C134" s="154">
        <f>H134+E134</f>
        <v>2806.6629500000017</v>
      </c>
      <c r="D134" s="84">
        <f>D138+D139</f>
        <v>40095.185000000027</v>
      </c>
      <c r="E134" s="84">
        <f>F134+G134</f>
        <v>2806.6629500000017</v>
      </c>
      <c r="F134" s="84">
        <f>0.04*D134</f>
        <v>1603.8074000000011</v>
      </c>
      <c r="G134" s="84">
        <f>0.03*D134</f>
        <v>1202.8555500000007</v>
      </c>
      <c r="H134" s="84"/>
      <c r="I134" s="84">
        <v>0</v>
      </c>
      <c r="J134" s="130"/>
      <c r="K134" s="130"/>
      <c r="L134" s="130"/>
      <c r="M134" s="130"/>
      <c r="N134" s="130"/>
      <c r="O134" s="155">
        <v>2582.29</v>
      </c>
      <c r="P134" s="155">
        <v>2670.19</v>
      </c>
      <c r="Q134" s="389"/>
      <c r="R134" s="390"/>
      <c r="S134" s="84">
        <v>60</v>
      </c>
      <c r="T134" s="84">
        <f t="shared" ref="T134:T144" si="21">(P134-O134)*S134</f>
        <v>5274.0000000000055</v>
      </c>
      <c r="U134" s="88">
        <v>1906</v>
      </c>
      <c r="V134" s="89" t="s">
        <v>179</v>
      </c>
      <c r="W134" s="14" t="s">
        <v>22</v>
      </c>
      <c r="X134" s="7"/>
      <c r="Y134" s="7"/>
      <c r="Z134" s="7"/>
      <c r="AA134" s="7"/>
      <c r="AB134" s="7"/>
      <c r="AC134" s="7"/>
    </row>
    <row r="135" spans="1:29" ht="26.25">
      <c r="A135" s="19"/>
      <c r="B135" s="83"/>
      <c r="C135" s="84"/>
      <c r="D135" s="84"/>
      <c r="E135" s="84"/>
      <c r="F135" s="84"/>
      <c r="G135" s="84"/>
      <c r="H135" s="84"/>
      <c r="I135" s="154"/>
      <c r="J135" s="130"/>
      <c r="K135" s="130"/>
      <c r="L135" s="130"/>
      <c r="M135" s="130"/>
      <c r="N135" s="130"/>
      <c r="O135" s="155">
        <v>1320.12</v>
      </c>
      <c r="P135" s="155">
        <v>1369.53</v>
      </c>
      <c r="Q135" s="389"/>
      <c r="R135" s="390"/>
      <c r="S135" s="84">
        <v>20</v>
      </c>
      <c r="T135" s="84">
        <f t="shared" si="21"/>
        <v>988.20000000000164</v>
      </c>
      <c r="U135" s="88">
        <v>1821</v>
      </c>
      <c r="V135" s="89" t="s">
        <v>180</v>
      </c>
      <c r="W135" s="14" t="s">
        <v>22</v>
      </c>
      <c r="X135" s="7"/>
      <c r="Y135" s="7"/>
      <c r="Z135" s="7"/>
      <c r="AA135" s="7"/>
      <c r="AB135" s="7"/>
      <c r="AC135" s="7"/>
    </row>
    <row r="136" spans="1:29" ht="25.5">
      <c r="A136" s="19"/>
      <c r="B136" s="83"/>
      <c r="C136" s="84"/>
      <c r="D136" s="84"/>
      <c r="E136" s="84"/>
      <c r="F136" s="84"/>
      <c r="G136" s="84"/>
      <c r="H136" s="84"/>
      <c r="I136" s="84"/>
      <c r="J136" s="130"/>
      <c r="K136" s="130"/>
      <c r="L136" s="130"/>
      <c r="M136" s="130"/>
      <c r="N136" s="130"/>
      <c r="O136" s="155">
        <v>591.06650000000002</v>
      </c>
      <c r="P136" s="155">
        <v>626.59900000000005</v>
      </c>
      <c r="Q136" s="389"/>
      <c r="R136" s="394"/>
      <c r="S136" s="84">
        <v>60</v>
      </c>
      <c r="T136" s="84">
        <f t="shared" si="21"/>
        <v>2131.9500000000016</v>
      </c>
      <c r="U136" s="88">
        <v>1903</v>
      </c>
      <c r="V136" s="89" t="s">
        <v>181</v>
      </c>
      <c r="W136" s="14" t="s">
        <v>22</v>
      </c>
      <c r="X136" s="7"/>
      <c r="Y136" s="7"/>
      <c r="Z136" s="7"/>
      <c r="AA136" s="7"/>
      <c r="AB136" s="7"/>
      <c r="AC136" s="7"/>
    </row>
    <row r="137" spans="1:29" ht="25.5">
      <c r="A137" s="19"/>
      <c r="B137" s="83" t="s">
        <v>182</v>
      </c>
      <c r="C137" s="84"/>
      <c r="D137" s="84"/>
      <c r="E137" s="84"/>
      <c r="F137" s="84"/>
      <c r="G137" s="84"/>
      <c r="H137" s="84"/>
      <c r="I137" s="84"/>
      <c r="J137" s="130"/>
      <c r="K137" s="130"/>
      <c r="L137" s="130"/>
      <c r="M137" s="130"/>
      <c r="N137" s="130"/>
      <c r="O137" s="155">
        <v>81488.807000000001</v>
      </c>
      <c r="P137" s="155">
        <v>83651.111000000004</v>
      </c>
      <c r="Q137" s="389"/>
      <c r="R137" s="395"/>
      <c r="S137" s="84">
        <v>1</v>
      </c>
      <c r="T137" s="84">
        <f t="shared" si="21"/>
        <v>2162.3040000000037</v>
      </c>
      <c r="U137" s="88">
        <v>9454</v>
      </c>
      <c r="V137" s="89" t="str">
        <f>V135</f>
        <v>об.быт.корп</v>
      </c>
      <c r="W137" s="14" t="s">
        <v>22</v>
      </c>
      <c r="X137" s="7"/>
      <c r="Y137" s="7"/>
      <c r="Z137" s="7"/>
      <c r="AA137" s="7"/>
      <c r="AB137" s="7"/>
      <c r="AC137" s="7"/>
    </row>
    <row r="138" spans="1:29" ht="25.5">
      <c r="A138" s="19"/>
      <c r="B138" s="83" t="s">
        <v>184</v>
      </c>
      <c r="C138" s="84"/>
      <c r="D138" s="84">
        <f>T134+T135+T136+T137+T138</f>
        <v>10607.805000000013</v>
      </c>
      <c r="E138" s="84"/>
      <c r="F138" s="84"/>
      <c r="G138" s="84"/>
      <c r="H138" s="84"/>
      <c r="I138" s="84"/>
      <c r="J138" s="130"/>
      <c r="K138" s="130"/>
      <c r="L138" s="130"/>
      <c r="M138" s="130"/>
      <c r="N138" s="130"/>
      <c r="O138" s="155">
        <v>1889.86</v>
      </c>
      <c r="P138" s="155">
        <v>1941.211</v>
      </c>
      <c r="Q138" s="389"/>
      <c r="R138" s="181"/>
      <c r="S138" s="84">
        <v>1</v>
      </c>
      <c r="T138" s="84">
        <f t="shared" si="21"/>
        <v>51.351000000000113</v>
      </c>
      <c r="U138" s="88">
        <v>9314</v>
      </c>
      <c r="V138" s="89" t="s">
        <v>183</v>
      </c>
      <c r="W138" s="14" t="s">
        <v>22</v>
      </c>
      <c r="X138" s="7"/>
      <c r="Y138" s="7"/>
      <c r="Z138" s="7"/>
      <c r="AA138" s="7"/>
      <c r="AB138" s="7"/>
      <c r="AC138" s="7"/>
    </row>
    <row r="139" spans="1:29" ht="25.5">
      <c r="A139" s="19"/>
      <c r="B139" s="83" t="s">
        <v>185</v>
      </c>
      <c r="C139" s="84"/>
      <c r="D139" s="84">
        <f>T139+T140</f>
        <v>29487.380000000012</v>
      </c>
      <c r="E139" s="84"/>
      <c r="F139" s="84"/>
      <c r="G139" s="84"/>
      <c r="H139" s="84"/>
      <c r="I139" s="84"/>
      <c r="J139" s="130"/>
      <c r="K139" s="130"/>
      <c r="L139" s="130"/>
      <c r="M139" s="130"/>
      <c r="N139" s="130"/>
      <c r="O139" s="155">
        <v>22857.26</v>
      </c>
      <c r="P139" s="155">
        <v>23526.082999999999</v>
      </c>
      <c r="Q139" s="389"/>
      <c r="R139" s="181"/>
      <c r="S139" s="84">
        <v>40</v>
      </c>
      <c r="T139" s="84">
        <f t="shared" si="21"/>
        <v>26752.920000000013</v>
      </c>
      <c r="U139" s="88">
        <v>1793</v>
      </c>
      <c r="V139" s="89" t="s">
        <v>186</v>
      </c>
      <c r="W139" s="14" t="s">
        <v>22</v>
      </c>
      <c r="X139" s="7"/>
      <c r="Y139" s="7"/>
      <c r="Z139" s="7"/>
      <c r="AA139" s="7"/>
      <c r="AB139" s="7"/>
      <c r="AC139" s="7"/>
    </row>
    <row r="140" spans="1:29" ht="26.25">
      <c r="A140" s="19"/>
      <c r="B140" s="331"/>
      <c r="C140" s="124"/>
      <c r="D140" s="97"/>
      <c r="E140" s="97"/>
      <c r="F140" s="124"/>
      <c r="G140" s="124"/>
      <c r="H140" s="124"/>
      <c r="I140" s="124"/>
      <c r="J140" s="332"/>
      <c r="K140" s="332"/>
      <c r="L140" s="332"/>
      <c r="M140" s="332"/>
      <c r="N140" s="332"/>
      <c r="O140" s="155">
        <v>2923.98</v>
      </c>
      <c r="P140" s="155">
        <v>2992.3415</v>
      </c>
      <c r="Q140" s="86"/>
      <c r="R140" s="87"/>
      <c r="S140" s="84">
        <v>40</v>
      </c>
      <c r="T140" s="84">
        <f t="shared" si="21"/>
        <v>2734.4599999999991</v>
      </c>
      <c r="U140" s="88">
        <v>9996</v>
      </c>
      <c r="V140" s="89" t="s">
        <v>186</v>
      </c>
      <c r="W140" s="14" t="s">
        <v>22</v>
      </c>
      <c r="X140" s="7"/>
      <c r="Y140" s="7"/>
      <c r="Z140" s="7"/>
      <c r="AA140" s="7"/>
      <c r="AB140" s="7"/>
      <c r="AC140" s="7"/>
    </row>
    <row r="141" spans="1:29" ht="26.25">
      <c r="A141" s="19"/>
      <c r="B141" s="184"/>
      <c r="C141" s="84"/>
      <c r="D141" s="154"/>
      <c r="E141" s="185"/>
      <c r="F141" s="84"/>
      <c r="G141" s="84"/>
      <c r="H141" s="84"/>
      <c r="I141" s="84"/>
      <c r="J141" s="183"/>
      <c r="K141" s="183"/>
      <c r="L141" s="183"/>
      <c r="M141" s="183"/>
      <c r="N141" s="183"/>
      <c r="O141" s="155"/>
      <c r="P141" s="155"/>
      <c r="Q141" s="86"/>
      <c r="R141" s="87"/>
      <c r="S141" s="84"/>
      <c r="T141" s="84"/>
      <c r="U141" s="88"/>
      <c r="V141" s="89"/>
      <c r="W141" s="14"/>
      <c r="X141" s="7"/>
      <c r="Y141" s="7"/>
      <c r="Z141" s="7"/>
      <c r="AA141" s="7"/>
      <c r="AB141" s="7"/>
      <c r="AC141" s="7"/>
    </row>
    <row r="142" spans="1:29" ht="26.25">
      <c r="A142" s="19"/>
      <c r="B142" s="401" t="s">
        <v>709</v>
      </c>
      <c r="C142" s="497">
        <f>H142+E142+C144</f>
        <v>6632.7786000000006</v>
      </c>
      <c r="D142" s="396">
        <f>T142</f>
        <v>85953.98000000001</v>
      </c>
      <c r="E142" s="397">
        <f>F142+G142</f>
        <v>6016.7786000000006</v>
      </c>
      <c r="F142" s="396">
        <f>0.04*D142</f>
        <v>3438.1592000000005</v>
      </c>
      <c r="G142" s="396">
        <f>0.03*D142</f>
        <v>2578.6194</v>
      </c>
      <c r="H142" s="396"/>
      <c r="I142" s="84">
        <f>T143</f>
        <v>0</v>
      </c>
      <c r="J142" s="398"/>
      <c r="K142" s="398"/>
      <c r="L142" s="398"/>
      <c r="M142" s="398"/>
      <c r="N142" s="398" t="s">
        <v>187</v>
      </c>
      <c r="O142" s="84">
        <v>40682.927000000003</v>
      </c>
      <c r="P142" s="84">
        <v>42262.16</v>
      </c>
      <c r="Q142" s="399"/>
      <c r="R142" s="400"/>
      <c r="S142" s="396">
        <v>60</v>
      </c>
      <c r="T142" s="396">
        <f>(P142-O142)*S142-T144</f>
        <v>85953.98000000001</v>
      </c>
      <c r="U142" s="402">
        <v>14314</v>
      </c>
      <c r="V142" s="403" t="s">
        <v>188</v>
      </c>
      <c r="W142" s="14" t="s">
        <v>189</v>
      </c>
      <c r="X142" s="7"/>
      <c r="Y142" s="7"/>
      <c r="Z142" s="7"/>
      <c r="AA142" s="7"/>
      <c r="AB142" s="7"/>
      <c r="AC142" s="7"/>
    </row>
    <row r="143" spans="1:29" ht="26.25">
      <c r="A143" s="19"/>
      <c r="B143" s="186"/>
      <c r="C143" s="97"/>
      <c r="D143" s="124"/>
      <c r="E143" s="187"/>
      <c r="F143" s="124"/>
      <c r="G143" s="124"/>
      <c r="H143" s="124"/>
      <c r="I143" s="124"/>
      <c r="J143" s="126"/>
      <c r="K143" s="126"/>
      <c r="L143" s="126"/>
      <c r="M143" s="126"/>
      <c r="N143" s="126"/>
      <c r="O143" s="124"/>
      <c r="P143" s="124"/>
      <c r="Q143" s="7"/>
      <c r="R143" s="159"/>
      <c r="S143" s="124"/>
      <c r="T143" s="124"/>
      <c r="U143" s="127"/>
      <c r="V143" s="128"/>
      <c r="W143" s="14"/>
      <c r="X143" s="7"/>
      <c r="Y143" s="7"/>
      <c r="Z143" s="7"/>
      <c r="AA143" s="7"/>
      <c r="AB143" s="7"/>
      <c r="AC143" s="7"/>
    </row>
    <row r="144" spans="1:29" ht="26.25">
      <c r="A144" s="19"/>
      <c r="B144" s="182" t="s">
        <v>190</v>
      </c>
      <c r="C144" s="497">
        <f>H144+E144</f>
        <v>616</v>
      </c>
      <c r="D144" s="396">
        <f>T144</f>
        <v>8800</v>
      </c>
      <c r="E144" s="397">
        <f>F144+G144</f>
        <v>616</v>
      </c>
      <c r="F144" s="396">
        <f>0.04*D144</f>
        <v>352</v>
      </c>
      <c r="G144" s="396">
        <f>0.03*D144</f>
        <v>264</v>
      </c>
      <c r="H144" s="396"/>
      <c r="I144" s="84">
        <f>T145</f>
        <v>8240</v>
      </c>
      <c r="J144" s="398"/>
      <c r="K144" s="398"/>
      <c r="L144" s="398"/>
      <c r="M144" s="398"/>
      <c r="N144" s="398" t="s">
        <v>187</v>
      </c>
      <c r="O144" s="84">
        <v>5665</v>
      </c>
      <c r="P144" s="84">
        <v>5885</v>
      </c>
      <c r="Q144" s="399"/>
      <c r="R144" s="400"/>
      <c r="S144" s="396">
        <v>40</v>
      </c>
      <c r="T144" s="396">
        <f t="shared" si="21"/>
        <v>8800</v>
      </c>
      <c r="U144" s="88"/>
      <c r="V144" s="89" t="s">
        <v>191</v>
      </c>
      <c r="W144" s="14" t="s">
        <v>189</v>
      </c>
      <c r="X144" s="7"/>
      <c r="Y144" s="7"/>
      <c r="Z144" s="7"/>
      <c r="AA144" s="7"/>
      <c r="AB144" s="7"/>
      <c r="AC144" s="7"/>
    </row>
    <row r="145" spans="1:29" ht="26.25">
      <c r="A145" s="19"/>
      <c r="B145" s="182" t="s">
        <v>192</v>
      </c>
      <c r="C145" s="498">
        <f>E145+E146</f>
        <v>835.43999999999994</v>
      </c>
      <c r="D145" s="84">
        <f>T145</f>
        <v>8240</v>
      </c>
      <c r="E145" s="84">
        <f>F145+G145</f>
        <v>766.31999999999994</v>
      </c>
      <c r="F145" s="84">
        <f>0.05*D145</f>
        <v>412</v>
      </c>
      <c r="G145" s="84">
        <f>0.043*D145</f>
        <v>354.32</v>
      </c>
      <c r="H145" s="84"/>
      <c r="I145" s="84">
        <f>0.6*D145</f>
        <v>4944</v>
      </c>
      <c r="J145" s="130"/>
      <c r="K145" s="130"/>
      <c r="L145" s="130"/>
      <c r="M145" s="130"/>
      <c r="N145" s="130"/>
      <c r="O145" s="396">
        <v>15896</v>
      </c>
      <c r="P145" s="396">
        <v>16102</v>
      </c>
      <c r="Q145" s="130" t="s">
        <v>37</v>
      </c>
      <c r="R145" s="385"/>
      <c r="S145" s="156">
        <v>40</v>
      </c>
      <c r="T145" s="84">
        <f>(P145-O145)*S145</f>
        <v>8240</v>
      </c>
      <c r="U145" s="88">
        <v>1571</v>
      </c>
      <c r="V145" s="89" t="s">
        <v>193</v>
      </c>
      <c r="W145" s="14" t="s">
        <v>43</v>
      </c>
      <c r="X145" s="7"/>
      <c r="Y145" s="7"/>
      <c r="Z145" s="7"/>
      <c r="AA145" s="7"/>
      <c r="AB145" s="7"/>
      <c r="AC145" s="7"/>
    </row>
    <row r="146" spans="1:29" ht="26.25">
      <c r="A146" s="19"/>
      <c r="B146" s="83"/>
      <c r="C146" s="154"/>
      <c r="D146" s="84">
        <f>T146</f>
        <v>2304</v>
      </c>
      <c r="E146" s="84">
        <f>F146+G146</f>
        <v>69.12</v>
      </c>
      <c r="F146" s="84">
        <f>0.02*D146</f>
        <v>46.08</v>
      </c>
      <c r="G146" s="84">
        <f>0.01*D146</f>
        <v>23.04</v>
      </c>
      <c r="H146" s="84"/>
      <c r="I146" s="84">
        <f>0.6*D146</f>
        <v>1382.3999999999999</v>
      </c>
      <c r="J146" s="130"/>
      <c r="K146" s="130"/>
      <c r="L146" s="130"/>
      <c r="M146" s="130"/>
      <c r="N146" s="130"/>
      <c r="O146" s="396">
        <v>111017</v>
      </c>
      <c r="P146" s="396">
        <v>113321</v>
      </c>
      <c r="Q146" s="130"/>
      <c r="R146" s="385"/>
      <c r="S146" s="156">
        <v>1</v>
      </c>
      <c r="T146" s="84">
        <f>(P146-O146)*S146</f>
        <v>2304</v>
      </c>
      <c r="U146" s="88">
        <v>8673</v>
      </c>
      <c r="V146" s="89" t="s">
        <v>194</v>
      </c>
      <c r="W146" s="14" t="s">
        <v>43</v>
      </c>
      <c r="X146" s="7"/>
      <c r="Y146" s="7"/>
      <c r="Z146" s="7"/>
      <c r="AA146" s="7"/>
      <c r="AB146" s="7"/>
      <c r="AC146" s="7"/>
    </row>
    <row r="147" spans="1:29" ht="26.25">
      <c r="A147" s="19"/>
      <c r="B147" s="331"/>
      <c r="C147" s="97"/>
      <c r="D147" s="124"/>
      <c r="E147" s="124"/>
      <c r="F147" s="124"/>
      <c r="G147" s="124"/>
      <c r="H147" s="124"/>
      <c r="I147" s="124"/>
      <c r="J147" s="126"/>
      <c r="K147" s="126"/>
      <c r="L147" s="126"/>
      <c r="M147" s="126"/>
      <c r="N147" s="126"/>
      <c r="O147" s="124"/>
      <c r="P147" s="124"/>
      <c r="Q147" s="7"/>
      <c r="R147" s="94"/>
      <c r="S147" s="124"/>
      <c r="T147" s="124"/>
      <c r="U147" s="127"/>
      <c r="V147" s="128" t="s">
        <v>195</v>
      </c>
      <c r="W147" s="14"/>
      <c r="X147" s="7"/>
      <c r="Y147" s="7"/>
      <c r="Z147" s="7"/>
      <c r="AA147" s="7"/>
      <c r="AB147" s="7"/>
      <c r="AC147" s="7"/>
    </row>
    <row r="148" spans="1:29" ht="26.25">
      <c r="A148" s="19"/>
      <c r="B148" s="387" t="s">
        <v>196</v>
      </c>
      <c r="C148" s="498">
        <f>F148+G148</f>
        <v>3057.3018000000002</v>
      </c>
      <c r="D148" s="84">
        <f>T148</f>
        <v>43675.740000000005</v>
      </c>
      <c r="E148" s="84">
        <f>F148+G148</f>
        <v>3057.3018000000002</v>
      </c>
      <c r="F148" s="84">
        <f>0.04*H148</f>
        <v>1747.0296000000003</v>
      </c>
      <c r="G148" s="84">
        <f>0.03*H148</f>
        <v>1310.2722000000001</v>
      </c>
      <c r="H148" s="84">
        <f>T148</f>
        <v>43675.740000000005</v>
      </c>
      <c r="I148" s="84">
        <f>Z525</f>
        <v>6780</v>
      </c>
      <c r="J148" s="130"/>
      <c r="K148" s="130"/>
      <c r="L148" s="130"/>
      <c r="M148" s="130"/>
      <c r="N148" s="130"/>
      <c r="O148" s="393" t="s">
        <v>799</v>
      </c>
      <c r="P148" s="393" t="s">
        <v>800</v>
      </c>
      <c r="Q148" s="130" t="s">
        <v>50</v>
      </c>
      <c r="R148" s="385"/>
      <c r="S148" s="156">
        <v>60</v>
      </c>
      <c r="T148" s="84">
        <f>(P148-O148)*S148</f>
        <v>43675.740000000005</v>
      </c>
      <c r="U148" s="88">
        <v>27421830</v>
      </c>
      <c r="V148" s="89" t="s">
        <v>197</v>
      </c>
      <c r="W148" s="14" t="s">
        <v>198</v>
      </c>
      <c r="X148" s="7"/>
      <c r="Y148" s="7"/>
      <c r="Z148" s="7"/>
      <c r="AA148" s="7"/>
      <c r="AB148" s="7"/>
      <c r="AC148" s="7"/>
    </row>
    <row r="149" spans="1:29" ht="26.25">
      <c r="A149" s="19"/>
      <c r="B149" s="182"/>
      <c r="C149" s="154"/>
      <c r="D149" s="154"/>
      <c r="E149" s="154"/>
      <c r="F149" s="84"/>
      <c r="G149" s="84"/>
      <c r="H149" s="84"/>
      <c r="I149" s="84"/>
      <c r="J149" s="183"/>
      <c r="K149" s="183"/>
      <c r="L149" s="183"/>
      <c r="M149" s="183"/>
      <c r="N149" s="183"/>
      <c r="O149" s="84"/>
      <c r="P149" s="84"/>
      <c r="Q149" s="86"/>
      <c r="R149" s="87"/>
      <c r="S149" s="84"/>
      <c r="T149" s="84"/>
      <c r="U149" s="88"/>
      <c r="V149" s="89"/>
      <c r="W149" s="14"/>
      <c r="X149" s="7"/>
      <c r="Y149" s="7"/>
      <c r="Z149" s="7"/>
      <c r="AA149" s="7"/>
      <c r="AB149" s="7"/>
      <c r="AC149" s="7"/>
    </row>
    <row r="150" spans="1:29" ht="26.25">
      <c r="A150" s="19"/>
      <c r="B150" s="387" t="s">
        <v>199</v>
      </c>
      <c r="C150" s="154">
        <f>H150+E150</f>
        <v>0</v>
      </c>
      <c r="D150" s="84">
        <f>T150+T151</f>
        <v>0</v>
      </c>
      <c r="E150" s="84">
        <f>F150+G150</f>
        <v>0</v>
      </c>
      <c r="F150" s="84">
        <f>0.04*(H150+D150)</f>
        <v>0</v>
      </c>
      <c r="G150" s="84">
        <f>0.03*(H150+D150)</f>
        <v>0</v>
      </c>
      <c r="H150" s="84">
        <f>T152</f>
        <v>0</v>
      </c>
      <c r="I150" s="84">
        <f>0.4*C150</f>
        <v>0</v>
      </c>
      <c r="J150" s="130"/>
      <c r="K150" s="130"/>
      <c r="L150" s="130"/>
      <c r="M150" s="130"/>
      <c r="N150" s="130" t="s">
        <v>200</v>
      </c>
      <c r="O150" s="155">
        <v>1034.443</v>
      </c>
      <c r="P150" s="155">
        <v>1034.443</v>
      </c>
      <c r="Q150" s="86"/>
      <c r="R150" s="181"/>
      <c r="S150" s="156">
        <v>40</v>
      </c>
      <c r="T150" s="84">
        <f>(P150-O150)*S150</f>
        <v>0</v>
      </c>
      <c r="U150" s="88">
        <v>9834</v>
      </c>
      <c r="V150" s="89" t="s">
        <v>197</v>
      </c>
      <c r="W150" s="14" t="s">
        <v>116</v>
      </c>
      <c r="X150" s="7"/>
      <c r="Y150" s="7"/>
      <c r="Z150" s="7"/>
      <c r="AA150" s="7"/>
      <c r="AB150" s="7"/>
      <c r="AC150" s="7"/>
    </row>
    <row r="151" spans="1:29" ht="26.25">
      <c r="A151" s="19"/>
      <c r="B151" s="83"/>
      <c r="C151" s="154"/>
      <c r="D151" s="84"/>
      <c r="E151" s="84"/>
      <c r="F151" s="84"/>
      <c r="G151" s="84"/>
      <c r="H151" s="84"/>
      <c r="I151" s="84">
        <f>0.4*C151</f>
        <v>0</v>
      </c>
      <c r="J151" s="130"/>
      <c r="K151" s="130"/>
      <c r="L151" s="130"/>
      <c r="M151" s="130"/>
      <c r="N151" s="130"/>
      <c r="O151" s="155">
        <v>400.12200000000001</v>
      </c>
      <c r="P151" s="155">
        <v>400.12200000000001</v>
      </c>
      <c r="Q151" s="86"/>
      <c r="R151" s="385"/>
      <c r="S151" s="156">
        <v>30</v>
      </c>
      <c r="T151" s="84">
        <f>(P151-O151)*S151</f>
        <v>0</v>
      </c>
      <c r="U151" s="88">
        <v>9861</v>
      </c>
      <c r="V151" s="89"/>
      <c r="W151" s="14" t="s">
        <v>116</v>
      </c>
      <c r="X151" s="7"/>
      <c r="Y151" s="7"/>
      <c r="Z151" s="7"/>
      <c r="AA151" s="7"/>
      <c r="AB151" s="7"/>
      <c r="AC151" s="7"/>
    </row>
    <row r="152" spans="1:29" ht="26.25">
      <c r="A152" s="19"/>
      <c r="B152" s="83"/>
      <c r="C152" s="154"/>
      <c r="D152" s="84"/>
      <c r="E152" s="84"/>
      <c r="F152" s="84"/>
      <c r="G152" s="84"/>
      <c r="H152" s="84"/>
      <c r="I152" s="154"/>
      <c r="J152" s="130"/>
      <c r="K152" s="130"/>
      <c r="L152" s="130"/>
      <c r="M152" s="130"/>
      <c r="N152" s="130"/>
      <c r="O152" s="84"/>
      <c r="P152" s="84"/>
      <c r="Q152" s="86"/>
      <c r="R152" s="130"/>
      <c r="S152" s="85"/>
      <c r="T152" s="84"/>
      <c r="U152" s="88"/>
      <c r="V152" s="89"/>
      <c r="W152" s="14"/>
      <c r="X152" s="7"/>
      <c r="Y152" s="7"/>
      <c r="Z152" s="7"/>
      <c r="AA152" s="7"/>
      <c r="AB152" s="7"/>
      <c r="AC152" s="7"/>
    </row>
    <row r="153" spans="1:29" ht="26.25">
      <c r="A153" s="19"/>
      <c r="B153" s="158"/>
      <c r="C153" s="97"/>
      <c r="D153" s="124"/>
      <c r="E153" s="124"/>
      <c r="F153" s="124"/>
      <c r="G153" s="124"/>
      <c r="H153" s="124"/>
      <c r="I153" s="97"/>
      <c r="J153" s="126"/>
      <c r="K153" s="126"/>
      <c r="L153" s="126"/>
      <c r="M153" s="126"/>
      <c r="N153" s="126"/>
      <c r="O153" s="188"/>
      <c r="P153" s="188"/>
      <c r="Q153" s="7"/>
      <c r="R153" s="189"/>
      <c r="S153" s="140"/>
      <c r="T153" s="124"/>
      <c r="U153" s="127"/>
      <c r="V153" s="128"/>
      <c r="W153" s="14"/>
      <c r="X153" s="7"/>
      <c r="Y153" s="7"/>
      <c r="Z153" s="7"/>
      <c r="AA153" s="7"/>
      <c r="AB153" s="7"/>
      <c r="AC153" s="7"/>
    </row>
    <row r="154" spans="1:29" ht="26.25">
      <c r="A154" s="19"/>
      <c r="B154" s="387" t="s">
        <v>201</v>
      </c>
      <c r="C154" s="154">
        <f>H154+E154</f>
        <v>111.85439999999994</v>
      </c>
      <c r="D154" s="484">
        <f>T154+T156+T157+T159+T160+T161</f>
        <v>293689.32000000024</v>
      </c>
      <c r="E154" s="84">
        <f>G154+F154</f>
        <v>111.85439999999994</v>
      </c>
      <c r="F154" s="84">
        <f>0.04*(T160+T161)</f>
        <v>63.916799999999967</v>
      </c>
      <c r="G154" s="84">
        <f>0.03*(T160+T161)</f>
        <v>47.937599999999975</v>
      </c>
      <c r="H154" s="84"/>
      <c r="I154" s="84">
        <f>0.54*(T160+T161)*0</f>
        <v>0</v>
      </c>
      <c r="J154" s="130"/>
      <c r="K154" s="130"/>
      <c r="L154" s="130"/>
      <c r="M154" s="130"/>
      <c r="N154" s="130"/>
      <c r="O154" s="155"/>
      <c r="P154" s="155"/>
      <c r="Q154" s="86"/>
      <c r="R154" s="181"/>
      <c r="S154" s="156"/>
      <c r="T154" s="84"/>
      <c r="U154" s="88"/>
      <c r="V154" s="89" t="s">
        <v>197</v>
      </c>
      <c r="W154" s="14"/>
      <c r="X154" s="7"/>
      <c r="Y154" s="7"/>
      <c r="Z154" s="7"/>
      <c r="AA154" s="7"/>
      <c r="AB154" s="7"/>
      <c r="AC154" s="7"/>
    </row>
    <row r="155" spans="1:29" ht="25.5">
      <c r="A155" s="19"/>
      <c r="B155" s="83"/>
      <c r="C155" s="84"/>
      <c r="D155" s="84"/>
      <c r="E155" s="84"/>
      <c r="F155" s="84"/>
      <c r="G155" s="84"/>
      <c r="H155" s="84"/>
      <c r="I155" s="84">
        <f>0.54*C155</f>
        <v>0</v>
      </c>
      <c r="J155" s="130"/>
      <c r="K155" s="130"/>
      <c r="L155" s="130"/>
      <c r="M155" s="130"/>
      <c r="N155" s="130"/>
      <c r="O155" s="190"/>
      <c r="P155" s="190"/>
      <c r="Q155" s="86"/>
      <c r="R155" s="181"/>
      <c r="S155" s="156"/>
      <c r="T155" s="84"/>
      <c r="U155" s="88"/>
      <c r="V155" s="89"/>
      <c r="W155" s="14"/>
      <c r="X155" s="7"/>
      <c r="Y155" s="7"/>
      <c r="Z155" s="7"/>
      <c r="AA155" s="7"/>
      <c r="AB155" s="7"/>
      <c r="AC155" s="7"/>
    </row>
    <row r="156" spans="1:29" ht="25.5">
      <c r="A156" s="19"/>
      <c r="B156" s="83"/>
      <c r="C156" s="84"/>
      <c r="D156" s="84"/>
      <c r="E156" s="84"/>
      <c r="F156" s="84"/>
      <c r="G156" s="84"/>
      <c r="H156" s="84"/>
      <c r="I156" s="84">
        <f>0.54*C156</f>
        <v>0</v>
      </c>
      <c r="J156" s="130"/>
      <c r="K156" s="130"/>
      <c r="L156" s="130"/>
      <c r="M156" s="130"/>
      <c r="N156" s="130"/>
      <c r="O156" s="393" t="s">
        <v>832</v>
      </c>
      <c r="P156" s="393" t="s">
        <v>833</v>
      </c>
      <c r="Q156" s="86"/>
      <c r="R156" s="181"/>
      <c r="S156" s="156">
        <v>300</v>
      </c>
      <c r="T156" s="84">
        <f>(P156-O156)*S156</f>
        <v>167953.2000000003</v>
      </c>
      <c r="U156" s="88">
        <v>257</v>
      </c>
      <c r="V156" s="89" t="s">
        <v>202</v>
      </c>
      <c r="W156" s="191" t="s">
        <v>203</v>
      </c>
      <c r="X156" s="7"/>
      <c r="Y156" s="7"/>
      <c r="Z156" s="7"/>
      <c r="AA156" s="7"/>
      <c r="AB156" s="7"/>
      <c r="AC156" s="7"/>
    </row>
    <row r="157" spans="1:29" ht="25.5">
      <c r="A157" s="19"/>
      <c r="B157" s="83"/>
      <c r="C157" s="84"/>
      <c r="D157" s="84"/>
      <c r="E157" s="84"/>
      <c r="F157" s="84"/>
      <c r="G157" s="84"/>
      <c r="H157" s="84"/>
      <c r="I157" s="84">
        <f>0.54*C157</f>
        <v>0</v>
      </c>
      <c r="J157" s="130"/>
      <c r="K157" s="130"/>
      <c r="L157" s="130"/>
      <c r="M157" s="130"/>
      <c r="N157" s="130"/>
      <c r="O157" s="393" t="s">
        <v>834</v>
      </c>
      <c r="P157" s="393" t="s">
        <v>835</v>
      </c>
      <c r="Q157" s="86"/>
      <c r="R157" s="181"/>
      <c r="S157" s="156">
        <v>300</v>
      </c>
      <c r="T157" s="84">
        <f>(P157-O157)*S157</f>
        <v>124138.19999999995</v>
      </c>
      <c r="U157" s="88">
        <v>851</v>
      </c>
      <c r="V157" s="89" t="s">
        <v>202</v>
      </c>
      <c r="W157" s="14" t="s">
        <v>35</v>
      </c>
      <c r="X157" s="7"/>
      <c r="Y157" s="7"/>
      <c r="Z157" s="7"/>
      <c r="AA157" s="7"/>
      <c r="AB157" s="7"/>
      <c r="AC157" s="7"/>
    </row>
    <row r="158" spans="1:29" ht="25.5">
      <c r="A158" s="19"/>
      <c r="B158" s="83"/>
      <c r="C158" s="84"/>
      <c r="D158" s="84"/>
      <c r="E158" s="84"/>
      <c r="F158" s="84"/>
      <c r="G158" s="84"/>
      <c r="H158" s="84"/>
      <c r="I158" s="84"/>
      <c r="J158" s="130"/>
      <c r="K158" s="130"/>
      <c r="L158" s="130"/>
      <c r="M158" s="130"/>
      <c r="N158" s="130"/>
      <c r="O158" s="190"/>
      <c r="P158" s="190"/>
      <c r="Q158" s="86"/>
      <c r="R158" s="181"/>
      <c r="S158" s="156"/>
      <c r="T158" s="84"/>
      <c r="U158" s="88"/>
      <c r="V158" s="89"/>
      <c r="W158" s="14"/>
      <c r="X158" s="7"/>
      <c r="Y158" s="7"/>
      <c r="Z158" s="7"/>
      <c r="AA158" s="7"/>
      <c r="AB158" s="7"/>
      <c r="AC158" s="7"/>
    </row>
    <row r="159" spans="1:29" ht="25.5">
      <c r="A159" s="19"/>
      <c r="B159" s="83"/>
      <c r="C159" s="84"/>
      <c r="D159" s="84"/>
      <c r="E159" s="84"/>
      <c r="F159" s="84"/>
      <c r="G159" s="84"/>
      <c r="H159" s="84"/>
      <c r="I159" s="84"/>
      <c r="J159" s="130"/>
      <c r="K159" s="130"/>
      <c r="L159" s="130"/>
      <c r="M159" s="130"/>
      <c r="N159" s="130"/>
      <c r="O159" s="155"/>
      <c r="P159" s="155"/>
      <c r="Q159" s="86"/>
      <c r="R159" s="181"/>
      <c r="S159" s="156"/>
      <c r="T159" s="84"/>
      <c r="U159" s="88"/>
      <c r="V159" s="89"/>
      <c r="W159" s="14"/>
      <c r="X159" s="7"/>
      <c r="Y159" s="7"/>
      <c r="Z159" s="7"/>
      <c r="AA159" s="7"/>
      <c r="AB159" s="7"/>
      <c r="AC159" s="7"/>
    </row>
    <row r="160" spans="1:29" ht="25.5">
      <c r="A160" s="19"/>
      <c r="B160" s="158"/>
      <c r="C160" s="124"/>
      <c r="D160" s="124"/>
      <c r="E160" s="124"/>
      <c r="F160" s="124"/>
      <c r="G160" s="124"/>
      <c r="H160" s="84"/>
      <c r="I160" s="84">
        <f>0.54*C160</f>
        <v>0</v>
      </c>
      <c r="J160" s="130"/>
      <c r="K160" s="130"/>
      <c r="L160" s="130"/>
      <c r="M160" s="130"/>
      <c r="N160" s="130"/>
      <c r="O160" s="155">
        <v>2235.0859999999998</v>
      </c>
      <c r="P160" s="155">
        <v>2274.2689999999998</v>
      </c>
      <c r="Q160" s="86"/>
      <c r="R160" s="181"/>
      <c r="S160" s="156">
        <v>40</v>
      </c>
      <c r="T160" s="84">
        <f>(P160-O160)*S160</f>
        <v>1567.3199999999997</v>
      </c>
      <c r="U160" s="88">
        <v>6289</v>
      </c>
      <c r="V160" s="89" t="s">
        <v>204</v>
      </c>
      <c r="W160" s="14" t="s">
        <v>116</v>
      </c>
      <c r="X160" s="7"/>
      <c r="Y160" s="7"/>
      <c r="Z160" s="7"/>
      <c r="AA160" s="7"/>
      <c r="AB160" s="7"/>
      <c r="AC160" s="7"/>
    </row>
    <row r="161" spans="1:29" ht="25.5">
      <c r="A161" s="19"/>
      <c r="B161" s="158"/>
      <c r="C161" s="124"/>
      <c r="D161" s="124"/>
      <c r="E161" s="124"/>
      <c r="F161" s="124"/>
      <c r="G161" s="124"/>
      <c r="H161" s="124"/>
      <c r="I161" s="84">
        <f>0.54*C161</f>
        <v>0</v>
      </c>
      <c r="J161" s="130"/>
      <c r="K161" s="130"/>
      <c r="L161" s="130"/>
      <c r="M161" s="130"/>
      <c r="N161" s="130"/>
      <c r="O161" s="155">
        <v>2062.9650000000001</v>
      </c>
      <c r="P161" s="155">
        <v>2063.9850000000001</v>
      </c>
      <c r="Q161" s="86"/>
      <c r="R161" s="181"/>
      <c r="S161" s="156">
        <v>30</v>
      </c>
      <c r="T161" s="84">
        <f>(P161-O161)*S161</f>
        <v>30.599999999999454</v>
      </c>
      <c r="U161" s="88">
        <v>9845</v>
      </c>
      <c r="V161" s="89" t="s">
        <v>204</v>
      </c>
      <c r="W161" s="14" t="s">
        <v>116</v>
      </c>
      <c r="X161" s="7"/>
      <c r="Y161" s="7"/>
      <c r="Z161" s="7"/>
      <c r="AA161" s="7"/>
      <c r="AB161" s="7"/>
      <c r="AC161" s="7"/>
    </row>
    <row r="162" spans="1:29" ht="26.25">
      <c r="A162" s="19"/>
      <c r="B162" s="387" t="s">
        <v>205</v>
      </c>
      <c r="C162" s="498">
        <f>F162+G162</f>
        <v>357.39480000000094</v>
      </c>
      <c r="D162" s="84">
        <f>H162+E162</f>
        <v>5463.0348000000149</v>
      </c>
      <c r="E162" s="84">
        <f>F162+G162</f>
        <v>357.39480000000094</v>
      </c>
      <c r="F162" s="84">
        <f>0.04*H162</f>
        <v>204.22560000000055</v>
      </c>
      <c r="G162" s="84">
        <f>0.03*H162</f>
        <v>153.16920000000042</v>
      </c>
      <c r="H162" s="84">
        <f>T162</f>
        <v>5105.640000000014</v>
      </c>
      <c r="I162" s="84">
        <f>(X518-W518)*40</f>
        <v>856.400000000001</v>
      </c>
      <c r="J162" s="130"/>
      <c r="K162" s="130"/>
      <c r="L162" s="130"/>
      <c r="M162" s="130"/>
      <c r="N162" s="130"/>
      <c r="O162" s="155">
        <v>8334.3649999999998</v>
      </c>
      <c r="P162" s="155">
        <v>8547.1</v>
      </c>
      <c r="Q162" s="389"/>
      <c r="R162" s="390"/>
      <c r="S162" s="156">
        <v>24</v>
      </c>
      <c r="T162" s="84">
        <f>(P162-O162)*S162</f>
        <v>5105.640000000014</v>
      </c>
      <c r="U162" s="88">
        <v>5667</v>
      </c>
      <c r="V162" s="89" t="s">
        <v>206</v>
      </c>
      <c r="W162" s="14" t="s">
        <v>116</v>
      </c>
      <c r="X162" s="7"/>
      <c r="Y162" s="7"/>
      <c r="Z162" s="7"/>
      <c r="AA162" s="7"/>
      <c r="AB162" s="7"/>
      <c r="AC162" s="7"/>
    </row>
    <row r="163" spans="1:29" ht="26.25">
      <c r="A163" s="19"/>
      <c r="B163" s="96" t="s">
        <v>207</v>
      </c>
      <c r="C163" s="192">
        <f>SUM(C134:C162)</f>
        <v>14417.432550000005</v>
      </c>
      <c r="D163" s="124">
        <f>SUM(D138:D162)</f>
        <v>488221.25980000029</v>
      </c>
      <c r="E163" s="115"/>
      <c r="F163" s="115"/>
      <c r="G163" s="115"/>
      <c r="H163" s="115"/>
      <c r="I163" s="115"/>
      <c r="J163" s="164"/>
      <c r="K163" s="164"/>
      <c r="L163" s="164"/>
      <c r="M163" s="164"/>
      <c r="N163" s="164"/>
      <c r="O163" s="91"/>
      <c r="P163" s="91"/>
      <c r="Q163" s="7"/>
      <c r="R163" s="94"/>
      <c r="S163" s="91"/>
      <c r="T163" s="91"/>
      <c r="U163" s="95"/>
      <c r="V163" s="538"/>
      <c r="W163" s="14"/>
      <c r="X163" s="7"/>
      <c r="Y163" s="7"/>
      <c r="Z163" s="7"/>
      <c r="AA163" s="7"/>
      <c r="AB163" s="7"/>
      <c r="AC163" s="7"/>
    </row>
    <row r="164" spans="1:29" ht="56.25" customHeight="1">
      <c r="A164" s="19"/>
      <c r="B164" s="499"/>
      <c r="C164" s="500"/>
      <c r="D164" s="501"/>
      <c r="E164" s="502"/>
      <c r="F164" s="500"/>
      <c r="G164" s="500"/>
      <c r="H164" s="500"/>
      <c r="I164" s="500"/>
      <c r="J164" s="503"/>
      <c r="K164" s="503"/>
      <c r="L164" s="503"/>
      <c r="M164" s="503"/>
      <c r="N164" s="503"/>
      <c r="O164" s="500"/>
      <c r="P164" s="500"/>
      <c r="Q164" s="504"/>
      <c r="R164" s="505"/>
      <c r="S164" s="500"/>
      <c r="T164" s="500"/>
      <c r="U164" s="506"/>
      <c r="V164" s="507"/>
      <c r="W164" s="14"/>
      <c r="X164" s="7"/>
      <c r="Y164" s="7"/>
      <c r="Z164" s="7"/>
      <c r="AA164" s="7"/>
      <c r="AB164" s="7"/>
      <c r="AC164" s="7"/>
    </row>
    <row r="165" spans="1:29" ht="26.25">
      <c r="A165" s="19"/>
      <c r="B165" s="193" t="s">
        <v>208</v>
      </c>
      <c r="C165" s="91"/>
      <c r="D165" s="115"/>
      <c r="E165" s="115"/>
      <c r="F165" s="91"/>
      <c r="G165" s="91"/>
      <c r="H165" s="91"/>
      <c r="I165" s="91"/>
      <c r="J165" s="164"/>
      <c r="K165" s="164"/>
      <c r="L165" s="164"/>
      <c r="M165" s="164"/>
      <c r="N165" s="164"/>
      <c r="O165" s="91"/>
      <c r="P165" s="91"/>
      <c r="Q165" s="7"/>
      <c r="R165" s="94"/>
      <c r="S165" s="91"/>
      <c r="T165" s="91"/>
      <c r="U165" s="95"/>
      <c r="V165" s="538"/>
      <c r="W165" s="14"/>
      <c r="X165" s="7"/>
      <c r="Y165" s="7"/>
      <c r="Z165" s="7"/>
      <c r="AA165" s="7"/>
      <c r="AB165" s="7"/>
      <c r="AC165" s="7"/>
    </row>
    <row r="166" spans="1:29" ht="25.5">
      <c r="A166" s="19"/>
      <c r="B166" s="129" t="s">
        <v>209</v>
      </c>
      <c r="C166" s="84">
        <f t="shared" ref="C166:C176" si="22">H166+E166</f>
        <v>1432.73</v>
      </c>
      <c r="D166" s="84"/>
      <c r="E166" s="84">
        <f t="shared" ref="E166:E174" si="23">F166+G166</f>
        <v>93.73</v>
      </c>
      <c r="F166" s="84">
        <f t="shared" ref="F166:F174" si="24">0.04*H166</f>
        <v>53.56</v>
      </c>
      <c r="G166" s="84">
        <f t="shared" ref="G166:G174" si="25">0.03*H166</f>
        <v>40.17</v>
      </c>
      <c r="H166" s="84">
        <f>T166</f>
        <v>1339</v>
      </c>
      <c r="I166" s="84">
        <f t="shared" ref="I166:I173" si="26">0.6*C166</f>
        <v>859.63800000000003</v>
      </c>
      <c r="J166" s="130"/>
      <c r="K166" s="130"/>
      <c r="L166" s="130"/>
      <c r="M166" s="130"/>
      <c r="N166" s="130"/>
      <c r="O166" s="84">
        <v>22823</v>
      </c>
      <c r="P166" s="84">
        <v>24162</v>
      </c>
      <c r="Q166" s="86"/>
      <c r="R166" s="87"/>
      <c r="S166" s="84">
        <v>1</v>
      </c>
      <c r="T166" s="84">
        <f t="shared" ref="T166:T230" si="27">(P166-O166)*S166</f>
        <v>1339</v>
      </c>
      <c r="U166" s="88">
        <v>179316</v>
      </c>
      <c r="V166" s="89" t="s">
        <v>210</v>
      </c>
      <c r="W166" s="14" t="s">
        <v>82</v>
      </c>
      <c r="X166" s="7"/>
      <c r="Y166" s="7"/>
      <c r="Z166" s="7"/>
      <c r="AA166" s="7"/>
      <c r="AB166" s="7"/>
      <c r="AC166" s="7"/>
    </row>
    <row r="167" spans="1:29" ht="25.5">
      <c r="A167" s="19"/>
      <c r="B167" s="83" t="s">
        <v>211</v>
      </c>
      <c r="C167" s="84">
        <f t="shared" si="22"/>
        <v>131.61000000000001</v>
      </c>
      <c r="D167" s="84"/>
      <c r="E167" s="84">
        <f t="shared" si="23"/>
        <v>8.61</v>
      </c>
      <c r="F167" s="84">
        <f t="shared" si="24"/>
        <v>4.92</v>
      </c>
      <c r="G167" s="84">
        <f t="shared" si="25"/>
        <v>3.69</v>
      </c>
      <c r="H167" s="84">
        <f t="shared" ref="H167:H174" si="28">T167</f>
        <v>123</v>
      </c>
      <c r="I167" s="84">
        <f t="shared" si="26"/>
        <v>78.966000000000008</v>
      </c>
      <c r="J167" s="130"/>
      <c r="K167" s="130"/>
      <c r="L167" s="130"/>
      <c r="M167" s="130"/>
      <c r="N167" s="130"/>
      <c r="O167" s="84">
        <v>70388</v>
      </c>
      <c r="P167" s="84">
        <v>70511</v>
      </c>
      <c r="Q167" s="389"/>
      <c r="R167" s="390"/>
      <c r="S167" s="156">
        <v>1</v>
      </c>
      <c r="T167" s="84">
        <f>(P167-O167)*S167</f>
        <v>123</v>
      </c>
      <c r="U167" s="88"/>
      <c r="V167" s="89" t="s">
        <v>807</v>
      </c>
      <c r="W167" s="14" t="s">
        <v>212</v>
      </c>
      <c r="X167" s="7"/>
      <c r="Y167" s="7"/>
      <c r="Z167" s="7"/>
      <c r="AA167" s="7"/>
      <c r="AB167" s="7"/>
      <c r="AC167" s="7"/>
    </row>
    <row r="168" spans="1:29" ht="25.5">
      <c r="A168" s="19"/>
      <c r="B168" s="83" t="s">
        <v>213</v>
      </c>
      <c r="C168" s="84">
        <f t="shared" si="22"/>
        <v>230.05</v>
      </c>
      <c r="D168" s="84"/>
      <c r="E168" s="84">
        <f t="shared" si="23"/>
        <v>15.05</v>
      </c>
      <c r="F168" s="84">
        <f t="shared" si="24"/>
        <v>8.6</v>
      </c>
      <c r="G168" s="84">
        <f t="shared" si="25"/>
        <v>6.45</v>
      </c>
      <c r="H168" s="84">
        <f t="shared" si="28"/>
        <v>215</v>
      </c>
      <c r="I168" s="84">
        <f t="shared" si="26"/>
        <v>138.03</v>
      </c>
      <c r="J168" s="130"/>
      <c r="K168" s="130"/>
      <c r="L168" s="130"/>
      <c r="M168" s="130"/>
      <c r="N168" s="130"/>
      <c r="O168" s="84">
        <v>9489</v>
      </c>
      <c r="P168" s="84">
        <v>9704</v>
      </c>
      <c r="Q168" s="130" t="s">
        <v>33</v>
      </c>
      <c r="R168" s="385"/>
      <c r="S168" s="156">
        <v>1</v>
      </c>
      <c r="T168" s="84">
        <f t="shared" si="27"/>
        <v>215</v>
      </c>
      <c r="U168" s="88"/>
      <c r="V168" s="89" t="s">
        <v>214</v>
      </c>
      <c r="W168" s="14" t="s">
        <v>212</v>
      </c>
      <c r="X168" s="7"/>
      <c r="Y168" s="7"/>
      <c r="Z168" s="7"/>
      <c r="AA168" s="7"/>
      <c r="AB168" s="7"/>
      <c r="AC168" s="7"/>
    </row>
    <row r="169" spans="1:29" ht="25.5">
      <c r="A169" s="19"/>
      <c r="B169" s="83" t="s">
        <v>215</v>
      </c>
      <c r="C169" s="404">
        <f t="shared" si="22"/>
        <v>958.72</v>
      </c>
      <c r="D169" s="404"/>
      <c r="E169" s="404">
        <f t="shared" si="23"/>
        <v>62.72</v>
      </c>
      <c r="F169" s="404">
        <f t="shared" si="24"/>
        <v>35.840000000000003</v>
      </c>
      <c r="G169" s="404">
        <f t="shared" si="25"/>
        <v>26.88</v>
      </c>
      <c r="H169" s="404">
        <f t="shared" si="28"/>
        <v>896</v>
      </c>
      <c r="I169" s="404">
        <f t="shared" si="26"/>
        <v>575.23199999999997</v>
      </c>
      <c r="J169" s="405"/>
      <c r="K169" s="405"/>
      <c r="L169" s="405"/>
      <c r="M169" s="405"/>
      <c r="N169" s="405"/>
      <c r="O169" s="404">
        <v>21553</v>
      </c>
      <c r="P169" s="404">
        <v>22449</v>
      </c>
      <c r="Q169" s="405" t="s">
        <v>33</v>
      </c>
      <c r="R169" s="394"/>
      <c r="S169" s="406">
        <v>1</v>
      </c>
      <c r="T169" s="404">
        <f t="shared" si="27"/>
        <v>896</v>
      </c>
      <c r="U169" s="88">
        <v>6648</v>
      </c>
      <c r="V169" s="89" t="s">
        <v>216</v>
      </c>
      <c r="W169" s="14" t="s">
        <v>48</v>
      </c>
      <c r="X169" s="7"/>
      <c r="Y169" s="7"/>
      <c r="Z169" s="7"/>
      <c r="AA169" s="7"/>
      <c r="AB169" s="7"/>
      <c r="AC169" s="7"/>
    </row>
    <row r="170" spans="1:29" ht="25.5">
      <c r="A170" s="19"/>
      <c r="B170" s="83" t="s">
        <v>217</v>
      </c>
      <c r="C170" s="84">
        <f t="shared" si="22"/>
        <v>3386.55</v>
      </c>
      <c r="D170" s="84"/>
      <c r="E170" s="84">
        <f t="shared" si="23"/>
        <v>221.55</v>
      </c>
      <c r="F170" s="84">
        <f t="shared" si="24"/>
        <v>126.60000000000001</v>
      </c>
      <c r="G170" s="84">
        <f t="shared" si="25"/>
        <v>94.95</v>
      </c>
      <c r="H170" s="84">
        <f t="shared" si="28"/>
        <v>3165</v>
      </c>
      <c r="I170" s="84">
        <f t="shared" si="26"/>
        <v>2031.93</v>
      </c>
      <c r="J170" s="130"/>
      <c r="K170" s="130"/>
      <c r="L170" s="130"/>
      <c r="M170" s="130"/>
      <c r="N170" s="130"/>
      <c r="O170" s="84">
        <v>75920</v>
      </c>
      <c r="P170" s="84">
        <v>79085</v>
      </c>
      <c r="Q170" s="86"/>
      <c r="R170" s="87"/>
      <c r="S170" s="156">
        <v>1</v>
      </c>
      <c r="T170" s="84">
        <f t="shared" si="27"/>
        <v>3165</v>
      </c>
      <c r="U170" s="88"/>
      <c r="V170" s="89" t="s">
        <v>218</v>
      </c>
      <c r="W170" s="14" t="s">
        <v>212</v>
      </c>
      <c r="X170" s="7"/>
      <c r="Y170" s="7"/>
      <c r="Z170" s="7"/>
      <c r="AA170" s="7"/>
      <c r="AB170" s="7"/>
      <c r="AC170" s="7"/>
    </row>
    <row r="171" spans="1:29" ht="25.5">
      <c r="A171" s="19"/>
      <c r="B171" s="83" t="s">
        <v>219</v>
      </c>
      <c r="C171" s="84">
        <f t="shared" si="22"/>
        <v>8212.25</v>
      </c>
      <c r="D171" s="84"/>
      <c r="E171" s="84">
        <f t="shared" si="23"/>
        <v>537.25</v>
      </c>
      <c r="F171" s="84">
        <f t="shared" si="24"/>
        <v>307</v>
      </c>
      <c r="G171" s="84">
        <f t="shared" si="25"/>
        <v>230.25</v>
      </c>
      <c r="H171" s="84">
        <f t="shared" si="28"/>
        <v>7675</v>
      </c>
      <c r="I171" s="84">
        <f t="shared" si="26"/>
        <v>4927.3499999999995</v>
      </c>
      <c r="J171" s="130"/>
      <c r="K171" s="130"/>
      <c r="L171" s="130"/>
      <c r="M171" s="130"/>
      <c r="N171" s="130"/>
      <c r="O171" s="84">
        <v>188555</v>
      </c>
      <c r="P171" s="84">
        <v>196230</v>
      </c>
      <c r="Q171" s="130"/>
      <c r="R171" s="385"/>
      <c r="S171" s="156">
        <v>1</v>
      </c>
      <c r="T171" s="84">
        <f t="shared" si="27"/>
        <v>7675</v>
      </c>
      <c r="U171" s="88"/>
      <c r="V171" s="89" t="s">
        <v>220</v>
      </c>
      <c r="W171" s="14" t="s">
        <v>212</v>
      </c>
      <c r="X171" s="7"/>
      <c r="Y171" s="7"/>
      <c r="Z171" s="7"/>
      <c r="AA171" s="7"/>
      <c r="AB171" s="7"/>
      <c r="AC171" s="7"/>
    </row>
    <row r="172" spans="1:29" s="195" customFormat="1" ht="25.5">
      <c r="A172" s="194"/>
      <c r="B172" s="83" t="s">
        <v>221</v>
      </c>
      <c r="C172" s="84">
        <f t="shared" si="22"/>
        <v>1154.53</v>
      </c>
      <c r="D172" s="84"/>
      <c r="E172" s="84">
        <f t="shared" si="23"/>
        <v>75.53</v>
      </c>
      <c r="F172" s="84">
        <f t="shared" si="24"/>
        <v>43.160000000000004</v>
      </c>
      <c r="G172" s="84">
        <f t="shared" si="25"/>
        <v>32.369999999999997</v>
      </c>
      <c r="H172" s="84">
        <f t="shared" si="28"/>
        <v>1079</v>
      </c>
      <c r="I172" s="84">
        <f t="shared" si="26"/>
        <v>692.71799999999996</v>
      </c>
      <c r="J172" s="183"/>
      <c r="K172" s="183"/>
      <c r="L172" s="183"/>
      <c r="M172" s="183"/>
      <c r="N172" s="183"/>
      <c r="O172" s="84">
        <v>30920</v>
      </c>
      <c r="P172" s="84">
        <v>31999</v>
      </c>
      <c r="Q172" s="86"/>
      <c r="R172" s="385"/>
      <c r="S172" s="156">
        <v>1</v>
      </c>
      <c r="T172" s="84">
        <f t="shared" si="27"/>
        <v>1079</v>
      </c>
      <c r="U172" s="88"/>
      <c r="V172" s="89" t="s">
        <v>222</v>
      </c>
      <c r="W172" s="14" t="s">
        <v>212</v>
      </c>
      <c r="X172" s="86"/>
      <c r="Y172" s="86"/>
      <c r="Z172" s="86"/>
      <c r="AA172" s="86"/>
      <c r="AB172" s="86"/>
      <c r="AC172" s="86"/>
    </row>
    <row r="173" spans="1:29" ht="25.5">
      <c r="A173" s="19"/>
      <c r="B173" s="129"/>
      <c r="C173" s="84">
        <f t="shared" si="22"/>
        <v>294.25</v>
      </c>
      <c r="D173" s="84"/>
      <c r="E173" s="84">
        <f t="shared" si="23"/>
        <v>19.25</v>
      </c>
      <c r="F173" s="84">
        <f t="shared" si="24"/>
        <v>11</v>
      </c>
      <c r="G173" s="84">
        <f t="shared" si="25"/>
        <v>8.25</v>
      </c>
      <c r="H173" s="84">
        <f t="shared" si="28"/>
        <v>275</v>
      </c>
      <c r="I173" s="84">
        <f t="shared" si="26"/>
        <v>176.54999999999998</v>
      </c>
      <c r="J173" s="130"/>
      <c r="K173" s="130"/>
      <c r="L173" s="130"/>
      <c r="M173" s="130"/>
      <c r="N173" s="130"/>
      <c r="O173" s="84">
        <v>25825</v>
      </c>
      <c r="P173" s="84">
        <v>26100</v>
      </c>
      <c r="Q173" s="86"/>
      <c r="R173" s="87"/>
      <c r="S173" s="156">
        <v>1</v>
      </c>
      <c r="T173" s="84">
        <f t="shared" si="27"/>
        <v>275</v>
      </c>
      <c r="U173" s="88">
        <v>8383</v>
      </c>
      <c r="V173" s="89" t="s">
        <v>223</v>
      </c>
      <c r="W173" s="14" t="s">
        <v>212</v>
      </c>
      <c r="X173" s="7"/>
      <c r="Y173" s="7"/>
      <c r="Z173" s="7"/>
      <c r="AA173" s="7"/>
      <c r="AB173" s="7"/>
      <c r="AC173" s="7"/>
    </row>
    <row r="174" spans="1:29" ht="40.5" customHeight="1">
      <c r="A174" s="19"/>
      <c r="B174" s="387" t="s">
        <v>224</v>
      </c>
      <c r="C174" s="154">
        <f t="shared" si="22"/>
        <v>27739.364799999767</v>
      </c>
      <c r="D174" s="154"/>
      <c r="E174" s="154">
        <f t="shared" si="23"/>
        <v>1814.7247999999847</v>
      </c>
      <c r="F174" s="154">
        <f t="shared" si="24"/>
        <v>1036.9855999999913</v>
      </c>
      <c r="G174" s="154">
        <f t="shared" si="25"/>
        <v>777.73919999999339</v>
      </c>
      <c r="H174" s="154">
        <f t="shared" si="28"/>
        <v>25924.639999999781</v>
      </c>
      <c r="I174" s="154">
        <f>T175+250+750</f>
        <v>1000</v>
      </c>
      <c r="J174" s="183"/>
      <c r="K174" s="183"/>
      <c r="L174" s="183"/>
      <c r="M174" s="183"/>
      <c r="N174" s="183"/>
      <c r="O174" s="407">
        <v>63056.764000000003</v>
      </c>
      <c r="P174" s="407">
        <v>63704.88</v>
      </c>
      <c r="Q174" s="389"/>
      <c r="R174" s="390"/>
      <c r="S174" s="154">
        <v>40</v>
      </c>
      <c r="T174" s="84">
        <f t="shared" si="27"/>
        <v>25924.639999999781</v>
      </c>
      <c r="U174" s="88">
        <v>2835</v>
      </c>
      <c r="V174" s="89" t="s">
        <v>225</v>
      </c>
      <c r="W174" s="14" t="s">
        <v>48</v>
      </c>
      <c r="X174" s="7"/>
      <c r="Y174" s="7"/>
      <c r="Z174" s="7"/>
      <c r="AA174" s="7"/>
      <c r="AB174" s="7"/>
      <c r="AC174" s="7"/>
    </row>
    <row r="175" spans="1:29" ht="25.5">
      <c r="A175" s="19"/>
      <c r="B175" s="508"/>
      <c r="C175" s="509"/>
      <c r="D175" s="509"/>
      <c r="E175" s="509"/>
      <c r="F175" s="509"/>
      <c r="G175" s="509"/>
      <c r="H175" s="509"/>
      <c r="I175" s="509"/>
      <c r="J175" s="126"/>
      <c r="K175" s="126"/>
      <c r="L175" s="126"/>
      <c r="M175" s="126"/>
      <c r="N175" s="126"/>
      <c r="O175" s="510"/>
      <c r="P175" s="510"/>
      <c r="Q175" s="7"/>
      <c r="R175" s="511"/>
      <c r="S175" s="509"/>
      <c r="T175" s="509"/>
      <c r="U175" s="127"/>
      <c r="V175" s="128"/>
      <c r="W175" s="14"/>
      <c r="X175" s="7"/>
      <c r="Y175" s="7"/>
      <c r="Z175" s="7"/>
      <c r="AA175" s="7"/>
      <c r="AB175" s="7"/>
      <c r="AC175" s="7"/>
    </row>
    <row r="176" spans="1:29" ht="25.5">
      <c r="A176" s="19"/>
      <c r="B176" s="800" t="s">
        <v>226</v>
      </c>
      <c r="C176" s="84">
        <f t="shared" si="22"/>
        <v>861.35</v>
      </c>
      <c r="D176" s="84"/>
      <c r="E176" s="84">
        <f>F176+G176</f>
        <v>56.35</v>
      </c>
      <c r="F176" s="84">
        <f>0.04*H176</f>
        <v>32.200000000000003</v>
      </c>
      <c r="G176" s="84">
        <f>0.03*H176</f>
        <v>24.15</v>
      </c>
      <c r="H176" s="84">
        <f t="shared" ref="H176:H182" si="29">T176</f>
        <v>805</v>
      </c>
      <c r="I176" s="84">
        <f>0.6*C176</f>
        <v>516.80999999999995</v>
      </c>
      <c r="J176" s="130"/>
      <c r="K176" s="130"/>
      <c r="L176" s="130"/>
      <c r="M176" s="130"/>
      <c r="N176" s="130"/>
      <c r="O176" s="84">
        <v>29962</v>
      </c>
      <c r="P176" s="84">
        <v>30767</v>
      </c>
      <c r="Q176" s="86"/>
      <c r="R176" s="87"/>
      <c r="S176" s="156">
        <v>1</v>
      </c>
      <c r="T176" s="84">
        <f t="shared" si="27"/>
        <v>805</v>
      </c>
      <c r="U176" s="408"/>
      <c r="V176" s="542" t="s">
        <v>227</v>
      </c>
      <c r="W176" s="14" t="s">
        <v>212</v>
      </c>
      <c r="X176" s="7"/>
      <c r="Y176" s="7"/>
      <c r="Z176" s="7"/>
      <c r="AA176" s="7"/>
      <c r="AB176" s="7"/>
      <c r="AC176" s="7"/>
    </row>
    <row r="177" spans="1:29" ht="25.5">
      <c r="A177" s="19"/>
      <c r="B177" s="801"/>
      <c r="C177" s="382">
        <f>H177+E177</f>
        <v>19317.780000000093</v>
      </c>
      <c r="D177" s="382"/>
      <c r="E177" s="382">
        <f>F177+G177</f>
        <v>1263.7800000000061</v>
      </c>
      <c r="F177" s="382">
        <f>0.04*H177</f>
        <v>722.16000000000349</v>
      </c>
      <c r="G177" s="382">
        <f>0.03*H177</f>
        <v>541.62000000000262</v>
      </c>
      <c r="H177" s="382">
        <f t="shared" si="29"/>
        <v>18054.000000000087</v>
      </c>
      <c r="I177" s="409">
        <f>0.6*C177</f>
        <v>11590.668000000056</v>
      </c>
      <c r="J177" s="29"/>
      <c r="K177" s="29"/>
      <c r="L177" s="29"/>
      <c r="M177" s="29"/>
      <c r="N177" s="29"/>
      <c r="O177" s="410">
        <v>36631</v>
      </c>
      <c r="P177" s="410">
        <v>36931.9</v>
      </c>
      <c r="Q177" s="29" t="s">
        <v>33</v>
      </c>
      <c r="R177" s="411"/>
      <c r="S177" s="412">
        <v>60</v>
      </c>
      <c r="T177" s="382">
        <f t="shared" si="27"/>
        <v>18054.000000000087</v>
      </c>
      <c r="U177" s="31">
        <v>4093</v>
      </c>
      <c r="V177" s="542" t="s">
        <v>228</v>
      </c>
      <c r="W177" s="14" t="s">
        <v>212</v>
      </c>
      <c r="X177" s="7"/>
      <c r="Y177" s="7"/>
      <c r="Z177" s="7"/>
      <c r="AA177" s="7"/>
      <c r="AB177" s="7"/>
      <c r="AC177" s="7"/>
    </row>
    <row r="178" spans="1:29" ht="25.5">
      <c r="A178" s="19"/>
      <c r="B178" s="413" t="s">
        <v>229</v>
      </c>
      <c r="C178" s="414">
        <f>H178+E178</f>
        <v>4381.6499999999996</v>
      </c>
      <c r="D178" s="414"/>
      <c r="E178" s="414">
        <f>G178+F178</f>
        <v>286.64999999999998</v>
      </c>
      <c r="F178" s="414">
        <f>0.04*H178</f>
        <v>163.80000000000001</v>
      </c>
      <c r="G178" s="414">
        <f>0.03*H178</f>
        <v>122.85</v>
      </c>
      <c r="H178" s="414">
        <f t="shared" si="29"/>
        <v>4095</v>
      </c>
      <c r="I178" s="414">
        <f>0.6*C178</f>
        <v>2628.99</v>
      </c>
      <c r="J178" s="415"/>
      <c r="K178" s="415"/>
      <c r="L178" s="415"/>
      <c r="M178" s="415"/>
      <c r="N178" s="415"/>
      <c r="O178" s="414">
        <v>88093</v>
      </c>
      <c r="P178" s="414">
        <v>92188</v>
      </c>
      <c r="Q178" s="416"/>
      <c r="R178" s="417"/>
      <c r="S178" s="418">
        <v>1</v>
      </c>
      <c r="T178" s="414">
        <f t="shared" si="27"/>
        <v>4095</v>
      </c>
      <c r="U178" s="31">
        <v>7368</v>
      </c>
      <c r="V178" s="542" t="s">
        <v>230</v>
      </c>
      <c r="W178" s="14" t="s">
        <v>212</v>
      </c>
      <c r="X178" s="7"/>
      <c r="Y178" s="7"/>
      <c r="Z178" s="7"/>
      <c r="AA178" s="7"/>
      <c r="AB178" s="7"/>
      <c r="AC178" s="7"/>
    </row>
    <row r="179" spans="1:29" s="195" customFormat="1" ht="25.5">
      <c r="A179" s="194"/>
      <c r="B179" s="27" t="s">
        <v>768</v>
      </c>
      <c r="C179" s="28">
        <f t="shared" ref="C179:C230" si="30">H179+E179</f>
        <v>924.48</v>
      </c>
      <c r="D179" s="28"/>
      <c r="E179" s="28">
        <f>F179+G179</f>
        <v>60.480000000000004</v>
      </c>
      <c r="F179" s="28">
        <f t="shared" ref="F179:F230" si="31">0.04*H179</f>
        <v>34.56</v>
      </c>
      <c r="G179" s="28">
        <f t="shared" ref="G179:G230" si="32">0.03*H179</f>
        <v>25.919999999999998</v>
      </c>
      <c r="H179" s="28">
        <f t="shared" si="29"/>
        <v>864</v>
      </c>
      <c r="I179" s="28">
        <f t="shared" ref="I179:I197" si="33">0.6*C179</f>
        <v>554.68799999999999</v>
      </c>
      <c r="J179" s="29"/>
      <c r="K179" s="29"/>
      <c r="L179" s="29"/>
      <c r="M179" s="29"/>
      <c r="N179" s="29"/>
      <c r="O179" s="28">
        <v>6400</v>
      </c>
      <c r="P179" s="28">
        <v>7264</v>
      </c>
      <c r="Q179" s="30"/>
      <c r="R179" s="351"/>
      <c r="S179" s="54">
        <v>1</v>
      </c>
      <c r="T179" s="28">
        <f t="shared" si="27"/>
        <v>864</v>
      </c>
      <c r="U179" s="31">
        <v>4327</v>
      </c>
      <c r="V179" s="542" t="s">
        <v>686</v>
      </c>
      <c r="W179" s="191" t="s">
        <v>48</v>
      </c>
      <c r="X179" s="86"/>
      <c r="Y179" s="86"/>
      <c r="Z179" s="86"/>
      <c r="AA179" s="86"/>
      <c r="AB179" s="86"/>
      <c r="AC179" s="86"/>
    </row>
    <row r="180" spans="1:29" ht="34.5" customHeight="1">
      <c r="A180" s="19"/>
      <c r="B180" s="27" t="s">
        <v>714</v>
      </c>
      <c r="C180" s="28">
        <f t="shared" si="30"/>
        <v>915.92</v>
      </c>
      <c r="D180" s="28"/>
      <c r="E180" s="28">
        <f>F180+G180</f>
        <v>59.92</v>
      </c>
      <c r="F180" s="28">
        <f t="shared" si="31"/>
        <v>34.24</v>
      </c>
      <c r="G180" s="28">
        <f t="shared" si="32"/>
        <v>25.68</v>
      </c>
      <c r="H180" s="28">
        <f t="shared" si="29"/>
        <v>856</v>
      </c>
      <c r="I180" s="28">
        <f t="shared" si="33"/>
        <v>549.55199999999991</v>
      </c>
      <c r="J180" s="29"/>
      <c r="K180" s="29"/>
      <c r="L180" s="29"/>
      <c r="M180" s="29"/>
      <c r="N180" s="29"/>
      <c r="O180" s="28">
        <v>2603</v>
      </c>
      <c r="P180" s="28">
        <v>3459</v>
      </c>
      <c r="Q180" s="30"/>
      <c r="R180" s="351"/>
      <c r="S180" s="54">
        <v>1</v>
      </c>
      <c r="T180" s="28">
        <f t="shared" si="27"/>
        <v>856</v>
      </c>
      <c r="U180" s="31">
        <v>70373</v>
      </c>
      <c r="V180" s="542" t="s">
        <v>231</v>
      </c>
      <c r="W180" s="191" t="s">
        <v>48</v>
      </c>
      <c r="X180" s="7"/>
      <c r="Y180" s="7"/>
      <c r="Z180" s="7"/>
      <c r="AA180" s="7"/>
      <c r="AB180" s="7"/>
      <c r="AC180" s="7"/>
    </row>
    <row r="181" spans="1:29" s="198" customFormat="1" ht="33" customHeight="1">
      <c r="A181" s="196"/>
      <c r="B181" s="27" t="s">
        <v>715</v>
      </c>
      <c r="C181" s="28">
        <f t="shared" si="30"/>
        <v>1070</v>
      </c>
      <c r="D181" s="28"/>
      <c r="E181" s="28">
        <f>F181+G181</f>
        <v>70</v>
      </c>
      <c r="F181" s="28">
        <f t="shared" si="31"/>
        <v>40</v>
      </c>
      <c r="G181" s="28">
        <f t="shared" si="32"/>
        <v>30</v>
      </c>
      <c r="H181" s="28">
        <f t="shared" si="29"/>
        <v>1000</v>
      </c>
      <c r="I181" s="28">
        <f t="shared" si="33"/>
        <v>642</v>
      </c>
      <c r="J181" s="29"/>
      <c r="K181" s="29"/>
      <c r="L181" s="29"/>
      <c r="M181" s="29"/>
      <c r="N181" s="29"/>
      <c r="O181" s="28">
        <v>7506</v>
      </c>
      <c r="P181" s="28">
        <v>8506</v>
      </c>
      <c r="Q181" s="30"/>
      <c r="R181" s="351"/>
      <c r="S181" s="28">
        <v>1</v>
      </c>
      <c r="T181" s="28">
        <f t="shared" si="27"/>
        <v>1000</v>
      </c>
      <c r="U181" s="31">
        <v>99648</v>
      </c>
      <c r="V181" s="542" t="s">
        <v>232</v>
      </c>
      <c r="W181" s="191" t="s">
        <v>48</v>
      </c>
      <c r="X181" s="197"/>
      <c r="Y181" s="197"/>
      <c r="Z181" s="197"/>
      <c r="AA181" s="197"/>
      <c r="AB181" s="197"/>
      <c r="AC181" s="197"/>
    </row>
    <row r="182" spans="1:29" ht="26.25">
      <c r="A182" s="19"/>
      <c r="B182" s="27" t="s">
        <v>716</v>
      </c>
      <c r="C182" s="28">
        <f t="shared" si="30"/>
        <v>919.13</v>
      </c>
      <c r="D182" s="28"/>
      <c r="E182" s="28">
        <f>F182+G182</f>
        <v>60.129999999999995</v>
      </c>
      <c r="F182" s="28">
        <f t="shared" si="31"/>
        <v>34.36</v>
      </c>
      <c r="G182" s="28">
        <f t="shared" si="32"/>
        <v>25.77</v>
      </c>
      <c r="H182" s="28">
        <f t="shared" si="29"/>
        <v>859</v>
      </c>
      <c r="I182" s="28">
        <f t="shared" si="33"/>
        <v>551.47799999999995</v>
      </c>
      <c r="J182" s="29"/>
      <c r="K182" s="29"/>
      <c r="L182" s="29"/>
      <c r="M182" s="29"/>
      <c r="N182" s="29" t="s">
        <v>233</v>
      </c>
      <c r="O182" s="28">
        <v>33227</v>
      </c>
      <c r="P182" s="28">
        <v>34086</v>
      </c>
      <c r="Q182" s="146"/>
      <c r="R182" s="61"/>
      <c r="S182" s="28">
        <v>1</v>
      </c>
      <c r="T182" s="28">
        <f t="shared" si="27"/>
        <v>859</v>
      </c>
      <c r="U182" s="31">
        <v>98600</v>
      </c>
      <c r="V182" s="542" t="s">
        <v>234</v>
      </c>
      <c r="W182" s="191" t="s">
        <v>48</v>
      </c>
      <c r="X182" s="7"/>
      <c r="Y182" s="7"/>
      <c r="Z182" s="7"/>
      <c r="AA182" s="7"/>
      <c r="AB182" s="7"/>
      <c r="AC182" s="7"/>
    </row>
    <row r="183" spans="1:29" ht="51.75">
      <c r="A183" s="19"/>
      <c r="B183" s="27" t="s">
        <v>717</v>
      </c>
      <c r="C183" s="28">
        <f t="shared" si="30"/>
        <v>638.79</v>
      </c>
      <c r="D183" s="28"/>
      <c r="E183" s="28">
        <f>F183+G183</f>
        <v>41.79</v>
      </c>
      <c r="F183" s="28">
        <f t="shared" si="31"/>
        <v>23.88</v>
      </c>
      <c r="G183" s="28">
        <f t="shared" si="32"/>
        <v>17.91</v>
      </c>
      <c r="H183" s="28">
        <f>T183</f>
        <v>597</v>
      </c>
      <c r="I183" s="28">
        <f t="shared" si="33"/>
        <v>383.27399999999994</v>
      </c>
      <c r="J183" s="29"/>
      <c r="K183" s="29"/>
      <c r="L183" s="29"/>
      <c r="M183" s="29"/>
      <c r="N183" s="29" t="s">
        <v>235</v>
      </c>
      <c r="O183" s="28">
        <v>85669</v>
      </c>
      <c r="P183" s="28">
        <v>86266</v>
      </c>
      <c r="Q183" s="30"/>
      <c r="R183" s="351"/>
      <c r="S183" s="28">
        <v>1</v>
      </c>
      <c r="T183" s="28">
        <f t="shared" si="27"/>
        <v>597</v>
      </c>
      <c r="U183" s="31">
        <v>98517</v>
      </c>
      <c r="V183" s="542" t="s">
        <v>236</v>
      </c>
      <c r="W183" s="191" t="s">
        <v>48</v>
      </c>
      <c r="X183" s="7"/>
      <c r="Y183" s="7"/>
      <c r="Z183" s="7"/>
      <c r="AA183" s="7"/>
      <c r="AB183" s="7"/>
      <c r="AC183" s="7"/>
    </row>
    <row r="184" spans="1:29" ht="26.25">
      <c r="A184" s="19"/>
      <c r="B184" s="27" t="s">
        <v>718</v>
      </c>
      <c r="C184" s="28">
        <f t="shared" si="30"/>
        <v>1212.31</v>
      </c>
      <c r="D184" s="28"/>
      <c r="E184" s="28">
        <f>F184++G184</f>
        <v>79.31</v>
      </c>
      <c r="F184" s="28">
        <f t="shared" si="31"/>
        <v>45.32</v>
      </c>
      <c r="G184" s="28">
        <f t="shared" si="32"/>
        <v>33.99</v>
      </c>
      <c r="H184" s="28">
        <f t="shared" ref="H184:H199" si="34">T184</f>
        <v>1133</v>
      </c>
      <c r="I184" s="28">
        <f t="shared" si="33"/>
        <v>727.38599999999997</v>
      </c>
      <c r="J184" s="29"/>
      <c r="K184" s="29"/>
      <c r="L184" s="29"/>
      <c r="M184" s="29"/>
      <c r="N184" s="29" t="s">
        <v>237</v>
      </c>
      <c r="O184" s="28">
        <v>43966</v>
      </c>
      <c r="P184" s="28">
        <v>45099</v>
      </c>
      <c r="Q184" s="29" t="s">
        <v>33</v>
      </c>
      <c r="R184" s="348"/>
      <c r="S184" s="54">
        <v>1</v>
      </c>
      <c r="T184" s="28">
        <f t="shared" si="27"/>
        <v>1133</v>
      </c>
      <c r="U184" s="31">
        <v>98627</v>
      </c>
      <c r="V184" s="542" t="s">
        <v>238</v>
      </c>
      <c r="W184" s="191" t="s">
        <v>48</v>
      </c>
      <c r="X184" s="7"/>
      <c r="Y184" s="7"/>
      <c r="Z184" s="7"/>
      <c r="AA184" s="7"/>
      <c r="AB184" s="7"/>
      <c r="AC184" s="7"/>
    </row>
    <row r="185" spans="1:29" ht="26.25">
      <c r="A185" s="19"/>
      <c r="B185" s="367" t="s">
        <v>239</v>
      </c>
      <c r="C185" s="28">
        <f t="shared" si="30"/>
        <v>353.1</v>
      </c>
      <c r="D185" s="28"/>
      <c r="E185" s="28">
        <f>G185+F185</f>
        <v>23.1</v>
      </c>
      <c r="F185" s="28">
        <f t="shared" si="31"/>
        <v>13.200000000000001</v>
      </c>
      <c r="G185" s="28">
        <f t="shared" si="32"/>
        <v>9.9</v>
      </c>
      <c r="H185" s="28">
        <f t="shared" si="34"/>
        <v>330</v>
      </c>
      <c r="I185" s="28">
        <f t="shared" si="33"/>
        <v>211.86</v>
      </c>
      <c r="J185" s="29"/>
      <c r="K185" s="29"/>
      <c r="L185" s="29"/>
      <c r="M185" s="29"/>
      <c r="N185" s="29"/>
      <c r="O185" s="28">
        <v>73459</v>
      </c>
      <c r="P185" s="28">
        <v>73789</v>
      </c>
      <c r="Q185" s="146"/>
      <c r="R185" s="61"/>
      <c r="S185" s="54">
        <v>1</v>
      </c>
      <c r="T185" s="28">
        <f t="shared" si="27"/>
        <v>330</v>
      </c>
      <c r="U185" s="31">
        <v>98556</v>
      </c>
      <c r="V185" s="542" t="s">
        <v>240</v>
      </c>
      <c r="W185" s="191" t="s">
        <v>48</v>
      </c>
      <c r="X185" s="7"/>
      <c r="Y185" s="7"/>
      <c r="Z185" s="7"/>
      <c r="AA185" s="7"/>
      <c r="AB185" s="7"/>
      <c r="AC185" s="7"/>
    </row>
    <row r="186" spans="1:29" ht="26.25">
      <c r="A186" s="19"/>
      <c r="B186" s="27" t="s">
        <v>719</v>
      </c>
      <c r="C186" s="28">
        <f t="shared" si="30"/>
        <v>530.72</v>
      </c>
      <c r="D186" s="28"/>
      <c r="E186" s="28">
        <f t="shared" ref="E186:E193" si="35">F186+G186</f>
        <v>34.72</v>
      </c>
      <c r="F186" s="28">
        <f t="shared" si="31"/>
        <v>19.84</v>
      </c>
      <c r="G186" s="28">
        <f t="shared" si="32"/>
        <v>14.879999999999999</v>
      </c>
      <c r="H186" s="28">
        <f t="shared" si="34"/>
        <v>496</v>
      </c>
      <c r="I186" s="28">
        <f t="shared" si="33"/>
        <v>318.43200000000002</v>
      </c>
      <c r="J186" s="29"/>
      <c r="K186" s="29"/>
      <c r="L186" s="29"/>
      <c r="M186" s="29"/>
      <c r="N186" s="29"/>
      <c r="O186" s="28">
        <v>70624</v>
      </c>
      <c r="P186" s="28">
        <v>71120</v>
      </c>
      <c r="Q186" s="30"/>
      <c r="R186" s="351"/>
      <c r="S186" s="54">
        <v>1</v>
      </c>
      <c r="T186" s="28">
        <f t="shared" si="27"/>
        <v>496</v>
      </c>
      <c r="U186" s="31">
        <v>98503</v>
      </c>
      <c r="V186" s="542" t="s">
        <v>241</v>
      </c>
      <c r="W186" s="191" t="s">
        <v>48</v>
      </c>
      <c r="X186" s="7"/>
      <c r="Y186" s="7"/>
      <c r="Z186" s="7"/>
      <c r="AA186" s="7"/>
      <c r="AB186" s="7"/>
      <c r="AC186" s="7"/>
    </row>
    <row r="187" spans="1:29" ht="26.25" customHeight="1">
      <c r="A187" s="19"/>
      <c r="B187" s="802" t="s">
        <v>242</v>
      </c>
      <c r="C187" s="28">
        <f t="shared" si="30"/>
        <v>1032.55</v>
      </c>
      <c r="D187" s="28"/>
      <c r="E187" s="28">
        <f t="shared" si="35"/>
        <v>67.55</v>
      </c>
      <c r="F187" s="28">
        <f t="shared" si="31"/>
        <v>38.6</v>
      </c>
      <c r="G187" s="28">
        <f t="shared" si="32"/>
        <v>28.95</v>
      </c>
      <c r="H187" s="28">
        <f t="shared" si="34"/>
        <v>965</v>
      </c>
      <c r="I187" s="28">
        <f t="shared" si="33"/>
        <v>619.53</v>
      </c>
      <c r="J187" s="29"/>
      <c r="K187" s="29"/>
      <c r="L187" s="29"/>
      <c r="M187" s="29"/>
      <c r="N187" s="29"/>
      <c r="O187" s="28">
        <v>81513</v>
      </c>
      <c r="P187" s="28">
        <v>82478</v>
      </c>
      <c r="Q187" s="146"/>
      <c r="R187" s="61"/>
      <c r="S187" s="54">
        <v>1</v>
      </c>
      <c r="T187" s="28">
        <f t="shared" si="27"/>
        <v>965</v>
      </c>
      <c r="U187" s="31">
        <v>98630</v>
      </c>
      <c r="V187" s="542" t="s">
        <v>243</v>
      </c>
      <c r="W187" s="191" t="s">
        <v>48</v>
      </c>
      <c r="X187" s="7"/>
      <c r="Y187" s="7"/>
      <c r="Z187" s="7"/>
      <c r="AA187" s="7"/>
      <c r="AB187" s="7"/>
      <c r="AC187" s="7"/>
    </row>
    <row r="188" spans="1:29" ht="30" customHeight="1">
      <c r="A188" s="19"/>
      <c r="B188" s="803"/>
      <c r="C188" s="419">
        <f t="shared" si="30"/>
        <v>931.97</v>
      </c>
      <c r="D188" s="28"/>
      <c r="E188" s="28">
        <f t="shared" si="35"/>
        <v>60.97</v>
      </c>
      <c r="F188" s="28">
        <f t="shared" si="31"/>
        <v>34.840000000000003</v>
      </c>
      <c r="G188" s="28">
        <f t="shared" si="32"/>
        <v>26.13</v>
      </c>
      <c r="H188" s="28">
        <f t="shared" si="34"/>
        <v>871</v>
      </c>
      <c r="I188" s="28">
        <f t="shared" si="33"/>
        <v>559.18200000000002</v>
      </c>
      <c r="J188" s="29"/>
      <c r="K188" s="29"/>
      <c r="L188" s="29"/>
      <c r="M188" s="29"/>
      <c r="N188" s="29"/>
      <c r="O188" s="28">
        <v>74194</v>
      </c>
      <c r="P188" s="28">
        <v>75065</v>
      </c>
      <c r="Q188" s="30"/>
      <c r="R188" s="71"/>
      <c r="S188" s="54">
        <v>1</v>
      </c>
      <c r="T188" s="28">
        <f t="shared" si="27"/>
        <v>871</v>
      </c>
      <c r="U188" s="31">
        <v>8265</v>
      </c>
      <c r="V188" s="542" t="s">
        <v>244</v>
      </c>
      <c r="W188" s="191" t="s">
        <v>48</v>
      </c>
      <c r="X188" s="7"/>
      <c r="Y188" s="7"/>
      <c r="Z188" s="7"/>
      <c r="AA188" s="7"/>
      <c r="AB188" s="7"/>
      <c r="AC188" s="7"/>
    </row>
    <row r="189" spans="1:29" ht="25.5">
      <c r="A189" s="19"/>
      <c r="B189" s="27" t="s">
        <v>245</v>
      </c>
      <c r="C189" s="28">
        <f>H189+E189</f>
        <v>0</v>
      </c>
      <c r="D189" s="28"/>
      <c r="E189" s="28">
        <f>F189+G189</f>
        <v>0</v>
      </c>
      <c r="F189" s="28">
        <f>0.04*H189</f>
        <v>0</v>
      </c>
      <c r="G189" s="28">
        <f>0.03*H189</f>
        <v>0</v>
      </c>
      <c r="H189" s="28">
        <f>T189</f>
        <v>0</v>
      </c>
      <c r="I189" s="28">
        <f>0.6*C189</f>
        <v>0</v>
      </c>
      <c r="J189" s="29"/>
      <c r="K189" s="29"/>
      <c r="L189" s="29"/>
      <c r="M189" s="29"/>
      <c r="N189" s="29"/>
      <c r="O189" s="28">
        <v>19403</v>
      </c>
      <c r="P189" s="28">
        <v>19403</v>
      </c>
      <c r="Q189" s="30"/>
      <c r="R189" s="77"/>
      <c r="S189" s="28">
        <v>1</v>
      </c>
      <c r="T189" s="28">
        <f>(P189-O189)*S189</f>
        <v>0</v>
      </c>
      <c r="U189" s="31">
        <v>8726</v>
      </c>
      <c r="V189" s="542" t="s">
        <v>246</v>
      </c>
      <c r="W189" s="191" t="s">
        <v>48</v>
      </c>
      <c r="X189" s="7"/>
      <c r="Y189" s="7"/>
      <c r="Z189" s="7"/>
      <c r="AA189" s="7"/>
      <c r="AB189" s="7"/>
      <c r="AC189" s="7"/>
    </row>
    <row r="190" spans="1:29" ht="26.25">
      <c r="A190" s="19"/>
      <c r="B190" s="27" t="s">
        <v>720</v>
      </c>
      <c r="C190" s="28">
        <f t="shared" si="30"/>
        <v>2082.2199999999998</v>
      </c>
      <c r="D190" s="28"/>
      <c r="E190" s="28">
        <f t="shared" si="35"/>
        <v>136.22</v>
      </c>
      <c r="F190" s="28">
        <f t="shared" si="31"/>
        <v>77.84</v>
      </c>
      <c r="G190" s="28">
        <f t="shared" si="32"/>
        <v>58.379999999999995</v>
      </c>
      <c r="H190" s="28">
        <f t="shared" si="34"/>
        <v>1946</v>
      </c>
      <c r="I190" s="28">
        <f t="shared" si="33"/>
        <v>1249.3319999999999</v>
      </c>
      <c r="J190" s="29"/>
      <c r="K190" s="29"/>
      <c r="L190" s="29"/>
      <c r="M190" s="29"/>
      <c r="N190" s="29"/>
      <c r="O190" s="28">
        <v>129264</v>
      </c>
      <c r="P190" s="28">
        <v>131210</v>
      </c>
      <c r="Q190" s="30"/>
      <c r="R190" s="351"/>
      <c r="S190" s="28">
        <v>1</v>
      </c>
      <c r="T190" s="28">
        <f t="shared" si="27"/>
        <v>1946</v>
      </c>
      <c r="U190" s="31">
        <v>542003</v>
      </c>
      <c r="V190" s="542" t="s">
        <v>247</v>
      </c>
      <c r="W190" s="191" t="s">
        <v>48</v>
      </c>
      <c r="X190" s="7"/>
      <c r="Y190" s="7"/>
      <c r="Z190" s="7"/>
      <c r="AA190" s="7"/>
      <c r="AB190" s="7"/>
      <c r="AC190" s="7"/>
    </row>
    <row r="191" spans="1:29" ht="26.25">
      <c r="A191" s="19"/>
      <c r="B191" s="27" t="s">
        <v>721</v>
      </c>
      <c r="C191" s="28">
        <f t="shared" si="30"/>
        <v>523.23</v>
      </c>
      <c r="D191" s="28"/>
      <c r="E191" s="28">
        <f t="shared" si="35"/>
        <v>34.229999999999997</v>
      </c>
      <c r="F191" s="28">
        <f t="shared" si="31"/>
        <v>19.559999999999999</v>
      </c>
      <c r="G191" s="28">
        <f t="shared" si="32"/>
        <v>14.67</v>
      </c>
      <c r="H191" s="28">
        <f t="shared" si="34"/>
        <v>489</v>
      </c>
      <c r="I191" s="28">
        <f t="shared" si="33"/>
        <v>313.93799999999999</v>
      </c>
      <c r="J191" s="29"/>
      <c r="K191" s="29"/>
      <c r="L191" s="29"/>
      <c r="M191" s="29"/>
      <c r="N191" s="29" t="s">
        <v>248</v>
      </c>
      <c r="O191" s="28">
        <v>43156</v>
      </c>
      <c r="P191" s="28">
        <v>43645</v>
      </c>
      <c r="Q191" s="29" t="s">
        <v>37</v>
      </c>
      <c r="R191" s="348"/>
      <c r="S191" s="28">
        <v>1</v>
      </c>
      <c r="T191" s="28">
        <f t="shared" si="27"/>
        <v>489</v>
      </c>
      <c r="U191" s="31">
        <v>100986</v>
      </c>
      <c r="V191" s="542" t="s">
        <v>249</v>
      </c>
      <c r="W191" s="191" t="s">
        <v>48</v>
      </c>
      <c r="X191" s="7"/>
      <c r="Y191" s="7"/>
      <c r="Z191" s="7"/>
      <c r="AA191" s="7"/>
      <c r="AB191" s="7"/>
      <c r="AC191" s="7"/>
    </row>
    <row r="192" spans="1:29" ht="26.25">
      <c r="A192" s="19"/>
      <c r="B192" s="27" t="s">
        <v>722</v>
      </c>
      <c r="C192" s="28">
        <f t="shared" si="30"/>
        <v>707.27</v>
      </c>
      <c r="D192" s="28"/>
      <c r="E192" s="28">
        <f t="shared" si="35"/>
        <v>46.269999999999996</v>
      </c>
      <c r="F192" s="28">
        <f t="shared" si="31"/>
        <v>26.44</v>
      </c>
      <c r="G192" s="28">
        <f t="shared" si="32"/>
        <v>19.829999999999998</v>
      </c>
      <c r="H192" s="28">
        <f t="shared" si="34"/>
        <v>661</v>
      </c>
      <c r="I192" s="28">
        <f t="shared" si="33"/>
        <v>424.36199999999997</v>
      </c>
      <c r="J192" s="29"/>
      <c r="K192" s="29"/>
      <c r="L192" s="29"/>
      <c r="M192" s="29"/>
      <c r="N192" s="29"/>
      <c r="O192" s="28">
        <v>94940</v>
      </c>
      <c r="P192" s="28">
        <v>95601</v>
      </c>
      <c r="Q192" s="29" t="s">
        <v>28</v>
      </c>
      <c r="R192" s="348"/>
      <c r="S192" s="28">
        <v>1</v>
      </c>
      <c r="T192" s="28">
        <f t="shared" si="27"/>
        <v>661</v>
      </c>
      <c r="U192" s="31">
        <v>70386</v>
      </c>
      <c r="V192" s="542" t="s">
        <v>250</v>
      </c>
      <c r="W192" s="191" t="s">
        <v>48</v>
      </c>
      <c r="X192" s="7"/>
      <c r="Y192" s="7"/>
      <c r="Z192" s="7"/>
      <c r="AA192" s="7"/>
      <c r="AB192" s="7"/>
      <c r="AC192" s="7"/>
    </row>
    <row r="193" spans="1:29" ht="26.25">
      <c r="A193" s="19"/>
      <c r="B193" s="27" t="s">
        <v>723</v>
      </c>
      <c r="C193" s="28">
        <f t="shared" si="30"/>
        <v>627.02</v>
      </c>
      <c r="D193" s="28"/>
      <c r="E193" s="28">
        <f t="shared" si="35"/>
        <v>41.019999999999996</v>
      </c>
      <c r="F193" s="28">
        <f t="shared" si="31"/>
        <v>23.44</v>
      </c>
      <c r="G193" s="28">
        <f t="shared" si="32"/>
        <v>17.579999999999998</v>
      </c>
      <c r="H193" s="28">
        <f t="shared" si="34"/>
        <v>586</v>
      </c>
      <c r="I193" s="28">
        <f t="shared" si="33"/>
        <v>376.21199999999999</v>
      </c>
      <c r="J193" s="29"/>
      <c r="K193" s="29"/>
      <c r="L193" s="29"/>
      <c r="M193" s="29"/>
      <c r="N193" s="29"/>
      <c r="O193" s="28">
        <v>55116</v>
      </c>
      <c r="P193" s="28">
        <v>55702</v>
      </c>
      <c r="Q193" s="29" t="s">
        <v>37</v>
      </c>
      <c r="R193" s="348"/>
      <c r="S193" s="28">
        <v>1</v>
      </c>
      <c r="T193" s="28">
        <f t="shared" si="27"/>
        <v>586</v>
      </c>
      <c r="U193" s="31">
        <v>64591</v>
      </c>
      <c r="V193" s="542" t="s">
        <v>251</v>
      </c>
      <c r="W193" s="191" t="s">
        <v>48</v>
      </c>
      <c r="X193" s="7"/>
      <c r="Y193" s="7"/>
      <c r="Z193" s="7"/>
      <c r="AA193" s="7"/>
      <c r="AB193" s="7"/>
      <c r="AC193" s="7"/>
    </row>
    <row r="194" spans="1:29" ht="26.25">
      <c r="A194" s="19"/>
      <c r="B194" s="62" t="s">
        <v>724</v>
      </c>
      <c r="C194" s="28">
        <f t="shared" si="30"/>
        <v>2753.11</v>
      </c>
      <c r="D194" s="28"/>
      <c r="E194" s="28">
        <f>G194+F194</f>
        <v>180.11</v>
      </c>
      <c r="F194" s="28">
        <f t="shared" si="31"/>
        <v>102.92</v>
      </c>
      <c r="G194" s="28">
        <f t="shared" si="32"/>
        <v>77.19</v>
      </c>
      <c r="H194" s="28">
        <f t="shared" si="34"/>
        <v>2573</v>
      </c>
      <c r="I194" s="28">
        <f t="shared" si="33"/>
        <v>1651.866</v>
      </c>
      <c r="J194" s="29"/>
      <c r="K194" s="29"/>
      <c r="L194" s="29"/>
      <c r="M194" s="29"/>
      <c r="N194" s="29"/>
      <c r="O194" s="28">
        <v>32681</v>
      </c>
      <c r="P194" s="28">
        <v>35254</v>
      </c>
      <c r="Q194" s="146"/>
      <c r="R194" s="61"/>
      <c r="S194" s="54">
        <v>1</v>
      </c>
      <c r="T194" s="28">
        <f t="shared" si="27"/>
        <v>2573</v>
      </c>
      <c r="U194" s="31">
        <v>87125</v>
      </c>
      <c r="V194" s="542" t="s">
        <v>808</v>
      </c>
      <c r="W194" s="191" t="s">
        <v>48</v>
      </c>
      <c r="X194" s="7"/>
      <c r="Y194" s="7"/>
      <c r="Z194" s="7"/>
      <c r="AA194" s="7"/>
      <c r="AB194" s="7"/>
      <c r="AC194" s="7"/>
    </row>
    <row r="195" spans="1:29" ht="26.25">
      <c r="A195" s="19"/>
      <c r="B195" s="27" t="s">
        <v>725</v>
      </c>
      <c r="C195" s="28">
        <f t="shared" si="30"/>
        <v>1507.63</v>
      </c>
      <c r="D195" s="28"/>
      <c r="E195" s="28">
        <f>G195+F195</f>
        <v>98.63</v>
      </c>
      <c r="F195" s="28">
        <f t="shared" si="31"/>
        <v>56.36</v>
      </c>
      <c r="G195" s="28">
        <f t="shared" si="32"/>
        <v>42.269999999999996</v>
      </c>
      <c r="H195" s="28">
        <f t="shared" si="34"/>
        <v>1409</v>
      </c>
      <c r="I195" s="28">
        <f t="shared" si="33"/>
        <v>904.57800000000009</v>
      </c>
      <c r="J195" s="29"/>
      <c r="K195" s="29"/>
      <c r="L195" s="29"/>
      <c r="M195" s="29"/>
      <c r="N195" s="29"/>
      <c r="O195" s="28">
        <v>71840</v>
      </c>
      <c r="P195" s="28">
        <v>73249</v>
      </c>
      <c r="Q195" s="30"/>
      <c r="R195" s="71"/>
      <c r="S195" s="54">
        <v>1</v>
      </c>
      <c r="T195" s="28">
        <f t="shared" si="27"/>
        <v>1409</v>
      </c>
      <c r="U195" s="31">
        <v>87202</v>
      </c>
      <c r="V195" s="542" t="s">
        <v>777</v>
      </c>
      <c r="W195" s="191" t="s">
        <v>48</v>
      </c>
      <c r="X195" s="7"/>
      <c r="Y195" s="7"/>
      <c r="Z195" s="7"/>
      <c r="AA195" s="7"/>
      <c r="AB195" s="7"/>
      <c r="AC195" s="7"/>
    </row>
    <row r="196" spans="1:29" ht="26.25">
      <c r="A196" s="19"/>
      <c r="B196" s="27" t="s">
        <v>726</v>
      </c>
      <c r="C196" s="28">
        <f t="shared" si="30"/>
        <v>186.18</v>
      </c>
      <c r="D196" s="28"/>
      <c r="E196" s="28">
        <f>F196+G196</f>
        <v>12.18</v>
      </c>
      <c r="F196" s="28">
        <f t="shared" si="31"/>
        <v>6.96</v>
      </c>
      <c r="G196" s="28">
        <f t="shared" si="32"/>
        <v>5.22</v>
      </c>
      <c r="H196" s="28">
        <f t="shared" si="34"/>
        <v>174</v>
      </c>
      <c r="I196" s="28">
        <f t="shared" si="33"/>
        <v>111.708</v>
      </c>
      <c r="J196" s="29"/>
      <c r="K196" s="29"/>
      <c r="L196" s="29"/>
      <c r="M196" s="29"/>
      <c r="N196" s="29"/>
      <c r="O196" s="28">
        <v>32405</v>
      </c>
      <c r="P196" s="28">
        <v>32579</v>
      </c>
      <c r="Q196" s="30"/>
      <c r="R196" s="351"/>
      <c r="S196" s="54">
        <v>1</v>
      </c>
      <c r="T196" s="28">
        <f t="shared" si="27"/>
        <v>174</v>
      </c>
      <c r="U196" s="31">
        <v>99475</v>
      </c>
      <c r="V196" s="542" t="s">
        <v>252</v>
      </c>
      <c r="W196" s="191" t="s">
        <v>48</v>
      </c>
      <c r="X196" s="7"/>
      <c r="Y196" s="7"/>
      <c r="Z196" s="7"/>
      <c r="AA196" s="7"/>
      <c r="AB196" s="7"/>
      <c r="AC196" s="7"/>
    </row>
    <row r="197" spans="1:29" ht="26.25">
      <c r="A197" s="19"/>
      <c r="B197" s="27" t="s">
        <v>727</v>
      </c>
      <c r="C197" s="28">
        <f t="shared" si="30"/>
        <v>411.95</v>
      </c>
      <c r="D197" s="28"/>
      <c r="E197" s="28">
        <f>F197+G197</f>
        <v>26.95</v>
      </c>
      <c r="F197" s="28">
        <f t="shared" si="31"/>
        <v>15.4</v>
      </c>
      <c r="G197" s="28">
        <f t="shared" si="32"/>
        <v>11.549999999999999</v>
      </c>
      <c r="H197" s="28">
        <f t="shared" si="34"/>
        <v>385</v>
      </c>
      <c r="I197" s="28">
        <f t="shared" si="33"/>
        <v>247.17</v>
      </c>
      <c r="J197" s="29"/>
      <c r="K197" s="29"/>
      <c r="L197" s="29"/>
      <c r="M197" s="29"/>
      <c r="N197" s="29"/>
      <c r="O197" s="28">
        <v>56187</v>
      </c>
      <c r="P197" s="28">
        <v>56572</v>
      </c>
      <c r="Q197" s="29"/>
      <c r="R197" s="348"/>
      <c r="S197" s="28">
        <v>1</v>
      </c>
      <c r="T197" s="28">
        <f t="shared" si="27"/>
        <v>385</v>
      </c>
      <c r="U197" s="31">
        <v>100985</v>
      </c>
      <c r="V197" s="542" t="s">
        <v>253</v>
      </c>
      <c r="W197" s="191" t="s">
        <v>48</v>
      </c>
      <c r="X197" s="7"/>
      <c r="Y197" s="7"/>
      <c r="Z197" s="7"/>
      <c r="AA197" s="7"/>
      <c r="AB197" s="7"/>
      <c r="AC197" s="7"/>
    </row>
    <row r="198" spans="1:29" ht="26.25">
      <c r="A198" s="19"/>
      <c r="B198" s="27" t="s">
        <v>727</v>
      </c>
      <c r="C198" s="28">
        <f t="shared" si="30"/>
        <v>150.87</v>
      </c>
      <c r="D198" s="28"/>
      <c r="E198" s="28">
        <f>F198+G198</f>
        <v>9.8699999999999992</v>
      </c>
      <c r="F198" s="28">
        <f t="shared" si="31"/>
        <v>5.64</v>
      </c>
      <c r="G198" s="28">
        <f t="shared" si="32"/>
        <v>4.2299999999999995</v>
      </c>
      <c r="H198" s="28">
        <f t="shared" si="34"/>
        <v>141</v>
      </c>
      <c r="I198" s="28">
        <f>0.5*C198</f>
        <v>75.435000000000002</v>
      </c>
      <c r="J198" s="29"/>
      <c r="K198" s="29"/>
      <c r="L198" s="29"/>
      <c r="M198" s="29"/>
      <c r="N198" s="29"/>
      <c r="O198" s="28">
        <v>32515</v>
      </c>
      <c r="P198" s="28">
        <v>32656</v>
      </c>
      <c r="Q198" s="146"/>
      <c r="R198" s="61"/>
      <c r="S198" s="54">
        <v>1</v>
      </c>
      <c r="T198" s="28">
        <f t="shared" si="27"/>
        <v>141</v>
      </c>
      <c r="U198" s="31">
        <v>100839</v>
      </c>
      <c r="V198" s="542" t="s">
        <v>253</v>
      </c>
      <c r="W198" s="191" t="s">
        <v>48</v>
      </c>
      <c r="X198" s="7"/>
      <c r="Y198" s="7"/>
      <c r="Z198" s="7"/>
      <c r="AA198" s="7"/>
      <c r="AB198" s="7"/>
      <c r="AC198" s="7"/>
    </row>
    <row r="199" spans="1:29" ht="26.25">
      <c r="A199" s="19"/>
      <c r="B199" s="27" t="s">
        <v>728</v>
      </c>
      <c r="C199" s="28">
        <f t="shared" si="30"/>
        <v>209.72</v>
      </c>
      <c r="D199" s="28"/>
      <c r="E199" s="28">
        <f>G199+F199</f>
        <v>13.719999999999999</v>
      </c>
      <c r="F199" s="28">
        <f t="shared" si="31"/>
        <v>7.84</v>
      </c>
      <c r="G199" s="28">
        <f t="shared" si="32"/>
        <v>5.88</v>
      </c>
      <c r="H199" s="28">
        <f t="shared" si="34"/>
        <v>196</v>
      </c>
      <c r="I199" s="28">
        <f t="shared" ref="I199:I223" si="36">0.6*C199</f>
        <v>125.83199999999999</v>
      </c>
      <c r="J199" s="29"/>
      <c r="K199" s="29"/>
      <c r="L199" s="29"/>
      <c r="M199" s="29"/>
      <c r="N199" s="29"/>
      <c r="O199" s="28">
        <v>22994</v>
      </c>
      <c r="P199" s="28">
        <v>23190</v>
      </c>
      <c r="Q199" s="30"/>
      <c r="R199" s="71"/>
      <c r="S199" s="54">
        <v>1</v>
      </c>
      <c r="T199" s="28">
        <f t="shared" si="27"/>
        <v>196</v>
      </c>
      <c r="U199" s="31">
        <v>100976</v>
      </c>
      <c r="V199" s="542" t="s">
        <v>254</v>
      </c>
      <c r="W199" s="191" t="s">
        <v>48</v>
      </c>
      <c r="X199" s="7"/>
      <c r="Y199" s="7"/>
      <c r="Z199" s="7"/>
      <c r="AA199" s="7"/>
      <c r="AB199" s="7"/>
      <c r="AC199" s="7"/>
    </row>
    <row r="200" spans="1:29" ht="29.25" customHeight="1">
      <c r="A200" s="19"/>
      <c r="B200" s="27" t="s">
        <v>255</v>
      </c>
      <c r="C200" s="28">
        <f t="shared" si="30"/>
        <v>332.77</v>
      </c>
      <c r="D200" s="28"/>
      <c r="E200" s="28">
        <f t="shared" ref="E200:E207" si="37">F200+G200</f>
        <v>21.77</v>
      </c>
      <c r="F200" s="28">
        <f t="shared" si="31"/>
        <v>12.44</v>
      </c>
      <c r="G200" s="28">
        <f t="shared" si="32"/>
        <v>9.33</v>
      </c>
      <c r="H200" s="28">
        <f>T200</f>
        <v>311</v>
      </c>
      <c r="I200" s="28">
        <f t="shared" si="36"/>
        <v>199.66199999999998</v>
      </c>
      <c r="J200" s="29"/>
      <c r="K200" s="29"/>
      <c r="L200" s="29"/>
      <c r="M200" s="29"/>
      <c r="N200" s="29"/>
      <c r="O200" s="28">
        <v>40335</v>
      </c>
      <c r="P200" s="28">
        <v>40646</v>
      </c>
      <c r="Q200" s="30"/>
      <c r="R200" s="351"/>
      <c r="S200" s="28">
        <v>1</v>
      </c>
      <c r="T200" s="28">
        <f t="shared" si="27"/>
        <v>311</v>
      </c>
      <c r="U200" s="31">
        <v>99491</v>
      </c>
      <c r="V200" s="804" t="s">
        <v>256</v>
      </c>
      <c r="W200" s="191" t="s">
        <v>48</v>
      </c>
      <c r="X200" s="7"/>
      <c r="Y200" s="7"/>
      <c r="Z200" s="7"/>
      <c r="AA200" s="7"/>
      <c r="AB200" s="7"/>
      <c r="AC200" s="7"/>
    </row>
    <row r="201" spans="1:29" ht="25.5">
      <c r="A201" s="19"/>
      <c r="B201" s="27" t="s">
        <v>255</v>
      </c>
      <c r="C201" s="28">
        <f t="shared" si="30"/>
        <v>312.44</v>
      </c>
      <c r="D201" s="28"/>
      <c r="E201" s="28">
        <f t="shared" si="37"/>
        <v>20.439999999999998</v>
      </c>
      <c r="F201" s="28">
        <f t="shared" si="31"/>
        <v>11.68</v>
      </c>
      <c r="G201" s="28">
        <f t="shared" si="32"/>
        <v>8.76</v>
      </c>
      <c r="H201" s="28">
        <f t="shared" ref="H201:H211" si="38">T201</f>
        <v>292</v>
      </c>
      <c r="I201" s="28">
        <f t="shared" si="36"/>
        <v>187.464</v>
      </c>
      <c r="J201" s="46"/>
      <c r="K201" s="46"/>
      <c r="L201" s="46"/>
      <c r="M201" s="46"/>
      <c r="N201" s="46"/>
      <c r="O201" s="28">
        <v>32350</v>
      </c>
      <c r="P201" s="28">
        <v>32642</v>
      </c>
      <c r="Q201" s="146"/>
      <c r="R201" s="61"/>
      <c r="S201" s="54">
        <v>1</v>
      </c>
      <c r="T201" s="28">
        <f t="shared" si="27"/>
        <v>292</v>
      </c>
      <c r="U201" s="31">
        <v>99470</v>
      </c>
      <c r="V201" s="804"/>
      <c r="W201" s="191" t="s">
        <v>48</v>
      </c>
      <c r="X201" s="7"/>
      <c r="Y201" s="7"/>
      <c r="Z201" s="7"/>
      <c r="AA201" s="7"/>
      <c r="AB201" s="7"/>
      <c r="AC201" s="7"/>
    </row>
    <row r="202" spans="1:29" ht="26.25">
      <c r="A202" s="19"/>
      <c r="B202" s="27" t="s">
        <v>729</v>
      </c>
      <c r="C202" s="28">
        <f t="shared" si="30"/>
        <v>268.57</v>
      </c>
      <c r="D202" s="28"/>
      <c r="E202" s="28">
        <f t="shared" si="37"/>
        <v>17.57</v>
      </c>
      <c r="F202" s="28">
        <f t="shared" si="31"/>
        <v>10.040000000000001</v>
      </c>
      <c r="G202" s="28">
        <f t="shared" si="32"/>
        <v>7.5299999999999994</v>
      </c>
      <c r="H202" s="28">
        <f t="shared" si="38"/>
        <v>251</v>
      </c>
      <c r="I202" s="28">
        <f t="shared" si="36"/>
        <v>161.142</v>
      </c>
      <c r="J202" s="29"/>
      <c r="K202" s="29"/>
      <c r="L202" s="29"/>
      <c r="M202" s="29"/>
      <c r="N202" s="29"/>
      <c r="O202" s="28">
        <v>30628</v>
      </c>
      <c r="P202" s="28">
        <v>30879</v>
      </c>
      <c r="Q202" s="30"/>
      <c r="R202" s="351"/>
      <c r="S202" s="54">
        <v>1</v>
      </c>
      <c r="T202" s="28">
        <f t="shared" si="27"/>
        <v>251</v>
      </c>
      <c r="U202" s="31">
        <v>99541</v>
      </c>
      <c r="V202" s="542" t="s">
        <v>809</v>
      </c>
      <c r="W202" s="191" t="s">
        <v>48</v>
      </c>
      <c r="X202" s="7"/>
      <c r="Y202" s="7"/>
      <c r="Z202" s="7"/>
      <c r="AA202" s="7"/>
      <c r="AB202" s="7"/>
      <c r="AC202" s="7"/>
    </row>
    <row r="203" spans="1:29" ht="26.25">
      <c r="A203" s="19"/>
      <c r="B203" s="27" t="s">
        <v>730</v>
      </c>
      <c r="C203" s="28">
        <f>H203+E203</f>
        <v>232.19</v>
      </c>
      <c r="D203" s="28"/>
      <c r="E203" s="28">
        <f t="shared" si="37"/>
        <v>15.19</v>
      </c>
      <c r="F203" s="28">
        <f t="shared" si="31"/>
        <v>8.68</v>
      </c>
      <c r="G203" s="28">
        <f t="shared" si="32"/>
        <v>6.51</v>
      </c>
      <c r="H203" s="28">
        <f t="shared" si="38"/>
        <v>217</v>
      </c>
      <c r="I203" s="28">
        <f>0.6*C203</f>
        <v>139.31399999999999</v>
      </c>
      <c r="J203" s="29"/>
      <c r="K203" s="29"/>
      <c r="L203" s="29"/>
      <c r="M203" s="29"/>
      <c r="N203" s="29"/>
      <c r="O203" s="28">
        <v>29446</v>
      </c>
      <c r="P203" s="28">
        <v>29663</v>
      </c>
      <c r="Q203" s="146"/>
      <c r="R203" s="61"/>
      <c r="S203" s="54">
        <v>1</v>
      </c>
      <c r="T203" s="28">
        <f t="shared" si="27"/>
        <v>217</v>
      </c>
      <c r="U203" s="31">
        <v>99680</v>
      </c>
      <c r="V203" s="542" t="s">
        <v>810</v>
      </c>
      <c r="W203" s="191" t="s">
        <v>48</v>
      </c>
      <c r="X203" s="7"/>
      <c r="Y203" s="7"/>
      <c r="Z203" s="7"/>
      <c r="AA203" s="7"/>
      <c r="AB203" s="7"/>
      <c r="AC203" s="7"/>
    </row>
    <row r="204" spans="1:29" ht="25.5">
      <c r="A204" s="19"/>
      <c r="B204" s="27" t="s">
        <v>257</v>
      </c>
      <c r="C204" s="28">
        <f t="shared" si="30"/>
        <v>481.5</v>
      </c>
      <c r="D204" s="28"/>
      <c r="E204" s="28">
        <f t="shared" si="37"/>
        <v>31.5</v>
      </c>
      <c r="F204" s="28">
        <f t="shared" si="31"/>
        <v>18</v>
      </c>
      <c r="G204" s="28">
        <f t="shared" si="32"/>
        <v>13.5</v>
      </c>
      <c r="H204" s="28">
        <f t="shared" si="38"/>
        <v>450</v>
      </c>
      <c r="I204" s="28">
        <f t="shared" si="36"/>
        <v>288.89999999999998</v>
      </c>
      <c r="J204" s="29"/>
      <c r="K204" s="29"/>
      <c r="L204" s="29"/>
      <c r="M204" s="29"/>
      <c r="N204" s="29"/>
      <c r="O204" s="28">
        <v>64224</v>
      </c>
      <c r="P204" s="28">
        <v>64674</v>
      </c>
      <c r="Q204" s="29" t="s">
        <v>26</v>
      </c>
      <c r="R204" s="348"/>
      <c r="S204" s="54">
        <v>1</v>
      </c>
      <c r="T204" s="28">
        <f t="shared" si="27"/>
        <v>450</v>
      </c>
      <c r="U204" s="31">
        <v>100829</v>
      </c>
      <c r="V204" s="542" t="s">
        <v>258</v>
      </c>
      <c r="W204" s="191" t="s">
        <v>48</v>
      </c>
      <c r="X204" s="7"/>
      <c r="Y204" s="7"/>
      <c r="Z204" s="7"/>
      <c r="AA204" s="7"/>
      <c r="AB204" s="7"/>
      <c r="AC204" s="7"/>
    </row>
    <row r="205" spans="1:29" ht="25.5">
      <c r="A205" s="19"/>
      <c r="B205" s="420" t="s">
        <v>259</v>
      </c>
      <c r="C205" s="28">
        <f t="shared" si="30"/>
        <v>1135.27</v>
      </c>
      <c r="D205" s="28"/>
      <c r="E205" s="28">
        <f t="shared" si="37"/>
        <v>74.27</v>
      </c>
      <c r="F205" s="28">
        <f t="shared" si="31"/>
        <v>42.44</v>
      </c>
      <c r="G205" s="28">
        <f t="shared" si="32"/>
        <v>31.83</v>
      </c>
      <c r="H205" s="28">
        <f t="shared" si="38"/>
        <v>1061</v>
      </c>
      <c r="I205" s="28">
        <f t="shared" si="36"/>
        <v>681.16199999999992</v>
      </c>
      <c r="J205" s="29"/>
      <c r="K205" s="29"/>
      <c r="L205" s="29"/>
      <c r="M205" s="29"/>
      <c r="N205" s="29" t="s">
        <v>260</v>
      </c>
      <c r="O205" s="28">
        <v>54886</v>
      </c>
      <c r="P205" s="28">
        <v>55947</v>
      </c>
      <c r="Q205" s="30"/>
      <c r="R205" s="351"/>
      <c r="S205" s="54">
        <v>1</v>
      </c>
      <c r="T205" s="28">
        <f t="shared" si="27"/>
        <v>1061</v>
      </c>
      <c r="U205" s="31">
        <v>100980</v>
      </c>
      <c r="V205" s="542" t="s">
        <v>276</v>
      </c>
      <c r="W205" s="191" t="s">
        <v>48</v>
      </c>
      <c r="X205" s="7"/>
      <c r="Y205" s="7"/>
      <c r="Z205" s="7"/>
      <c r="AA205" s="7"/>
      <c r="AB205" s="7"/>
      <c r="AC205" s="7"/>
    </row>
    <row r="206" spans="1:29" ht="41.25">
      <c r="A206" s="19"/>
      <c r="B206" s="27" t="s">
        <v>731</v>
      </c>
      <c r="C206" s="28">
        <f t="shared" si="30"/>
        <v>713.69</v>
      </c>
      <c r="D206" s="28"/>
      <c r="E206" s="28">
        <f t="shared" si="37"/>
        <v>46.69</v>
      </c>
      <c r="F206" s="28">
        <f t="shared" si="31"/>
        <v>26.68</v>
      </c>
      <c r="G206" s="28">
        <f t="shared" si="32"/>
        <v>20.009999999999998</v>
      </c>
      <c r="H206" s="28">
        <f t="shared" si="38"/>
        <v>667</v>
      </c>
      <c r="I206" s="28">
        <f t="shared" si="36"/>
        <v>428.214</v>
      </c>
      <c r="J206" s="29"/>
      <c r="K206" s="29"/>
      <c r="L206" s="29"/>
      <c r="M206" s="29"/>
      <c r="N206" s="29"/>
      <c r="O206" s="28">
        <v>43328</v>
      </c>
      <c r="P206" s="28">
        <v>43995</v>
      </c>
      <c r="Q206" s="30"/>
      <c r="R206" s="351"/>
      <c r="S206" s="28">
        <v>1</v>
      </c>
      <c r="T206" s="28">
        <f t="shared" si="27"/>
        <v>667</v>
      </c>
      <c r="U206" s="31">
        <v>2660</v>
      </c>
      <c r="V206" s="542" t="s">
        <v>261</v>
      </c>
      <c r="W206" s="191" t="s">
        <v>48</v>
      </c>
      <c r="X206" s="7"/>
      <c r="Y206" s="7"/>
      <c r="Z206" s="7"/>
      <c r="AA206" s="7"/>
      <c r="AB206" s="7"/>
      <c r="AC206" s="7"/>
    </row>
    <row r="207" spans="1:29" ht="25.5">
      <c r="A207" s="19"/>
      <c r="B207" s="421" t="s">
        <v>732</v>
      </c>
      <c r="C207" s="28">
        <f t="shared" si="30"/>
        <v>466.52</v>
      </c>
      <c r="D207" s="28"/>
      <c r="E207" s="28">
        <f t="shared" si="37"/>
        <v>30.520000000000003</v>
      </c>
      <c r="F207" s="28">
        <f t="shared" si="31"/>
        <v>17.440000000000001</v>
      </c>
      <c r="G207" s="28">
        <f t="shared" si="32"/>
        <v>13.08</v>
      </c>
      <c r="H207" s="28">
        <f t="shared" si="38"/>
        <v>436</v>
      </c>
      <c r="I207" s="28">
        <f t="shared" si="36"/>
        <v>279.91199999999998</v>
      </c>
      <c r="J207" s="29"/>
      <c r="K207" s="29"/>
      <c r="L207" s="29"/>
      <c r="M207" s="29"/>
      <c r="N207" s="29"/>
      <c r="O207" s="28">
        <v>6130</v>
      </c>
      <c r="P207" s="28">
        <v>6566</v>
      </c>
      <c r="Q207" s="30"/>
      <c r="R207" s="351"/>
      <c r="S207" s="54">
        <v>1</v>
      </c>
      <c r="T207" s="28">
        <f>(P207-O207)*S207</f>
        <v>436</v>
      </c>
      <c r="U207" s="31">
        <v>492770</v>
      </c>
      <c r="V207" s="542" t="s">
        <v>262</v>
      </c>
      <c r="W207" s="191" t="s">
        <v>48</v>
      </c>
      <c r="X207" s="7"/>
      <c r="Y207" s="7"/>
      <c r="Z207" s="7"/>
      <c r="AA207" s="7"/>
      <c r="AB207" s="7"/>
      <c r="AC207" s="7"/>
    </row>
    <row r="208" spans="1:29" ht="29.25" customHeight="1">
      <c r="A208" s="19"/>
      <c r="B208" s="27" t="s">
        <v>733</v>
      </c>
      <c r="C208" s="28">
        <f t="shared" si="30"/>
        <v>0</v>
      </c>
      <c r="D208" s="28"/>
      <c r="E208" s="28">
        <f>G208+F208</f>
        <v>0</v>
      </c>
      <c r="F208" s="28">
        <f t="shared" si="31"/>
        <v>0</v>
      </c>
      <c r="G208" s="28">
        <f t="shared" si="32"/>
        <v>0</v>
      </c>
      <c r="H208" s="28">
        <f t="shared" si="38"/>
        <v>0</v>
      </c>
      <c r="I208" s="28">
        <f t="shared" si="36"/>
        <v>0</v>
      </c>
      <c r="J208" s="29"/>
      <c r="K208" s="29"/>
      <c r="L208" s="29"/>
      <c r="M208" s="29"/>
      <c r="N208" s="29"/>
      <c r="O208" s="28">
        <v>68475</v>
      </c>
      <c r="P208" s="28">
        <v>68475</v>
      </c>
      <c r="Q208" s="30"/>
      <c r="R208" s="71"/>
      <c r="S208" s="54">
        <v>1</v>
      </c>
      <c r="T208" s="28">
        <f t="shared" si="27"/>
        <v>0</v>
      </c>
      <c r="U208" s="31">
        <v>492735</v>
      </c>
      <c r="V208" s="542" t="s">
        <v>263</v>
      </c>
      <c r="W208" s="191" t="s">
        <v>48</v>
      </c>
      <c r="X208" s="7"/>
      <c r="Y208" s="7"/>
      <c r="Z208" s="7"/>
      <c r="AA208" s="7"/>
      <c r="AB208" s="7"/>
      <c r="AC208" s="7"/>
    </row>
    <row r="209" spans="1:29" ht="30" customHeight="1">
      <c r="A209" s="19"/>
      <c r="B209" s="27" t="s">
        <v>734</v>
      </c>
      <c r="C209" s="28">
        <f t="shared" si="30"/>
        <v>486.85</v>
      </c>
      <c r="D209" s="28"/>
      <c r="E209" s="28">
        <f>F209++G209</f>
        <v>31.85</v>
      </c>
      <c r="F209" s="28">
        <f t="shared" si="31"/>
        <v>18.2</v>
      </c>
      <c r="G209" s="28">
        <f t="shared" si="32"/>
        <v>13.65</v>
      </c>
      <c r="H209" s="28">
        <f t="shared" si="38"/>
        <v>455</v>
      </c>
      <c r="I209" s="28">
        <f t="shared" si="36"/>
        <v>292.11</v>
      </c>
      <c r="J209" s="29"/>
      <c r="K209" s="29"/>
      <c r="L209" s="29"/>
      <c r="M209" s="29"/>
      <c r="N209" s="29"/>
      <c r="O209" s="28">
        <v>1503</v>
      </c>
      <c r="P209" s="28">
        <v>1958</v>
      </c>
      <c r="Q209" s="29" t="s">
        <v>28</v>
      </c>
      <c r="R209" s="348"/>
      <c r="S209" s="54">
        <v>1</v>
      </c>
      <c r="T209" s="28">
        <f t="shared" si="27"/>
        <v>455</v>
      </c>
      <c r="U209" s="31">
        <v>77006572</v>
      </c>
      <c r="V209" s="542" t="s">
        <v>264</v>
      </c>
      <c r="W209" s="191" t="s">
        <v>48</v>
      </c>
      <c r="X209" s="7"/>
      <c r="Y209" s="7"/>
      <c r="Z209" s="7"/>
      <c r="AA209" s="7"/>
      <c r="AB209" s="7"/>
      <c r="AC209" s="7"/>
    </row>
    <row r="210" spans="1:29" ht="26.25">
      <c r="A210" s="19"/>
      <c r="B210" s="27" t="s">
        <v>735</v>
      </c>
      <c r="C210" s="28">
        <f t="shared" si="30"/>
        <v>594.91999999999996</v>
      </c>
      <c r="D210" s="28"/>
      <c r="E210" s="28">
        <f>F210+G210</f>
        <v>38.92</v>
      </c>
      <c r="F210" s="28">
        <f t="shared" si="31"/>
        <v>22.240000000000002</v>
      </c>
      <c r="G210" s="28">
        <f t="shared" si="32"/>
        <v>16.68</v>
      </c>
      <c r="H210" s="28">
        <f t="shared" si="38"/>
        <v>556</v>
      </c>
      <c r="I210" s="28">
        <f t="shared" si="36"/>
        <v>356.95199999999994</v>
      </c>
      <c r="J210" s="29"/>
      <c r="K210" s="29"/>
      <c r="L210" s="29"/>
      <c r="M210" s="29"/>
      <c r="N210" s="29"/>
      <c r="O210" s="28">
        <v>85266</v>
      </c>
      <c r="P210" s="28">
        <v>85822</v>
      </c>
      <c r="Q210" s="29"/>
      <c r="R210" s="348"/>
      <c r="S210" s="28">
        <v>1</v>
      </c>
      <c r="T210" s="28">
        <f t="shared" si="27"/>
        <v>556</v>
      </c>
      <c r="U210" s="31">
        <v>503440</v>
      </c>
      <c r="V210" s="542" t="s">
        <v>265</v>
      </c>
      <c r="W210" s="191" t="s">
        <v>48</v>
      </c>
      <c r="X210" s="7"/>
      <c r="Y210" s="7"/>
      <c r="Z210" s="7"/>
      <c r="AA210" s="7"/>
      <c r="AB210" s="7"/>
      <c r="AC210" s="7"/>
    </row>
    <row r="211" spans="1:29" ht="26.25">
      <c r="A211" s="19"/>
      <c r="B211" s="27" t="s">
        <v>736</v>
      </c>
      <c r="C211" s="28">
        <f t="shared" si="30"/>
        <v>282.48</v>
      </c>
      <c r="D211" s="28"/>
      <c r="E211" s="28">
        <f>F211+G211</f>
        <v>18.48</v>
      </c>
      <c r="F211" s="28">
        <f t="shared" si="31"/>
        <v>10.56</v>
      </c>
      <c r="G211" s="28">
        <f t="shared" si="32"/>
        <v>7.92</v>
      </c>
      <c r="H211" s="28">
        <f t="shared" si="38"/>
        <v>264</v>
      </c>
      <c r="I211" s="28">
        <f t="shared" si="36"/>
        <v>169.488</v>
      </c>
      <c r="J211" s="46"/>
      <c r="K211" s="46"/>
      <c r="L211" s="46"/>
      <c r="M211" s="46"/>
      <c r="N211" s="46"/>
      <c r="O211" s="28">
        <v>53313</v>
      </c>
      <c r="P211" s="28">
        <v>53577</v>
      </c>
      <c r="Q211" s="146"/>
      <c r="R211" s="61"/>
      <c r="S211" s="54">
        <v>1</v>
      </c>
      <c r="T211" s="28">
        <f t="shared" si="27"/>
        <v>264</v>
      </c>
      <c r="U211" s="31">
        <v>492892</v>
      </c>
      <c r="V211" s="805" t="s">
        <v>266</v>
      </c>
      <c r="W211" s="191" t="s">
        <v>48</v>
      </c>
      <c r="X211" s="7"/>
      <c r="Y211" s="7"/>
      <c r="Z211" s="7"/>
      <c r="AA211" s="7"/>
      <c r="AB211" s="7"/>
      <c r="AC211" s="7"/>
    </row>
    <row r="212" spans="1:29" ht="30" customHeight="1">
      <c r="A212" s="19"/>
      <c r="B212" s="27" t="s">
        <v>737</v>
      </c>
      <c r="C212" s="28">
        <f t="shared" si="30"/>
        <v>267.5</v>
      </c>
      <c r="D212" s="28"/>
      <c r="E212" s="28">
        <f>F212+G212</f>
        <v>17.5</v>
      </c>
      <c r="F212" s="28">
        <f t="shared" si="31"/>
        <v>10</v>
      </c>
      <c r="G212" s="28">
        <f t="shared" si="32"/>
        <v>7.5</v>
      </c>
      <c r="H212" s="28">
        <f>T212+10</f>
        <v>250</v>
      </c>
      <c r="I212" s="28">
        <f t="shared" si="36"/>
        <v>160.5</v>
      </c>
      <c r="J212" s="29"/>
      <c r="K212" s="29"/>
      <c r="L212" s="29"/>
      <c r="M212" s="29"/>
      <c r="N212" s="29"/>
      <c r="O212" s="28">
        <v>35432</v>
      </c>
      <c r="P212" s="28">
        <v>35672</v>
      </c>
      <c r="Q212" s="30"/>
      <c r="R212" s="351"/>
      <c r="S212" s="28">
        <v>1</v>
      </c>
      <c r="T212" s="28">
        <f t="shared" si="27"/>
        <v>240</v>
      </c>
      <c r="U212" s="31">
        <v>503014</v>
      </c>
      <c r="V212" s="805"/>
      <c r="W212" s="191" t="s">
        <v>48</v>
      </c>
      <c r="X212" s="7"/>
      <c r="Y212" s="7"/>
      <c r="Z212" s="7"/>
      <c r="AA212" s="7"/>
      <c r="AB212" s="7"/>
      <c r="AC212" s="7"/>
    </row>
    <row r="213" spans="1:29" ht="26.25">
      <c r="A213" s="19"/>
      <c r="B213" s="413" t="s">
        <v>738</v>
      </c>
      <c r="C213" s="414">
        <f t="shared" si="30"/>
        <v>481.5</v>
      </c>
      <c r="D213" s="414"/>
      <c r="E213" s="414">
        <f>G213+F213</f>
        <v>31.5</v>
      </c>
      <c r="F213" s="414">
        <f t="shared" si="31"/>
        <v>18</v>
      </c>
      <c r="G213" s="414">
        <f t="shared" si="32"/>
        <v>13.5</v>
      </c>
      <c r="H213" s="414">
        <f t="shared" ref="H213:H271" si="39">T213</f>
        <v>450</v>
      </c>
      <c r="I213" s="414">
        <f t="shared" si="36"/>
        <v>288.89999999999998</v>
      </c>
      <c r="J213" s="415"/>
      <c r="K213" s="415"/>
      <c r="L213" s="415"/>
      <c r="M213" s="415"/>
      <c r="N213" s="415"/>
      <c r="O213" s="414">
        <v>33546</v>
      </c>
      <c r="P213" s="414">
        <v>33996</v>
      </c>
      <c r="Q213" s="422"/>
      <c r="R213" s="423"/>
      <c r="S213" s="418">
        <v>1</v>
      </c>
      <c r="T213" s="414">
        <f t="shared" si="27"/>
        <v>450</v>
      </c>
      <c r="U213" s="31">
        <v>88031383</v>
      </c>
      <c r="V213" s="542" t="s">
        <v>267</v>
      </c>
      <c r="W213" s="191" t="s">
        <v>48</v>
      </c>
      <c r="X213" s="7"/>
      <c r="Y213" s="7"/>
      <c r="Z213" s="7"/>
      <c r="AA213" s="7"/>
      <c r="AB213" s="7"/>
      <c r="AC213" s="7"/>
    </row>
    <row r="214" spans="1:29" ht="25.5">
      <c r="A214" s="19"/>
      <c r="B214" s="27" t="s">
        <v>268</v>
      </c>
      <c r="C214" s="28">
        <f t="shared" si="30"/>
        <v>233.26</v>
      </c>
      <c r="D214" s="28"/>
      <c r="E214" s="28">
        <f>F214+G214</f>
        <v>15.260000000000002</v>
      </c>
      <c r="F214" s="28">
        <f t="shared" si="31"/>
        <v>8.7200000000000006</v>
      </c>
      <c r="G214" s="28">
        <f t="shared" si="32"/>
        <v>6.54</v>
      </c>
      <c r="H214" s="28">
        <f t="shared" si="39"/>
        <v>218</v>
      </c>
      <c r="I214" s="28">
        <f t="shared" si="36"/>
        <v>139.95599999999999</v>
      </c>
      <c r="J214" s="29"/>
      <c r="K214" s="29"/>
      <c r="L214" s="29"/>
      <c r="M214" s="29"/>
      <c r="N214" s="29"/>
      <c r="O214" s="28">
        <v>28110</v>
      </c>
      <c r="P214" s="28">
        <v>28328</v>
      </c>
      <c r="Q214" s="30"/>
      <c r="R214" s="351"/>
      <c r="S214" s="28">
        <v>1</v>
      </c>
      <c r="T214" s="28">
        <f t="shared" si="27"/>
        <v>218</v>
      </c>
      <c r="U214" s="31">
        <v>16596</v>
      </c>
      <c r="V214" s="542" t="s">
        <v>563</v>
      </c>
      <c r="W214" s="191" t="s">
        <v>48</v>
      </c>
      <c r="X214" s="7"/>
      <c r="Y214" s="7"/>
      <c r="Z214" s="7"/>
      <c r="AA214" s="7"/>
      <c r="AB214" s="7"/>
      <c r="AC214" s="7"/>
    </row>
    <row r="215" spans="1:29" ht="26.25">
      <c r="A215" s="19"/>
      <c r="B215" s="27" t="s">
        <v>739</v>
      </c>
      <c r="C215" s="28">
        <f t="shared" si="30"/>
        <v>273.92</v>
      </c>
      <c r="D215" s="28"/>
      <c r="E215" s="28">
        <f>F215+G215</f>
        <v>17.920000000000002</v>
      </c>
      <c r="F215" s="28">
        <f t="shared" si="31"/>
        <v>10.24</v>
      </c>
      <c r="G215" s="28">
        <f t="shared" si="32"/>
        <v>7.68</v>
      </c>
      <c r="H215" s="28">
        <f t="shared" si="39"/>
        <v>256</v>
      </c>
      <c r="I215" s="28">
        <f t="shared" si="36"/>
        <v>164.352</v>
      </c>
      <c r="J215" s="29"/>
      <c r="K215" s="29"/>
      <c r="L215" s="29"/>
      <c r="M215" s="29"/>
      <c r="N215" s="29"/>
      <c r="O215" s="28">
        <v>40916</v>
      </c>
      <c r="P215" s="28">
        <v>41172</v>
      </c>
      <c r="Q215" s="29"/>
      <c r="R215" s="348"/>
      <c r="S215" s="28">
        <v>1</v>
      </c>
      <c r="T215" s="28">
        <f t="shared" si="27"/>
        <v>256</v>
      </c>
      <c r="U215" s="31">
        <v>88031436</v>
      </c>
      <c r="V215" s="542" t="s">
        <v>269</v>
      </c>
      <c r="W215" s="191" t="s">
        <v>48</v>
      </c>
      <c r="X215" s="7"/>
      <c r="Y215" s="7"/>
      <c r="Z215" s="7"/>
      <c r="AA215" s="7"/>
      <c r="AB215" s="7"/>
      <c r="AC215" s="7"/>
    </row>
    <row r="216" spans="1:29" ht="35.25" customHeight="1">
      <c r="A216" s="19"/>
      <c r="B216" s="27" t="s">
        <v>740</v>
      </c>
      <c r="C216" s="28">
        <f t="shared" si="30"/>
        <v>1212.31</v>
      </c>
      <c r="D216" s="28"/>
      <c r="E216" s="28">
        <f>F216+G216</f>
        <v>79.31</v>
      </c>
      <c r="F216" s="28">
        <f t="shared" si="31"/>
        <v>45.32</v>
      </c>
      <c r="G216" s="28">
        <f t="shared" si="32"/>
        <v>33.99</v>
      </c>
      <c r="H216" s="28">
        <f t="shared" si="39"/>
        <v>1133</v>
      </c>
      <c r="I216" s="28">
        <f t="shared" si="36"/>
        <v>727.38599999999997</v>
      </c>
      <c r="J216" s="29"/>
      <c r="K216" s="29"/>
      <c r="L216" s="29"/>
      <c r="M216" s="29"/>
      <c r="N216" s="29"/>
      <c r="O216" s="424">
        <v>56068</v>
      </c>
      <c r="P216" s="424">
        <v>57201</v>
      </c>
      <c r="Q216" s="30"/>
      <c r="R216" s="351"/>
      <c r="S216" s="28">
        <v>1</v>
      </c>
      <c r="T216" s="28">
        <f t="shared" si="27"/>
        <v>1133</v>
      </c>
      <c r="U216" s="31">
        <v>88031413</v>
      </c>
      <c r="V216" s="542" t="s">
        <v>778</v>
      </c>
      <c r="W216" s="191" t="s">
        <v>48</v>
      </c>
      <c r="X216" s="7"/>
      <c r="Y216" s="7"/>
      <c r="Z216" s="7"/>
      <c r="AA216" s="7"/>
      <c r="AB216" s="7"/>
      <c r="AC216" s="7"/>
    </row>
    <row r="217" spans="1:29" ht="25.5">
      <c r="A217" s="19"/>
      <c r="B217" s="27" t="s">
        <v>270</v>
      </c>
      <c r="C217" s="349">
        <f t="shared" si="30"/>
        <v>2254.4899999999998</v>
      </c>
      <c r="D217" s="349"/>
      <c r="E217" s="349">
        <f>F217+G217</f>
        <v>147.49</v>
      </c>
      <c r="F217" s="349">
        <f t="shared" si="31"/>
        <v>84.28</v>
      </c>
      <c r="G217" s="349">
        <f t="shared" si="32"/>
        <v>63.21</v>
      </c>
      <c r="H217" s="349">
        <f t="shared" si="39"/>
        <v>2107</v>
      </c>
      <c r="I217" s="349"/>
      <c r="J217" s="29"/>
      <c r="K217" s="29"/>
      <c r="L217" s="29"/>
      <c r="M217" s="29"/>
      <c r="N217" s="29" t="s">
        <v>271</v>
      </c>
      <c r="O217" s="349">
        <v>25870</v>
      </c>
      <c r="P217" s="349">
        <v>27977</v>
      </c>
      <c r="Q217" s="146"/>
      <c r="R217" s="425"/>
      <c r="S217" s="349">
        <v>1</v>
      </c>
      <c r="T217" s="28">
        <f t="shared" si="27"/>
        <v>2107</v>
      </c>
      <c r="U217" s="408"/>
      <c r="V217" s="542" t="s">
        <v>272</v>
      </c>
      <c r="W217" s="14" t="s">
        <v>82</v>
      </c>
      <c r="X217" s="7"/>
      <c r="Y217" s="7"/>
      <c r="Z217" s="7"/>
      <c r="AA217" s="7"/>
      <c r="AB217" s="7"/>
      <c r="AC217" s="7"/>
    </row>
    <row r="218" spans="1:29" ht="33.75" customHeight="1">
      <c r="A218" s="19"/>
      <c r="B218" s="27" t="s">
        <v>741</v>
      </c>
      <c r="C218" s="28">
        <f t="shared" si="30"/>
        <v>316.72000000000003</v>
      </c>
      <c r="D218" s="28"/>
      <c r="E218" s="28">
        <f>G218+F218</f>
        <v>20.72</v>
      </c>
      <c r="F218" s="28">
        <f t="shared" si="31"/>
        <v>11.84</v>
      </c>
      <c r="G218" s="28">
        <f t="shared" si="32"/>
        <v>8.879999999999999</v>
      </c>
      <c r="H218" s="28">
        <f t="shared" si="39"/>
        <v>296</v>
      </c>
      <c r="I218" s="28">
        <f t="shared" si="36"/>
        <v>190.03200000000001</v>
      </c>
      <c r="J218" s="29"/>
      <c r="K218" s="29"/>
      <c r="L218" s="29"/>
      <c r="M218" s="29"/>
      <c r="N218" s="29"/>
      <c r="O218" s="28">
        <v>38131</v>
      </c>
      <c r="P218" s="28">
        <v>38427</v>
      </c>
      <c r="Q218" s="30"/>
      <c r="R218" s="71"/>
      <c r="S218" s="54">
        <v>1</v>
      </c>
      <c r="T218" s="28">
        <f t="shared" si="27"/>
        <v>296</v>
      </c>
      <c r="U218" s="31">
        <v>4369</v>
      </c>
      <c r="V218" s="542" t="s">
        <v>273</v>
      </c>
      <c r="W218" s="14" t="s">
        <v>48</v>
      </c>
      <c r="X218" s="7"/>
      <c r="Y218" s="7"/>
      <c r="Z218" s="7"/>
      <c r="AA218" s="7"/>
      <c r="AB218" s="7"/>
      <c r="AC218" s="7"/>
    </row>
    <row r="219" spans="1:29" s="198" customFormat="1" ht="24.75" customHeight="1">
      <c r="A219" s="196"/>
      <c r="B219" s="27" t="s">
        <v>755</v>
      </c>
      <c r="C219" s="419">
        <f t="shared" si="30"/>
        <v>0</v>
      </c>
      <c r="D219" s="28"/>
      <c r="E219" s="28">
        <f>F219+G219</f>
        <v>0</v>
      </c>
      <c r="F219" s="28">
        <f t="shared" si="31"/>
        <v>0</v>
      </c>
      <c r="G219" s="28">
        <f t="shared" si="32"/>
        <v>0</v>
      </c>
      <c r="H219" s="28">
        <f t="shared" si="39"/>
        <v>0</v>
      </c>
      <c r="I219" s="28">
        <f t="shared" si="36"/>
        <v>0</v>
      </c>
      <c r="J219" s="29"/>
      <c r="K219" s="29"/>
      <c r="L219" s="29"/>
      <c r="M219" s="29"/>
      <c r="N219" s="29"/>
      <c r="O219" s="28">
        <v>36462</v>
      </c>
      <c r="P219" s="28">
        <v>36462</v>
      </c>
      <c r="Q219" s="30"/>
      <c r="R219" s="71"/>
      <c r="S219" s="54">
        <v>1</v>
      </c>
      <c r="T219" s="28">
        <f t="shared" si="27"/>
        <v>0</v>
      </c>
      <c r="U219" s="31">
        <v>1400</v>
      </c>
      <c r="V219" s="542" t="s">
        <v>274</v>
      </c>
      <c r="W219" s="14" t="s">
        <v>48</v>
      </c>
      <c r="X219" s="197"/>
      <c r="Y219" s="197"/>
      <c r="Z219" s="197"/>
      <c r="AA219" s="197"/>
      <c r="AB219" s="197"/>
      <c r="AC219" s="197"/>
    </row>
    <row r="220" spans="1:29" ht="26.25">
      <c r="A220" s="19"/>
      <c r="B220" s="27" t="s">
        <v>742</v>
      </c>
      <c r="C220" s="28">
        <f t="shared" si="30"/>
        <v>0</v>
      </c>
      <c r="D220" s="28"/>
      <c r="E220" s="28">
        <f>G220+F220</f>
        <v>0</v>
      </c>
      <c r="F220" s="28">
        <f t="shared" si="31"/>
        <v>0</v>
      </c>
      <c r="G220" s="28">
        <f t="shared" si="32"/>
        <v>0</v>
      </c>
      <c r="H220" s="28">
        <f t="shared" si="39"/>
        <v>0</v>
      </c>
      <c r="I220" s="28">
        <f t="shared" si="36"/>
        <v>0</v>
      </c>
      <c r="J220" s="29"/>
      <c r="K220" s="29"/>
      <c r="L220" s="29"/>
      <c r="M220" s="29"/>
      <c r="N220" s="29"/>
      <c r="O220" s="28">
        <v>43342</v>
      </c>
      <c r="P220" s="28">
        <v>43342</v>
      </c>
      <c r="Q220" s="146"/>
      <c r="R220" s="61"/>
      <c r="S220" s="54">
        <v>1</v>
      </c>
      <c r="T220" s="28">
        <f t="shared" si="27"/>
        <v>0</v>
      </c>
      <c r="U220" s="31">
        <v>2328</v>
      </c>
      <c r="V220" s="542" t="s">
        <v>275</v>
      </c>
      <c r="W220" s="14" t="s">
        <v>48</v>
      </c>
      <c r="X220" s="7"/>
      <c r="Y220" s="7"/>
      <c r="Z220" s="7"/>
      <c r="AA220" s="7"/>
      <c r="AB220" s="7"/>
      <c r="AC220" s="7"/>
    </row>
    <row r="221" spans="1:29" ht="26.25">
      <c r="A221" s="19"/>
      <c r="B221" s="27" t="s">
        <v>743</v>
      </c>
      <c r="C221" s="419">
        <f t="shared" si="30"/>
        <v>0</v>
      </c>
      <c r="D221" s="28"/>
      <c r="E221" s="28">
        <f t="shared" ref="E221:E230" si="40">F221+G221</f>
        <v>0</v>
      </c>
      <c r="F221" s="28">
        <f t="shared" si="31"/>
        <v>0</v>
      </c>
      <c r="G221" s="28">
        <f t="shared" si="32"/>
        <v>0</v>
      </c>
      <c r="H221" s="28">
        <f t="shared" si="39"/>
        <v>0</v>
      </c>
      <c r="I221" s="28">
        <f t="shared" si="36"/>
        <v>0</v>
      </c>
      <c r="J221" s="29"/>
      <c r="K221" s="29"/>
      <c r="L221" s="29"/>
      <c r="M221" s="29"/>
      <c r="N221" s="29"/>
      <c r="O221" s="28">
        <v>77142</v>
      </c>
      <c r="P221" s="28">
        <v>77142</v>
      </c>
      <c r="Q221" s="30"/>
      <c r="R221" s="71"/>
      <c r="S221" s="54">
        <v>1</v>
      </c>
      <c r="T221" s="28">
        <f t="shared" si="27"/>
        <v>0</v>
      </c>
      <c r="U221" s="31">
        <v>6910</v>
      </c>
      <c r="V221" s="542" t="s">
        <v>276</v>
      </c>
      <c r="W221" s="14" t="s">
        <v>48</v>
      </c>
      <c r="X221" s="7"/>
      <c r="Y221" s="7"/>
      <c r="Z221" s="7"/>
      <c r="AA221" s="7"/>
      <c r="AB221" s="7"/>
      <c r="AC221" s="7"/>
    </row>
    <row r="222" spans="1:29" ht="25.5">
      <c r="A222" s="19"/>
      <c r="B222" s="420" t="s">
        <v>744</v>
      </c>
      <c r="C222" s="28">
        <f t="shared" si="30"/>
        <v>309.23</v>
      </c>
      <c r="D222" s="28"/>
      <c r="E222" s="28">
        <f t="shared" si="40"/>
        <v>20.23</v>
      </c>
      <c r="F222" s="28">
        <f t="shared" si="31"/>
        <v>11.56</v>
      </c>
      <c r="G222" s="28">
        <f t="shared" si="32"/>
        <v>8.67</v>
      </c>
      <c r="H222" s="28">
        <f t="shared" si="39"/>
        <v>289</v>
      </c>
      <c r="I222" s="28">
        <f t="shared" si="36"/>
        <v>185.53800000000001</v>
      </c>
      <c r="J222" s="29"/>
      <c r="K222" s="29"/>
      <c r="L222" s="29"/>
      <c r="M222" s="29"/>
      <c r="N222" s="29"/>
      <c r="O222" s="28">
        <v>7072</v>
      </c>
      <c r="P222" s="28">
        <v>7361</v>
      </c>
      <c r="Q222" s="30"/>
      <c r="R222" s="351"/>
      <c r="S222" s="54">
        <v>1</v>
      </c>
      <c r="T222" s="28">
        <f t="shared" si="27"/>
        <v>289</v>
      </c>
      <c r="U222" s="31">
        <v>6295</v>
      </c>
      <c r="V222" s="542" t="s">
        <v>277</v>
      </c>
      <c r="W222" s="14" t="s">
        <v>48</v>
      </c>
      <c r="X222" s="7"/>
      <c r="Y222" s="7"/>
      <c r="Z222" s="7"/>
      <c r="AA222" s="7"/>
      <c r="AB222" s="7"/>
      <c r="AC222" s="7"/>
    </row>
    <row r="223" spans="1:29" ht="26.25">
      <c r="A223" s="19"/>
      <c r="B223" s="367" t="s">
        <v>278</v>
      </c>
      <c r="C223" s="28">
        <f t="shared" si="30"/>
        <v>647.35</v>
      </c>
      <c r="D223" s="28"/>
      <c r="E223" s="28">
        <f t="shared" si="40"/>
        <v>42.349999999999994</v>
      </c>
      <c r="F223" s="28">
        <f t="shared" si="31"/>
        <v>24.2</v>
      </c>
      <c r="G223" s="28">
        <f t="shared" si="32"/>
        <v>18.149999999999999</v>
      </c>
      <c r="H223" s="28">
        <f t="shared" si="39"/>
        <v>605</v>
      </c>
      <c r="I223" s="28">
        <f t="shared" si="36"/>
        <v>388.41</v>
      </c>
      <c r="J223" s="29"/>
      <c r="K223" s="29"/>
      <c r="L223" s="29"/>
      <c r="M223" s="29"/>
      <c r="N223" s="29"/>
      <c r="O223" s="28">
        <v>21953</v>
      </c>
      <c r="P223" s="28">
        <v>22558</v>
      </c>
      <c r="Q223" s="146"/>
      <c r="R223" s="61"/>
      <c r="S223" s="54">
        <v>1</v>
      </c>
      <c r="T223" s="28">
        <f t="shared" si="27"/>
        <v>605</v>
      </c>
      <c r="U223" s="31">
        <v>6549</v>
      </c>
      <c r="V223" s="542" t="s">
        <v>279</v>
      </c>
      <c r="W223" s="14" t="s">
        <v>48</v>
      </c>
      <c r="X223" s="7"/>
      <c r="Y223" s="7"/>
      <c r="Z223" s="7"/>
      <c r="AA223" s="7"/>
      <c r="AB223" s="7"/>
      <c r="AC223" s="7"/>
    </row>
    <row r="224" spans="1:29" ht="26.25">
      <c r="A224" s="19"/>
      <c r="B224" s="27" t="s">
        <v>745</v>
      </c>
      <c r="C224" s="28">
        <f t="shared" si="30"/>
        <v>321</v>
      </c>
      <c r="D224" s="28"/>
      <c r="E224" s="28">
        <f t="shared" si="40"/>
        <v>21</v>
      </c>
      <c r="F224" s="28">
        <f t="shared" si="31"/>
        <v>12</v>
      </c>
      <c r="G224" s="28">
        <f t="shared" si="32"/>
        <v>9</v>
      </c>
      <c r="H224" s="28">
        <f t="shared" si="39"/>
        <v>300</v>
      </c>
      <c r="I224" s="28">
        <f>0.5*C224</f>
        <v>160.5</v>
      </c>
      <c r="J224" s="29"/>
      <c r="K224" s="29"/>
      <c r="L224" s="29"/>
      <c r="M224" s="29"/>
      <c r="N224" s="29"/>
      <c r="O224" s="28">
        <v>6233</v>
      </c>
      <c r="P224" s="28">
        <v>6533</v>
      </c>
      <c r="Q224" s="30"/>
      <c r="R224" s="351"/>
      <c r="S224" s="28">
        <v>1</v>
      </c>
      <c r="T224" s="28">
        <f t="shared" si="27"/>
        <v>300</v>
      </c>
      <c r="U224" s="31">
        <v>4924</v>
      </c>
      <c r="V224" s="542" t="s">
        <v>280</v>
      </c>
      <c r="W224" s="14" t="s">
        <v>48</v>
      </c>
      <c r="X224" s="7"/>
      <c r="Y224" s="7"/>
      <c r="Z224" s="7"/>
      <c r="AA224" s="7"/>
      <c r="AB224" s="7"/>
      <c r="AC224" s="7"/>
    </row>
    <row r="225" spans="1:29" ht="25.5">
      <c r="A225" s="19"/>
      <c r="B225" s="27" t="s">
        <v>281</v>
      </c>
      <c r="C225" s="28">
        <f t="shared" si="30"/>
        <v>262.14999999999998</v>
      </c>
      <c r="D225" s="28"/>
      <c r="E225" s="28">
        <f t="shared" si="40"/>
        <v>17.149999999999999</v>
      </c>
      <c r="F225" s="28">
        <f t="shared" si="31"/>
        <v>9.8000000000000007</v>
      </c>
      <c r="G225" s="28">
        <f t="shared" si="32"/>
        <v>7.35</v>
      </c>
      <c r="H225" s="28">
        <f t="shared" si="39"/>
        <v>245</v>
      </c>
      <c r="I225" s="28">
        <f>0.5*C225</f>
        <v>131.07499999999999</v>
      </c>
      <c r="J225" s="29"/>
      <c r="K225" s="29"/>
      <c r="L225" s="29"/>
      <c r="M225" s="29"/>
      <c r="N225" s="29"/>
      <c r="O225" s="28">
        <v>37128</v>
      </c>
      <c r="P225" s="28">
        <v>37373</v>
      </c>
      <c r="Q225" s="30"/>
      <c r="R225" s="351"/>
      <c r="S225" s="28">
        <v>1</v>
      </c>
      <c r="T225" s="28">
        <f t="shared" si="27"/>
        <v>245</v>
      </c>
      <c r="U225" s="31">
        <v>4762</v>
      </c>
      <c r="V225" s="542" t="s">
        <v>282</v>
      </c>
      <c r="W225" s="14" t="s">
        <v>48</v>
      </c>
      <c r="X225" s="7"/>
      <c r="Y225" s="7"/>
      <c r="Z225" s="7"/>
      <c r="AA225" s="7"/>
      <c r="AB225" s="7"/>
      <c r="AC225" s="7"/>
    </row>
    <row r="226" spans="1:29" ht="26.25">
      <c r="A226" s="19"/>
      <c r="B226" s="27" t="s">
        <v>283</v>
      </c>
      <c r="C226" s="28">
        <f t="shared" si="30"/>
        <v>254.66</v>
      </c>
      <c r="D226" s="28"/>
      <c r="E226" s="28">
        <f t="shared" si="40"/>
        <v>16.66</v>
      </c>
      <c r="F226" s="28">
        <f t="shared" si="31"/>
        <v>9.52</v>
      </c>
      <c r="G226" s="28">
        <f t="shared" si="32"/>
        <v>7.14</v>
      </c>
      <c r="H226" s="28">
        <f t="shared" si="39"/>
        <v>238</v>
      </c>
      <c r="I226" s="72">
        <f>0.6*C226</f>
        <v>152.79599999999999</v>
      </c>
      <c r="J226" s="29"/>
      <c r="K226" s="29"/>
      <c r="L226" s="29"/>
      <c r="M226" s="29"/>
      <c r="N226" s="29"/>
      <c r="O226" s="28">
        <v>3596</v>
      </c>
      <c r="P226" s="28">
        <v>3834</v>
      </c>
      <c r="Q226" s="30"/>
      <c r="R226" s="351"/>
      <c r="S226" s="54">
        <v>1</v>
      </c>
      <c r="T226" s="28">
        <f t="shared" si="27"/>
        <v>238</v>
      </c>
      <c r="U226" s="31"/>
      <c r="V226" s="542" t="s">
        <v>284</v>
      </c>
      <c r="W226" s="14" t="s">
        <v>48</v>
      </c>
      <c r="X226" s="7"/>
      <c r="Y226" s="7"/>
      <c r="Z226" s="7"/>
      <c r="AA226" s="7"/>
      <c r="AB226" s="7"/>
      <c r="AC226" s="7"/>
    </row>
    <row r="227" spans="1:29" ht="26.25">
      <c r="A227" s="19"/>
      <c r="B227" s="27" t="s">
        <v>746</v>
      </c>
      <c r="C227" s="28">
        <f t="shared" si="30"/>
        <v>83.46</v>
      </c>
      <c r="D227" s="28"/>
      <c r="E227" s="28">
        <f t="shared" si="40"/>
        <v>5.46</v>
      </c>
      <c r="F227" s="28">
        <f t="shared" si="31"/>
        <v>3.12</v>
      </c>
      <c r="G227" s="28">
        <f t="shared" si="32"/>
        <v>2.34</v>
      </c>
      <c r="H227" s="28">
        <f t="shared" si="39"/>
        <v>78</v>
      </c>
      <c r="I227" s="72">
        <f>0.6*C227</f>
        <v>50.075999999999993</v>
      </c>
      <c r="J227" s="29"/>
      <c r="K227" s="29"/>
      <c r="L227" s="29"/>
      <c r="M227" s="29"/>
      <c r="N227" s="29"/>
      <c r="O227" s="28">
        <v>22010</v>
      </c>
      <c r="P227" s="28">
        <v>22088</v>
      </c>
      <c r="Q227" s="30"/>
      <c r="R227" s="351"/>
      <c r="S227" s="54">
        <v>1</v>
      </c>
      <c r="T227" s="28">
        <f t="shared" si="27"/>
        <v>78</v>
      </c>
      <c r="U227" s="31">
        <v>530958</v>
      </c>
      <c r="V227" s="542" t="s">
        <v>285</v>
      </c>
      <c r="W227" s="14" t="s">
        <v>48</v>
      </c>
      <c r="X227" s="7"/>
      <c r="Y227" s="7"/>
      <c r="Z227" s="7"/>
      <c r="AA227" s="7"/>
      <c r="AB227" s="7"/>
      <c r="AC227" s="7"/>
    </row>
    <row r="228" spans="1:29" ht="26.25">
      <c r="A228" s="19"/>
      <c r="B228" s="27" t="s">
        <v>747</v>
      </c>
      <c r="C228" s="28">
        <f t="shared" si="30"/>
        <v>340.26</v>
      </c>
      <c r="D228" s="28"/>
      <c r="E228" s="28">
        <f t="shared" si="40"/>
        <v>22.259999999999998</v>
      </c>
      <c r="F228" s="28">
        <f t="shared" si="31"/>
        <v>12.72</v>
      </c>
      <c r="G228" s="28">
        <f t="shared" si="32"/>
        <v>9.5399999999999991</v>
      </c>
      <c r="H228" s="28">
        <f t="shared" si="39"/>
        <v>318</v>
      </c>
      <c r="I228" s="28">
        <f>0.6*C228</f>
        <v>204.15599999999998</v>
      </c>
      <c r="J228" s="29"/>
      <c r="K228" s="29"/>
      <c r="L228" s="29"/>
      <c r="M228" s="29"/>
      <c r="N228" s="29"/>
      <c r="O228" s="28">
        <v>17447</v>
      </c>
      <c r="P228" s="28">
        <v>17765</v>
      </c>
      <c r="Q228" s="30"/>
      <c r="R228" s="351"/>
      <c r="S228" s="28">
        <v>1</v>
      </c>
      <c r="T228" s="28">
        <f t="shared" si="27"/>
        <v>318</v>
      </c>
      <c r="U228" s="31">
        <v>607637</v>
      </c>
      <c r="V228" s="542" t="s">
        <v>286</v>
      </c>
      <c r="W228" s="14" t="s">
        <v>48</v>
      </c>
      <c r="X228" s="7"/>
      <c r="Y228" s="7"/>
      <c r="Z228" s="7"/>
      <c r="AA228" s="7"/>
      <c r="AB228" s="7"/>
      <c r="AC228" s="7"/>
    </row>
    <row r="229" spans="1:29" ht="26.25">
      <c r="A229" s="19"/>
      <c r="B229" s="27" t="s">
        <v>287</v>
      </c>
      <c r="C229" s="28">
        <f t="shared" si="30"/>
        <v>326.35000000000002</v>
      </c>
      <c r="D229" s="28"/>
      <c r="E229" s="28">
        <f t="shared" si="40"/>
        <v>21.35</v>
      </c>
      <c r="F229" s="28">
        <f t="shared" si="31"/>
        <v>12.200000000000001</v>
      </c>
      <c r="G229" s="28">
        <f t="shared" si="32"/>
        <v>9.15</v>
      </c>
      <c r="H229" s="28">
        <f t="shared" si="39"/>
        <v>305</v>
      </c>
      <c r="I229" s="72">
        <f>0.6*C229</f>
        <v>195.81</v>
      </c>
      <c r="J229" s="29"/>
      <c r="K229" s="29"/>
      <c r="L229" s="29"/>
      <c r="M229" s="29"/>
      <c r="N229" s="29"/>
      <c r="O229" s="28">
        <v>12922</v>
      </c>
      <c r="P229" s="28">
        <v>13227</v>
      </c>
      <c r="Q229" s="146"/>
      <c r="R229" s="391"/>
      <c r="S229" s="54">
        <v>1</v>
      </c>
      <c r="T229" s="28">
        <f t="shared" si="27"/>
        <v>305</v>
      </c>
      <c r="U229" s="31">
        <v>56067</v>
      </c>
      <c r="V229" s="542" t="s">
        <v>288</v>
      </c>
      <c r="W229" s="14" t="s">
        <v>48</v>
      </c>
      <c r="X229" s="7"/>
      <c r="Y229" s="7"/>
      <c r="Z229" s="7"/>
      <c r="AA229" s="7"/>
      <c r="AB229" s="7"/>
      <c r="AC229" s="7"/>
    </row>
    <row r="230" spans="1:29" ht="26.25">
      <c r="A230" s="19"/>
      <c r="B230" s="426" t="s">
        <v>766</v>
      </c>
      <c r="C230" s="72">
        <f t="shared" si="30"/>
        <v>10841.240000000125</v>
      </c>
      <c r="D230" s="72"/>
      <c r="E230" s="72">
        <f t="shared" si="40"/>
        <v>709.24000000000819</v>
      </c>
      <c r="F230" s="72">
        <f t="shared" si="31"/>
        <v>405.28000000000469</v>
      </c>
      <c r="G230" s="72">
        <f t="shared" si="32"/>
        <v>303.9600000000035</v>
      </c>
      <c r="H230" s="72">
        <f t="shared" si="39"/>
        <v>10132.000000000116</v>
      </c>
      <c r="I230" s="72"/>
      <c r="J230" s="29"/>
      <c r="K230" s="29"/>
      <c r="L230" s="29"/>
      <c r="M230" s="29"/>
      <c r="N230" s="29"/>
      <c r="O230" s="427">
        <v>34545.199999999997</v>
      </c>
      <c r="P230" s="427">
        <v>34798.5</v>
      </c>
      <c r="Q230" s="30"/>
      <c r="R230" s="348"/>
      <c r="S230" s="54">
        <v>40</v>
      </c>
      <c r="T230" s="28">
        <f t="shared" si="27"/>
        <v>10132.000000000116</v>
      </c>
      <c r="U230" s="31">
        <v>1535390</v>
      </c>
      <c r="V230" s="542" t="s">
        <v>789</v>
      </c>
      <c r="W230" s="14" t="s">
        <v>53</v>
      </c>
      <c r="X230" s="7"/>
      <c r="Y230" s="7"/>
      <c r="Z230" s="7"/>
      <c r="AA230" s="7"/>
      <c r="AB230" s="7"/>
      <c r="AC230" s="7"/>
    </row>
    <row r="231" spans="1:29" ht="28.5" customHeight="1">
      <c r="A231" s="252"/>
      <c r="B231" s="62" t="s">
        <v>610</v>
      </c>
      <c r="C231" s="28">
        <f>H231+E231</f>
        <v>8898.1200000000026</v>
      </c>
      <c r="D231" s="77"/>
      <c r="E231" s="28">
        <f>F231+G231</f>
        <v>582.12000000000012</v>
      </c>
      <c r="F231" s="28">
        <f>0.04*T231</f>
        <v>332.6400000000001</v>
      </c>
      <c r="G231" s="28">
        <f>0.03*T231</f>
        <v>249.48000000000005</v>
      </c>
      <c r="H231" s="28">
        <f>T231</f>
        <v>8316.0000000000018</v>
      </c>
      <c r="I231" s="28">
        <f>H231*0.5</f>
        <v>4158.0000000000009</v>
      </c>
      <c r="J231" s="46"/>
      <c r="K231" s="46"/>
      <c r="L231" s="46"/>
      <c r="M231" s="46"/>
      <c r="N231" s="46"/>
      <c r="O231" s="77">
        <v>393.26</v>
      </c>
      <c r="P231" s="77">
        <v>559.58000000000004</v>
      </c>
      <c r="Q231" s="79"/>
      <c r="R231" s="80"/>
      <c r="S231" s="77">
        <v>50</v>
      </c>
      <c r="T231" s="28">
        <f>(P231-O231)*S231</f>
        <v>8316.0000000000018</v>
      </c>
      <c r="U231" s="31">
        <v>2536</v>
      </c>
      <c r="V231" s="542" t="s">
        <v>752</v>
      </c>
      <c r="W231" s="14" t="s">
        <v>48</v>
      </c>
      <c r="X231" s="7"/>
      <c r="Y231" s="7"/>
      <c r="Z231" s="7"/>
      <c r="AA231" s="7"/>
      <c r="AB231" s="7"/>
      <c r="AC231" s="7"/>
    </row>
    <row r="232" spans="1:29" ht="26.25">
      <c r="A232" s="19"/>
      <c r="B232" s="62"/>
      <c r="C232" s="28">
        <f t="shared" ref="C232" si="41">H232+E232</f>
        <v>1988.06</v>
      </c>
      <c r="D232" s="28"/>
      <c r="E232" s="28">
        <f>G232+F232</f>
        <v>130.06</v>
      </c>
      <c r="F232" s="28">
        <f>H232*0.04</f>
        <v>74.320000000000007</v>
      </c>
      <c r="G232" s="28">
        <f>H232*0.03</f>
        <v>55.739999999999995</v>
      </c>
      <c r="H232" s="28">
        <f t="shared" ref="H232" si="42">T232</f>
        <v>1858</v>
      </c>
      <c r="I232" s="28">
        <f>0.6*C232</f>
        <v>1192.836</v>
      </c>
      <c r="J232" s="29"/>
      <c r="K232" s="29"/>
      <c r="L232" s="29"/>
      <c r="M232" s="29"/>
      <c r="N232" s="29"/>
      <c r="O232" s="72">
        <v>811120</v>
      </c>
      <c r="P232" s="72">
        <v>812978</v>
      </c>
      <c r="Q232" s="30"/>
      <c r="R232" s="428"/>
      <c r="S232" s="54">
        <v>1</v>
      </c>
      <c r="T232" s="28">
        <f t="shared" ref="T232" si="43">(P232-O232)*S232</f>
        <v>1858</v>
      </c>
      <c r="U232" s="31">
        <v>399479</v>
      </c>
      <c r="V232" s="542" t="s">
        <v>788</v>
      </c>
      <c r="W232" s="14" t="s">
        <v>48</v>
      </c>
      <c r="X232" s="7"/>
      <c r="Y232" s="7"/>
      <c r="Z232" s="7"/>
      <c r="AA232" s="7"/>
      <c r="AB232" s="7"/>
      <c r="AC232" s="7"/>
    </row>
    <row r="233" spans="1:29" ht="25.5">
      <c r="A233" s="19"/>
      <c r="B233" s="429"/>
      <c r="C233" s="28"/>
      <c r="D233" s="28"/>
      <c r="E233" s="28"/>
      <c r="F233" s="28"/>
      <c r="G233" s="28"/>
      <c r="H233" s="28"/>
      <c r="I233" s="28"/>
      <c r="J233" s="29"/>
      <c r="K233" s="29"/>
      <c r="L233" s="29"/>
      <c r="M233" s="29"/>
      <c r="N233" s="29"/>
      <c r="O233" s="28"/>
      <c r="P233" s="28"/>
      <c r="Q233" s="30"/>
      <c r="R233" s="351"/>
      <c r="S233" s="28"/>
      <c r="T233" s="28"/>
      <c r="U233" s="31"/>
      <c r="V233" s="540"/>
      <c r="W233" s="14" t="s">
        <v>48</v>
      </c>
      <c r="X233" s="7"/>
      <c r="Y233" s="7"/>
      <c r="Z233" s="7"/>
      <c r="AA233" s="7"/>
      <c r="AB233" s="7"/>
      <c r="AC233" s="7"/>
    </row>
    <row r="234" spans="1:29" ht="26.25" hidden="1">
      <c r="A234" s="19"/>
      <c r="B234" s="341"/>
      <c r="C234" s="91"/>
      <c r="D234" s="91"/>
      <c r="E234" s="91"/>
      <c r="F234" s="91"/>
      <c r="G234" s="91"/>
      <c r="H234" s="91"/>
      <c r="I234" s="91"/>
      <c r="J234" s="22"/>
      <c r="K234" s="22"/>
      <c r="L234" s="22"/>
      <c r="M234" s="22"/>
      <c r="N234" s="22"/>
      <c r="O234" s="91"/>
      <c r="P234" s="91"/>
      <c r="Q234" s="122"/>
      <c r="R234" s="173"/>
      <c r="S234" s="91"/>
      <c r="T234" s="91"/>
      <c r="U234" s="95"/>
      <c r="V234" s="538"/>
      <c r="W234" s="14" t="s">
        <v>48</v>
      </c>
      <c r="X234" s="7"/>
      <c r="Y234" s="7"/>
      <c r="Z234" s="7"/>
      <c r="AA234" s="7"/>
      <c r="AB234" s="7"/>
      <c r="AC234" s="7"/>
    </row>
    <row r="235" spans="1:29" ht="25.5" hidden="1">
      <c r="A235" s="19"/>
      <c r="B235" s="148"/>
      <c r="C235" s="91"/>
      <c r="D235" s="91"/>
      <c r="E235" s="91"/>
      <c r="F235" s="91"/>
      <c r="G235" s="91"/>
      <c r="H235" s="91"/>
      <c r="I235" s="91"/>
      <c r="J235" s="22"/>
      <c r="K235" s="22"/>
      <c r="L235" s="22"/>
      <c r="M235" s="22"/>
      <c r="N235" s="22"/>
      <c r="O235" s="91"/>
      <c r="P235" s="91"/>
      <c r="Q235" s="122"/>
      <c r="R235" s="173"/>
      <c r="S235" s="91"/>
      <c r="T235" s="91"/>
      <c r="U235" s="95"/>
      <c r="V235" s="538"/>
      <c r="W235" s="14" t="s">
        <v>48</v>
      </c>
      <c r="X235" s="7"/>
      <c r="Y235" s="7"/>
      <c r="Z235" s="7"/>
      <c r="AA235" s="7"/>
      <c r="AB235" s="7"/>
      <c r="AC235" s="7"/>
    </row>
    <row r="236" spans="1:29" ht="25.5" hidden="1">
      <c r="A236" s="19"/>
      <c r="B236" s="148"/>
      <c r="C236" s="91"/>
      <c r="D236" s="91"/>
      <c r="E236" s="91"/>
      <c r="F236" s="91"/>
      <c r="G236" s="91"/>
      <c r="H236" s="91"/>
      <c r="I236" s="91"/>
      <c r="J236" s="22"/>
      <c r="K236" s="22"/>
      <c r="L236" s="22"/>
      <c r="M236" s="22"/>
      <c r="N236" s="22"/>
      <c r="O236" s="91"/>
      <c r="P236" s="91"/>
      <c r="Q236" s="122"/>
      <c r="R236" s="173"/>
      <c r="S236" s="91"/>
      <c r="T236" s="91"/>
      <c r="U236" s="95"/>
      <c r="V236" s="538"/>
      <c r="W236" s="14" t="s">
        <v>48</v>
      </c>
      <c r="X236" s="7"/>
      <c r="Y236" s="7"/>
      <c r="Z236" s="7"/>
      <c r="AA236" s="7"/>
      <c r="AB236" s="7"/>
      <c r="AC236" s="7"/>
    </row>
    <row r="237" spans="1:29" ht="25.5" hidden="1">
      <c r="A237" s="19"/>
      <c r="B237" s="148"/>
      <c r="C237" s="91"/>
      <c r="D237" s="91"/>
      <c r="E237" s="91"/>
      <c r="F237" s="91"/>
      <c r="G237" s="91"/>
      <c r="H237" s="91"/>
      <c r="I237" s="91"/>
      <c r="J237" s="22"/>
      <c r="K237" s="22"/>
      <c r="L237" s="22"/>
      <c r="M237" s="22"/>
      <c r="N237" s="22"/>
      <c r="O237" s="91"/>
      <c r="P237" s="91"/>
      <c r="Q237" s="149"/>
      <c r="R237" s="142"/>
      <c r="S237" s="91"/>
      <c r="T237" s="91"/>
      <c r="U237" s="95"/>
      <c r="V237" s="538"/>
      <c r="W237" s="14" t="s">
        <v>48</v>
      </c>
      <c r="X237" s="7"/>
      <c r="Y237" s="7"/>
      <c r="Z237" s="7"/>
      <c r="AA237" s="7"/>
      <c r="AB237" s="7"/>
      <c r="AC237" s="7"/>
    </row>
    <row r="238" spans="1:29" ht="25.5" hidden="1">
      <c r="A238" s="19"/>
      <c r="B238" s="148"/>
      <c r="C238" s="91"/>
      <c r="D238" s="91"/>
      <c r="E238" s="91"/>
      <c r="F238" s="91"/>
      <c r="G238" s="91"/>
      <c r="H238" s="91"/>
      <c r="I238" s="91"/>
      <c r="J238" s="22"/>
      <c r="K238" s="22"/>
      <c r="L238" s="22"/>
      <c r="M238" s="22"/>
      <c r="N238" s="22"/>
      <c r="O238" s="91"/>
      <c r="P238" s="91"/>
      <c r="Q238" s="122"/>
      <c r="R238" s="200"/>
      <c r="S238" s="151"/>
      <c r="T238" s="91"/>
      <c r="U238" s="95"/>
      <c r="V238" s="538"/>
      <c r="W238" s="14" t="s">
        <v>48</v>
      </c>
      <c r="X238" s="7"/>
      <c r="Y238" s="7"/>
      <c r="Z238" s="7"/>
      <c r="AA238" s="7"/>
      <c r="AB238" s="7"/>
      <c r="AC238" s="7"/>
    </row>
    <row r="239" spans="1:29" ht="25.5" hidden="1">
      <c r="A239" s="19"/>
      <c r="B239" s="148"/>
      <c r="C239" s="91"/>
      <c r="D239" s="91"/>
      <c r="E239" s="91"/>
      <c r="F239" s="91"/>
      <c r="G239" s="91"/>
      <c r="H239" s="91"/>
      <c r="I239" s="91"/>
      <c r="J239" s="22"/>
      <c r="K239" s="22"/>
      <c r="L239" s="22"/>
      <c r="M239" s="22"/>
      <c r="N239" s="22"/>
      <c r="O239" s="91"/>
      <c r="P239" s="91"/>
      <c r="Q239" s="122"/>
      <c r="R239" s="200"/>
      <c r="S239" s="151"/>
      <c r="T239" s="91"/>
      <c r="U239" s="95"/>
      <c r="V239" s="538"/>
      <c r="W239" s="14" t="s">
        <v>48</v>
      </c>
      <c r="X239" s="7"/>
      <c r="Y239" s="7"/>
      <c r="Z239" s="7"/>
      <c r="AA239" s="7"/>
      <c r="AB239" s="7"/>
      <c r="AC239" s="7"/>
    </row>
    <row r="240" spans="1:29" ht="25.5" hidden="1">
      <c r="A240" s="19"/>
      <c r="B240" s="148"/>
      <c r="C240" s="91"/>
      <c r="D240" s="91"/>
      <c r="E240" s="91"/>
      <c r="F240" s="91"/>
      <c r="G240" s="91"/>
      <c r="H240" s="91"/>
      <c r="I240" s="91"/>
      <c r="J240" s="22"/>
      <c r="K240" s="22"/>
      <c r="L240" s="22"/>
      <c r="M240" s="22"/>
      <c r="N240" s="22"/>
      <c r="O240" s="117"/>
      <c r="P240" s="117"/>
      <c r="Q240" s="122"/>
      <c r="R240" s="342"/>
      <c r="S240" s="330"/>
      <c r="T240" s="117"/>
      <c r="U240" s="95"/>
      <c r="V240" s="538"/>
      <c r="W240" s="14" t="s">
        <v>48</v>
      </c>
      <c r="X240" s="7"/>
      <c r="Y240" s="7"/>
      <c r="Z240" s="7"/>
      <c r="AA240" s="7"/>
      <c r="AB240" s="7"/>
      <c r="AC240" s="7"/>
    </row>
    <row r="241" spans="1:29" ht="25.5" hidden="1">
      <c r="A241" s="19"/>
      <c r="B241" s="148"/>
      <c r="C241" s="91"/>
      <c r="D241" s="91"/>
      <c r="E241" s="91"/>
      <c r="F241" s="91"/>
      <c r="G241" s="91"/>
      <c r="H241" s="91"/>
      <c r="I241" s="91"/>
      <c r="J241" s="22"/>
      <c r="K241" s="22"/>
      <c r="L241" s="22"/>
      <c r="M241" s="22"/>
      <c r="N241" s="22"/>
      <c r="O241" s="117"/>
      <c r="P241" s="117"/>
      <c r="Q241" s="122"/>
      <c r="R241" s="342"/>
      <c r="S241" s="330"/>
      <c r="T241" s="117"/>
      <c r="U241" s="95"/>
      <c r="V241" s="538"/>
      <c r="W241" s="14" t="s">
        <v>48</v>
      </c>
      <c r="X241" s="7"/>
      <c r="Y241" s="7"/>
      <c r="Z241" s="7"/>
      <c r="AA241" s="7"/>
      <c r="AB241" s="7"/>
      <c r="AC241" s="7"/>
    </row>
    <row r="242" spans="1:29" ht="25.5" hidden="1">
      <c r="A242" s="19"/>
      <c r="B242" s="329"/>
      <c r="C242" s="117"/>
      <c r="D242" s="117"/>
      <c r="E242" s="117"/>
      <c r="F242" s="117"/>
      <c r="G242" s="117"/>
      <c r="H242" s="117"/>
      <c r="I242" s="117"/>
      <c r="J242" s="22"/>
      <c r="K242" s="22"/>
      <c r="L242" s="22"/>
      <c r="M242" s="22"/>
      <c r="N242" s="22"/>
      <c r="O242" s="91"/>
      <c r="P242" s="91"/>
      <c r="Q242" s="173"/>
      <c r="R242" s="200"/>
      <c r="S242" s="91"/>
      <c r="T242" s="91"/>
      <c r="U242" s="95"/>
      <c r="V242" s="538"/>
      <c r="W242" s="14" t="s">
        <v>48</v>
      </c>
      <c r="X242" s="7"/>
      <c r="Y242" s="7"/>
      <c r="Z242" s="7"/>
      <c r="AA242" s="7"/>
      <c r="AB242" s="7"/>
      <c r="AC242" s="7"/>
    </row>
    <row r="243" spans="1:29" ht="25.5">
      <c r="A243" s="19"/>
      <c r="B243" s="27" t="s">
        <v>290</v>
      </c>
      <c r="C243" s="28">
        <f t="shared" ref="C243:C268" si="44">H243+E243</f>
        <v>763.98</v>
      </c>
      <c r="D243" s="28"/>
      <c r="E243" s="28">
        <f t="shared" ref="E243:E273" si="45">F243+G243</f>
        <v>49.980000000000004</v>
      </c>
      <c r="F243" s="28">
        <f t="shared" ref="F243:F273" si="46">0.04*H243</f>
        <v>28.560000000000002</v>
      </c>
      <c r="G243" s="28">
        <f t="shared" ref="G243:G273" si="47">0.03*H243</f>
        <v>21.419999999999998</v>
      </c>
      <c r="H243" s="28">
        <f t="shared" si="39"/>
        <v>714</v>
      </c>
      <c r="I243" s="28"/>
      <c r="J243" s="348"/>
      <c r="K243" s="348"/>
      <c r="L243" s="348"/>
      <c r="M243" s="348"/>
      <c r="N243" s="348"/>
      <c r="O243" s="382">
        <v>49544</v>
      </c>
      <c r="P243" s="382">
        <v>50258</v>
      </c>
      <c r="Q243" s="146"/>
      <c r="R243" s="438"/>
      <c r="S243" s="382">
        <v>1</v>
      </c>
      <c r="T243" s="382">
        <f>P243-O243</f>
        <v>714</v>
      </c>
      <c r="U243" s="31">
        <v>7872</v>
      </c>
      <c r="V243" s="542" t="s">
        <v>291</v>
      </c>
      <c r="W243" s="14" t="s">
        <v>48</v>
      </c>
      <c r="X243" s="7"/>
      <c r="Y243" s="7"/>
      <c r="Z243" s="7"/>
      <c r="AA243" s="7"/>
      <c r="AB243" s="7"/>
      <c r="AC243" s="7"/>
    </row>
    <row r="244" spans="1:29" ht="25.5">
      <c r="A244" s="19"/>
      <c r="B244" s="380" t="s">
        <v>292</v>
      </c>
      <c r="C244" s="382">
        <f t="shared" si="44"/>
        <v>1538.66</v>
      </c>
      <c r="D244" s="382"/>
      <c r="E244" s="382">
        <f t="shared" si="45"/>
        <v>100.66</v>
      </c>
      <c r="F244" s="382">
        <f t="shared" si="46"/>
        <v>57.52</v>
      </c>
      <c r="G244" s="382">
        <f t="shared" si="47"/>
        <v>43.14</v>
      </c>
      <c r="H244" s="382">
        <f t="shared" si="39"/>
        <v>1438</v>
      </c>
      <c r="I244" s="382"/>
      <c r="J244" s="29"/>
      <c r="K244" s="29"/>
      <c r="L244" s="29"/>
      <c r="M244" s="29"/>
      <c r="N244" s="29"/>
      <c r="O244" s="28">
        <v>67581</v>
      </c>
      <c r="P244" s="28">
        <v>69019</v>
      </c>
      <c r="Q244" s="146"/>
      <c r="R244" s="439"/>
      <c r="S244" s="28">
        <v>1</v>
      </c>
      <c r="T244" s="28">
        <f>P244-O244</f>
        <v>1438</v>
      </c>
      <c r="U244" s="31">
        <v>4200</v>
      </c>
      <c r="V244" s="542" t="s">
        <v>293</v>
      </c>
      <c r="W244" s="14" t="s">
        <v>48</v>
      </c>
      <c r="X244" s="7"/>
      <c r="Y244" s="7"/>
      <c r="Z244" s="7"/>
      <c r="AA244" s="7"/>
      <c r="AB244" s="7"/>
      <c r="AC244" s="7"/>
    </row>
    <row r="245" spans="1:29" ht="25.5">
      <c r="A245" s="19"/>
      <c r="B245" s="27" t="s">
        <v>294</v>
      </c>
      <c r="C245" s="28">
        <f t="shared" si="44"/>
        <v>421.58</v>
      </c>
      <c r="D245" s="28"/>
      <c r="E245" s="28">
        <f t="shared" si="45"/>
        <v>27.58</v>
      </c>
      <c r="F245" s="28">
        <f t="shared" si="46"/>
        <v>15.76</v>
      </c>
      <c r="G245" s="28">
        <f t="shared" si="47"/>
        <v>11.82</v>
      </c>
      <c r="H245" s="28">
        <f t="shared" si="39"/>
        <v>394</v>
      </c>
      <c r="I245" s="28"/>
      <c r="J245" s="29"/>
      <c r="K245" s="29"/>
      <c r="L245" s="29"/>
      <c r="M245" s="29"/>
      <c r="N245" s="29"/>
      <c r="O245" s="28">
        <v>22878</v>
      </c>
      <c r="P245" s="28">
        <v>23272</v>
      </c>
      <c r="Q245" s="146"/>
      <c r="R245" s="439"/>
      <c r="S245" s="28">
        <v>1</v>
      </c>
      <c r="T245" s="28">
        <f>P245-O245</f>
        <v>394</v>
      </c>
      <c r="U245" s="31" t="s">
        <v>295</v>
      </c>
      <c r="V245" s="542" t="s">
        <v>296</v>
      </c>
      <c r="W245" s="14" t="s">
        <v>48</v>
      </c>
      <c r="X245" s="7"/>
      <c r="Y245" s="7"/>
      <c r="Z245" s="7"/>
      <c r="AA245" s="7"/>
      <c r="AB245" s="7"/>
      <c r="AC245" s="7"/>
    </row>
    <row r="246" spans="1:29" ht="25.5">
      <c r="A246" s="19"/>
      <c r="B246" s="27" t="s">
        <v>748</v>
      </c>
      <c r="C246" s="28">
        <f t="shared" si="44"/>
        <v>1964.52</v>
      </c>
      <c r="D246" s="28"/>
      <c r="E246" s="28">
        <f t="shared" si="45"/>
        <v>128.51999999999998</v>
      </c>
      <c r="F246" s="28">
        <f t="shared" si="46"/>
        <v>73.44</v>
      </c>
      <c r="G246" s="28">
        <f t="shared" si="47"/>
        <v>55.08</v>
      </c>
      <c r="H246" s="28">
        <f t="shared" si="39"/>
        <v>1836</v>
      </c>
      <c r="I246" s="28"/>
      <c r="J246" s="29"/>
      <c r="K246" s="29"/>
      <c r="L246" s="29"/>
      <c r="M246" s="29"/>
      <c r="N246" s="29"/>
      <c r="O246" s="28">
        <v>95073</v>
      </c>
      <c r="P246" s="28">
        <v>96909</v>
      </c>
      <c r="Q246" s="146"/>
      <c r="R246" s="439"/>
      <c r="S246" s="28">
        <v>1</v>
      </c>
      <c r="T246" s="28">
        <f>P246-O246</f>
        <v>1836</v>
      </c>
      <c r="U246" s="31">
        <v>3267</v>
      </c>
      <c r="V246" s="542" t="s">
        <v>297</v>
      </c>
      <c r="W246" s="14" t="s">
        <v>48</v>
      </c>
      <c r="X246" s="7"/>
      <c r="Y246" s="7"/>
      <c r="Z246" s="7"/>
      <c r="AA246" s="7"/>
      <c r="AB246" s="7"/>
      <c r="AC246" s="7"/>
    </row>
    <row r="247" spans="1:29" ht="26.25">
      <c r="A247" s="19"/>
      <c r="B247" s="806" t="s">
        <v>298</v>
      </c>
      <c r="C247" s="72">
        <f t="shared" si="44"/>
        <v>18213.539999999928</v>
      </c>
      <c r="D247" s="28"/>
      <c r="E247" s="28">
        <f t="shared" si="45"/>
        <v>1191.5399999999954</v>
      </c>
      <c r="F247" s="28">
        <f t="shared" si="46"/>
        <v>680.87999999999738</v>
      </c>
      <c r="G247" s="28">
        <f t="shared" si="47"/>
        <v>510.65999999999804</v>
      </c>
      <c r="H247" s="28">
        <f t="shared" si="39"/>
        <v>17021.999999999935</v>
      </c>
      <c r="I247" s="28"/>
      <c r="J247" s="29"/>
      <c r="K247" s="29"/>
      <c r="L247" s="29"/>
      <c r="M247" s="29"/>
      <c r="N247" s="29"/>
      <c r="O247" s="365">
        <v>24605.7</v>
      </c>
      <c r="P247" s="365">
        <v>25173.1</v>
      </c>
      <c r="Q247" s="146"/>
      <c r="R247" s="439"/>
      <c r="S247" s="28">
        <v>30</v>
      </c>
      <c r="T247" s="28">
        <f>(P247-O247)*S247</f>
        <v>17021.999999999935</v>
      </c>
      <c r="U247" s="31" t="s">
        <v>299</v>
      </c>
      <c r="V247" s="804" t="s">
        <v>300</v>
      </c>
      <c r="W247" s="14" t="s">
        <v>48</v>
      </c>
      <c r="X247" s="7"/>
      <c r="Y247" s="7"/>
      <c r="Z247" s="7"/>
      <c r="AA247" s="7"/>
      <c r="AB247" s="7"/>
      <c r="AC247" s="7"/>
    </row>
    <row r="248" spans="1:29" ht="26.25">
      <c r="A248" s="19"/>
      <c r="B248" s="807"/>
      <c r="C248" s="72">
        <f t="shared" si="44"/>
        <v>5419.55</v>
      </c>
      <c r="D248" s="28"/>
      <c r="E248" s="28">
        <f t="shared" si="45"/>
        <v>354.54999999999995</v>
      </c>
      <c r="F248" s="28">
        <f t="shared" si="46"/>
        <v>202.6</v>
      </c>
      <c r="G248" s="28">
        <f t="shared" si="47"/>
        <v>151.94999999999999</v>
      </c>
      <c r="H248" s="28">
        <f t="shared" si="39"/>
        <v>5065</v>
      </c>
      <c r="I248" s="28"/>
      <c r="J248" s="29"/>
      <c r="K248" s="29"/>
      <c r="L248" s="29"/>
      <c r="M248" s="29"/>
      <c r="N248" s="29"/>
      <c r="O248" s="28">
        <v>73222</v>
      </c>
      <c r="P248" s="28">
        <v>78287</v>
      </c>
      <c r="Q248" s="146"/>
      <c r="R248" s="439"/>
      <c r="S248" s="28">
        <v>1</v>
      </c>
      <c r="T248" s="28">
        <f t="shared" ref="T248:T254" si="48">P248-O248</f>
        <v>5065</v>
      </c>
      <c r="U248" s="31">
        <v>6398</v>
      </c>
      <c r="V248" s="804"/>
      <c r="W248" s="14" t="s">
        <v>48</v>
      </c>
      <c r="X248" s="7"/>
      <c r="Y248" s="7"/>
      <c r="Z248" s="7"/>
      <c r="AA248" s="7"/>
      <c r="AB248" s="7"/>
      <c r="AC248" s="7"/>
    </row>
    <row r="249" spans="1:29" ht="25.5">
      <c r="A249" s="19"/>
      <c r="B249" s="27" t="s">
        <v>301</v>
      </c>
      <c r="C249" s="28">
        <f t="shared" si="44"/>
        <v>2237.37</v>
      </c>
      <c r="D249" s="28"/>
      <c r="E249" s="28">
        <f t="shared" si="45"/>
        <v>146.37</v>
      </c>
      <c r="F249" s="28">
        <f t="shared" si="46"/>
        <v>83.64</v>
      </c>
      <c r="G249" s="28">
        <f t="shared" si="47"/>
        <v>62.73</v>
      </c>
      <c r="H249" s="28">
        <f t="shared" si="39"/>
        <v>2091</v>
      </c>
      <c r="I249" s="28"/>
      <c r="J249" s="29"/>
      <c r="K249" s="29"/>
      <c r="L249" s="29"/>
      <c r="M249" s="29"/>
      <c r="N249" s="29"/>
      <c r="O249" s="28">
        <v>77800</v>
      </c>
      <c r="P249" s="28">
        <v>79891</v>
      </c>
      <c r="Q249" s="146"/>
      <c r="R249" s="439"/>
      <c r="S249" s="28">
        <v>1</v>
      </c>
      <c r="T249" s="28">
        <f t="shared" si="48"/>
        <v>2091</v>
      </c>
      <c r="U249" s="31" t="s">
        <v>302</v>
      </c>
      <c r="V249" s="542" t="s">
        <v>779</v>
      </c>
      <c r="W249" s="14" t="s">
        <v>48</v>
      </c>
      <c r="X249" s="7"/>
      <c r="Y249" s="7"/>
      <c r="Z249" s="7"/>
      <c r="AA249" s="7"/>
      <c r="AB249" s="7"/>
      <c r="AC249" s="7"/>
    </row>
    <row r="250" spans="1:29" ht="30.75" customHeight="1">
      <c r="A250" s="19"/>
      <c r="B250" s="27" t="s">
        <v>303</v>
      </c>
      <c r="C250" s="28">
        <f t="shared" si="44"/>
        <v>3659.4</v>
      </c>
      <c r="D250" s="28"/>
      <c r="E250" s="28">
        <f t="shared" si="45"/>
        <v>239.4</v>
      </c>
      <c r="F250" s="28">
        <f t="shared" si="46"/>
        <v>136.80000000000001</v>
      </c>
      <c r="G250" s="28">
        <f t="shared" si="47"/>
        <v>102.6</v>
      </c>
      <c r="H250" s="28">
        <f t="shared" si="39"/>
        <v>3420</v>
      </c>
      <c r="I250" s="28"/>
      <c r="J250" s="29"/>
      <c r="K250" s="29"/>
      <c r="L250" s="29"/>
      <c r="M250" s="29"/>
      <c r="N250" s="29"/>
      <c r="O250" s="28">
        <v>82117</v>
      </c>
      <c r="P250" s="28">
        <v>85537</v>
      </c>
      <c r="Q250" s="146"/>
      <c r="R250" s="439"/>
      <c r="S250" s="28">
        <v>1</v>
      </c>
      <c r="T250" s="28">
        <f t="shared" si="48"/>
        <v>3420</v>
      </c>
      <c r="U250" s="31">
        <v>2943</v>
      </c>
      <c r="V250" s="542" t="s">
        <v>304</v>
      </c>
      <c r="W250" s="14" t="s">
        <v>48</v>
      </c>
      <c r="X250" s="7"/>
      <c r="Y250" s="7"/>
      <c r="Z250" s="7"/>
      <c r="AA250" s="7"/>
      <c r="AB250" s="7"/>
      <c r="AC250" s="7"/>
    </row>
    <row r="251" spans="1:29" ht="26.25">
      <c r="A251" s="19"/>
      <c r="B251" s="440"/>
      <c r="C251" s="199">
        <f t="shared" si="44"/>
        <v>0</v>
      </c>
      <c r="D251" s="199"/>
      <c r="E251" s="199">
        <f t="shared" si="45"/>
        <v>0</v>
      </c>
      <c r="F251" s="199">
        <f t="shared" si="46"/>
        <v>0</v>
      </c>
      <c r="G251" s="199">
        <f t="shared" si="47"/>
        <v>0</v>
      </c>
      <c r="H251" s="199">
        <f t="shared" si="39"/>
        <v>0</v>
      </c>
      <c r="I251" s="199"/>
      <c r="J251" s="333"/>
      <c r="K251" s="333"/>
      <c r="L251" s="333"/>
      <c r="M251" s="333"/>
      <c r="N251" s="333"/>
      <c r="O251" s="199">
        <v>0</v>
      </c>
      <c r="P251" s="199">
        <v>0</v>
      </c>
      <c r="Q251" s="334"/>
      <c r="R251" s="335"/>
      <c r="S251" s="199">
        <v>1</v>
      </c>
      <c r="T251" s="199">
        <f t="shared" si="48"/>
        <v>0</v>
      </c>
      <c r="U251" s="31"/>
      <c r="V251" s="540"/>
      <c r="W251" s="14" t="s">
        <v>48</v>
      </c>
      <c r="X251" s="7"/>
      <c r="Y251" s="7"/>
      <c r="Z251" s="7"/>
      <c r="AA251" s="7"/>
      <c r="AB251" s="7"/>
      <c r="AC251" s="7"/>
    </row>
    <row r="252" spans="1:29" ht="27.75" customHeight="1">
      <c r="A252" s="19"/>
      <c r="B252" s="375" t="s">
        <v>305</v>
      </c>
      <c r="C252" s="349">
        <f t="shared" si="44"/>
        <v>457.96</v>
      </c>
      <c r="D252" s="349"/>
      <c r="E252" s="349">
        <f t="shared" si="45"/>
        <v>29.96</v>
      </c>
      <c r="F252" s="349">
        <f t="shared" si="46"/>
        <v>17.12</v>
      </c>
      <c r="G252" s="349">
        <f t="shared" si="47"/>
        <v>12.84</v>
      </c>
      <c r="H252" s="349">
        <f t="shared" si="39"/>
        <v>428</v>
      </c>
      <c r="I252" s="349"/>
      <c r="J252" s="29"/>
      <c r="K252" s="29"/>
      <c r="L252" s="29"/>
      <c r="M252" s="29"/>
      <c r="N252" s="29" t="s">
        <v>271</v>
      </c>
      <c r="O252" s="349">
        <v>21494</v>
      </c>
      <c r="P252" s="349">
        <v>21922</v>
      </c>
      <c r="Q252" s="146"/>
      <c r="R252" s="425"/>
      <c r="S252" s="349">
        <v>1</v>
      </c>
      <c r="T252" s="349">
        <f t="shared" si="48"/>
        <v>428</v>
      </c>
      <c r="U252" s="31" t="s">
        <v>306</v>
      </c>
      <c r="V252" s="542" t="s">
        <v>307</v>
      </c>
      <c r="W252" s="14" t="s">
        <v>48</v>
      </c>
      <c r="X252" s="7"/>
      <c r="Y252" s="7"/>
      <c r="Z252" s="7"/>
      <c r="AA252" s="7"/>
      <c r="AB252" s="7"/>
      <c r="AC252" s="7"/>
    </row>
    <row r="253" spans="1:29" ht="27.75" customHeight="1">
      <c r="A253" s="19"/>
      <c r="B253" s="375" t="s">
        <v>308</v>
      </c>
      <c r="C253" s="349">
        <f t="shared" si="44"/>
        <v>277.13</v>
      </c>
      <c r="D253" s="349"/>
      <c r="E253" s="349">
        <f t="shared" si="45"/>
        <v>18.13</v>
      </c>
      <c r="F253" s="349">
        <f t="shared" si="46"/>
        <v>10.36</v>
      </c>
      <c r="G253" s="349">
        <f t="shared" si="47"/>
        <v>7.77</v>
      </c>
      <c r="H253" s="349">
        <f t="shared" si="39"/>
        <v>259</v>
      </c>
      <c r="I253" s="349"/>
      <c r="J253" s="29"/>
      <c r="K253" s="29"/>
      <c r="L253" s="29"/>
      <c r="M253" s="29"/>
      <c r="N253" s="29" t="s">
        <v>271</v>
      </c>
      <c r="O253" s="349">
        <v>4505</v>
      </c>
      <c r="P253" s="349">
        <v>4764</v>
      </c>
      <c r="Q253" s="146"/>
      <c r="R253" s="425"/>
      <c r="S253" s="349">
        <v>1</v>
      </c>
      <c r="T253" s="349">
        <f t="shared" si="48"/>
        <v>259</v>
      </c>
      <c r="U253" s="31"/>
      <c r="V253" s="542" t="s">
        <v>309</v>
      </c>
      <c r="W253" s="14" t="s">
        <v>82</v>
      </c>
      <c r="X253" s="7"/>
      <c r="Y253" s="7"/>
      <c r="Z253" s="7"/>
      <c r="AA253" s="7"/>
      <c r="AB253" s="7"/>
      <c r="AC253" s="7"/>
    </row>
    <row r="254" spans="1:29" ht="27">
      <c r="A254" s="19"/>
      <c r="B254" s="441" t="s">
        <v>310</v>
      </c>
      <c r="C254" s="349">
        <f t="shared" si="44"/>
        <v>426.93</v>
      </c>
      <c r="D254" s="349"/>
      <c r="E254" s="349">
        <f t="shared" si="45"/>
        <v>27.93</v>
      </c>
      <c r="F254" s="349">
        <f t="shared" si="46"/>
        <v>15.96</v>
      </c>
      <c r="G254" s="349">
        <f t="shared" si="47"/>
        <v>11.969999999999999</v>
      </c>
      <c r="H254" s="349">
        <f t="shared" si="39"/>
        <v>399</v>
      </c>
      <c r="I254" s="349"/>
      <c r="J254" s="29"/>
      <c r="K254" s="29"/>
      <c r="L254" s="29"/>
      <c r="M254" s="29"/>
      <c r="N254" s="29" t="s">
        <v>271</v>
      </c>
      <c r="O254" s="349">
        <v>12397</v>
      </c>
      <c r="P254" s="349">
        <v>12796</v>
      </c>
      <c r="Q254" s="146"/>
      <c r="R254" s="425"/>
      <c r="S254" s="349">
        <v>1</v>
      </c>
      <c r="T254" s="349">
        <f t="shared" si="48"/>
        <v>399</v>
      </c>
      <c r="U254" s="442">
        <v>6292</v>
      </c>
      <c r="V254" s="542" t="s">
        <v>311</v>
      </c>
      <c r="W254" s="14" t="s">
        <v>82</v>
      </c>
      <c r="X254" s="7"/>
      <c r="Y254" s="7"/>
      <c r="Z254" s="7"/>
      <c r="AA254" s="7"/>
      <c r="AB254" s="7"/>
      <c r="AC254" s="7"/>
    </row>
    <row r="255" spans="1:29" ht="25.5">
      <c r="A255" s="19"/>
      <c r="B255" s="443" t="s">
        <v>312</v>
      </c>
      <c r="C255" s="28">
        <f t="shared" si="44"/>
        <v>1705.58</v>
      </c>
      <c r="D255" s="28"/>
      <c r="E255" s="28">
        <f t="shared" si="45"/>
        <v>111.58</v>
      </c>
      <c r="F255" s="28">
        <f t="shared" si="46"/>
        <v>63.76</v>
      </c>
      <c r="G255" s="28">
        <f t="shared" si="47"/>
        <v>47.82</v>
      </c>
      <c r="H255" s="28">
        <f t="shared" si="39"/>
        <v>1594</v>
      </c>
      <c r="I255" s="28"/>
      <c r="J255" s="348"/>
      <c r="K255" s="348"/>
      <c r="L255" s="348"/>
      <c r="M255" s="348"/>
      <c r="N255" s="348"/>
      <c r="O255" s="28">
        <v>73783</v>
      </c>
      <c r="P255" s="28">
        <v>75377</v>
      </c>
      <c r="Q255" s="61"/>
      <c r="R255" s="71"/>
      <c r="S255" s="28">
        <v>1</v>
      </c>
      <c r="T255" s="28">
        <f>P255-O255</f>
        <v>1594</v>
      </c>
      <c r="U255" s="31">
        <v>3092</v>
      </c>
      <c r="V255" s="542" t="s">
        <v>313</v>
      </c>
      <c r="W255" s="14" t="s">
        <v>48</v>
      </c>
      <c r="X255" s="7"/>
      <c r="Y255" s="7"/>
      <c r="Z255" s="7"/>
      <c r="AA255" s="7"/>
      <c r="AB255" s="7"/>
      <c r="AC255" s="7"/>
    </row>
    <row r="256" spans="1:29" ht="25.5">
      <c r="A256" s="19"/>
      <c r="B256" s="27" t="s">
        <v>314</v>
      </c>
      <c r="C256" s="382">
        <f t="shared" si="44"/>
        <v>1423.1</v>
      </c>
      <c r="D256" s="382"/>
      <c r="E256" s="382">
        <f t="shared" si="45"/>
        <v>93.1</v>
      </c>
      <c r="F256" s="382">
        <f t="shared" si="46"/>
        <v>53.2</v>
      </c>
      <c r="G256" s="382">
        <f t="shared" si="47"/>
        <v>39.9</v>
      </c>
      <c r="H256" s="382">
        <f t="shared" si="39"/>
        <v>1330</v>
      </c>
      <c r="I256" s="382"/>
      <c r="J256" s="29"/>
      <c r="K256" s="29"/>
      <c r="L256" s="29"/>
      <c r="M256" s="29"/>
      <c r="N256" s="29"/>
      <c r="O256" s="382">
        <v>53386</v>
      </c>
      <c r="P256" s="382">
        <v>54716</v>
      </c>
      <c r="Q256" s="146"/>
      <c r="R256" s="444"/>
      <c r="S256" s="382">
        <v>1</v>
      </c>
      <c r="T256" s="382">
        <f>P256-O256</f>
        <v>1330</v>
      </c>
      <c r="U256" s="31">
        <v>3370</v>
      </c>
      <c r="V256" s="542" t="s">
        <v>315</v>
      </c>
      <c r="W256" s="14" t="s">
        <v>48</v>
      </c>
      <c r="X256" s="7"/>
      <c r="Y256" s="7"/>
      <c r="Z256" s="7"/>
      <c r="AA256" s="7"/>
      <c r="AB256" s="7"/>
      <c r="AC256" s="7"/>
    </row>
    <row r="257" spans="1:29" ht="25.5">
      <c r="A257" s="19"/>
      <c r="B257" s="27" t="s">
        <v>316</v>
      </c>
      <c r="C257" s="28">
        <f t="shared" si="44"/>
        <v>525.37</v>
      </c>
      <c r="D257" s="28"/>
      <c r="E257" s="28">
        <f>F257+G257</f>
        <v>34.369999999999997</v>
      </c>
      <c r="F257" s="28">
        <f t="shared" si="46"/>
        <v>19.64</v>
      </c>
      <c r="G257" s="28">
        <f>0.03*H257</f>
        <v>14.729999999999999</v>
      </c>
      <c r="H257" s="28">
        <f>T257</f>
        <v>491</v>
      </c>
      <c r="I257" s="28"/>
      <c r="J257" s="29"/>
      <c r="K257" s="29"/>
      <c r="L257" s="29"/>
      <c r="M257" s="29"/>
      <c r="N257" s="29"/>
      <c r="O257" s="28">
        <v>26532</v>
      </c>
      <c r="P257" s="28">
        <v>27023</v>
      </c>
      <c r="Q257" s="146"/>
      <c r="R257" s="71"/>
      <c r="S257" s="28">
        <v>1</v>
      </c>
      <c r="T257" s="28">
        <f>P257-O257</f>
        <v>491</v>
      </c>
      <c r="U257" s="31">
        <v>3300</v>
      </c>
      <c r="V257" s="542" t="s">
        <v>317</v>
      </c>
      <c r="W257" s="14" t="s">
        <v>48</v>
      </c>
      <c r="X257" s="7"/>
      <c r="Y257" s="7"/>
      <c r="Z257" s="7"/>
      <c r="AA257" s="7"/>
      <c r="AB257" s="7"/>
      <c r="AC257" s="7"/>
    </row>
    <row r="258" spans="1:29" ht="25.5">
      <c r="A258" s="19"/>
      <c r="B258" s="27" t="s">
        <v>318</v>
      </c>
      <c r="C258" s="28">
        <f t="shared" si="44"/>
        <v>461.17</v>
      </c>
      <c r="D258" s="28"/>
      <c r="E258" s="28">
        <f>F258+G258</f>
        <v>30.17</v>
      </c>
      <c r="F258" s="28">
        <f>0.04*H258</f>
        <v>17.240000000000002</v>
      </c>
      <c r="G258" s="28">
        <f>0.03*H258</f>
        <v>12.93</v>
      </c>
      <c r="H258" s="28">
        <f>T258</f>
        <v>431</v>
      </c>
      <c r="I258" s="28"/>
      <c r="J258" s="29"/>
      <c r="K258" s="29"/>
      <c r="L258" s="29"/>
      <c r="M258" s="29"/>
      <c r="N258" s="29"/>
      <c r="O258" s="28">
        <v>78858</v>
      </c>
      <c r="P258" s="28">
        <v>79289</v>
      </c>
      <c r="Q258" s="146"/>
      <c r="R258" s="71"/>
      <c r="S258" s="28">
        <v>1</v>
      </c>
      <c r="T258" s="28">
        <f>P258-O258</f>
        <v>431</v>
      </c>
      <c r="U258" s="31">
        <v>3920</v>
      </c>
      <c r="V258" s="542" t="s">
        <v>317</v>
      </c>
      <c r="W258" s="14" t="s">
        <v>48</v>
      </c>
      <c r="X258" s="7"/>
      <c r="Y258" s="7"/>
      <c r="Z258" s="7"/>
      <c r="AA258" s="7"/>
      <c r="AB258" s="7"/>
      <c r="AC258" s="7"/>
    </row>
    <row r="259" spans="1:29" ht="25.5">
      <c r="A259" s="19"/>
      <c r="B259" s="27" t="s">
        <v>319</v>
      </c>
      <c r="C259" s="28">
        <f t="shared" si="44"/>
        <v>1707.72</v>
      </c>
      <c r="D259" s="28"/>
      <c r="E259" s="28">
        <f>F259+G259</f>
        <v>111.72</v>
      </c>
      <c r="F259" s="28">
        <f t="shared" si="46"/>
        <v>63.84</v>
      </c>
      <c r="G259" s="28">
        <f t="shared" si="47"/>
        <v>47.879999999999995</v>
      </c>
      <c r="H259" s="28">
        <f t="shared" si="39"/>
        <v>1596</v>
      </c>
      <c r="I259" s="28"/>
      <c r="J259" s="29"/>
      <c r="K259" s="29"/>
      <c r="L259" s="29"/>
      <c r="M259" s="29"/>
      <c r="N259" s="29"/>
      <c r="O259" s="28">
        <v>108576</v>
      </c>
      <c r="P259" s="28">
        <v>110172</v>
      </c>
      <c r="Q259" s="146"/>
      <c r="R259" s="71"/>
      <c r="S259" s="28">
        <v>1</v>
      </c>
      <c r="T259" s="28">
        <f>P259-O259</f>
        <v>1596</v>
      </c>
      <c r="U259" s="31">
        <v>3665</v>
      </c>
      <c r="V259" s="542" t="s">
        <v>320</v>
      </c>
      <c r="W259" s="14" t="s">
        <v>82</v>
      </c>
      <c r="X259" s="7"/>
      <c r="Y259" s="7"/>
      <c r="Z259" s="7"/>
      <c r="AA259" s="7"/>
      <c r="AB259" s="7"/>
      <c r="AC259" s="7"/>
    </row>
    <row r="260" spans="1:29" ht="25.5">
      <c r="A260" s="19"/>
      <c r="B260" s="27" t="s">
        <v>321</v>
      </c>
      <c r="C260" s="28">
        <f t="shared" si="44"/>
        <v>1423.1</v>
      </c>
      <c r="D260" s="28"/>
      <c r="E260" s="28">
        <f t="shared" si="45"/>
        <v>93.1</v>
      </c>
      <c r="F260" s="28">
        <f t="shared" si="46"/>
        <v>53.2</v>
      </c>
      <c r="G260" s="28">
        <f t="shared" si="47"/>
        <v>39.9</v>
      </c>
      <c r="H260" s="28">
        <f t="shared" si="39"/>
        <v>1330</v>
      </c>
      <c r="I260" s="28">
        <f t="shared" ref="I260:I273" si="49">0.6*C260</f>
        <v>853.8599999999999</v>
      </c>
      <c r="J260" s="29"/>
      <c r="K260" s="29"/>
      <c r="L260" s="29"/>
      <c r="M260" s="29"/>
      <c r="N260" s="29"/>
      <c r="O260" s="445">
        <v>16100</v>
      </c>
      <c r="P260" s="445">
        <v>17430</v>
      </c>
      <c r="Q260" s="29"/>
      <c r="R260" s="348"/>
      <c r="S260" s="54">
        <v>1</v>
      </c>
      <c r="T260" s="28">
        <f t="shared" ref="T260:T273" si="50">(P260-O260)*S260</f>
        <v>1330</v>
      </c>
      <c r="U260" s="31">
        <v>34431</v>
      </c>
      <c r="V260" s="542" t="s">
        <v>322</v>
      </c>
      <c r="W260" s="14" t="s">
        <v>82</v>
      </c>
      <c r="X260" s="7"/>
      <c r="Y260" s="7"/>
      <c r="Z260" s="7"/>
      <c r="AA260" s="7"/>
      <c r="AB260" s="7"/>
      <c r="AC260" s="7"/>
    </row>
    <row r="261" spans="1:29" ht="25.5">
      <c r="A261" s="19"/>
      <c r="B261" s="446" t="s">
        <v>323</v>
      </c>
      <c r="C261" s="28">
        <f t="shared" si="44"/>
        <v>1774.06</v>
      </c>
      <c r="D261" s="28"/>
      <c r="E261" s="28">
        <f t="shared" si="45"/>
        <v>116.06</v>
      </c>
      <c r="F261" s="28">
        <f t="shared" si="46"/>
        <v>66.320000000000007</v>
      </c>
      <c r="G261" s="28">
        <f t="shared" si="47"/>
        <v>49.739999999999995</v>
      </c>
      <c r="H261" s="28">
        <f t="shared" si="39"/>
        <v>1658</v>
      </c>
      <c r="I261" s="28">
        <f t="shared" si="49"/>
        <v>1064.4359999999999</v>
      </c>
      <c r="J261" s="29"/>
      <c r="K261" s="29"/>
      <c r="L261" s="29"/>
      <c r="M261" s="29"/>
      <c r="N261" s="29"/>
      <c r="O261" s="445">
        <v>62047</v>
      </c>
      <c r="P261" s="445">
        <v>63705</v>
      </c>
      <c r="Q261" s="29"/>
      <c r="R261" s="348"/>
      <c r="S261" s="54">
        <v>1</v>
      </c>
      <c r="T261" s="28">
        <f>(P261-O261)*S261</f>
        <v>1658</v>
      </c>
      <c r="U261" s="31">
        <v>6272</v>
      </c>
      <c r="V261" s="542" t="s">
        <v>324</v>
      </c>
      <c r="W261" s="14" t="s">
        <v>82</v>
      </c>
      <c r="X261" s="7"/>
      <c r="Y261" s="7"/>
      <c r="Z261" s="7"/>
      <c r="AA261" s="7"/>
      <c r="AB261" s="7"/>
      <c r="AC261" s="7"/>
    </row>
    <row r="262" spans="1:29" ht="54.75" customHeight="1">
      <c r="A262" s="19"/>
      <c r="B262" s="27" t="s">
        <v>292</v>
      </c>
      <c r="C262" s="28">
        <f t="shared" si="44"/>
        <v>942.67</v>
      </c>
      <c r="D262" s="28"/>
      <c r="E262" s="28">
        <f t="shared" si="45"/>
        <v>61.67</v>
      </c>
      <c r="F262" s="28">
        <f t="shared" si="46"/>
        <v>35.24</v>
      </c>
      <c r="G262" s="28">
        <f t="shared" si="47"/>
        <v>26.43</v>
      </c>
      <c r="H262" s="28">
        <f t="shared" si="39"/>
        <v>881</v>
      </c>
      <c r="I262" s="28">
        <f t="shared" si="49"/>
        <v>565.60199999999998</v>
      </c>
      <c r="J262" s="29"/>
      <c r="K262" s="29"/>
      <c r="L262" s="29"/>
      <c r="M262" s="29"/>
      <c r="N262" s="29"/>
      <c r="O262" s="445">
        <v>30344</v>
      </c>
      <c r="P262" s="445">
        <v>31225</v>
      </c>
      <c r="Q262" s="29"/>
      <c r="R262" s="348"/>
      <c r="S262" s="54">
        <v>1</v>
      </c>
      <c r="T262" s="28">
        <f>(P262-O262)*S262</f>
        <v>881</v>
      </c>
      <c r="U262" s="447">
        <v>6090</v>
      </c>
      <c r="V262" s="542" t="s">
        <v>325</v>
      </c>
      <c r="W262" s="14" t="s">
        <v>82</v>
      </c>
      <c r="X262" s="7"/>
      <c r="Y262" s="7"/>
      <c r="Z262" s="7"/>
      <c r="AA262" s="7"/>
      <c r="AB262" s="7"/>
      <c r="AC262" s="7"/>
    </row>
    <row r="263" spans="1:29" ht="25.5">
      <c r="A263" s="19"/>
      <c r="B263" s="83" t="s">
        <v>749</v>
      </c>
      <c r="C263" s="28">
        <f t="shared" si="44"/>
        <v>1199.47</v>
      </c>
      <c r="D263" s="28"/>
      <c r="E263" s="28">
        <f t="shared" si="45"/>
        <v>78.47</v>
      </c>
      <c r="F263" s="28">
        <f t="shared" si="46"/>
        <v>44.84</v>
      </c>
      <c r="G263" s="28">
        <f t="shared" si="47"/>
        <v>33.629999999999995</v>
      </c>
      <c r="H263" s="28">
        <f t="shared" si="39"/>
        <v>1121</v>
      </c>
      <c r="I263" s="28">
        <f t="shared" si="49"/>
        <v>719.68200000000002</v>
      </c>
      <c r="J263" s="29"/>
      <c r="K263" s="29"/>
      <c r="L263" s="29"/>
      <c r="M263" s="29"/>
      <c r="N263" s="29"/>
      <c r="O263" s="445">
        <v>35080</v>
      </c>
      <c r="P263" s="445">
        <v>36201</v>
      </c>
      <c r="Q263" s="29"/>
      <c r="R263" s="348"/>
      <c r="S263" s="54">
        <v>1</v>
      </c>
      <c r="T263" s="28">
        <f t="shared" si="50"/>
        <v>1121</v>
      </c>
      <c r="U263" s="31"/>
      <c r="V263" s="542" t="s">
        <v>326</v>
      </c>
      <c r="W263" s="14" t="s">
        <v>82</v>
      </c>
      <c r="X263" s="7"/>
      <c r="Y263" s="7"/>
      <c r="Z263" s="7"/>
      <c r="AA263" s="7"/>
      <c r="AB263" s="7"/>
      <c r="AC263" s="7"/>
    </row>
    <row r="264" spans="1:29" ht="25.5">
      <c r="A264" s="19"/>
      <c r="B264" s="446" t="s">
        <v>693</v>
      </c>
      <c r="C264" s="84">
        <f t="shared" si="44"/>
        <v>1566.48</v>
      </c>
      <c r="D264" s="84"/>
      <c r="E264" s="84">
        <f t="shared" si="45"/>
        <v>102.48</v>
      </c>
      <c r="F264" s="84">
        <f t="shared" si="46"/>
        <v>58.56</v>
      </c>
      <c r="G264" s="84">
        <f t="shared" si="47"/>
        <v>43.92</v>
      </c>
      <c r="H264" s="84">
        <f t="shared" si="39"/>
        <v>1464</v>
      </c>
      <c r="I264" s="84">
        <f t="shared" si="49"/>
        <v>939.88799999999992</v>
      </c>
      <c r="J264" s="130"/>
      <c r="K264" s="130"/>
      <c r="L264" s="130"/>
      <c r="M264" s="130"/>
      <c r="N264" s="130"/>
      <c r="O264" s="84">
        <v>59070</v>
      </c>
      <c r="P264" s="84">
        <v>60534</v>
      </c>
      <c r="Q264" s="130"/>
      <c r="R264" s="385"/>
      <c r="S264" s="156">
        <v>1</v>
      </c>
      <c r="T264" s="84">
        <f t="shared" si="50"/>
        <v>1464</v>
      </c>
      <c r="U264" s="88">
        <v>6088</v>
      </c>
      <c r="V264" s="89" t="s">
        <v>327</v>
      </c>
      <c r="W264" s="14" t="s">
        <v>82</v>
      </c>
      <c r="X264" s="7"/>
      <c r="Y264" s="7"/>
      <c r="Z264" s="7"/>
      <c r="AA264" s="7"/>
      <c r="AB264" s="7"/>
      <c r="AC264" s="7"/>
    </row>
    <row r="265" spans="1:29" ht="25.5">
      <c r="A265" s="194"/>
      <c r="B265" s="363" t="s">
        <v>694</v>
      </c>
      <c r="C265" s="28">
        <f t="shared" si="44"/>
        <v>2120.7399999999998</v>
      </c>
      <c r="D265" s="28"/>
      <c r="E265" s="28">
        <f t="shared" si="45"/>
        <v>138.74</v>
      </c>
      <c r="F265" s="28">
        <f t="shared" si="46"/>
        <v>79.28</v>
      </c>
      <c r="G265" s="28">
        <f t="shared" si="47"/>
        <v>59.46</v>
      </c>
      <c r="H265" s="28">
        <f t="shared" si="39"/>
        <v>1982</v>
      </c>
      <c r="I265" s="28">
        <f t="shared" si="49"/>
        <v>1272.4439999999997</v>
      </c>
      <c r="J265" s="29"/>
      <c r="K265" s="29"/>
      <c r="L265" s="29"/>
      <c r="M265" s="29"/>
      <c r="N265" s="29"/>
      <c r="O265" s="445">
        <v>70631</v>
      </c>
      <c r="P265" s="445">
        <v>72613</v>
      </c>
      <c r="Q265" s="29"/>
      <c r="R265" s="348"/>
      <c r="S265" s="54">
        <v>1</v>
      </c>
      <c r="T265" s="28">
        <f t="shared" si="50"/>
        <v>1982</v>
      </c>
      <c r="U265" s="31">
        <v>6209</v>
      </c>
      <c r="V265" s="542" t="s">
        <v>811</v>
      </c>
      <c r="W265" s="14" t="s">
        <v>82</v>
      </c>
      <c r="X265" s="7"/>
      <c r="Y265" s="7"/>
      <c r="Z265" s="7"/>
      <c r="AA265" s="7"/>
      <c r="AB265" s="7"/>
      <c r="AC265" s="7"/>
    </row>
    <row r="266" spans="1:29" ht="25.5">
      <c r="A266" s="19"/>
      <c r="B266" s="27" t="s">
        <v>328</v>
      </c>
      <c r="C266" s="28">
        <f t="shared" si="44"/>
        <v>1254.04</v>
      </c>
      <c r="D266" s="28"/>
      <c r="E266" s="28">
        <f>F266+G266</f>
        <v>82.039999999999992</v>
      </c>
      <c r="F266" s="28">
        <f>0.04*H266</f>
        <v>46.88</v>
      </c>
      <c r="G266" s="28">
        <f>0.03*H266</f>
        <v>35.159999999999997</v>
      </c>
      <c r="H266" s="28">
        <f>T266</f>
        <v>1172</v>
      </c>
      <c r="I266" s="28">
        <f>0.5*C266</f>
        <v>627.02</v>
      </c>
      <c r="J266" s="29"/>
      <c r="K266" s="29"/>
      <c r="L266" s="29"/>
      <c r="M266" s="29"/>
      <c r="N266" s="29"/>
      <c r="O266" s="414">
        <v>14908</v>
      </c>
      <c r="P266" s="414">
        <v>16080</v>
      </c>
      <c r="Q266" s="146"/>
      <c r="R266" s="147"/>
      <c r="S266" s="54">
        <v>1</v>
      </c>
      <c r="T266" s="28">
        <f>(P266-O266)*S266</f>
        <v>1172</v>
      </c>
      <c r="U266" s="31">
        <v>4369</v>
      </c>
      <c r="V266" s="542" t="s">
        <v>381</v>
      </c>
      <c r="W266" s="14" t="s">
        <v>82</v>
      </c>
      <c r="X266" s="7"/>
      <c r="Y266" s="7"/>
      <c r="Z266" s="7"/>
      <c r="AA266" s="7"/>
      <c r="AB266" s="7"/>
      <c r="AC266" s="7"/>
    </row>
    <row r="267" spans="1:29" ht="25.5">
      <c r="A267" s="19"/>
      <c r="B267" s="27" t="s">
        <v>329</v>
      </c>
      <c r="C267" s="28">
        <f t="shared" si="44"/>
        <v>1442.36</v>
      </c>
      <c r="D267" s="28"/>
      <c r="E267" s="28">
        <f t="shared" si="45"/>
        <v>94.36</v>
      </c>
      <c r="F267" s="28">
        <f t="shared" si="46"/>
        <v>53.92</v>
      </c>
      <c r="G267" s="28">
        <f t="shared" si="47"/>
        <v>40.44</v>
      </c>
      <c r="H267" s="28">
        <f t="shared" si="39"/>
        <v>1348</v>
      </c>
      <c r="I267" s="28">
        <f t="shared" si="49"/>
        <v>865.41599999999994</v>
      </c>
      <c r="J267" s="29"/>
      <c r="K267" s="29"/>
      <c r="L267" s="29"/>
      <c r="M267" s="29"/>
      <c r="N267" s="29"/>
      <c r="O267" s="445">
        <v>61709</v>
      </c>
      <c r="P267" s="445">
        <v>63057</v>
      </c>
      <c r="Q267" s="29"/>
      <c r="R267" s="348"/>
      <c r="S267" s="54">
        <v>1</v>
      </c>
      <c r="T267" s="28">
        <f t="shared" si="50"/>
        <v>1348</v>
      </c>
      <c r="U267" s="31"/>
      <c r="V267" s="542" t="s">
        <v>330</v>
      </c>
      <c r="W267" s="14" t="s">
        <v>82</v>
      </c>
      <c r="X267" s="7"/>
      <c r="Y267" s="7"/>
      <c r="Z267" s="7"/>
      <c r="AA267" s="7"/>
      <c r="AB267" s="7"/>
      <c r="AC267" s="7"/>
    </row>
    <row r="268" spans="1:29" ht="25.5">
      <c r="A268" s="19"/>
      <c r="B268" s="27" t="s">
        <v>331</v>
      </c>
      <c r="C268" s="28">
        <f t="shared" si="44"/>
        <v>1110.6600000000001</v>
      </c>
      <c r="D268" s="28"/>
      <c r="E268" s="28">
        <f t="shared" si="45"/>
        <v>72.66</v>
      </c>
      <c r="F268" s="28">
        <f t="shared" si="46"/>
        <v>41.52</v>
      </c>
      <c r="G268" s="28">
        <f t="shared" si="47"/>
        <v>31.14</v>
      </c>
      <c r="H268" s="28">
        <f t="shared" si="39"/>
        <v>1038</v>
      </c>
      <c r="I268" s="28">
        <f t="shared" si="49"/>
        <v>666.39600000000007</v>
      </c>
      <c r="J268" s="29"/>
      <c r="K268" s="29"/>
      <c r="L268" s="29"/>
      <c r="M268" s="29"/>
      <c r="N268" s="29"/>
      <c r="O268" s="445">
        <v>36063</v>
      </c>
      <c r="P268" s="445">
        <v>37101</v>
      </c>
      <c r="Q268" s="29"/>
      <c r="R268" s="348"/>
      <c r="S268" s="54">
        <v>1</v>
      </c>
      <c r="T268" s="28">
        <f t="shared" si="50"/>
        <v>1038</v>
      </c>
      <c r="U268" s="31"/>
      <c r="V268" s="542" t="s">
        <v>332</v>
      </c>
      <c r="W268" s="14" t="s">
        <v>82</v>
      </c>
      <c r="X268" s="7"/>
      <c r="Y268" s="7"/>
      <c r="Z268" s="7"/>
      <c r="AA268" s="7"/>
      <c r="AB268" s="7"/>
      <c r="AC268" s="7"/>
    </row>
    <row r="269" spans="1:29" ht="25.5">
      <c r="A269" s="19"/>
      <c r="B269" s="148"/>
      <c r="C269" s="91"/>
      <c r="D269" s="91"/>
      <c r="E269" s="91"/>
      <c r="F269" s="91"/>
      <c r="G269" s="91"/>
      <c r="H269" s="91"/>
      <c r="I269" s="91"/>
      <c r="J269" s="22"/>
      <c r="K269" s="22"/>
      <c r="L269" s="22"/>
      <c r="M269" s="22"/>
      <c r="N269" s="22"/>
      <c r="O269" s="91"/>
      <c r="P269" s="91"/>
      <c r="Q269" s="22"/>
      <c r="R269" s="142"/>
      <c r="S269" s="151"/>
      <c r="T269" s="91"/>
      <c r="U269" s="95"/>
      <c r="V269" s="538"/>
      <c r="W269" s="14"/>
      <c r="X269" s="7"/>
      <c r="Y269" s="7"/>
      <c r="Z269" s="7"/>
      <c r="AA269" s="7"/>
      <c r="AB269" s="7"/>
      <c r="AC269" s="7"/>
    </row>
    <row r="270" spans="1:29" ht="46.5">
      <c r="A270" s="19"/>
      <c r="B270" s="363" t="s">
        <v>333</v>
      </c>
      <c r="C270" s="28">
        <f>H270+E270</f>
        <v>12.84</v>
      </c>
      <c r="D270" s="28"/>
      <c r="E270" s="28">
        <f t="shared" si="45"/>
        <v>0.84</v>
      </c>
      <c r="F270" s="28">
        <f t="shared" si="46"/>
        <v>0.48</v>
      </c>
      <c r="G270" s="28">
        <f t="shared" si="47"/>
        <v>0.36</v>
      </c>
      <c r="H270" s="28">
        <f t="shared" si="39"/>
        <v>12</v>
      </c>
      <c r="I270" s="28">
        <f t="shared" si="49"/>
        <v>7.7039999999999997</v>
      </c>
      <c r="J270" s="29"/>
      <c r="K270" s="29"/>
      <c r="L270" s="29"/>
      <c r="M270" s="29"/>
      <c r="N270" s="29"/>
      <c r="O270" s="28">
        <v>376730</v>
      </c>
      <c r="P270" s="28">
        <v>376742</v>
      </c>
      <c r="Q270" s="29" t="s">
        <v>33</v>
      </c>
      <c r="R270" s="348"/>
      <c r="S270" s="28">
        <v>1</v>
      </c>
      <c r="T270" s="28">
        <f t="shared" si="50"/>
        <v>12</v>
      </c>
      <c r="U270" s="31" t="s">
        <v>334</v>
      </c>
      <c r="V270" s="542" t="s">
        <v>812</v>
      </c>
      <c r="W270" s="14" t="s">
        <v>57</v>
      </c>
      <c r="X270" s="7"/>
      <c r="Y270" s="7"/>
      <c r="Z270" s="7"/>
      <c r="AA270" s="7"/>
      <c r="AB270" s="7"/>
      <c r="AC270" s="7"/>
    </row>
    <row r="271" spans="1:29" ht="25.5">
      <c r="A271" s="19"/>
      <c r="B271" s="448" t="s">
        <v>399</v>
      </c>
      <c r="C271" s="84">
        <f t="shared" ref="C271" si="51">H271+E271</f>
        <v>0</v>
      </c>
      <c r="D271" s="84"/>
      <c r="E271" s="84">
        <f t="shared" si="45"/>
        <v>0</v>
      </c>
      <c r="F271" s="84">
        <f t="shared" si="46"/>
        <v>0</v>
      </c>
      <c r="G271" s="84">
        <f t="shared" si="47"/>
        <v>0</v>
      </c>
      <c r="H271" s="84">
        <f t="shared" si="39"/>
        <v>0</v>
      </c>
      <c r="I271" s="84">
        <f t="shared" si="49"/>
        <v>0</v>
      </c>
      <c r="J271" s="130"/>
      <c r="K271" s="130"/>
      <c r="L271" s="130"/>
      <c r="M271" s="130"/>
      <c r="N271" s="130"/>
      <c r="O271" s="84">
        <v>38296</v>
      </c>
      <c r="P271" s="84">
        <v>38296</v>
      </c>
      <c r="Q271" s="389"/>
      <c r="R271" s="390"/>
      <c r="S271" s="156">
        <v>1</v>
      </c>
      <c r="T271" s="84">
        <f>(P271-O271)*S271</f>
        <v>0</v>
      </c>
      <c r="U271" s="88"/>
      <c r="V271" s="89" t="s">
        <v>400</v>
      </c>
      <c r="W271" s="14"/>
      <c r="X271" s="7"/>
      <c r="Y271" s="7"/>
      <c r="Z271" s="7"/>
      <c r="AA271" s="7"/>
      <c r="AB271" s="7"/>
      <c r="AC271" s="7"/>
    </row>
    <row r="272" spans="1:29" ht="27.75" customHeight="1">
      <c r="A272" s="19"/>
      <c r="B272" s="148"/>
      <c r="C272" s="91"/>
      <c r="D272" s="91"/>
      <c r="E272" s="91"/>
      <c r="F272" s="91"/>
      <c r="G272" s="91"/>
      <c r="H272" s="91"/>
      <c r="I272" s="91"/>
      <c r="J272" s="22"/>
      <c r="K272" s="22"/>
      <c r="L272" s="22"/>
      <c r="M272" s="22"/>
      <c r="N272" s="22"/>
      <c r="O272" s="91"/>
      <c r="P272" s="91"/>
      <c r="Q272" s="122"/>
      <c r="R272" s="173"/>
      <c r="S272" s="91"/>
      <c r="T272" s="91"/>
      <c r="U272" s="95"/>
      <c r="V272" s="538"/>
      <c r="W272" s="14" t="s">
        <v>57</v>
      </c>
      <c r="X272" s="7"/>
      <c r="Y272" s="7"/>
      <c r="Z272" s="7"/>
      <c r="AA272" s="7"/>
      <c r="AB272" s="7"/>
      <c r="AC272" s="7"/>
    </row>
    <row r="273" spans="1:29" ht="51" customHeight="1">
      <c r="A273" s="19"/>
      <c r="B273" s="494" t="s">
        <v>335</v>
      </c>
      <c r="C273" s="219">
        <v>50</v>
      </c>
      <c r="D273" s="219"/>
      <c r="E273" s="219">
        <f t="shared" si="45"/>
        <v>0</v>
      </c>
      <c r="F273" s="219">
        <f t="shared" si="46"/>
        <v>0</v>
      </c>
      <c r="G273" s="219">
        <f t="shared" si="47"/>
        <v>0</v>
      </c>
      <c r="H273" s="219">
        <v>0</v>
      </c>
      <c r="I273" s="219">
        <f t="shared" si="49"/>
        <v>30</v>
      </c>
      <c r="J273" s="220"/>
      <c r="K273" s="220"/>
      <c r="L273" s="220"/>
      <c r="M273" s="220"/>
      <c r="N273" s="220"/>
      <c r="O273" s="514"/>
      <c r="P273" s="514"/>
      <c r="Q273" s="515"/>
      <c r="R273" s="516"/>
      <c r="S273" s="514"/>
      <c r="T273" s="219">
        <f t="shared" si="50"/>
        <v>0</v>
      </c>
      <c r="U273" s="221" t="s">
        <v>336</v>
      </c>
      <c r="V273" s="222" t="s">
        <v>337</v>
      </c>
      <c r="W273" s="14"/>
      <c r="X273" s="7"/>
      <c r="Y273" s="7"/>
      <c r="Z273" s="7"/>
      <c r="AA273" s="7"/>
      <c r="AB273" s="7"/>
      <c r="AC273" s="7"/>
    </row>
    <row r="274" spans="1:29" ht="26.25">
      <c r="A274" s="19"/>
      <c r="B274" s="201"/>
      <c r="C274" s="202"/>
      <c r="D274" s="202"/>
      <c r="E274" s="202"/>
      <c r="F274" s="202"/>
      <c r="G274" s="202"/>
      <c r="H274" s="202"/>
      <c r="I274" s="202"/>
      <c r="J274" s="203"/>
      <c r="K274" s="203"/>
      <c r="L274" s="203"/>
      <c r="M274" s="203"/>
      <c r="N274" s="203"/>
      <c r="O274" s="204"/>
      <c r="P274" s="204"/>
      <c r="Q274" s="203"/>
      <c r="R274" s="205"/>
      <c r="S274" s="202"/>
      <c r="T274" s="206"/>
      <c r="U274" s="95"/>
      <c r="V274" s="538"/>
      <c r="W274" s="14"/>
      <c r="X274" s="7"/>
      <c r="Y274" s="7"/>
      <c r="Z274" s="7"/>
      <c r="AA274" s="7"/>
      <c r="AB274" s="7"/>
      <c r="AC274" s="7"/>
    </row>
    <row r="275" spans="1:29" ht="26.25">
      <c r="A275" s="19"/>
      <c r="B275" s="207"/>
      <c r="C275" s="202"/>
      <c r="D275" s="202"/>
      <c r="E275" s="208"/>
      <c r="F275" s="202"/>
      <c r="G275" s="202"/>
      <c r="H275" s="202"/>
      <c r="I275" s="202"/>
      <c r="J275" s="203"/>
      <c r="K275" s="203"/>
      <c r="L275" s="203"/>
      <c r="M275" s="203"/>
      <c r="N275" s="203"/>
      <c r="O275" s="204"/>
      <c r="P275" s="204"/>
      <c r="Q275" s="203"/>
      <c r="R275" s="205"/>
      <c r="S275" s="202"/>
      <c r="T275" s="206"/>
      <c r="U275" s="95"/>
      <c r="V275" s="538"/>
      <c r="W275" s="14"/>
      <c r="X275" s="7"/>
      <c r="Y275" s="7"/>
      <c r="Z275" s="7"/>
      <c r="AA275" s="7"/>
      <c r="AB275" s="7"/>
      <c r="AC275" s="7"/>
    </row>
    <row r="276" spans="1:29" ht="26.25">
      <c r="A276" s="19"/>
      <c r="B276" s="209"/>
      <c r="C276" s="115"/>
      <c r="D276" s="115"/>
      <c r="E276" s="112"/>
      <c r="F276" s="115"/>
      <c r="G276" s="115"/>
      <c r="H276" s="115"/>
      <c r="I276" s="115"/>
      <c r="J276" s="164"/>
      <c r="K276" s="164"/>
      <c r="L276" s="164"/>
      <c r="M276" s="164"/>
      <c r="N276" s="164"/>
      <c r="O276" s="210"/>
      <c r="P276" s="210"/>
      <c r="Q276" s="149"/>
      <c r="R276" s="211"/>
      <c r="S276" s="115"/>
      <c r="T276" s="91"/>
      <c r="U276" s="95"/>
      <c r="V276" s="538"/>
      <c r="W276" s="14"/>
      <c r="X276" s="7"/>
      <c r="Y276" s="7"/>
      <c r="Z276" s="7"/>
      <c r="AA276" s="7"/>
      <c r="AB276" s="7"/>
      <c r="AC276" s="7"/>
    </row>
    <row r="277" spans="1:29" ht="26.25">
      <c r="A277" s="19"/>
      <c r="B277" s="217" t="s">
        <v>338</v>
      </c>
      <c r="C277" s="212">
        <f>'Яблоко и ТП-7декабрь   '!B73</f>
        <v>123223.47999999824</v>
      </c>
      <c r="D277" s="115"/>
      <c r="E277" s="112"/>
      <c r="F277" s="115"/>
      <c r="G277" s="115"/>
      <c r="H277" s="115"/>
      <c r="I277" s="115"/>
      <c r="J277" s="164"/>
      <c r="K277" s="164"/>
      <c r="L277" s="164"/>
      <c r="M277" s="164"/>
      <c r="N277" s="164"/>
      <c r="O277" s="210"/>
      <c r="P277" s="210"/>
      <c r="Q277" s="149"/>
      <c r="R277" s="211"/>
      <c r="S277" s="248"/>
      <c r="T277" s="91"/>
      <c r="U277" s="95"/>
      <c r="V277" s="538"/>
      <c r="W277" s="14" t="s">
        <v>82</v>
      </c>
      <c r="X277" s="7"/>
      <c r="Y277" s="7"/>
      <c r="Z277" s="7"/>
      <c r="AA277" s="7"/>
      <c r="AB277" s="7"/>
      <c r="AC277" s="7"/>
    </row>
    <row r="278" spans="1:29" ht="26.25">
      <c r="A278" s="19"/>
      <c r="B278" s="90" t="s">
        <v>339</v>
      </c>
      <c r="C278" s="212">
        <f>'Яблоко и ТП-7декабрь   '!B62</f>
        <v>237492.89999999997</v>
      </c>
      <c r="D278" s="91"/>
      <c r="E278" s="91"/>
      <c r="F278" s="91"/>
      <c r="G278" s="91"/>
      <c r="H278" s="91"/>
      <c r="I278" s="91"/>
      <c r="J278" s="22"/>
      <c r="K278" s="22"/>
      <c r="L278" s="22"/>
      <c r="M278" s="22"/>
      <c r="N278" s="22"/>
      <c r="O278" s="91"/>
      <c r="P278" s="91"/>
      <c r="Q278" s="122"/>
      <c r="R278" s="200"/>
      <c r="S278" s="151"/>
      <c r="T278" s="91"/>
      <c r="U278" s="95"/>
      <c r="V278" s="538" t="s">
        <v>82</v>
      </c>
      <c r="W278" s="14" t="s">
        <v>82</v>
      </c>
      <c r="X278" s="7"/>
      <c r="Y278" s="7"/>
      <c r="Z278" s="7"/>
      <c r="AA278" s="7"/>
      <c r="AB278" s="7"/>
      <c r="AC278" s="7"/>
    </row>
    <row r="279" spans="1:29" ht="46.5">
      <c r="A279" s="19"/>
      <c r="B279" s="363" t="s">
        <v>340</v>
      </c>
      <c r="C279" s="28">
        <f t="shared" ref="C279:C284" si="52">H279+E279</f>
        <v>342.4</v>
      </c>
      <c r="D279" s="28"/>
      <c r="E279" s="28">
        <f>G279+F279</f>
        <v>22.4</v>
      </c>
      <c r="F279" s="28">
        <f t="shared" ref="F279:F284" si="53">0.04*H279</f>
        <v>12.8</v>
      </c>
      <c r="G279" s="28">
        <f t="shared" ref="G279:G284" si="54">0.03*H279</f>
        <v>9.6</v>
      </c>
      <c r="H279" s="28">
        <f t="shared" ref="H279:H284" si="55">T279</f>
        <v>320</v>
      </c>
      <c r="I279" s="28">
        <f t="shared" ref="I279:I284" si="56">0.6*C279</f>
        <v>205.43999999999997</v>
      </c>
      <c r="J279" s="29"/>
      <c r="K279" s="29"/>
      <c r="L279" s="29"/>
      <c r="M279" s="29"/>
      <c r="N279" s="29"/>
      <c r="O279" s="28">
        <v>49868</v>
      </c>
      <c r="P279" s="28">
        <v>50188</v>
      </c>
      <c r="Q279" s="30"/>
      <c r="R279" s="71"/>
      <c r="S279" s="54">
        <v>1</v>
      </c>
      <c r="T279" s="28">
        <f>(P279-O279)*S279</f>
        <v>320</v>
      </c>
      <c r="U279" s="31" t="s">
        <v>341</v>
      </c>
      <c r="V279" s="542" t="s">
        <v>342</v>
      </c>
      <c r="W279" s="14" t="s">
        <v>57</v>
      </c>
      <c r="X279" s="7"/>
      <c r="Y279" s="7"/>
      <c r="Z279" s="7"/>
      <c r="AA279" s="7"/>
      <c r="AB279" s="7"/>
      <c r="AC279" s="7"/>
    </row>
    <row r="280" spans="1:29" ht="25.5">
      <c r="A280" s="19"/>
      <c r="B280" s="27" t="s">
        <v>343</v>
      </c>
      <c r="C280" s="28">
        <f t="shared" si="52"/>
        <v>0</v>
      </c>
      <c r="D280" s="28"/>
      <c r="E280" s="28">
        <f t="shared" ref="E280:E326" si="57">F280+G280</f>
        <v>0</v>
      </c>
      <c r="F280" s="28">
        <f t="shared" si="53"/>
        <v>0</v>
      </c>
      <c r="G280" s="28">
        <f t="shared" si="54"/>
        <v>0</v>
      </c>
      <c r="H280" s="28">
        <f t="shared" si="55"/>
        <v>0</v>
      </c>
      <c r="I280" s="28">
        <f t="shared" si="56"/>
        <v>0</v>
      </c>
      <c r="J280" s="29"/>
      <c r="K280" s="29"/>
      <c r="L280" s="29"/>
      <c r="M280" s="29"/>
      <c r="N280" s="29"/>
      <c r="O280" s="28">
        <v>19323</v>
      </c>
      <c r="P280" s="28">
        <v>19323</v>
      </c>
      <c r="Q280" s="146"/>
      <c r="R280" s="61"/>
      <c r="S280" s="54">
        <v>1</v>
      </c>
      <c r="T280" s="28">
        <f>(P280-O280)*S280</f>
        <v>0</v>
      </c>
      <c r="U280" s="31">
        <v>282335</v>
      </c>
      <c r="V280" s="542" t="s">
        <v>344</v>
      </c>
      <c r="W280" s="14" t="s">
        <v>57</v>
      </c>
      <c r="X280" s="7"/>
      <c r="Y280" s="7"/>
      <c r="Z280" s="7"/>
      <c r="AA280" s="7"/>
      <c r="AB280" s="7"/>
      <c r="AC280" s="7"/>
    </row>
    <row r="281" spans="1:29" ht="24.75" customHeight="1">
      <c r="A281" s="19"/>
      <c r="B281" s="213"/>
      <c r="C281" s="91"/>
      <c r="D281" s="91"/>
      <c r="E281" s="91"/>
      <c r="F281" s="91"/>
      <c r="G281" s="91"/>
      <c r="H281" s="91"/>
      <c r="I281" s="91"/>
      <c r="J281" s="22"/>
      <c r="K281" s="22"/>
      <c r="L281" s="22"/>
      <c r="M281" s="22"/>
      <c r="N281" s="22"/>
      <c r="O281" s="91"/>
      <c r="P281" s="91"/>
      <c r="Q281" s="149"/>
      <c r="R281" s="161"/>
      <c r="S281" s="151"/>
      <c r="T281" s="91"/>
      <c r="U281" s="95"/>
      <c r="V281" s="538"/>
      <c r="W281" s="14"/>
      <c r="X281" s="7"/>
      <c r="Y281" s="7"/>
      <c r="Z281" s="7"/>
      <c r="AA281" s="7"/>
      <c r="AB281" s="7"/>
      <c r="AC281" s="7"/>
    </row>
    <row r="282" spans="1:29" ht="25.5">
      <c r="A282" s="19"/>
      <c r="B282" s="213"/>
      <c r="C282" s="91"/>
      <c r="D282" s="91"/>
      <c r="E282" s="91"/>
      <c r="F282" s="91"/>
      <c r="G282" s="91"/>
      <c r="H282" s="91"/>
      <c r="I282" s="91"/>
      <c r="J282" s="22"/>
      <c r="K282" s="22"/>
      <c r="L282" s="22"/>
      <c r="M282" s="22"/>
      <c r="N282" s="22"/>
      <c r="O282" s="91"/>
      <c r="P282" s="91"/>
      <c r="Q282" s="149"/>
      <c r="R282" s="161"/>
      <c r="S282" s="151"/>
      <c r="T282" s="91"/>
      <c r="U282" s="95"/>
      <c r="V282" s="538"/>
      <c r="W282" s="14" t="s">
        <v>48</v>
      </c>
      <c r="X282" s="7"/>
      <c r="Y282" s="7"/>
      <c r="Z282" s="7"/>
      <c r="AA282" s="7"/>
      <c r="AB282" s="7"/>
      <c r="AC282" s="7"/>
    </row>
    <row r="283" spans="1:29" ht="25.5">
      <c r="A283" s="19"/>
      <c r="B283" s="213"/>
      <c r="C283" s="91"/>
      <c r="D283" s="91"/>
      <c r="E283" s="91"/>
      <c r="F283" s="91"/>
      <c r="G283" s="91"/>
      <c r="H283" s="91"/>
      <c r="I283" s="91"/>
      <c r="J283" s="22"/>
      <c r="K283" s="22"/>
      <c r="L283" s="22"/>
      <c r="M283" s="22"/>
      <c r="N283" s="22"/>
      <c r="O283" s="91"/>
      <c r="P283" s="91"/>
      <c r="Q283" s="149"/>
      <c r="R283" s="161"/>
      <c r="S283" s="151"/>
      <c r="T283" s="91"/>
      <c r="U283" s="95"/>
      <c r="V283" s="538"/>
      <c r="W283" s="14"/>
      <c r="X283" s="7"/>
      <c r="Y283" s="7"/>
      <c r="Z283" s="7"/>
      <c r="AA283" s="7"/>
      <c r="AB283" s="7"/>
      <c r="AC283" s="7"/>
    </row>
    <row r="284" spans="1:29" ht="25.5">
      <c r="A284" s="19"/>
      <c r="B284" s="380" t="s">
        <v>696</v>
      </c>
      <c r="C284" s="28">
        <f t="shared" si="52"/>
        <v>48.15</v>
      </c>
      <c r="D284" s="28"/>
      <c r="E284" s="28">
        <f t="shared" si="57"/>
        <v>3.15</v>
      </c>
      <c r="F284" s="28">
        <f t="shared" si="53"/>
        <v>1.8</v>
      </c>
      <c r="G284" s="28">
        <f t="shared" si="54"/>
        <v>1.3499999999999999</v>
      </c>
      <c r="H284" s="28">
        <f t="shared" si="55"/>
        <v>45</v>
      </c>
      <c r="I284" s="28">
        <f t="shared" si="56"/>
        <v>28.889999999999997</v>
      </c>
      <c r="J284" s="29"/>
      <c r="K284" s="29"/>
      <c r="L284" s="29"/>
      <c r="M284" s="29"/>
      <c r="N284" s="29"/>
      <c r="O284" s="28">
        <v>13892</v>
      </c>
      <c r="P284" s="28">
        <v>13937</v>
      </c>
      <c r="Q284" s="146"/>
      <c r="R284" s="61"/>
      <c r="S284" s="54">
        <v>1</v>
      </c>
      <c r="T284" s="28">
        <f>(P284-O284)*S284</f>
        <v>45</v>
      </c>
      <c r="U284" s="31">
        <v>1507</v>
      </c>
      <c r="V284" s="542" t="s">
        <v>345</v>
      </c>
      <c r="W284" s="14" t="s">
        <v>57</v>
      </c>
      <c r="X284" s="7"/>
      <c r="Y284" s="7"/>
      <c r="Z284" s="7"/>
      <c r="AA284" s="7"/>
      <c r="AB284" s="7"/>
      <c r="AC284" s="7"/>
    </row>
    <row r="285" spans="1:29" ht="26.25">
      <c r="A285" s="19"/>
      <c r="B285" s="214" t="s">
        <v>346</v>
      </c>
      <c r="C285" s="124"/>
      <c r="D285" s="124"/>
      <c r="E285" s="124"/>
      <c r="F285" s="124"/>
      <c r="G285" s="124"/>
      <c r="H285" s="124"/>
      <c r="I285" s="97"/>
      <c r="J285" s="126"/>
      <c r="K285" s="126"/>
      <c r="L285" s="126"/>
      <c r="M285" s="126"/>
      <c r="N285" s="126"/>
      <c r="O285" s="124"/>
      <c r="P285" s="124"/>
      <c r="Q285" s="138"/>
      <c r="R285" s="215"/>
      <c r="S285" s="140"/>
      <c r="T285" s="124"/>
      <c r="U285" s="127"/>
      <c r="V285" s="128"/>
      <c r="W285" s="14"/>
      <c r="X285" s="7"/>
      <c r="Y285" s="7"/>
      <c r="Z285" s="7"/>
      <c r="AA285" s="7"/>
      <c r="AB285" s="7"/>
      <c r="AC285" s="7"/>
    </row>
    <row r="286" spans="1:29" ht="26.25">
      <c r="A286" s="19"/>
      <c r="B286" s="463"/>
      <c r="C286" s="84">
        <f>H286+E286</f>
        <v>2866.5299999999997</v>
      </c>
      <c r="D286" s="84"/>
      <c r="E286" s="84">
        <f>F286+G286</f>
        <v>187.52999999999997</v>
      </c>
      <c r="F286" s="84">
        <f>0.04*H286</f>
        <v>107.16</v>
      </c>
      <c r="G286" s="84">
        <f>0.03*H286</f>
        <v>80.36999999999999</v>
      </c>
      <c r="H286" s="84">
        <f>T286</f>
        <v>2679</v>
      </c>
      <c r="I286" s="84">
        <f>0.6*C286</f>
        <v>1719.9179999999999</v>
      </c>
      <c r="J286" s="130"/>
      <c r="K286" s="130"/>
      <c r="L286" s="130"/>
      <c r="M286" s="130"/>
      <c r="N286" s="130"/>
      <c r="O286" s="84">
        <v>89865</v>
      </c>
      <c r="P286" s="84">
        <v>92544</v>
      </c>
      <c r="Q286" s="389"/>
      <c r="R286" s="390"/>
      <c r="S286" s="156">
        <v>1</v>
      </c>
      <c r="T286" s="84">
        <f t="shared" ref="T286:T322" si="58">(P286-O286)*S286</f>
        <v>2679</v>
      </c>
      <c r="U286" s="88">
        <v>7347</v>
      </c>
      <c r="V286" s="89" t="s">
        <v>347</v>
      </c>
      <c r="W286" s="14" t="s">
        <v>82</v>
      </c>
      <c r="X286" s="7"/>
      <c r="Y286" s="7"/>
      <c r="Z286" s="7"/>
      <c r="AA286" s="7"/>
      <c r="AB286" s="7"/>
      <c r="AC286" s="7"/>
    </row>
    <row r="287" spans="1:29" ht="25.5">
      <c r="A287" s="19"/>
      <c r="B287" s="464" t="s">
        <v>348</v>
      </c>
      <c r="C287" s="84">
        <f>H287+E287</f>
        <v>1705.58</v>
      </c>
      <c r="D287" s="84"/>
      <c r="E287" s="84">
        <f>F287+G287</f>
        <v>111.58</v>
      </c>
      <c r="F287" s="84">
        <f>0.04*H287</f>
        <v>63.76</v>
      </c>
      <c r="G287" s="84">
        <f>0.03*H287</f>
        <v>47.82</v>
      </c>
      <c r="H287" s="84">
        <f>T287</f>
        <v>1594</v>
      </c>
      <c r="I287" s="84">
        <f>0.6*C287</f>
        <v>1023.348</v>
      </c>
      <c r="J287" s="130"/>
      <c r="K287" s="130"/>
      <c r="L287" s="130"/>
      <c r="M287" s="130"/>
      <c r="N287" s="130"/>
      <c r="O287" s="84">
        <v>317407</v>
      </c>
      <c r="P287" s="84">
        <v>319001</v>
      </c>
      <c r="Q287" s="389"/>
      <c r="R287" s="390"/>
      <c r="S287" s="156">
        <v>1</v>
      </c>
      <c r="T287" s="84">
        <f t="shared" si="58"/>
        <v>1594</v>
      </c>
      <c r="U287" s="88">
        <v>2706</v>
      </c>
      <c r="V287" s="465" t="s">
        <v>349</v>
      </c>
      <c r="W287" s="14" t="s">
        <v>82</v>
      </c>
      <c r="X287" s="7"/>
      <c r="Y287" s="7"/>
      <c r="Z287" s="7"/>
      <c r="AA287" s="7"/>
      <c r="AB287" s="7"/>
      <c r="AC287" s="7"/>
    </row>
    <row r="288" spans="1:29" ht="25.5">
      <c r="A288" s="19"/>
      <c r="B288" s="466" t="s">
        <v>350</v>
      </c>
      <c r="C288" s="84">
        <f>H288+E288</f>
        <v>13155.65</v>
      </c>
      <c r="D288" s="84"/>
      <c r="E288" s="84">
        <f t="shared" si="57"/>
        <v>860.65</v>
      </c>
      <c r="F288" s="84">
        <f>0.04*H288</f>
        <v>491.8</v>
      </c>
      <c r="G288" s="84">
        <f>0.03*H288</f>
        <v>368.84999999999997</v>
      </c>
      <c r="H288" s="84">
        <f>T288</f>
        <v>12295</v>
      </c>
      <c r="I288" s="84">
        <f>0.6*C288</f>
        <v>7893.3899999999994</v>
      </c>
      <c r="J288" s="130"/>
      <c r="K288" s="130"/>
      <c r="L288" s="130"/>
      <c r="M288" s="130"/>
      <c r="N288" s="130"/>
      <c r="O288" s="84">
        <v>329019</v>
      </c>
      <c r="P288" s="84">
        <v>341314</v>
      </c>
      <c r="Q288" s="389"/>
      <c r="R288" s="390"/>
      <c r="S288" s="156">
        <v>1</v>
      </c>
      <c r="T288" s="84">
        <f t="shared" si="58"/>
        <v>12295</v>
      </c>
      <c r="U288" s="88">
        <v>526</v>
      </c>
      <c r="V288" s="465" t="s">
        <v>351</v>
      </c>
      <c r="W288" s="14" t="s">
        <v>82</v>
      </c>
      <c r="X288" s="7"/>
      <c r="Y288" s="7"/>
      <c r="Z288" s="7"/>
      <c r="AA288" s="7"/>
      <c r="AB288" s="7"/>
      <c r="AC288" s="7"/>
    </row>
    <row r="289" spans="1:29" ht="25.5">
      <c r="A289" s="19"/>
      <c r="B289" s="464" t="s">
        <v>352</v>
      </c>
      <c r="C289" s="84">
        <f t="shared" ref="C289:C326" si="59">H289+E289</f>
        <v>25551.599999999999</v>
      </c>
      <c r="D289" s="84"/>
      <c r="E289" s="84">
        <f t="shared" si="57"/>
        <v>1671.6</v>
      </c>
      <c r="F289" s="84">
        <f t="shared" ref="F289:F326" si="60">0.04*H289</f>
        <v>955.2</v>
      </c>
      <c r="G289" s="84">
        <f t="shared" ref="G289:G326" si="61">0.03*H289</f>
        <v>716.4</v>
      </c>
      <c r="H289" s="84">
        <f t="shared" ref="H289:H326" si="62">T289</f>
        <v>23880</v>
      </c>
      <c r="I289" s="84">
        <f t="shared" ref="I289:I328" si="63">0.6*C289</f>
        <v>15330.96</v>
      </c>
      <c r="J289" s="130"/>
      <c r="K289" s="130"/>
      <c r="L289" s="130"/>
      <c r="M289" s="130"/>
      <c r="N289" s="130"/>
      <c r="O289" s="84">
        <v>11873</v>
      </c>
      <c r="P289" s="84">
        <v>12266</v>
      </c>
      <c r="Q289" s="389"/>
      <c r="R289" s="390"/>
      <c r="S289" s="156">
        <v>60</v>
      </c>
      <c r="T289" s="84">
        <f>(P289-O289)*S289+300</f>
        <v>23880</v>
      </c>
      <c r="U289" s="88"/>
      <c r="V289" s="465" t="s">
        <v>353</v>
      </c>
      <c r="W289" s="14" t="s">
        <v>82</v>
      </c>
      <c r="X289" s="7"/>
      <c r="Y289" s="7"/>
      <c r="Z289" s="7"/>
      <c r="AA289" s="7"/>
      <c r="AB289" s="7"/>
      <c r="AC289" s="7"/>
    </row>
    <row r="290" spans="1:29" ht="25.5">
      <c r="A290" s="19"/>
      <c r="B290" s="464" t="s">
        <v>354</v>
      </c>
      <c r="C290" s="84">
        <f t="shared" si="59"/>
        <v>425.86</v>
      </c>
      <c r="D290" s="84"/>
      <c r="E290" s="84">
        <f t="shared" si="57"/>
        <v>27.86</v>
      </c>
      <c r="F290" s="84">
        <f t="shared" si="60"/>
        <v>15.92</v>
      </c>
      <c r="G290" s="84">
        <f t="shared" si="61"/>
        <v>11.94</v>
      </c>
      <c r="H290" s="84">
        <f t="shared" si="62"/>
        <v>398</v>
      </c>
      <c r="I290" s="84">
        <f t="shared" si="63"/>
        <v>255.51599999999999</v>
      </c>
      <c r="J290" s="130"/>
      <c r="K290" s="130"/>
      <c r="L290" s="130"/>
      <c r="M290" s="130"/>
      <c r="N290" s="130"/>
      <c r="O290" s="84">
        <v>123673</v>
      </c>
      <c r="P290" s="84">
        <v>124071</v>
      </c>
      <c r="Q290" s="389"/>
      <c r="R290" s="390"/>
      <c r="S290" s="156">
        <v>1</v>
      </c>
      <c r="T290" s="84">
        <f t="shared" si="58"/>
        <v>398</v>
      </c>
      <c r="U290" s="88"/>
      <c r="V290" s="543" t="s">
        <v>355</v>
      </c>
      <c r="W290" s="14" t="s">
        <v>82</v>
      </c>
      <c r="X290" s="7"/>
      <c r="Y290" s="7"/>
      <c r="Z290" s="7"/>
      <c r="AA290" s="7"/>
      <c r="AB290" s="7"/>
      <c r="AC290" s="7"/>
    </row>
    <row r="291" spans="1:29" ht="25.5">
      <c r="A291" s="19"/>
      <c r="B291" s="464" t="s">
        <v>356</v>
      </c>
      <c r="C291" s="84">
        <f t="shared" si="59"/>
        <v>938.39</v>
      </c>
      <c r="D291" s="84"/>
      <c r="E291" s="84">
        <f t="shared" si="57"/>
        <v>61.39</v>
      </c>
      <c r="F291" s="84">
        <f t="shared" si="60"/>
        <v>35.08</v>
      </c>
      <c r="G291" s="84">
        <f t="shared" si="61"/>
        <v>26.31</v>
      </c>
      <c r="H291" s="84">
        <f t="shared" si="62"/>
        <v>877</v>
      </c>
      <c r="I291" s="84">
        <f t="shared" si="63"/>
        <v>563.03399999999999</v>
      </c>
      <c r="J291" s="130"/>
      <c r="K291" s="130"/>
      <c r="L291" s="130"/>
      <c r="M291" s="130"/>
      <c r="N291" s="130"/>
      <c r="O291" s="84">
        <v>40239</v>
      </c>
      <c r="P291" s="84">
        <v>41116</v>
      </c>
      <c r="Q291" s="389"/>
      <c r="R291" s="390"/>
      <c r="S291" s="156">
        <v>1</v>
      </c>
      <c r="T291" s="84">
        <f t="shared" si="58"/>
        <v>877</v>
      </c>
      <c r="U291" s="88">
        <v>437</v>
      </c>
      <c r="V291" s="465" t="s">
        <v>357</v>
      </c>
      <c r="W291" s="14" t="s">
        <v>82</v>
      </c>
      <c r="X291" s="7"/>
      <c r="Y291" s="7"/>
      <c r="Z291" s="7"/>
      <c r="AA291" s="7"/>
      <c r="AB291" s="7"/>
      <c r="AC291" s="7"/>
    </row>
    <row r="292" spans="1:29" ht="28.5" customHeight="1">
      <c r="A292" s="19"/>
      <c r="B292" s="467" t="s">
        <v>358</v>
      </c>
      <c r="C292" s="84">
        <f t="shared" si="59"/>
        <v>590.64</v>
      </c>
      <c r="D292" s="84"/>
      <c r="E292" s="84">
        <f t="shared" si="57"/>
        <v>38.64</v>
      </c>
      <c r="F292" s="84">
        <f t="shared" si="60"/>
        <v>22.080000000000002</v>
      </c>
      <c r="G292" s="84">
        <f t="shared" si="61"/>
        <v>16.559999999999999</v>
      </c>
      <c r="H292" s="84">
        <f t="shared" si="62"/>
        <v>552</v>
      </c>
      <c r="I292" s="84">
        <f t="shared" si="63"/>
        <v>354.38399999999996</v>
      </c>
      <c r="J292" s="130"/>
      <c r="K292" s="130"/>
      <c r="L292" s="130"/>
      <c r="M292" s="130"/>
      <c r="N292" s="130"/>
      <c r="O292" s="84">
        <v>152844</v>
      </c>
      <c r="P292" s="84">
        <v>153396</v>
      </c>
      <c r="Q292" s="389"/>
      <c r="R292" s="390"/>
      <c r="S292" s="156">
        <v>1</v>
      </c>
      <c r="T292" s="84">
        <f t="shared" si="58"/>
        <v>552</v>
      </c>
      <c r="U292" s="88">
        <v>5006</v>
      </c>
      <c r="V292" s="465" t="s">
        <v>359</v>
      </c>
      <c r="W292" s="14" t="s">
        <v>82</v>
      </c>
      <c r="X292" s="7"/>
      <c r="Y292" s="7"/>
      <c r="Z292" s="7"/>
      <c r="AA292" s="7"/>
      <c r="AB292" s="7"/>
      <c r="AC292" s="7"/>
    </row>
    <row r="293" spans="1:29" ht="25.5">
      <c r="A293" s="19"/>
      <c r="B293" s="336"/>
      <c r="C293" s="124"/>
      <c r="D293" s="124"/>
      <c r="E293" s="124"/>
      <c r="F293" s="124"/>
      <c r="G293" s="124"/>
      <c r="H293" s="124"/>
      <c r="I293" s="124"/>
      <c r="J293" s="126"/>
      <c r="K293" s="126"/>
      <c r="L293" s="126"/>
      <c r="M293" s="126"/>
      <c r="N293" s="126"/>
      <c r="O293" s="124"/>
      <c r="P293" s="124"/>
      <c r="Q293" s="138"/>
      <c r="R293" s="215"/>
      <c r="S293" s="140"/>
      <c r="T293" s="124"/>
      <c r="U293" s="127"/>
      <c r="V293" s="307"/>
      <c r="W293" s="14" t="s">
        <v>82</v>
      </c>
      <c r="X293" s="7"/>
      <c r="Y293" s="7"/>
      <c r="Z293" s="7"/>
      <c r="AA293" s="7"/>
      <c r="AB293" s="7"/>
      <c r="AC293" s="7"/>
    </row>
    <row r="294" spans="1:29" ht="24.75" customHeight="1">
      <c r="A294" s="19"/>
      <c r="B294" s="464" t="s">
        <v>360</v>
      </c>
      <c r="C294" s="84">
        <f t="shared" si="59"/>
        <v>571.38</v>
      </c>
      <c r="D294" s="84"/>
      <c r="E294" s="84">
        <f t="shared" si="57"/>
        <v>37.379999999999995</v>
      </c>
      <c r="F294" s="84">
        <f t="shared" si="60"/>
        <v>21.36</v>
      </c>
      <c r="G294" s="84">
        <f t="shared" si="61"/>
        <v>16.02</v>
      </c>
      <c r="H294" s="84">
        <f t="shared" si="62"/>
        <v>534</v>
      </c>
      <c r="I294" s="84">
        <f t="shared" si="63"/>
        <v>342.82799999999997</v>
      </c>
      <c r="J294" s="130"/>
      <c r="K294" s="130"/>
      <c r="L294" s="130"/>
      <c r="M294" s="130"/>
      <c r="N294" s="130"/>
      <c r="O294" s="84">
        <v>1692</v>
      </c>
      <c r="P294" s="84">
        <v>2226</v>
      </c>
      <c r="Q294" s="389"/>
      <c r="R294" s="390"/>
      <c r="S294" s="156">
        <v>1</v>
      </c>
      <c r="T294" s="84">
        <f t="shared" si="58"/>
        <v>534</v>
      </c>
      <c r="U294" s="88">
        <v>3233</v>
      </c>
      <c r="V294" s="465" t="s">
        <v>802</v>
      </c>
      <c r="W294" s="14" t="s">
        <v>82</v>
      </c>
      <c r="X294" s="7"/>
      <c r="Y294" s="7"/>
      <c r="Z294" s="7"/>
      <c r="AA294" s="7"/>
      <c r="AB294" s="7"/>
      <c r="AC294" s="7"/>
    </row>
    <row r="295" spans="1:29" ht="25.5">
      <c r="A295" s="19"/>
      <c r="B295" s="464" t="s">
        <v>361</v>
      </c>
      <c r="C295" s="84">
        <f t="shared" si="59"/>
        <v>5201.2700000000004</v>
      </c>
      <c r="D295" s="84"/>
      <c r="E295" s="84">
        <f t="shared" si="57"/>
        <v>340.27</v>
      </c>
      <c r="F295" s="84">
        <f t="shared" si="60"/>
        <v>194.44</v>
      </c>
      <c r="G295" s="84">
        <f t="shared" si="61"/>
        <v>145.82999999999998</v>
      </c>
      <c r="H295" s="84">
        <f t="shared" si="62"/>
        <v>4861</v>
      </c>
      <c r="I295" s="84">
        <f t="shared" si="63"/>
        <v>3120.7620000000002</v>
      </c>
      <c r="J295" s="130"/>
      <c r="K295" s="130"/>
      <c r="L295" s="130"/>
      <c r="M295" s="130"/>
      <c r="N295" s="130"/>
      <c r="O295" s="84">
        <v>442542</v>
      </c>
      <c r="P295" s="84">
        <v>447403</v>
      </c>
      <c r="Q295" s="389"/>
      <c r="R295" s="390"/>
      <c r="S295" s="156">
        <v>1</v>
      </c>
      <c r="T295" s="84">
        <f t="shared" si="58"/>
        <v>4861</v>
      </c>
      <c r="U295" s="88">
        <v>4506</v>
      </c>
      <c r="V295" s="465" t="s">
        <v>362</v>
      </c>
      <c r="W295" s="14" t="s">
        <v>82</v>
      </c>
      <c r="X295" s="7"/>
      <c r="Y295" s="7"/>
      <c r="Z295" s="7"/>
      <c r="AA295" s="7"/>
      <c r="AB295" s="7"/>
      <c r="AC295" s="7"/>
    </row>
    <row r="296" spans="1:29" ht="25.5">
      <c r="A296" s="19"/>
      <c r="B296" s="464" t="s">
        <v>363</v>
      </c>
      <c r="C296" s="84">
        <f t="shared" si="59"/>
        <v>10720.33</v>
      </c>
      <c r="D296" s="84"/>
      <c r="E296" s="84">
        <f t="shared" si="57"/>
        <v>701.32999999999993</v>
      </c>
      <c r="F296" s="84">
        <f t="shared" si="60"/>
        <v>400.76</v>
      </c>
      <c r="G296" s="84">
        <f t="shared" si="61"/>
        <v>300.57</v>
      </c>
      <c r="H296" s="84">
        <f t="shared" si="62"/>
        <v>10019</v>
      </c>
      <c r="I296" s="84">
        <f t="shared" si="63"/>
        <v>6432.1979999999994</v>
      </c>
      <c r="J296" s="130"/>
      <c r="K296" s="130"/>
      <c r="L296" s="130"/>
      <c r="M296" s="130"/>
      <c r="N296" s="130"/>
      <c r="O296" s="84">
        <v>501408</v>
      </c>
      <c r="P296" s="84">
        <v>511427</v>
      </c>
      <c r="Q296" s="389"/>
      <c r="R296" s="390"/>
      <c r="S296" s="156">
        <v>1</v>
      </c>
      <c r="T296" s="84">
        <f t="shared" si="58"/>
        <v>10019</v>
      </c>
      <c r="U296" s="88">
        <v>361</v>
      </c>
      <c r="V296" s="465" t="s">
        <v>364</v>
      </c>
      <c r="W296" s="14" t="s">
        <v>82</v>
      </c>
      <c r="X296" s="7"/>
      <c r="Y296" s="7"/>
      <c r="Z296" s="7"/>
      <c r="AA296" s="7"/>
      <c r="AB296" s="7"/>
      <c r="AC296" s="7"/>
    </row>
    <row r="297" spans="1:29" ht="25.5">
      <c r="A297" s="19"/>
      <c r="B297" s="464" t="s">
        <v>786</v>
      </c>
      <c r="C297" s="469">
        <f t="shared" si="59"/>
        <v>8793.26</v>
      </c>
      <c r="D297" s="84"/>
      <c r="E297" s="84">
        <f t="shared" si="57"/>
        <v>575.26</v>
      </c>
      <c r="F297" s="84">
        <f t="shared" si="60"/>
        <v>328.72</v>
      </c>
      <c r="G297" s="84">
        <f t="shared" si="61"/>
        <v>246.54</v>
      </c>
      <c r="H297" s="84">
        <f t="shared" si="62"/>
        <v>8218</v>
      </c>
      <c r="I297" s="84">
        <f t="shared" si="63"/>
        <v>5275.9560000000001</v>
      </c>
      <c r="J297" s="130"/>
      <c r="K297" s="130"/>
      <c r="L297" s="130"/>
      <c r="M297" s="130"/>
      <c r="N297" s="130"/>
      <c r="O297" s="84">
        <f>16333+344</f>
        <v>16677</v>
      </c>
      <c r="P297" s="84">
        <f>23919+976</f>
        <v>24895</v>
      </c>
      <c r="Q297" s="389"/>
      <c r="R297" s="390"/>
      <c r="S297" s="156">
        <v>1</v>
      </c>
      <c r="T297" s="84">
        <f t="shared" si="58"/>
        <v>8218</v>
      </c>
      <c r="U297" s="88">
        <v>9263</v>
      </c>
      <c r="V297" s="465" t="s">
        <v>803</v>
      </c>
      <c r="W297" s="14" t="s">
        <v>82</v>
      </c>
      <c r="X297" s="7"/>
      <c r="Y297" s="7"/>
      <c r="Z297" s="7"/>
      <c r="AA297" s="7"/>
      <c r="AB297" s="7"/>
      <c r="AC297" s="7"/>
    </row>
    <row r="298" spans="1:29" ht="25.5">
      <c r="A298" s="19"/>
      <c r="B298" s="464" t="s">
        <v>365</v>
      </c>
      <c r="C298" s="84">
        <f t="shared" si="59"/>
        <v>2770.23</v>
      </c>
      <c r="D298" s="84"/>
      <c r="E298" s="84">
        <f t="shared" si="57"/>
        <v>181.23000000000002</v>
      </c>
      <c r="F298" s="84">
        <f t="shared" si="60"/>
        <v>103.56</v>
      </c>
      <c r="G298" s="84">
        <f t="shared" si="61"/>
        <v>77.67</v>
      </c>
      <c r="H298" s="84">
        <f t="shared" si="62"/>
        <v>2589</v>
      </c>
      <c r="I298" s="84">
        <f t="shared" si="63"/>
        <v>1662.1379999999999</v>
      </c>
      <c r="J298" s="130"/>
      <c r="K298" s="130"/>
      <c r="L298" s="130"/>
      <c r="M298" s="130"/>
      <c r="N298" s="130"/>
      <c r="O298" s="84">
        <v>276117</v>
      </c>
      <c r="P298" s="84">
        <v>278706</v>
      </c>
      <c r="Q298" s="389"/>
      <c r="R298" s="390"/>
      <c r="S298" s="156">
        <v>1</v>
      </c>
      <c r="T298" s="84">
        <f t="shared" si="58"/>
        <v>2589</v>
      </c>
      <c r="U298" s="88">
        <v>776</v>
      </c>
      <c r="V298" s="465" t="s">
        <v>366</v>
      </c>
      <c r="W298" s="14" t="s">
        <v>82</v>
      </c>
      <c r="X298" s="7"/>
      <c r="Y298" s="7"/>
      <c r="Z298" s="7"/>
      <c r="AA298" s="7"/>
      <c r="AB298" s="7"/>
      <c r="AC298" s="7"/>
    </row>
    <row r="299" spans="1:29" ht="25.5">
      <c r="A299" s="19"/>
      <c r="B299" s="464" t="s">
        <v>695</v>
      </c>
      <c r="C299" s="84">
        <f t="shared" si="59"/>
        <v>2330.46</v>
      </c>
      <c r="D299" s="84"/>
      <c r="E299" s="84">
        <f t="shared" si="57"/>
        <v>152.46</v>
      </c>
      <c r="F299" s="84">
        <f t="shared" si="60"/>
        <v>87.12</v>
      </c>
      <c r="G299" s="84">
        <f t="shared" si="61"/>
        <v>65.34</v>
      </c>
      <c r="H299" s="84">
        <f t="shared" si="62"/>
        <v>2178</v>
      </c>
      <c r="I299" s="84">
        <f t="shared" si="63"/>
        <v>1398.2760000000001</v>
      </c>
      <c r="J299" s="130"/>
      <c r="K299" s="130"/>
      <c r="L299" s="130"/>
      <c r="M299" s="130"/>
      <c r="N299" s="130"/>
      <c r="O299" s="84">
        <v>83463</v>
      </c>
      <c r="P299" s="84">
        <v>85641</v>
      </c>
      <c r="Q299" s="389"/>
      <c r="R299" s="390"/>
      <c r="S299" s="156">
        <v>1</v>
      </c>
      <c r="T299" s="84">
        <f t="shared" si="58"/>
        <v>2178</v>
      </c>
      <c r="U299" s="88">
        <v>4291</v>
      </c>
      <c r="V299" s="465" t="s">
        <v>367</v>
      </c>
      <c r="W299" s="14" t="s">
        <v>82</v>
      </c>
      <c r="X299" s="7"/>
      <c r="Y299" s="7"/>
      <c r="Z299" s="7"/>
      <c r="AA299" s="7"/>
      <c r="AB299" s="7"/>
      <c r="AC299" s="7"/>
    </row>
    <row r="300" spans="1:29" ht="25.5">
      <c r="A300" s="19"/>
      <c r="B300" s="464" t="s">
        <v>368</v>
      </c>
      <c r="C300" s="84">
        <f t="shared" si="59"/>
        <v>1364.25</v>
      </c>
      <c r="D300" s="84"/>
      <c r="E300" s="84">
        <f t="shared" si="57"/>
        <v>89.25</v>
      </c>
      <c r="F300" s="84">
        <f t="shared" si="60"/>
        <v>51</v>
      </c>
      <c r="G300" s="84">
        <f t="shared" si="61"/>
        <v>38.25</v>
      </c>
      <c r="H300" s="84">
        <f t="shared" si="62"/>
        <v>1275</v>
      </c>
      <c r="I300" s="84">
        <f t="shared" si="63"/>
        <v>818.55</v>
      </c>
      <c r="J300" s="130"/>
      <c r="K300" s="130"/>
      <c r="L300" s="130"/>
      <c r="M300" s="130"/>
      <c r="N300" s="130"/>
      <c r="O300" s="84">
        <v>34684</v>
      </c>
      <c r="P300" s="84">
        <v>35959</v>
      </c>
      <c r="Q300" s="389"/>
      <c r="R300" s="390"/>
      <c r="S300" s="156">
        <v>1</v>
      </c>
      <c r="T300" s="84">
        <f t="shared" si="58"/>
        <v>1275</v>
      </c>
      <c r="U300" s="88">
        <v>101522115</v>
      </c>
      <c r="V300" s="465" t="s">
        <v>369</v>
      </c>
      <c r="W300" s="14" t="s">
        <v>82</v>
      </c>
      <c r="X300" s="7"/>
      <c r="Y300" s="7"/>
      <c r="Z300" s="7"/>
      <c r="AA300" s="7"/>
      <c r="AB300" s="7"/>
      <c r="AC300" s="7"/>
    </row>
    <row r="301" spans="1:29" ht="25.5">
      <c r="A301" s="19"/>
      <c r="B301" s="464" t="s">
        <v>697</v>
      </c>
      <c r="C301" s="84">
        <f t="shared" si="59"/>
        <v>520.02</v>
      </c>
      <c r="D301" s="84"/>
      <c r="E301" s="84">
        <f t="shared" si="57"/>
        <v>34.020000000000003</v>
      </c>
      <c r="F301" s="84">
        <f t="shared" si="60"/>
        <v>19.440000000000001</v>
      </c>
      <c r="G301" s="84">
        <f t="shared" si="61"/>
        <v>14.58</v>
      </c>
      <c r="H301" s="84">
        <f t="shared" si="62"/>
        <v>486</v>
      </c>
      <c r="I301" s="84">
        <f t="shared" si="63"/>
        <v>312.012</v>
      </c>
      <c r="J301" s="130"/>
      <c r="K301" s="130"/>
      <c r="L301" s="130"/>
      <c r="M301" s="130"/>
      <c r="N301" s="130"/>
      <c r="O301" s="84">
        <v>17710</v>
      </c>
      <c r="P301" s="84">
        <v>18196</v>
      </c>
      <c r="Q301" s="389"/>
      <c r="R301" s="390"/>
      <c r="S301" s="156">
        <v>1</v>
      </c>
      <c r="T301" s="84">
        <f t="shared" si="58"/>
        <v>486</v>
      </c>
      <c r="U301" s="88">
        <v>1116</v>
      </c>
      <c r="V301" s="465" t="s">
        <v>370</v>
      </c>
      <c r="W301" s="14" t="s">
        <v>82</v>
      </c>
      <c r="X301" s="7"/>
      <c r="Y301" s="7"/>
      <c r="Z301" s="7"/>
      <c r="AA301" s="7"/>
      <c r="AB301" s="7"/>
      <c r="AC301" s="7"/>
    </row>
    <row r="302" spans="1:29" ht="25.5">
      <c r="A302" s="19"/>
      <c r="B302" s="464" t="s">
        <v>371</v>
      </c>
      <c r="C302" s="84">
        <f t="shared" si="59"/>
        <v>0</v>
      </c>
      <c r="D302" s="84"/>
      <c r="E302" s="84">
        <f t="shared" si="57"/>
        <v>0</v>
      </c>
      <c r="F302" s="84">
        <f t="shared" si="60"/>
        <v>0</v>
      </c>
      <c r="G302" s="84">
        <f t="shared" si="61"/>
        <v>0</v>
      </c>
      <c r="H302" s="84">
        <f t="shared" si="62"/>
        <v>0</v>
      </c>
      <c r="I302" s="84">
        <f t="shared" si="63"/>
        <v>0</v>
      </c>
      <c r="J302" s="130"/>
      <c r="K302" s="130"/>
      <c r="L302" s="130"/>
      <c r="M302" s="130"/>
      <c r="N302" s="130"/>
      <c r="O302" s="84">
        <v>25467</v>
      </c>
      <c r="P302" s="84">
        <v>25467</v>
      </c>
      <c r="Q302" s="389"/>
      <c r="R302" s="390"/>
      <c r="S302" s="156">
        <v>1</v>
      </c>
      <c r="T302" s="84">
        <f t="shared" si="58"/>
        <v>0</v>
      </c>
      <c r="U302" s="88">
        <v>7838</v>
      </c>
      <c r="V302" s="465" t="s">
        <v>771</v>
      </c>
      <c r="W302" s="14" t="s">
        <v>82</v>
      </c>
      <c r="X302" s="7"/>
      <c r="Y302" s="7"/>
      <c r="Z302" s="7"/>
      <c r="AA302" s="7"/>
      <c r="AB302" s="7"/>
      <c r="AC302" s="7"/>
    </row>
    <row r="303" spans="1:29" ht="25.5">
      <c r="A303" s="19"/>
      <c r="B303" s="464" t="s">
        <v>372</v>
      </c>
      <c r="C303" s="84">
        <f t="shared" si="59"/>
        <v>2049.0500000000002</v>
      </c>
      <c r="D303" s="84"/>
      <c r="E303" s="84">
        <f t="shared" si="57"/>
        <v>134.05000000000001</v>
      </c>
      <c r="F303" s="84">
        <f t="shared" si="60"/>
        <v>76.600000000000009</v>
      </c>
      <c r="G303" s="84">
        <f t="shared" si="61"/>
        <v>57.449999999999996</v>
      </c>
      <c r="H303" s="84">
        <f t="shared" si="62"/>
        <v>1915</v>
      </c>
      <c r="I303" s="84">
        <f t="shared" si="63"/>
        <v>1229.43</v>
      </c>
      <c r="J303" s="130"/>
      <c r="K303" s="130"/>
      <c r="L303" s="130"/>
      <c r="M303" s="130"/>
      <c r="N303" s="130"/>
      <c r="O303" s="84">
        <v>241231</v>
      </c>
      <c r="P303" s="84">
        <v>243146</v>
      </c>
      <c r="Q303" s="389"/>
      <c r="R303" s="390"/>
      <c r="S303" s="156">
        <v>1</v>
      </c>
      <c r="T303" s="84">
        <f t="shared" si="58"/>
        <v>1915</v>
      </c>
      <c r="U303" s="88">
        <v>8906</v>
      </c>
      <c r="V303" s="465" t="s">
        <v>373</v>
      </c>
      <c r="W303" s="14" t="s">
        <v>82</v>
      </c>
      <c r="X303" s="7"/>
      <c r="Y303" s="7"/>
      <c r="Z303" s="7"/>
      <c r="AA303" s="7"/>
      <c r="AB303" s="7"/>
      <c r="AC303" s="7"/>
    </row>
    <row r="304" spans="1:29" ht="25.5">
      <c r="A304" s="19"/>
      <c r="B304" s="464" t="s">
        <v>374</v>
      </c>
      <c r="C304" s="84">
        <f t="shared" si="59"/>
        <v>7112.29</v>
      </c>
      <c r="D304" s="84"/>
      <c r="E304" s="84">
        <f t="shared" si="57"/>
        <v>465.28999999999996</v>
      </c>
      <c r="F304" s="84">
        <f t="shared" si="60"/>
        <v>265.88</v>
      </c>
      <c r="G304" s="84">
        <f t="shared" si="61"/>
        <v>199.41</v>
      </c>
      <c r="H304" s="84">
        <f t="shared" si="62"/>
        <v>6647</v>
      </c>
      <c r="I304" s="84">
        <f t="shared" si="63"/>
        <v>4267.3739999999998</v>
      </c>
      <c r="J304" s="130"/>
      <c r="K304" s="130"/>
      <c r="L304" s="130"/>
      <c r="M304" s="130"/>
      <c r="N304" s="130"/>
      <c r="O304" s="84">
        <v>374139</v>
      </c>
      <c r="P304" s="84">
        <v>380786</v>
      </c>
      <c r="Q304" s="389"/>
      <c r="R304" s="390"/>
      <c r="S304" s="156">
        <v>1</v>
      </c>
      <c r="T304" s="84">
        <f t="shared" si="58"/>
        <v>6647</v>
      </c>
      <c r="U304" s="88">
        <v>4786</v>
      </c>
      <c r="V304" s="465" t="s">
        <v>375</v>
      </c>
      <c r="W304" s="14" t="s">
        <v>82</v>
      </c>
      <c r="X304" s="7"/>
      <c r="Y304" s="7"/>
      <c r="Z304" s="7"/>
      <c r="AA304" s="7"/>
      <c r="AB304" s="7"/>
      <c r="AC304" s="7"/>
    </row>
    <row r="305" spans="1:29" ht="25.5">
      <c r="A305" s="19"/>
      <c r="B305" s="464" t="s">
        <v>698</v>
      </c>
      <c r="C305" s="84">
        <f t="shared" si="59"/>
        <v>353.1</v>
      </c>
      <c r="D305" s="84"/>
      <c r="E305" s="84">
        <f t="shared" si="57"/>
        <v>23.1</v>
      </c>
      <c r="F305" s="84">
        <f t="shared" si="60"/>
        <v>13.200000000000001</v>
      </c>
      <c r="G305" s="84">
        <f t="shared" si="61"/>
        <v>9.9</v>
      </c>
      <c r="H305" s="84">
        <f t="shared" si="62"/>
        <v>330</v>
      </c>
      <c r="I305" s="84">
        <f t="shared" si="63"/>
        <v>211.86</v>
      </c>
      <c r="J305" s="130"/>
      <c r="K305" s="130"/>
      <c r="L305" s="130"/>
      <c r="M305" s="130"/>
      <c r="N305" s="130"/>
      <c r="O305" s="84">
        <v>79407</v>
      </c>
      <c r="P305" s="84">
        <v>79737</v>
      </c>
      <c r="Q305" s="389"/>
      <c r="R305" s="390"/>
      <c r="S305" s="156">
        <v>1</v>
      </c>
      <c r="T305" s="84">
        <f t="shared" si="58"/>
        <v>330</v>
      </c>
      <c r="U305" s="88">
        <v>3506</v>
      </c>
      <c r="V305" s="465" t="s">
        <v>804</v>
      </c>
      <c r="W305" s="14" t="s">
        <v>82</v>
      </c>
      <c r="X305" s="7"/>
      <c r="Y305" s="7"/>
      <c r="Z305" s="7"/>
      <c r="AA305" s="7"/>
      <c r="AB305" s="7"/>
      <c r="AC305" s="7"/>
    </row>
    <row r="306" spans="1:29" ht="25.5">
      <c r="A306" s="19"/>
      <c r="B306" s="464" t="s">
        <v>376</v>
      </c>
      <c r="C306" s="84">
        <f t="shared" si="59"/>
        <v>823.9</v>
      </c>
      <c r="D306" s="84"/>
      <c r="E306" s="84">
        <f t="shared" si="57"/>
        <v>53.9</v>
      </c>
      <c r="F306" s="84">
        <f t="shared" si="60"/>
        <v>30.8</v>
      </c>
      <c r="G306" s="84">
        <f t="shared" si="61"/>
        <v>23.099999999999998</v>
      </c>
      <c r="H306" s="84">
        <f t="shared" si="62"/>
        <v>770</v>
      </c>
      <c r="I306" s="84">
        <f t="shared" si="63"/>
        <v>494.34</v>
      </c>
      <c r="J306" s="130"/>
      <c r="K306" s="130"/>
      <c r="L306" s="130"/>
      <c r="M306" s="130"/>
      <c r="N306" s="130"/>
      <c r="O306" s="84">
        <v>197422</v>
      </c>
      <c r="P306" s="84">
        <v>198192</v>
      </c>
      <c r="Q306" s="389"/>
      <c r="R306" s="390"/>
      <c r="S306" s="156">
        <v>1</v>
      </c>
      <c r="T306" s="84">
        <f t="shared" si="58"/>
        <v>770</v>
      </c>
      <c r="U306" s="88">
        <v>2406</v>
      </c>
      <c r="V306" s="465" t="s">
        <v>377</v>
      </c>
      <c r="W306" s="14" t="s">
        <v>82</v>
      </c>
      <c r="X306" s="7"/>
      <c r="Y306" s="7"/>
      <c r="Z306" s="7"/>
      <c r="AA306" s="7"/>
      <c r="AB306" s="7"/>
      <c r="AC306" s="7"/>
    </row>
    <row r="307" spans="1:29" ht="25.5">
      <c r="A307" s="19"/>
      <c r="B307" s="464" t="s">
        <v>378</v>
      </c>
      <c r="C307" s="84">
        <f t="shared" si="59"/>
        <v>1338.57</v>
      </c>
      <c r="D307" s="84"/>
      <c r="E307" s="84">
        <f t="shared" si="57"/>
        <v>87.57</v>
      </c>
      <c r="F307" s="84">
        <f t="shared" si="60"/>
        <v>50.04</v>
      </c>
      <c r="G307" s="84">
        <f t="shared" si="61"/>
        <v>37.53</v>
      </c>
      <c r="H307" s="84">
        <f t="shared" si="62"/>
        <v>1251</v>
      </c>
      <c r="I307" s="84">
        <f t="shared" si="63"/>
        <v>803.14199999999994</v>
      </c>
      <c r="J307" s="130"/>
      <c r="K307" s="130"/>
      <c r="L307" s="130"/>
      <c r="M307" s="130"/>
      <c r="N307" s="130"/>
      <c r="O307" s="84">
        <v>341341</v>
      </c>
      <c r="P307" s="84">
        <v>342592</v>
      </c>
      <c r="Q307" s="389"/>
      <c r="R307" s="390"/>
      <c r="S307" s="156">
        <v>1</v>
      </c>
      <c r="T307" s="84">
        <f t="shared" si="58"/>
        <v>1251</v>
      </c>
      <c r="U307" s="88">
        <v>4306</v>
      </c>
      <c r="V307" s="465" t="s">
        <v>379</v>
      </c>
      <c r="W307" s="14" t="s">
        <v>82</v>
      </c>
      <c r="X307" s="7"/>
      <c r="Y307" s="7"/>
      <c r="Z307" s="7"/>
      <c r="AA307" s="7"/>
      <c r="AB307" s="7"/>
      <c r="AC307" s="7"/>
    </row>
    <row r="308" spans="1:29" ht="25.5">
      <c r="A308" s="19"/>
      <c r="B308" s="336"/>
      <c r="C308" s="124"/>
      <c r="D308" s="124"/>
      <c r="E308" s="124"/>
      <c r="F308" s="124"/>
      <c r="G308" s="124"/>
      <c r="H308" s="124"/>
      <c r="I308" s="124"/>
      <c r="J308" s="126"/>
      <c r="K308" s="126"/>
      <c r="L308" s="126"/>
      <c r="M308" s="126"/>
      <c r="N308" s="126"/>
      <c r="O308" s="124"/>
      <c r="P308" s="124"/>
      <c r="Q308" s="138"/>
      <c r="R308" s="215"/>
      <c r="S308" s="140"/>
      <c r="T308" s="124"/>
      <c r="U308" s="127"/>
      <c r="V308" s="307"/>
      <c r="W308" s="14" t="s">
        <v>82</v>
      </c>
      <c r="X308" s="7"/>
      <c r="Y308" s="7"/>
      <c r="Z308" s="7"/>
      <c r="AA308" s="7"/>
      <c r="AB308" s="7"/>
      <c r="AC308" s="7"/>
    </row>
    <row r="309" spans="1:29" ht="25.5">
      <c r="A309" s="19"/>
      <c r="B309" s="464" t="s">
        <v>380</v>
      </c>
      <c r="C309" s="84">
        <f t="shared" si="59"/>
        <v>0</v>
      </c>
      <c r="D309" s="84"/>
      <c r="E309" s="84">
        <f t="shared" si="57"/>
        <v>0</v>
      </c>
      <c r="F309" s="84">
        <f t="shared" si="60"/>
        <v>0</v>
      </c>
      <c r="G309" s="84">
        <f t="shared" si="61"/>
        <v>0</v>
      </c>
      <c r="H309" s="84">
        <f t="shared" si="62"/>
        <v>0</v>
      </c>
      <c r="I309" s="84">
        <f t="shared" si="63"/>
        <v>0</v>
      </c>
      <c r="J309" s="130"/>
      <c r="K309" s="130"/>
      <c r="L309" s="130"/>
      <c r="M309" s="130"/>
      <c r="N309" s="130"/>
      <c r="O309" s="84">
        <v>392079</v>
      </c>
      <c r="P309" s="84">
        <v>392079</v>
      </c>
      <c r="Q309" s="389"/>
      <c r="R309" s="390"/>
      <c r="S309" s="156">
        <v>1</v>
      </c>
      <c r="T309" s="84">
        <f t="shared" si="58"/>
        <v>0</v>
      </c>
      <c r="U309" s="88">
        <v>806</v>
      </c>
      <c r="V309" s="465" t="s">
        <v>381</v>
      </c>
      <c r="W309" s="14" t="s">
        <v>82</v>
      </c>
      <c r="X309" s="7"/>
      <c r="Y309" s="7"/>
      <c r="Z309" s="7"/>
      <c r="AA309" s="7"/>
      <c r="AB309" s="7"/>
      <c r="AC309" s="7"/>
    </row>
    <row r="310" spans="1:29" ht="26.25" customHeight="1">
      <c r="A310" s="19"/>
      <c r="B310" s="464" t="s">
        <v>382</v>
      </c>
      <c r="C310" s="84">
        <f t="shared" si="59"/>
        <v>4156.95</v>
      </c>
      <c r="D310" s="84"/>
      <c r="E310" s="84">
        <f t="shared" si="57"/>
        <v>271.95</v>
      </c>
      <c r="F310" s="84">
        <f t="shared" si="60"/>
        <v>155.4</v>
      </c>
      <c r="G310" s="84">
        <f t="shared" si="61"/>
        <v>116.55</v>
      </c>
      <c r="H310" s="84">
        <f t="shared" si="62"/>
        <v>3885</v>
      </c>
      <c r="I310" s="84">
        <f t="shared" si="63"/>
        <v>2494.1699999999996</v>
      </c>
      <c r="J310" s="130"/>
      <c r="K310" s="130"/>
      <c r="L310" s="130"/>
      <c r="M310" s="130"/>
      <c r="N310" s="130"/>
      <c r="O310" s="84">
        <v>114437</v>
      </c>
      <c r="P310" s="84">
        <v>118322</v>
      </c>
      <c r="Q310" s="389"/>
      <c r="R310" s="390"/>
      <c r="S310" s="156">
        <v>1</v>
      </c>
      <c r="T310" s="84">
        <f t="shared" si="58"/>
        <v>3885</v>
      </c>
      <c r="U310" s="88">
        <v>1131</v>
      </c>
      <c r="V310" s="465" t="s">
        <v>383</v>
      </c>
      <c r="W310" s="14" t="s">
        <v>82</v>
      </c>
      <c r="X310" s="7"/>
      <c r="Y310" s="7"/>
      <c r="Z310" s="7"/>
      <c r="AA310" s="7"/>
      <c r="AB310" s="7"/>
      <c r="AC310" s="7"/>
    </row>
    <row r="311" spans="1:29" ht="25.5">
      <c r="A311" s="19"/>
      <c r="B311" s="464" t="s">
        <v>384</v>
      </c>
      <c r="C311" s="84">
        <f t="shared" si="59"/>
        <v>166.92</v>
      </c>
      <c r="D311" s="84"/>
      <c r="E311" s="84">
        <f t="shared" si="57"/>
        <v>10.92</v>
      </c>
      <c r="F311" s="84">
        <f t="shared" si="60"/>
        <v>6.24</v>
      </c>
      <c r="G311" s="84">
        <f t="shared" si="61"/>
        <v>4.68</v>
      </c>
      <c r="H311" s="84">
        <f t="shared" si="62"/>
        <v>156</v>
      </c>
      <c r="I311" s="84">
        <f t="shared" si="63"/>
        <v>100.15199999999999</v>
      </c>
      <c r="J311" s="130"/>
      <c r="K311" s="130"/>
      <c r="L311" s="130"/>
      <c r="M311" s="130"/>
      <c r="N311" s="130"/>
      <c r="O311" s="84">
        <v>28733</v>
      </c>
      <c r="P311" s="84">
        <v>28889</v>
      </c>
      <c r="Q311" s="389"/>
      <c r="R311" s="390"/>
      <c r="S311" s="156">
        <v>1</v>
      </c>
      <c r="T311" s="84">
        <f t="shared" si="58"/>
        <v>156</v>
      </c>
      <c r="U311" s="88">
        <v>2125</v>
      </c>
      <c r="V311" s="465" t="s">
        <v>772</v>
      </c>
      <c r="W311" s="14" t="s">
        <v>82</v>
      </c>
      <c r="X311" s="7"/>
      <c r="Y311" s="7"/>
      <c r="Z311" s="7"/>
      <c r="AA311" s="7"/>
      <c r="AB311" s="7"/>
      <c r="AC311" s="7"/>
    </row>
    <row r="312" spans="1:29" ht="25.5">
      <c r="A312" s="19"/>
      <c r="B312" s="336"/>
      <c r="C312" s="337"/>
      <c r="D312" s="124"/>
      <c r="E312" s="124"/>
      <c r="F312" s="124"/>
      <c r="G312" s="124"/>
      <c r="H312" s="124"/>
      <c r="I312" s="124"/>
      <c r="J312" s="126"/>
      <c r="K312" s="126"/>
      <c r="L312" s="126"/>
      <c r="M312" s="126"/>
      <c r="N312" s="126"/>
      <c r="O312" s="124"/>
      <c r="P312" s="124"/>
      <c r="Q312" s="138"/>
      <c r="R312" s="215"/>
      <c r="S312" s="140"/>
      <c r="T312" s="124"/>
      <c r="U312" s="127"/>
      <c r="V312" s="307"/>
      <c r="W312" s="14" t="s">
        <v>82</v>
      </c>
      <c r="X312" s="7"/>
      <c r="Y312" s="7"/>
      <c r="Z312" s="7"/>
      <c r="AA312" s="7"/>
      <c r="AB312" s="7"/>
      <c r="AC312" s="7"/>
    </row>
    <row r="313" spans="1:29" ht="25.5">
      <c r="A313" s="19"/>
      <c r="B313" s="468" t="s">
        <v>386</v>
      </c>
      <c r="C313" s="84">
        <f t="shared" si="59"/>
        <v>250.38</v>
      </c>
      <c r="D313" s="84"/>
      <c r="E313" s="84">
        <f t="shared" si="57"/>
        <v>16.38</v>
      </c>
      <c r="F313" s="84">
        <f t="shared" si="60"/>
        <v>9.36</v>
      </c>
      <c r="G313" s="84">
        <f t="shared" si="61"/>
        <v>7.02</v>
      </c>
      <c r="H313" s="84">
        <f t="shared" si="62"/>
        <v>234</v>
      </c>
      <c r="I313" s="84">
        <f t="shared" si="63"/>
        <v>150.22799999999998</v>
      </c>
      <c r="J313" s="130"/>
      <c r="K313" s="130"/>
      <c r="L313" s="130"/>
      <c r="M313" s="130"/>
      <c r="N313" s="130"/>
      <c r="O313" s="84">
        <v>85327</v>
      </c>
      <c r="P313" s="84">
        <v>85561</v>
      </c>
      <c r="Q313" s="389"/>
      <c r="R313" s="390"/>
      <c r="S313" s="156">
        <v>1</v>
      </c>
      <c r="T313" s="84">
        <f t="shared" si="58"/>
        <v>234</v>
      </c>
      <c r="U313" s="88">
        <v>2831</v>
      </c>
      <c r="V313" s="465" t="s">
        <v>805</v>
      </c>
      <c r="W313" s="14" t="s">
        <v>82</v>
      </c>
      <c r="X313" s="7"/>
      <c r="Y313" s="7"/>
      <c r="Z313" s="7"/>
      <c r="AA313" s="7"/>
      <c r="AB313" s="7"/>
      <c r="AC313" s="7"/>
    </row>
    <row r="314" spans="1:29" ht="25.5">
      <c r="A314" s="19"/>
      <c r="B314" s="464" t="s">
        <v>699</v>
      </c>
      <c r="C314" s="84">
        <f t="shared" si="59"/>
        <v>1470.18</v>
      </c>
      <c r="D314" s="84"/>
      <c r="E314" s="84">
        <f t="shared" si="57"/>
        <v>96.18</v>
      </c>
      <c r="F314" s="84">
        <f t="shared" si="60"/>
        <v>54.96</v>
      </c>
      <c r="G314" s="84">
        <f t="shared" si="61"/>
        <v>41.22</v>
      </c>
      <c r="H314" s="84">
        <f t="shared" si="62"/>
        <v>1374</v>
      </c>
      <c r="I314" s="84">
        <f t="shared" si="63"/>
        <v>882.10800000000006</v>
      </c>
      <c r="J314" s="130"/>
      <c r="K314" s="130"/>
      <c r="L314" s="130"/>
      <c r="M314" s="130"/>
      <c r="N314" s="130"/>
      <c r="O314" s="84">
        <v>287707</v>
      </c>
      <c r="P314" s="84">
        <v>289081</v>
      </c>
      <c r="Q314" s="389"/>
      <c r="R314" s="390"/>
      <c r="S314" s="156">
        <v>1</v>
      </c>
      <c r="T314" s="84">
        <f t="shared" si="58"/>
        <v>1374</v>
      </c>
      <c r="U314" s="88">
        <v>506</v>
      </c>
      <c r="V314" s="465" t="s">
        <v>387</v>
      </c>
      <c r="W314" s="14" t="s">
        <v>82</v>
      </c>
      <c r="X314" s="7"/>
      <c r="Y314" s="7"/>
      <c r="Z314" s="7"/>
      <c r="AA314" s="7"/>
      <c r="AB314" s="7"/>
      <c r="AC314" s="7"/>
    </row>
    <row r="315" spans="1:29" ht="25.5">
      <c r="A315" s="19"/>
      <c r="B315" s="336"/>
      <c r="C315" s="124"/>
      <c r="D315" s="124"/>
      <c r="E315" s="124"/>
      <c r="F315" s="124"/>
      <c r="G315" s="124"/>
      <c r="H315" s="124"/>
      <c r="I315" s="124"/>
      <c r="J315" s="126"/>
      <c r="K315" s="126"/>
      <c r="L315" s="126"/>
      <c r="M315" s="126"/>
      <c r="N315" s="126"/>
      <c r="O315" s="124"/>
      <c r="P315" s="124"/>
      <c r="Q315" s="138"/>
      <c r="R315" s="215"/>
      <c r="S315" s="140"/>
      <c r="T315" s="124"/>
      <c r="U315" s="127"/>
      <c r="V315" s="307"/>
      <c r="W315" s="14" t="s">
        <v>82</v>
      </c>
      <c r="X315" s="7"/>
      <c r="Y315" s="7"/>
      <c r="Z315" s="7"/>
      <c r="AA315" s="7"/>
      <c r="AB315" s="7"/>
      <c r="AC315" s="7"/>
    </row>
    <row r="316" spans="1:29" ht="25.5">
      <c r="A316" s="19"/>
      <c r="B316" s="464" t="s">
        <v>388</v>
      </c>
      <c r="C316" s="84">
        <f t="shared" si="59"/>
        <v>20308.599999999999</v>
      </c>
      <c r="D316" s="84"/>
      <c r="E316" s="84">
        <f t="shared" si="57"/>
        <v>1328.6</v>
      </c>
      <c r="F316" s="84">
        <f t="shared" si="60"/>
        <v>759.2</v>
      </c>
      <c r="G316" s="84">
        <f t="shared" si="61"/>
        <v>569.4</v>
      </c>
      <c r="H316" s="84">
        <f t="shared" si="62"/>
        <v>18980</v>
      </c>
      <c r="I316" s="84">
        <f t="shared" si="63"/>
        <v>12185.159999999998</v>
      </c>
      <c r="J316" s="130"/>
      <c r="K316" s="130"/>
      <c r="L316" s="130"/>
      <c r="M316" s="130"/>
      <c r="N316" s="130"/>
      <c r="O316" s="84">
        <v>17665</v>
      </c>
      <c r="P316" s="84">
        <v>18614</v>
      </c>
      <c r="Q316" s="389"/>
      <c r="R316" s="390"/>
      <c r="S316" s="156">
        <v>20</v>
      </c>
      <c r="T316" s="84">
        <f t="shared" si="58"/>
        <v>18980</v>
      </c>
      <c r="U316" s="88">
        <v>1064</v>
      </c>
      <c r="V316" s="465" t="s">
        <v>389</v>
      </c>
      <c r="W316" s="14" t="s">
        <v>82</v>
      </c>
      <c r="X316" s="7"/>
      <c r="Y316" s="7"/>
      <c r="Z316" s="7"/>
      <c r="AA316" s="7"/>
      <c r="AB316" s="7"/>
      <c r="AC316" s="7"/>
    </row>
    <row r="317" spans="1:29" ht="25.5">
      <c r="A317" s="19"/>
      <c r="B317" s="464" t="s">
        <v>390</v>
      </c>
      <c r="C317" s="84">
        <f>H317+E317</f>
        <v>12307.14</v>
      </c>
      <c r="D317" s="84"/>
      <c r="E317" s="84">
        <f t="shared" si="57"/>
        <v>805.14</v>
      </c>
      <c r="F317" s="84">
        <f t="shared" si="60"/>
        <v>460.08</v>
      </c>
      <c r="G317" s="84">
        <f t="shared" si="61"/>
        <v>345.06</v>
      </c>
      <c r="H317" s="84">
        <f t="shared" si="62"/>
        <v>11502</v>
      </c>
      <c r="I317" s="84">
        <f t="shared" si="63"/>
        <v>7384.2839999999997</v>
      </c>
      <c r="J317" s="130"/>
      <c r="K317" s="130"/>
      <c r="L317" s="130"/>
      <c r="M317" s="130"/>
      <c r="N317" s="130"/>
      <c r="O317" s="84">
        <v>213224</v>
      </c>
      <c r="P317" s="84">
        <v>224726</v>
      </c>
      <c r="Q317" s="389"/>
      <c r="R317" s="390"/>
      <c r="S317" s="156">
        <v>1</v>
      </c>
      <c r="T317" s="84">
        <f t="shared" si="58"/>
        <v>11502</v>
      </c>
      <c r="U317" s="88">
        <v>1173</v>
      </c>
      <c r="V317" s="465" t="s">
        <v>391</v>
      </c>
      <c r="W317" s="14" t="s">
        <v>82</v>
      </c>
      <c r="X317" s="7"/>
      <c r="Y317" s="7"/>
      <c r="Z317" s="7"/>
      <c r="AA317" s="7"/>
      <c r="AB317" s="7"/>
      <c r="AC317" s="7"/>
    </row>
    <row r="318" spans="1:29" ht="25.5">
      <c r="A318" s="19"/>
      <c r="B318" s="466" t="s">
        <v>392</v>
      </c>
      <c r="C318" s="84">
        <f t="shared" si="59"/>
        <v>5134.93</v>
      </c>
      <c r="D318" s="84"/>
      <c r="E318" s="84">
        <f t="shared" si="57"/>
        <v>335.93</v>
      </c>
      <c r="F318" s="84">
        <f t="shared" si="60"/>
        <v>191.96</v>
      </c>
      <c r="G318" s="84">
        <f t="shared" si="61"/>
        <v>143.97</v>
      </c>
      <c r="H318" s="84">
        <f t="shared" si="62"/>
        <v>4799</v>
      </c>
      <c r="I318" s="84">
        <f t="shared" si="63"/>
        <v>3080.9580000000001</v>
      </c>
      <c r="J318" s="130"/>
      <c r="K318" s="130"/>
      <c r="L318" s="130"/>
      <c r="M318" s="130"/>
      <c r="N318" s="130"/>
      <c r="O318" s="84">
        <v>552686</v>
      </c>
      <c r="P318" s="84">
        <v>557485</v>
      </c>
      <c r="Q318" s="389"/>
      <c r="R318" s="390"/>
      <c r="S318" s="156">
        <v>1</v>
      </c>
      <c r="T318" s="84">
        <f t="shared" si="58"/>
        <v>4799</v>
      </c>
      <c r="U318" s="88">
        <v>35821</v>
      </c>
      <c r="V318" s="89" t="s">
        <v>759</v>
      </c>
      <c r="W318" s="14" t="s">
        <v>82</v>
      </c>
      <c r="X318" s="7"/>
      <c r="Y318" s="7"/>
      <c r="Z318" s="7"/>
      <c r="AA318" s="7"/>
      <c r="AB318" s="7"/>
      <c r="AC318" s="7"/>
    </row>
    <row r="319" spans="1:29" ht="25.5">
      <c r="A319" s="19"/>
      <c r="B319" s="83" t="s">
        <v>314</v>
      </c>
      <c r="C319" s="84">
        <f t="shared" si="59"/>
        <v>1265.81</v>
      </c>
      <c r="D319" s="84"/>
      <c r="E319" s="84">
        <f t="shared" si="57"/>
        <v>82.81</v>
      </c>
      <c r="F319" s="84">
        <f t="shared" si="60"/>
        <v>47.32</v>
      </c>
      <c r="G319" s="84">
        <f t="shared" si="61"/>
        <v>35.49</v>
      </c>
      <c r="H319" s="84">
        <f t="shared" si="62"/>
        <v>1183</v>
      </c>
      <c r="I319" s="84">
        <f t="shared" si="63"/>
        <v>759.48599999999999</v>
      </c>
      <c r="J319" s="130"/>
      <c r="K319" s="130"/>
      <c r="L319" s="130"/>
      <c r="M319" s="130"/>
      <c r="N319" s="130"/>
      <c r="O319" s="84">
        <v>25001</v>
      </c>
      <c r="P319" s="84">
        <v>26184</v>
      </c>
      <c r="Q319" s="389"/>
      <c r="R319" s="390"/>
      <c r="S319" s="156">
        <v>1</v>
      </c>
      <c r="T319" s="84">
        <f t="shared" si="58"/>
        <v>1183</v>
      </c>
      <c r="U319" s="88">
        <v>103473542</v>
      </c>
      <c r="V319" s="89" t="s">
        <v>393</v>
      </c>
      <c r="W319" s="14" t="s">
        <v>82</v>
      </c>
      <c r="X319" s="7"/>
      <c r="Y319" s="7"/>
      <c r="Z319" s="7"/>
      <c r="AA319" s="7"/>
      <c r="AB319" s="7"/>
      <c r="AC319" s="7"/>
    </row>
    <row r="320" spans="1:29" ht="25.5">
      <c r="A320" s="19"/>
      <c r="B320" s="466" t="s">
        <v>365</v>
      </c>
      <c r="C320" s="84">
        <f t="shared" si="59"/>
        <v>998.31</v>
      </c>
      <c r="D320" s="84"/>
      <c r="E320" s="84">
        <f t="shared" si="57"/>
        <v>65.31</v>
      </c>
      <c r="F320" s="84">
        <f t="shared" si="60"/>
        <v>37.32</v>
      </c>
      <c r="G320" s="84">
        <f t="shared" si="61"/>
        <v>27.99</v>
      </c>
      <c r="H320" s="84">
        <f t="shared" si="62"/>
        <v>933</v>
      </c>
      <c r="I320" s="84">
        <f t="shared" si="63"/>
        <v>598.98599999999999</v>
      </c>
      <c r="J320" s="130"/>
      <c r="K320" s="130"/>
      <c r="L320" s="130"/>
      <c r="M320" s="130"/>
      <c r="N320" s="130"/>
      <c r="O320" s="84">
        <v>21879</v>
      </c>
      <c r="P320" s="84">
        <v>22812</v>
      </c>
      <c r="Q320" s="389"/>
      <c r="R320" s="390"/>
      <c r="S320" s="156">
        <v>1</v>
      </c>
      <c r="T320" s="84">
        <f t="shared" si="58"/>
        <v>933</v>
      </c>
      <c r="U320" s="88">
        <v>103095559</v>
      </c>
      <c r="V320" s="89" t="s">
        <v>394</v>
      </c>
      <c r="W320" s="14" t="s">
        <v>82</v>
      </c>
      <c r="X320" s="7"/>
      <c r="Y320" s="7"/>
      <c r="Z320" s="7"/>
      <c r="AA320" s="7"/>
      <c r="AB320" s="7"/>
      <c r="AC320" s="7"/>
    </row>
    <row r="321" spans="1:29" ht="25.5">
      <c r="A321" s="19"/>
      <c r="B321" s="466" t="s">
        <v>831</v>
      </c>
      <c r="C321" s="84">
        <f t="shared" si="59"/>
        <v>1509.77</v>
      </c>
      <c r="D321" s="84"/>
      <c r="E321" s="84">
        <f t="shared" si="57"/>
        <v>98.77</v>
      </c>
      <c r="F321" s="84">
        <f t="shared" si="60"/>
        <v>56.44</v>
      </c>
      <c r="G321" s="84">
        <f t="shared" si="61"/>
        <v>42.33</v>
      </c>
      <c r="H321" s="84">
        <f t="shared" si="62"/>
        <v>1411</v>
      </c>
      <c r="I321" s="84">
        <f t="shared" si="63"/>
        <v>905.86199999999997</v>
      </c>
      <c r="J321" s="130"/>
      <c r="K321" s="130"/>
      <c r="L321" s="130"/>
      <c r="M321" s="130"/>
      <c r="N321" s="130"/>
      <c r="O321" s="84">
        <v>38841</v>
      </c>
      <c r="P321" s="84">
        <v>40252</v>
      </c>
      <c r="Q321" s="389"/>
      <c r="R321" s="390"/>
      <c r="S321" s="156">
        <v>1</v>
      </c>
      <c r="T321" s="84">
        <f t="shared" si="58"/>
        <v>1411</v>
      </c>
      <c r="U321" s="88"/>
      <c r="V321" s="89" t="s">
        <v>395</v>
      </c>
      <c r="W321" s="14" t="s">
        <v>82</v>
      </c>
      <c r="X321" s="7"/>
      <c r="Y321" s="7"/>
      <c r="Z321" s="7"/>
      <c r="AA321" s="7"/>
      <c r="AB321" s="7"/>
      <c r="AC321" s="7"/>
    </row>
    <row r="322" spans="1:29" ht="25.5">
      <c r="A322" s="19"/>
      <c r="B322" s="448" t="s">
        <v>396</v>
      </c>
      <c r="C322" s="84">
        <f t="shared" si="59"/>
        <v>2073.66</v>
      </c>
      <c r="D322" s="84"/>
      <c r="E322" s="84">
        <f t="shared" si="57"/>
        <v>135.66</v>
      </c>
      <c r="F322" s="84">
        <f t="shared" si="60"/>
        <v>77.52</v>
      </c>
      <c r="G322" s="84">
        <f t="shared" si="61"/>
        <v>58.14</v>
      </c>
      <c r="H322" s="84">
        <f t="shared" si="62"/>
        <v>1938</v>
      </c>
      <c r="I322" s="84">
        <f t="shared" si="63"/>
        <v>1244.1959999999999</v>
      </c>
      <c r="J322" s="130"/>
      <c r="K322" s="130"/>
      <c r="L322" s="130"/>
      <c r="M322" s="130"/>
      <c r="N322" s="130"/>
      <c r="O322" s="84">
        <v>54719</v>
      </c>
      <c r="P322" s="84">
        <v>56657</v>
      </c>
      <c r="Q322" s="389"/>
      <c r="R322" s="390"/>
      <c r="S322" s="156">
        <v>1</v>
      </c>
      <c r="T322" s="84">
        <f t="shared" si="58"/>
        <v>1938</v>
      </c>
      <c r="U322" s="88">
        <v>4616</v>
      </c>
      <c r="V322" s="89" t="s">
        <v>397</v>
      </c>
      <c r="W322" s="14" t="s">
        <v>82</v>
      </c>
      <c r="X322" s="7"/>
      <c r="Y322" s="7"/>
      <c r="Z322" s="7"/>
      <c r="AA322" s="7"/>
      <c r="AB322" s="7"/>
      <c r="AC322" s="7"/>
    </row>
    <row r="323" spans="1:29" ht="25.5">
      <c r="A323" s="19"/>
      <c r="B323" s="448" t="s">
        <v>806</v>
      </c>
      <c r="C323" s="84">
        <f>H323+E323</f>
        <v>24001.17</v>
      </c>
      <c r="D323" s="84"/>
      <c r="E323" s="84">
        <f t="shared" si="57"/>
        <v>1570.17</v>
      </c>
      <c r="F323" s="84">
        <f t="shared" si="60"/>
        <v>897.24</v>
      </c>
      <c r="G323" s="84">
        <f t="shared" si="61"/>
        <v>672.93</v>
      </c>
      <c r="H323" s="84">
        <f t="shared" si="62"/>
        <v>22431</v>
      </c>
      <c r="I323" s="84">
        <f t="shared" si="63"/>
        <v>14400.701999999999</v>
      </c>
      <c r="J323" s="130"/>
      <c r="K323" s="130"/>
      <c r="L323" s="130"/>
      <c r="M323" s="130"/>
      <c r="N323" s="130"/>
      <c r="O323" s="84">
        <v>56644</v>
      </c>
      <c r="P323" s="84">
        <v>59626</v>
      </c>
      <c r="Q323" s="389"/>
      <c r="R323" s="390"/>
      <c r="S323" s="156">
        <v>20</v>
      </c>
      <c r="T323" s="84">
        <f>(P323-O323)*S323-T326-C327-T286-T317-T324-T325-T167-T168-T173</f>
        <v>22431</v>
      </c>
      <c r="U323" s="88"/>
      <c r="V323" s="89" t="s">
        <v>806</v>
      </c>
      <c r="W323" s="14" t="s">
        <v>82</v>
      </c>
      <c r="X323" s="7"/>
      <c r="Y323" s="7"/>
      <c r="Z323" s="7"/>
      <c r="AA323" s="7"/>
      <c r="AB323" s="7"/>
      <c r="AC323" s="7"/>
    </row>
    <row r="324" spans="1:29" ht="25.5">
      <c r="A324" s="19"/>
      <c r="B324" s="448" t="s">
        <v>763</v>
      </c>
      <c r="C324" s="84">
        <f>H324+E324</f>
        <v>8525.76</v>
      </c>
      <c r="D324" s="84"/>
      <c r="E324" s="84">
        <f t="shared" si="57"/>
        <v>557.76</v>
      </c>
      <c r="F324" s="84">
        <f t="shared" si="60"/>
        <v>318.72000000000003</v>
      </c>
      <c r="G324" s="84">
        <f t="shared" si="61"/>
        <v>239.04</v>
      </c>
      <c r="H324" s="84">
        <f t="shared" si="62"/>
        <v>7968</v>
      </c>
      <c r="I324" s="84">
        <f t="shared" si="63"/>
        <v>5115.4560000000001</v>
      </c>
      <c r="J324" s="130"/>
      <c r="K324" s="130"/>
      <c r="L324" s="130"/>
      <c r="M324" s="130"/>
      <c r="N324" s="130"/>
      <c r="O324" s="84">
        <v>32192</v>
      </c>
      <c r="P324" s="84">
        <v>40160</v>
      </c>
      <c r="Q324" s="389"/>
      <c r="R324" s="390"/>
      <c r="S324" s="156">
        <v>1</v>
      </c>
      <c r="T324" s="84">
        <f>(P324-O324)*S324</f>
        <v>7968</v>
      </c>
      <c r="U324" s="88">
        <v>286</v>
      </c>
      <c r="V324" s="89" t="s">
        <v>769</v>
      </c>
      <c r="W324" s="14" t="s">
        <v>82</v>
      </c>
      <c r="X324" s="7"/>
      <c r="Y324" s="7"/>
      <c r="Z324" s="7"/>
      <c r="AA324" s="7"/>
      <c r="AB324" s="7"/>
      <c r="AC324" s="7"/>
    </row>
    <row r="325" spans="1:29" ht="25.5">
      <c r="A325" s="19"/>
      <c r="B325" s="448"/>
      <c r="C325" s="84">
        <f>H325+E325</f>
        <v>1137.4100000000001</v>
      </c>
      <c r="D325" s="84"/>
      <c r="E325" s="84">
        <f t="shared" si="57"/>
        <v>74.41</v>
      </c>
      <c r="F325" s="84">
        <f t="shared" si="60"/>
        <v>42.52</v>
      </c>
      <c r="G325" s="84">
        <f t="shared" si="61"/>
        <v>31.89</v>
      </c>
      <c r="H325" s="84">
        <f t="shared" si="62"/>
        <v>1063</v>
      </c>
      <c r="I325" s="84">
        <f t="shared" si="63"/>
        <v>682.44600000000003</v>
      </c>
      <c r="J325" s="130"/>
      <c r="K325" s="130"/>
      <c r="L325" s="130"/>
      <c r="M325" s="130"/>
      <c r="N325" s="130"/>
      <c r="O325" s="84">
        <v>12718</v>
      </c>
      <c r="P325" s="84">
        <v>13781</v>
      </c>
      <c r="Q325" s="389"/>
      <c r="R325" s="390"/>
      <c r="S325" s="156">
        <v>1</v>
      </c>
      <c r="T325" s="84">
        <f>(P325-O325)*S325</f>
        <v>1063</v>
      </c>
      <c r="U325" s="88"/>
      <c r="V325" s="89" t="s">
        <v>398</v>
      </c>
      <c r="W325" s="14" t="s">
        <v>82</v>
      </c>
      <c r="X325" s="7"/>
      <c r="Y325" s="7"/>
      <c r="Z325" s="7"/>
      <c r="AA325" s="7"/>
      <c r="AB325" s="7"/>
      <c r="AC325" s="7"/>
    </row>
    <row r="326" spans="1:29" ht="25.5">
      <c r="A326" s="19"/>
      <c r="B326" s="448" t="s">
        <v>763</v>
      </c>
      <c r="C326" s="84">
        <f t="shared" si="59"/>
        <v>1480.88</v>
      </c>
      <c r="D326" s="84"/>
      <c r="E326" s="84">
        <f t="shared" si="57"/>
        <v>96.88</v>
      </c>
      <c r="F326" s="84">
        <f t="shared" si="60"/>
        <v>55.36</v>
      </c>
      <c r="G326" s="84">
        <f t="shared" si="61"/>
        <v>41.519999999999996</v>
      </c>
      <c r="H326" s="84">
        <f t="shared" si="62"/>
        <v>1384</v>
      </c>
      <c r="I326" s="84">
        <f t="shared" si="63"/>
        <v>888.52800000000002</v>
      </c>
      <c r="J326" s="130"/>
      <c r="K326" s="130"/>
      <c r="L326" s="130"/>
      <c r="M326" s="130"/>
      <c r="N326" s="130"/>
      <c r="O326" s="84">
        <v>6678</v>
      </c>
      <c r="P326" s="84">
        <v>8062</v>
      </c>
      <c r="Q326" s="389"/>
      <c r="R326" s="390"/>
      <c r="S326" s="156">
        <v>1</v>
      </c>
      <c r="T326" s="84">
        <f>(P326-O326)*S326</f>
        <v>1384</v>
      </c>
      <c r="U326" s="88"/>
      <c r="V326" s="89" t="s">
        <v>770</v>
      </c>
      <c r="W326" s="14" t="s">
        <v>82</v>
      </c>
      <c r="X326" s="7"/>
      <c r="Y326" s="7"/>
      <c r="Z326" s="7"/>
      <c r="AA326" s="7"/>
      <c r="AB326" s="7"/>
      <c r="AC326" s="7"/>
    </row>
    <row r="327" spans="1:29" ht="25.5">
      <c r="A327" s="19"/>
      <c r="B327" s="466"/>
      <c r="C327" s="84">
        <v>12000</v>
      </c>
      <c r="D327" s="84"/>
      <c r="E327" s="84"/>
      <c r="F327" s="84"/>
      <c r="G327" s="84"/>
      <c r="H327" s="84"/>
      <c r="I327" s="84"/>
      <c r="J327" s="130"/>
      <c r="K327" s="130"/>
      <c r="L327" s="130"/>
      <c r="M327" s="130"/>
      <c r="N327" s="130"/>
      <c r="O327" s="84"/>
      <c r="P327" s="84"/>
      <c r="Q327" s="389"/>
      <c r="R327" s="390"/>
      <c r="S327" s="156"/>
      <c r="T327" s="84">
        <v>0</v>
      </c>
      <c r="U327" s="88"/>
      <c r="V327" s="89" t="s">
        <v>401</v>
      </c>
      <c r="W327" s="14" t="s">
        <v>82</v>
      </c>
      <c r="X327" s="7"/>
      <c r="Y327" s="7"/>
      <c r="Z327" s="7"/>
      <c r="AA327" s="7"/>
      <c r="AB327" s="7"/>
      <c r="AC327" s="7"/>
    </row>
    <row r="328" spans="1:29" ht="26.25">
      <c r="A328" s="19"/>
      <c r="B328" s="213" t="s">
        <v>402</v>
      </c>
      <c r="C328" s="97">
        <f>SUM(C286:C327)</f>
        <v>185970.23</v>
      </c>
      <c r="D328" s="91"/>
      <c r="E328" s="91"/>
      <c r="F328" s="91"/>
      <c r="G328" s="91"/>
      <c r="H328" s="91"/>
      <c r="I328" s="124">
        <f t="shared" si="63"/>
        <v>111582.13800000001</v>
      </c>
      <c r="J328" s="22"/>
      <c r="K328" s="22"/>
      <c r="L328" s="22"/>
      <c r="M328" s="22"/>
      <c r="N328" s="22"/>
      <c r="O328" s="91"/>
      <c r="P328" s="91"/>
      <c r="Q328" s="149"/>
      <c r="R328" s="161"/>
      <c r="S328" s="151"/>
      <c r="T328" s="91"/>
      <c r="U328" s="95"/>
      <c r="V328" s="538"/>
      <c r="W328" s="14"/>
      <c r="X328" s="7"/>
      <c r="Y328" s="7"/>
      <c r="Z328" s="7"/>
      <c r="AA328" s="7"/>
      <c r="AB328" s="7"/>
      <c r="AC328" s="7"/>
    </row>
    <row r="329" spans="1:29" ht="27.75">
      <c r="A329" s="19"/>
      <c r="B329" s="216" t="s">
        <v>403</v>
      </c>
      <c r="C329" s="97">
        <f>SUM(C166:C327)</f>
        <v>721584.92479999841</v>
      </c>
      <c r="D329" s="91"/>
      <c r="E329" s="113"/>
      <c r="F329" s="91"/>
      <c r="G329" s="91"/>
      <c r="H329" s="91"/>
      <c r="I329" s="115"/>
      <c r="J329" s="22"/>
      <c r="K329" s="22"/>
      <c r="L329" s="22"/>
      <c r="M329" s="22"/>
      <c r="N329" s="22"/>
      <c r="O329" s="91"/>
      <c r="P329" s="91"/>
      <c r="Q329" s="149"/>
      <c r="R329" s="161"/>
      <c r="S329" s="151"/>
      <c r="T329" s="91"/>
      <c r="U329" s="95"/>
      <c r="V329" s="538"/>
      <c r="W329" s="14"/>
      <c r="X329" s="7"/>
      <c r="Y329" s="7"/>
      <c r="Z329" s="7"/>
      <c r="AA329" s="7"/>
      <c r="AB329" s="7"/>
      <c r="AC329" s="7"/>
    </row>
    <row r="330" spans="1:29" ht="26.25">
      <c r="A330" s="19"/>
      <c r="B330" s="217"/>
      <c r="C330" s="115"/>
      <c r="D330" s="115"/>
      <c r="E330" s="112"/>
      <c r="F330" s="115"/>
      <c r="G330" s="115"/>
      <c r="H330" s="115"/>
      <c r="I330" s="115"/>
      <c r="J330" s="164"/>
      <c r="K330" s="164"/>
      <c r="L330" s="164"/>
      <c r="M330" s="164"/>
      <c r="N330" s="164"/>
      <c r="O330" s="210"/>
      <c r="P330" s="210"/>
      <c r="Q330" s="149"/>
      <c r="R330" s="211"/>
      <c r="S330" s="115"/>
      <c r="T330" s="91"/>
      <c r="U330" s="95"/>
      <c r="V330" s="538"/>
      <c r="W330" s="14"/>
      <c r="X330" s="7"/>
      <c r="Y330" s="7"/>
      <c r="Z330" s="7"/>
      <c r="AA330" s="7"/>
      <c r="AB330" s="7"/>
      <c r="AC330" s="7"/>
    </row>
    <row r="331" spans="1:29" ht="26.25">
      <c r="A331" s="19"/>
      <c r="B331" s="193" t="s">
        <v>404</v>
      </c>
      <c r="C331" s="91"/>
      <c r="D331" s="115"/>
      <c r="E331" s="115"/>
      <c r="F331" s="91"/>
      <c r="G331" s="91"/>
      <c r="H331" s="91"/>
      <c r="I331" s="91"/>
      <c r="J331" s="164"/>
      <c r="K331" s="164"/>
      <c r="L331" s="164"/>
      <c r="M331" s="164"/>
      <c r="N331" s="164"/>
      <c r="O331" s="91"/>
      <c r="P331" s="91"/>
      <c r="Q331" s="7"/>
      <c r="R331" s="94"/>
      <c r="S331" s="91"/>
      <c r="T331" s="91"/>
      <c r="U331" s="95"/>
      <c r="V331" s="538"/>
      <c r="W331" s="14"/>
      <c r="X331" s="7"/>
      <c r="Y331" s="7"/>
      <c r="Z331" s="7"/>
      <c r="AA331" s="7"/>
      <c r="AB331" s="7"/>
      <c r="AC331" s="7"/>
    </row>
    <row r="332" spans="1:29" ht="25.5">
      <c r="A332" s="19"/>
      <c r="B332" s="1"/>
      <c r="V332" s="538"/>
      <c r="W332" s="14"/>
      <c r="X332" s="7"/>
      <c r="Y332" s="7"/>
      <c r="Z332" s="7"/>
      <c r="AA332" s="7"/>
      <c r="AB332" s="7"/>
      <c r="AC332" s="7"/>
    </row>
    <row r="333" spans="1:29" ht="25.5">
      <c r="A333" s="19"/>
      <c r="B333" s="27" t="s">
        <v>405</v>
      </c>
      <c r="C333" s="28">
        <f t="shared" ref="C333:C354" si="64">H333+E333</f>
        <v>0</v>
      </c>
      <c r="D333" s="28"/>
      <c r="E333" s="28">
        <f t="shared" ref="E333:E355" si="65">F333+G333</f>
        <v>0</v>
      </c>
      <c r="F333" s="28">
        <f t="shared" ref="F333:F376" si="66">0.04*H333</f>
        <v>0</v>
      </c>
      <c r="G333" s="28">
        <f t="shared" ref="G333:G376" si="67">0.03*H333</f>
        <v>0</v>
      </c>
      <c r="H333" s="28">
        <f t="shared" ref="H333:H367" si="68">T333</f>
        <v>0</v>
      </c>
      <c r="I333" s="28">
        <f t="shared" ref="I333:I342" si="69">0.6*C333</f>
        <v>0</v>
      </c>
      <c r="J333" s="29"/>
      <c r="K333" s="29"/>
      <c r="L333" s="29"/>
      <c r="M333" s="29"/>
      <c r="N333" s="29"/>
      <c r="O333" s="28">
        <v>12350</v>
      </c>
      <c r="P333" s="28">
        <v>12350</v>
      </c>
      <c r="Q333" s="29"/>
      <c r="R333" s="348"/>
      <c r="S333" s="54">
        <v>1</v>
      </c>
      <c r="T333" s="28">
        <f t="shared" ref="T333:T348" si="70">(P333-O333)*S333</f>
        <v>0</v>
      </c>
      <c r="U333" s="31">
        <v>55953</v>
      </c>
      <c r="V333" s="564" t="s">
        <v>406</v>
      </c>
      <c r="W333" s="14" t="s">
        <v>212</v>
      </c>
      <c r="X333" s="7"/>
      <c r="Y333" s="7"/>
      <c r="Z333" s="7"/>
      <c r="AA333" s="7"/>
      <c r="AB333" s="7"/>
      <c r="AC333" s="7"/>
    </row>
    <row r="334" spans="1:29" ht="25.5">
      <c r="A334" s="19"/>
      <c r="B334" s="27" t="s">
        <v>407</v>
      </c>
      <c r="C334" s="28">
        <f t="shared" si="64"/>
        <v>271.77999999999997</v>
      </c>
      <c r="D334" s="28"/>
      <c r="E334" s="28">
        <f t="shared" si="65"/>
        <v>17.78</v>
      </c>
      <c r="F334" s="28">
        <f t="shared" si="66"/>
        <v>10.16</v>
      </c>
      <c r="G334" s="28">
        <f t="shared" si="67"/>
        <v>7.62</v>
      </c>
      <c r="H334" s="28">
        <f t="shared" si="68"/>
        <v>254</v>
      </c>
      <c r="I334" s="28">
        <f t="shared" si="69"/>
        <v>163.06799999999998</v>
      </c>
      <c r="J334" s="29"/>
      <c r="K334" s="29"/>
      <c r="L334" s="29"/>
      <c r="M334" s="29"/>
      <c r="N334" s="29"/>
      <c r="O334" s="28">
        <v>16888</v>
      </c>
      <c r="P334" s="28">
        <v>17142</v>
      </c>
      <c r="Q334" s="29"/>
      <c r="R334" s="348"/>
      <c r="S334" s="54">
        <v>1</v>
      </c>
      <c r="T334" s="28">
        <f t="shared" si="70"/>
        <v>254</v>
      </c>
      <c r="U334" s="31">
        <v>1485</v>
      </c>
      <c r="V334" s="564" t="s">
        <v>408</v>
      </c>
      <c r="W334" s="14" t="s">
        <v>212</v>
      </c>
      <c r="X334" s="7"/>
      <c r="Y334" s="7"/>
      <c r="Z334" s="7"/>
      <c r="AA334" s="7"/>
      <c r="AB334" s="7"/>
      <c r="AC334" s="7"/>
    </row>
    <row r="335" spans="1:29" ht="25.5">
      <c r="A335" s="19"/>
      <c r="B335" s="454" t="s">
        <v>826</v>
      </c>
      <c r="C335" s="28">
        <f t="shared" si="64"/>
        <v>6.42</v>
      </c>
      <c r="D335" s="28"/>
      <c r="E335" s="28">
        <f t="shared" si="65"/>
        <v>0.42</v>
      </c>
      <c r="F335" s="28">
        <f t="shared" si="66"/>
        <v>0.24</v>
      </c>
      <c r="G335" s="28">
        <f t="shared" si="67"/>
        <v>0.18</v>
      </c>
      <c r="H335" s="28">
        <f t="shared" si="68"/>
        <v>6</v>
      </c>
      <c r="I335" s="28">
        <f t="shared" si="69"/>
        <v>3.8519999999999999</v>
      </c>
      <c r="J335" s="29"/>
      <c r="K335" s="29"/>
      <c r="L335" s="29"/>
      <c r="M335" s="29"/>
      <c r="N335" s="29"/>
      <c r="O335" s="28">
        <v>15626</v>
      </c>
      <c r="P335" s="28">
        <v>15632</v>
      </c>
      <c r="Q335" s="29"/>
      <c r="R335" s="348"/>
      <c r="S335" s="54">
        <v>1</v>
      </c>
      <c r="T335" s="28">
        <f t="shared" si="70"/>
        <v>6</v>
      </c>
      <c r="U335" s="31"/>
      <c r="V335" s="564" t="s">
        <v>818</v>
      </c>
      <c r="W335" s="14" t="s">
        <v>212</v>
      </c>
      <c r="X335" s="7"/>
      <c r="Y335" s="7"/>
      <c r="Z335" s="7"/>
      <c r="AA335" s="7"/>
      <c r="AB335" s="7"/>
      <c r="AC335" s="7"/>
    </row>
    <row r="336" spans="1:29" ht="25.5">
      <c r="A336" s="19"/>
      <c r="B336" s="454" t="s">
        <v>409</v>
      </c>
      <c r="C336" s="28">
        <f t="shared" si="64"/>
        <v>1315.03</v>
      </c>
      <c r="D336" s="28"/>
      <c r="E336" s="28">
        <f t="shared" si="65"/>
        <v>86.03</v>
      </c>
      <c r="F336" s="28">
        <f t="shared" si="66"/>
        <v>49.160000000000004</v>
      </c>
      <c r="G336" s="28">
        <f t="shared" si="67"/>
        <v>36.869999999999997</v>
      </c>
      <c r="H336" s="28">
        <f t="shared" si="68"/>
        <v>1229</v>
      </c>
      <c r="I336" s="28">
        <f t="shared" si="69"/>
        <v>789.01799999999992</v>
      </c>
      <c r="J336" s="29"/>
      <c r="K336" s="29"/>
      <c r="L336" s="29"/>
      <c r="M336" s="29"/>
      <c r="N336" s="29"/>
      <c r="O336" s="414">
        <f>5711+35269+67181</f>
        <v>108161</v>
      </c>
      <c r="P336" s="414">
        <f>68145+5731+35514</f>
        <v>109390</v>
      </c>
      <c r="Q336" s="29"/>
      <c r="R336" s="348"/>
      <c r="S336" s="54">
        <v>1</v>
      </c>
      <c r="T336" s="28">
        <f t="shared" si="70"/>
        <v>1229</v>
      </c>
      <c r="U336" s="31"/>
      <c r="V336" s="564" t="s">
        <v>410</v>
      </c>
      <c r="W336" s="14" t="s">
        <v>212</v>
      </c>
      <c r="X336" s="7"/>
      <c r="Y336" s="7"/>
      <c r="Z336" s="7"/>
      <c r="AA336" s="7"/>
      <c r="AB336" s="7"/>
      <c r="AC336" s="7"/>
    </row>
    <row r="337" spans="1:29" ht="25.5">
      <c r="A337" s="19"/>
      <c r="B337" s="471" t="s">
        <v>411</v>
      </c>
      <c r="C337" s="28">
        <f t="shared" si="64"/>
        <v>130.54</v>
      </c>
      <c r="D337" s="28"/>
      <c r="E337" s="28">
        <f t="shared" si="65"/>
        <v>8.5399999999999991</v>
      </c>
      <c r="F337" s="28">
        <f t="shared" si="66"/>
        <v>4.88</v>
      </c>
      <c r="G337" s="28">
        <f t="shared" si="67"/>
        <v>3.6599999999999997</v>
      </c>
      <c r="H337" s="28">
        <f t="shared" si="68"/>
        <v>122</v>
      </c>
      <c r="I337" s="28">
        <f t="shared" si="69"/>
        <v>78.323999999999998</v>
      </c>
      <c r="J337" s="29"/>
      <c r="K337" s="29"/>
      <c r="L337" s="29"/>
      <c r="M337" s="29"/>
      <c r="N337" s="29"/>
      <c r="O337" s="28">
        <v>1258</v>
      </c>
      <c r="P337" s="28">
        <v>1380</v>
      </c>
      <c r="Q337" s="29"/>
      <c r="R337" s="348"/>
      <c r="S337" s="54">
        <v>1</v>
      </c>
      <c r="T337" s="28">
        <f>(P337-O337)*S337</f>
        <v>122</v>
      </c>
      <c r="U337" s="455" t="s">
        <v>781</v>
      </c>
      <c r="V337" s="564" t="s">
        <v>780</v>
      </c>
      <c r="W337" s="14" t="s">
        <v>212</v>
      </c>
      <c r="X337" s="7"/>
      <c r="Y337" s="7"/>
      <c r="Z337" s="7"/>
      <c r="AA337" s="7"/>
      <c r="AB337" s="7"/>
      <c r="AC337" s="7"/>
    </row>
    <row r="338" spans="1:29" ht="25.5">
      <c r="A338" s="19"/>
      <c r="B338" s="472" t="s">
        <v>412</v>
      </c>
      <c r="C338" s="28">
        <f t="shared" si="64"/>
        <v>56.71</v>
      </c>
      <c r="D338" s="28"/>
      <c r="E338" s="28">
        <f t="shared" si="65"/>
        <v>3.71</v>
      </c>
      <c r="F338" s="28">
        <f t="shared" si="66"/>
        <v>2.12</v>
      </c>
      <c r="G338" s="28">
        <f t="shared" si="67"/>
        <v>1.5899999999999999</v>
      </c>
      <c r="H338" s="28">
        <f t="shared" si="68"/>
        <v>53</v>
      </c>
      <c r="I338" s="28">
        <f t="shared" si="69"/>
        <v>34.025999999999996</v>
      </c>
      <c r="J338" s="29"/>
      <c r="K338" s="29"/>
      <c r="L338" s="29"/>
      <c r="M338" s="29"/>
      <c r="N338" s="29"/>
      <c r="O338" s="28">
        <v>1265</v>
      </c>
      <c r="P338" s="28">
        <v>1318</v>
      </c>
      <c r="Q338" s="29"/>
      <c r="R338" s="348"/>
      <c r="S338" s="54">
        <v>1</v>
      </c>
      <c r="T338" s="28">
        <f>(P338-O338)*S338</f>
        <v>53</v>
      </c>
      <c r="U338" s="455" t="s">
        <v>782</v>
      </c>
      <c r="V338" s="564" t="s">
        <v>413</v>
      </c>
      <c r="W338" s="14" t="s">
        <v>212</v>
      </c>
      <c r="X338" s="7"/>
      <c r="Y338" s="7"/>
      <c r="Z338" s="7"/>
      <c r="AA338" s="7"/>
      <c r="AB338" s="7"/>
      <c r="AC338" s="7"/>
    </row>
    <row r="339" spans="1:29" ht="25.5">
      <c r="A339" s="19"/>
      <c r="B339" s="472" t="s">
        <v>414</v>
      </c>
      <c r="C339" s="28">
        <f t="shared" si="64"/>
        <v>185.11</v>
      </c>
      <c r="D339" s="28"/>
      <c r="E339" s="28">
        <f t="shared" si="65"/>
        <v>12.11</v>
      </c>
      <c r="F339" s="28">
        <f t="shared" si="66"/>
        <v>6.92</v>
      </c>
      <c r="G339" s="28">
        <f t="shared" si="67"/>
        <v>5.1899999999999995</v>
      </c>
      <c r="H339" s="28">
        <f t="shared" si="68"/>
        <v>173</v>
      </c>
      <c r="I339" s="28">
        <f t="shared" si="69"/>
        <v>111.066</v>
      </c>
      <c r="J339" s="29"/>
      <c r="K339" s="29"/>
      <c r="L339" s="29"/>
      <c r="M339" s="29"/>
      <c r="N339" s="29"/>
      <c r="O339" s="28">
        <v>4008</v>
      </c>
      <c r="P339" s="28">
        <v>4181</v>
      </c>
      <c r="Q339" s="29"/>
      <c r="R339" s="348"/>
      <c r="S339" s="54">
        <v>1</v>
      </c>
      <c r="T339" s="28">
        <f>(P339-O339)*S339</f>
        <v>173</v>
      </c>
      <c r="U339" s="455" t="s">
        <v>783</v>
      </c>
      <c r="V339" s="564" t="s">
        <v>415</v>
      </c>
      <c r="W339" s="14" t="s">
        <v>212</v>
      </c>
      <c r="X339" s="7"/>
      <c r="Y339" s="7"/>
      <c r="Z339" s="7"/>
      <c r="AA339" s="7"/>
      <c r="AB339" s="7"/>
      <c r="AC339" s="7"/>
    </row>
    <row r="340" spans="1:29" ht="25.5">
      <c r="A340" s="19"/>
      <c r="B340" s="534" t="s">
        <v>828</v>
      </c>
      <c r="C340" s="28">
        <f t="shared" si="64"/>
        <v>133.75</v>
      </c>
      <c r="D340" s="28"/>
      <c r="E340" s="28">
        <f t="shared" si="65"/>
        <v>8.75</v>
      </c>
      <c r="F340" s="28">
        <f t="shared" si="66"/>
        <v>5</v>
      </c>
      <c r="G340" s="28">
        <f t="shared" si="67"/>
        <v>3.75</v>
      </c>
      <c r="H340" s="28">
        <f t="shared" si="68"/>
        <v>125</v>
      </c>
      <c r="I340" s="28">
        <f t="shared" si="69"/>
        <v>80.25</v>
      </c>
      <c r="J340" s="29"/>
      <c r="K340" s="29"/>
      <c r="L340" s="29"/>
      <c r="M340" s="29"/>
      <c r="N340" s="29"/>
      <c r="O340" s="28">
        <v>932</v>
      </c>
      <c r="P340" s="28">
        <v>1057</v>
      </c>
      <c r="Q340" s="29"/>
      <c r="R340" s="348"/>
      <c r="S340" s="54">
        <v>1</v>
      </c>
      <c r="T340" s="28">
        <f>(P340-O340)*S340</f>
        <v>125</v>
      </c>
      <c r="U340" s="455" t="s">
        <v>784</v>
      </c>
      <c r="V340" s="564" t="s">
        <v>819</v>
      </c>
      <c r="W340" s="14" t="s">
        <v>212</v>
      </c>
      <c r="X340" s="7"/>
      <c r="Y340" s="7"/>
      <c r="Z340" s="7"/>
      <c r="AA340" s="7"/>
      <c r="AB340" s="7"/>
      <c r="AC340" s="7"/>
    </row>
    <row r="341" spans="1:29" ht="27" customHeight="1">
      <c r="A341" s="19"/>
      <c r="B341" s="413" t="s">
        <v>416</v>
      </c>
      <c r="C341" s="414">
        <f t="shared" si="64"/>
        <v>796.08</v>
      </c>
      <c r="D341" s="414"/>
      <c r="E341" s="414">
        <f t="shared" si="65"/>
        <v>52.08</v>
      </c>
      <c r="F341" s="414">
        <f t="shared" si="66"/>
        <v>29.76</v>
      </c>
      <c r="G341" s="414">
        <f t="shared" si="67"/>
        <v>22.32</v>
      </c>
      <c r="H341" s="414">
        <f t="shared" si="68"/>
        <v>744</v>
      </c>
      <c r="I341" s="414">
        <f t="shared" si="69"/>
        <v>477.64800000000002</v>
      </c>
      <c r="J341" s="415"/>
      <c r="K341" s="415"/>
      <c r="L341" s="415"/>
      <c r="M341" s="415"/>
      <c r="N341" s="415" t="s">
        <v>417</v>
      </c>
      <c r="O341" s="414">
        <f>5123+33265+31698</f>
        <v>70086</v>
      </c>
      <c r="P341" s="414">
        <f>5449+31995+33386</f>
        <v>70830</v>
      </c>
      <c r="Q341" s="422"/>
      <c r="R341" s="473"/>
      <c r="S341" s="414">
        <v>1</v>
      </c>
      <c r="T341" s="414">
        <f>(P341-O341)*S341</f>
        <v>744</v>
      </c>
      <c r="U341" s="31">
        <v>9516</v>
      </c>
      <c r="V341" s="564" t="s">
        <v>820</v>
      </c>
      <c r="W341" s="14" t="s">
        <v>212</v>
      </c>
      <c r="X341" s="7"/>
      <c r="Y341" s="7"/>
      <c r="Z341" s="7"/>
      <c r="AA341" s="7"/>
      <c r="AB341" s="7"/>
      <c r="AC341" s="7"/>
    </row>
    <row r="342" spans="1:29" s="195" customFormat="1" ht="26.25" customHeight="1">
      <c r="A342" s="194"/>
      <c r="B342" s="454" t="s">
        <v>827</v>
      </c>
      <c r="C342" s="28">
        <f t="shared" si="64"/>
        <v>211.86</v>
      </c>
      <c r="D342" s="28"/>
      <c r="E342" s="28">
        <f t="shared" si="65"/>
        <v>13.86</v>
      </c>
      <c r="F342" s="360">
        <f t="shared" si="66"/>
        <v>7.92</v>
      </c>
      <c r="G342" s="28">
        <f t="shared" si="67"/>
        <v>5.9399999999999995</v>
      </c>
      <c r="H342" s="28">
        <f t="shared" si="68"/>
        <v>198</v>
      </c>
      <c r="I342" s="28">
        <f t="shared" si="69"/>
        <v>127.116</v>
      </c>
      <c r="J342" s="29"/>
      <c r="K342" s="29"/>
      <c r="L342" s="29"/>
      <c r="M342" s="29"/>
      <c r="N342" s="29"/>
      <c r="O342" s="28">
        <v>53610</v>
      </c>
      <c r="P342" s="28">
        <v>53808</v>
      </c>
      <c r="Q342" s="30"/>
      <c r="R342" s="71"/>
      <c r="S342" s="54">
        <v>1</v>
      </c>
      <c r="T342" s="28">
        <f t="shared" si="70"/>
        <v>198</v>
      </c>
      <c r="U342" s="31"/>
      <c r="V342" s="564" t="s">
        <v>821</v>
      </c>
      <c r="W342" s="191" t="s">
        <v>212</v>
      </c>
      <c r="X342" s="86"/>
      <c r="Y342" s="86"/>
      <c r="Z342" s="86"/>
      <c r="AA342" s="86"/>
      <c r="AB342" s="86"/>
      <c r="AC342" s="86"/>
    </row>
    <row r="343" spans="1:29" ht="25.5">
      <c r="A343" s="19"/>
      <c r="B343" s="27" t="s">
        <v>825</v>
      </c>
      <c r="C343" s="28">
        <f t="shared" si="64"/>
        <v>7035.25</v>
      </c>
      <c r="D343" s="28"/>
      <c r="E343" s="28">
        <f t="shared" si="65"/>
        <v>460.25</v>
      </c>
      <c r="F343" s="360">
        <f t="shared" si="66"/>
        <v>263</v>
      </c>
      <c r="G343" s="28">
        <f t="shared" si="67"/>
        <v>197.25</v>
      </c>
      <c r="H343" s="28">
        <f t="shared" si="68"/>
        <v>6575</v>
      </c>
      <c r="I343" s="28">
        <f>0.5*C343</f>
        <v>3517.625</v>
      </c>
      <c r="J343" s="29"/>
      <c r="K343" s="29"/>
      <c r="L343" s="29"/>
      <c r="M343" s="29"/>
      <c r="N343" s="29"/>
      <c r="O343" s="28">
        <f>103577+1455+337262</f>
        <v>442294</v>
      </c>
      <c r="P343" s="28">
        <f>104796+1475+342598</f>
        <v>448869</v>
      </c>
      <c r="Q343" s="30"/>
      <c r="R343" s="71"/>
      <c r="S343" s="54">
        <v>1</v>
      </c>
      <c r="T343" s="28">
        <f t="shared" si="70"/>
        <v>6575</v>
      </c>
      <c r="U343" s="31" t="s">
        <v>418</v>
      </c>
      <c r="V343" s="564" t="s">
        <v>419</v>
      </c>
      <c r="W343" s="14" t="s">
        <v>212</v>
      </c>
      <c r="X343" s="7"/>
      <c r="Y343" s="7"/>
      <c r="Z343" s="7"/>
      <c r="AA343" s="7"/>
      <c r="AB343" s="7"/>
      <c r="AC343" s="7"/>
    </row>
    <row r="344" spans="1:29" ht="25.5">
      <c r="A344" s="19"/>
      <c r="B344" s="27" t="s">
        <v>829</v>
      </c>
      <c r="C344" s="28">
        <f t="shared" ref="C344" si="71">H344+E344</f>
        <v>157.29</v>
      </c>
      <c r="D344" s="28"/>
      <c r="E344" s="28">
        <f t="shared" ref="E344" si="72">F344+G344</f>
        <v>10.29</v>
      </c>
      <c r="F344" s="360">
        <f t="shared" ref="F344" si="73">0.04*H344</f>
        <v>5.88</v>
      </c>
      <c r="G344" s="28">
        <f t="shared" ref="G344" si="74">0.03*H344</f>
        <v>4.41</v>
      </c>
      <c r="H344" s="28">
        <f t="shared" ref="H344" si="75">T344</f>
        <v>147</v>
      </c>
      <c r="I344" s="28">
        <f>0.5*C344</f>
        <v>78.644999999999996</v>
      </c>
      <c r="J344" s="29"/>
      <c r="K344" s="29"/>
      <c r="L344" s="29"/>
      <c r="M344" s="29"/>
      <c r="N344" s="29"/>
      <c r="O344" s="28">
        <v>5318</v>
      </c>
      <c r="P344" s="28">
        <v>5465</v>
      </c>
      <c r="Q344" s="30"/>
      <c r="R344" s="71"/>
      <c r="S344" s="54">
        <v>1</v>
      </c>
      <c r="T344" s="28">
        <f t="shared" ref="T344" si="76">(P344-O344)*S344</f>
        <v>147</v>
      </c>
      <c r="U344" s="31"/>
      <c r="V344" s="474" t="s">
        <v>822</v>
      </c>
      <c r="W344" s="14" t="s">
        <v>212</v>
      </c>
      <c r="X344" s="7"/>
      <c r="Y344" s="7"/>
      <c r="Z344" s="7"/>
      <c r="AA344" s="7"/>
      <c r="AB344" s="7"/>
      <c r="AC344" s="7"/>
    </row>
    <row r="345" spans="1:29" ht="25.5">
      <c r="A345" s="19"/>
      <c r="B345" s="27" t="s">
        <v>420</v>
      </c>
      <c r="C345" s="28">
        <f t="shared" si="64"/>
        <v>260.01</v>
      </c>
      <c r="D345" s="28"/>
      <c r="E345" s="28">
        <f t="shared" si="65"/>
        <v>17.010000000000002</v>
      </c>
      <c r="F345" s="28">
        <f t="shared" si="66"/>
        <v>9.7200000000000006</v>
      </c>
      <c r="G345" s="28">
        <f t="shared" si="67"/>
        <v>7.29</v>
      </c>
      <c r="H345" s="28">
        <f t="shared" si="68"/>
        <v>243</v>
      </c>
      <c r="I345" s="28">
        <f>0.6*C345</f>
        <v>156.006</v>
      </c>
      <c r="J345" s="29"/>
      <c r="K345" s="29"/>
      <c r="L345" s="29"/>
      <c r="M345" s="29"/>
      <c r="N345" s="29" t="s">
        <v>421</v>
      </c>
      <c r="O345" s="28">
        <f>32633+68077</f>
        <v>100710</v>
      </c>
      <c r="P345" s="28">
        <f>32779+68174</f>
        <v>100953</v>
      </c>
      <c r="Q345" s="146"/>
      <c r="R345" s="61"/>
      <c r="S345" s="54">
        <v>1</v>
      </c>
      <c r="T345" s="28">
        <f t="shared" si="70"/>
        <v>243</v>
      </c>
      <c r="U345" s="475" t="s">
        <v>422</v>
      </c>
      <c r="V345" s="474" t="s">
        <v>423</v>
      </c>
      <c r="W345" s="14" t="s">
        <v>212</v>
      </c>
      <c r="X345" s="7"/>
      <c r="Y345" s="7"/>
      <c r="Z345" s="7"/>
      <c r="AA345" s="7"/>
      <c r="AB345" s="7"/>
      <c r="AC345" s="7"/>
    </row>
    <row r="346" spans="1:29" ht="25.5">
      <c r="A346" s="19"/>
      <c r="B346" s="27" t="s">
        <v>424</v>
      </c>
      <c r="C346" s="28">
        <f t="shared" si="64"/>
        <v>4.28</v>
      </c>
      <c r="D346" s="28"/>
      <c r="E346" s="28">
        <f t="shared" si="65"/>
        <v>0.28000000000000003</v>
      </c>
      <c r="F346" s="470">
        <f t="shared" si="66"/>
        <v>0.16</v>
      </c>
      <c r="G346" s="28">
        <f t="shared" si="67"/>
        <v>0.12</v>
      </c>
      <c r="H346" s="28">
        <f t="shared" si="68"/>
        <v>4</v>
      </c>
      <c r="I346" s="28">
        <f>0.6*C346</f>
        <v>2.5680000000000001</v>
      </c>
      <c r="J346" s="29"/>
      <c r="K346" s="29"/>
      <c r="L346" s="29"/>
      <c r="M346" s="29"/>
      <c r="N346" s="29"/>
      <c r="O346" s="28">
        <v>11376</v>
      </c>
      <c r="P346" s="28">
        <v>11380</v>
      </c>
      <c r="Q346" s="30"/>
      <c r="R346" s="71"/>
      <c r="S346" s="54">
        <v>1</v>
      </c>
      <c r="T346" s="28">
        <f t="shared" si="70"/>
        <v>4</v>
      </c>
      <c r="U346" s="31"/>
      <c r="V346" s="564" t="s">
        <v>425</v>
      </c>
      <c r="W346" s="14" t="s">
        <v>212</v>
      </c>
      <c r="X346" s="7"/>
      <c r="Y346" s="7"/>
      <c r="Z346" s="7"/>
      <c r="AA346" s="7"/>
      <c r="AB346" s="7"/>
      <c r="AC346" s="7"/>
    </row>
    <row r="347" spans="1:29" ht="25.5">
      <c r="A347" s="19"/>
      <c r="B347" s="476" t="s">
        <v>426</v>
      </c>
      <c r="C347" s="43">
        <f t="shared" si="64"/>
        <v>37.450000000000003</v>
      </c>
      <c r="D347" s="43"/>
      <c r="E347" s="43">
        <f t="shared" si="65"/>
        <v>2.4500000000000002</v>
      </c>
      <c r="F347" s="43">
        <f t="shared" si="66"/>
        <v>1.4000000000000001</v>
      </c>
      <c r="G347" s="43">
        <f t="shared" si="67"/>
        <v>1.05</v>
      </c>
      <c r="H347" s="43">
        <f t="shared" si="68"/>
        <v>35</v>
      </c>
      <c r="I347" s="43">
        <f>0.4*C347</f>
        <v>14.980000000000002</v>
      </c>
      <c r="J347" s="355"/>
      <c r="K347" s="355"/>
      <c r="L347" s="355"/>
      <c r="M347" s="355"/>
      <c r="N347" s="355"/>
      <c r="O347" s="43">
        <v>2581</v>
      </c>
      <c r="P347" s="43">
        <v>2616</v>
      </c>
      <c r="Q347" s="436"/>
      <c r="R347" s="356"/>
      <c r="S347" s="477">
        <v>1</v>
      </c>
      <c r="T347" s="43">
        <f t="shared" si="70"/>
        <v>35</v>
      </c>
      <c r="U347" s="55"/>
      <c r="V347" s="478" t="s">
        <v>427</v>
      </c>
      <c r="W347" s="14" t="s">
        <v>212</v>
      </c>
      <c r="X347" s="7"/>
      <c r="Y347" s="7"/>
      <c r="Z347" s="7"/>
      <c r="AA347" s="7"/>
      <c r="AB347" s="7"/>
      <c r="AC347" s="7"/>
    </row>
    <row r="348" spans="1:29" ht="24" customHeight="1">
      <c r="A348" s="19"/>
      <c r="B348" s="148" t="s">
        <v>428</v>
      </c>
      <c r="C348" s="91">
        <f t="shared" si="64"/>
        <v>0</v>
      </c>
      <c r="D348" s="91"/>
      <c r="E348" s="91">
        <f t="shared" si="65"/>
        <v>0</v>
      </c>
      <c r="F348" s="91">
        <f t="shared" si="66"/>
        <v>0</v>
      </c>
      <c r="G348" s="91">
        <f t="shared" si="67"/>
        <v>0</v>
      </c>
      <c r="H348" s="91">
        <f t="shared" si="68"/>
        <v>0</v>
      </c>
      <c r="I348" s="91">
        <f>0.6*C348</f>
        <v>0</v>
      </c>
      <c r="J348" s="22"/>
      <c r="K348" s="22"/>
      <c r="L348" s="22"/>
      <c r="M348" s="22"/>
      <c r="N348" s="22"/>
      <c r="O348" s="91">
        <v>3295</v>
      </c>
      <c r="P348" s="91">
        <v>3295</v>
      </c>
      <c r="Q348" s="22"/>
      <c r="R348" s="142"/>
      <c r="S348" s="91">
        <v>1</v>
      </c>
      <c r="T348" s="91">
        <f t="shared" si="70"/>
        <v>0</v>
      </c>
      <c r="U348" s="95"/>
      <c r="V348" s="343" t="s">
        <v>429</v>
      </c>
      <c r="W348" s="14" t="s">
        <v>212</v>
      </c>
      <c r="X348" s="7"/>
      <c r="Y348" s="7"/>
      <c r="Z348" s="7"/>
      <c r="AA348" s="7"/>
      <c r="AB348" s="7"/>
      <c r="AC348" s="7"/>
    </row>
    <row r="349" spans="1:29" s="195" customFormat="1" ht="25.5">
      <c r="A349" s="194"/>
      <c r="B349" s="27" t="s">
        <v>430</v>
      </c>
      <c r="C349" s="28">
        <f>H349+E349</f>
        <v>0</v>
      </c>
      <c r="D349" s="28"/>
      <c r="E349" s="28">
        <f t="shared" si="65"/>
        <v>0</v>
      </c>
      <c r="F349" s="28">
        <f t="shared" si="66"/>
        <v>0</v>
      </c>
      <c r="G349" s="28">
        <f t="shared" si="67"/>
        <v>0</v>
      </c>
      <c r="H349" s="28">
        <f>T349</f>
        <v>0</v>
      </c>
      <c r="I349" s="28">
        <f>0.6*C349</f>
        <v>0</v>
      </c>
      <c r="J349" s="29"/>
      <c r="K349" s="29"/>
      <c r="L349" s="29"/>
      <c r="M349" s="29"/>
      <c r="N349" s="29"/>
      <c r="O349" s="28">
        <v>6867</v>
      </c>
      <c r="P349" s="28">
        <v>6902</v>
      </c>
      <c r="Q349" s="29"/>
      <c r="R349" s="348"/>
      <c r="S349" s="28">
        <v>1</v>
      </c>
      <c r="T349" s="28">
        <f>(P349-O349)*S349-T347</f>
        <v>0</v>
      </c>
      <c r="U349" s="31">
        <v>6099</v>
      </c>
      <c r="V349" s="567" t="s">
        <v>431</v>
      </c>
      <c r="W349" s="191" t="s">
        <v>212</v>
      </c>
      <c r="X349" s="86"/>
      <c r="Y349" s="86"/>
      <c r="Z349" s="86"/>
      <c r="AA349" s="86"/>
      <c r="AB349" s="86"/>
      <c r="AC349" s="86"/>
    </row>
    <row r="350" spans="1:29" s="195" customFormat="1" ht="25.5">
      <c r="A350" s="194"/>
      <c r="B350" s="27" t="s">
        <v>432</v>
      </c>
      <c r="C350" s="28">
        <f>H350+E350</f>
        <v>0</v>
      </c>
      <c r="D350" s="28"/>
      <c r="E350" s="28">
        <f t="shared" si="65"/>
        <v>0</v>
      </c>
      <c r="F350" s="28">
        <f t="shared" si="66"/>
        <v>0</v>
      </c>
      <c r="G350" s="28">
        <f t="shared" si="67"/>
        <v>0</v>
      </c>
      <c r="H350" s="28">
        <f t="shared" si="68"/>
        <v>0</v>
      </c>
      <c r="I350" s="28">
        <f>0.6*C350</f>
        <v>0</v>
      </c>
      <c r="J350" s="29"/>
      <c r="K350" s="29"/>
      <c r="L350" s="29"/>
      <c r="M350" s="29"/>
      <c r="N350" s="29"/>
      <c r="O350" s="28">
        <v>1050</v>
      </c>
      <c r="P350" s="28">
        <v>1050</v>
      </c>
      <c r="Q350" s="29" t="s">
        <v>37</v>
      </c>
      <c r="R350" s="348"/>
      <c r="S350" s="54">
        <v>1</v>
      </c>
      <c r="T350" s="28">
        <f t="shared" ref="T350:T361" si="77">(P350-O350)*S350</f>
        <v>0</v>
      </c>
      <c r="U350" s="31">
        <v>451396</v>
      </c>
      <c r="V350" s="565" t="s">
        <v>433</v>
      </c>
      <c r="W350" s="191" t="s">
        <v>212</v>
      </c>
      <c r="X350" s="86"/>
      <c r="Y350" s="86"/>
      <c r="Z350" s="86"/>
      <c r="AA350" s="86"/>
      <c r="AB350" s="86"/>
      <c r="AC350" s="86"/>
    </row>
    <row r="351" spans="1:29" ht="25.5">
      <c r="A351" s="19"/>
      <c r="B351" s="27" t="s">
        <v>830</v>
      </c>
      <c r="C351" s="28">
        <f t="shared" si="64"/>
        <v>20.329999999999998</v>
      </c>
      <c r="D351" s="28"/>
      <c r="E351" s="28">
        <f t="shared" si="65"/>
        <v>1.33</v>
      </c>
      <c r="F351" s="28">
        <f t="shared" si="66"/>
        <v>0.76</v>
      </c>
      <c r="G351" s="28">
        <f t="shared" si="67"/>
        <v>0.56999999999999995</v>
      </c>
      <c r="H351" s="28">
        <f t="shared" si="68"/>
        <v>19</v>
      </c>
      <c r="I351" s="28">
        <f>0.6*C351</f>
        <v>12.197999999999999</v>
      </c>
      <c r="J351" s="29"/>
      <c r="K351" s="29"/>
      <c r="L351" s="29"/>
      <c r="M351" s="29"/>
      <c r="N351" s="29"/>
      <c r="O351" s="28">
        <v>6901</v>
      </c>
      <c r="P351" s="28">
        <v>6920</v>
      </c>
      <c r="Q351" s="29" t="s">
        <v>37</v>
      </c>
      <c r="R351" s="348"/>
      <c r="S351" s="54">
        <v>1</v>
      </c>
      <c r="T351" s="28">
        <f t="shared" si="77"/>
        <v>19</v>
      </c>
      <c r="U351" s="31">
        <v>451396</v>
      </c>
      <c r="V351" s="564" t="s">
        <v>434</v>
      </c>
      <c r="W351" s="14" t="s">
        <v>212</v>
      </c>
      <c r="X351" s="7"/>
      <c r="Y351" s="7"/>
      <c r="Z351" s="7"/>
      <c r="AA351" s="7"/>
      <c r="AB351" s="7"/>
      <c r="AC351" s="7"/>
    </row>
    <row r="352" spans="1:29" ht="25.5">
      <c r="A352" s="19"/>
      <c r="B352" s="472" t="s">
        <v>689</v>
      </c>
      <c r="C352" s="28">
        <f>H352+E352</f>
        <v>39.590000000000003</v>
      </c>
      <c r="D352" s="28"/>
      <c r="E352" s="28">
        <f>F352+G352</f>
        <v>2.59</v>
      </c>
      <c r="F352" s="28">
        <f>0.04*H352</f>
        <v>1.48</v>
      </c>
      <c r="G352" s="28">
        <f>0.03*H352</f>
        <v>1.1099999999999999</v>
      </c>
      <c r="H352" s="28">
        <f>T352</f>
        <v>37</v>
      </c>
      <c r="I352" s="28">
        <f>0.6*C352</f>
        <v>23.754000000000001</v>
      </c>
      <c r="J352" s="29"/>
      <c r="K352" s="29"/>
      <c r="L352" s="29"/>
      <c r="M352" s="29"/>
      <c r="N352" s="29"/>
      <c r="O352" s="28">
        <v>10286</v>
      </c>
      <c r="P352" s="28">
        <v>10323</v>
      </c>
      <c r="Q352" s="29"/>
      <c r="R352" s="348"/>
      <c r="S352" s="54">
        <v>1</v>
      </c>
      <c r="T352" s="28">
        <f>(P352-O352)*S352</f>
        <v>37</v>
      </c>
      <c r="U352" s="31"/>
      <c r="V352" s="564" t="s">
        <v>435</v>
      </c>
      <c r="W352" s="14" t="s">
        <v>212</v>
      </c>
      <c r="X352" s="7"/>
      <c r="Y352" s="7"/>
      <c r="Z352" s="7"/>
      <c r="AA352" s="7"/>
      <c r="AB352" s="7"/>
      <c r="AC352" s="7"/>
    </row>
    <row r="353" spans="1:29" ht="25.5">
      <c r="A353" s="19"/>
      <c r="B353" s="27" t="s">
        <v>436</v>
      </c>
      <c r="C353" s="28">
        <f t="shared" si="64"/>
        <v>0</v>
      </c>
      <c r="D353" s="28"/>
      <c r="E353" s="28">
        <f t="shared" si="65"/>
        <v>0</v>
      </c>
      <c r="F353" s="28">
        <f t="shared" si="66"/>
        <v>0</v>
      </c>
      <c r="G353" s="28">
        <f t="shared" si="67"/>
        <v>0</v>
      </c>
      <c r="H353" s="28">
        <f t="shared" si="68"/>
        <v>0</v>
      </c>
      <c r="I353" s="28">
        <f>0.4*C353</f>
        <v>0</v>
      </c>
      <c r="J353" s="29"/>
      <c r="K353" s="29"/>
      <c r="L353" s="29"/>
      <c r="M353" s="29"/>
      <c r="N353" s="29"/>
      <c r="O353" s="28">
        <v>10404</v>
      </c>
      <c r="P353" s="28">
        <v>10404</v>
      </c>
      <c r="Q353" s="30"/>
      <c r="R353" s="351"/>
      <c r="S353" s="54">
        <v>1</v>
      </c>
      <c r="T353" s="28">
        <f t="shared" si="77"/>
        <v>0</v>
      </c>
      <c r="U353" s="31">
        <v>382548</v>
      </c>
      <c r="V353" s="564" t="s">
        <v>437</v>
      </c>
      <c r="W353" s="14" t="s">
        <v>212</v>
      </c>
      <c r="X353" s="7"/>
      <c r="Y353" s="7"/>
      <c r="Z353" s="7"/>
      <c r="AA353" s="7"/>
      <c r="AB353" s="7"/>
      <c r="AC353" s="7"/>
    </row>
    <row r="354" spans="1:29" s="195" customFormat="1" ht="25.5">
      <c r="A354" s="194"/>
      <c r="B354" s="27" t="s">
        <v>438</v>
      </c>
      <c r="C354" s="28">
        <f t="shared" si="64"/>
        <v>101.65</v>
      </c>
      <c r="D354" s="28"/>
      <c r="E354" s="28">
        <f t="shared" si="65"/>
        <v>6.65</v>
      </c>
      <c r="F354" s="28">
        <f t="shared" si="66"/>
        <v>3.8000000000000003</v>
      </c>
      <c r="G354" s="28">
        <f t="shared" si="67"/>
        <v>2.85</v>
      </c>
      <c r="H354" s="28">
        <f t="shared" si="68"/>
        <v>95</v>
      </c>
      <c r="I354" s="28">
        <f>0.4*C354</f>
        <v>40.660000000000004</v>
      </c>
      <c r="J354" s="29"/>
      <c r="K354" s="29"/>
      <c r="L354" s="29"/>
      <c r="M354" s="29"/>
      <c r="N354" s="29"/>
      <c r="O354" s="28">
        <v>1602</v>
      </c>
      <c r="P354" s="28">
        <v>1697</v>
      </c>
      <c r="Q354" s="30"/>
      <c r="R354" s="351"/>
      <c r="S354" s="54">
        <v>1</v>
      </c>
      <c r="T354" s="28">
        <f t="shared" si="77"/>
        <v>95</v>
      </c>
      <c r="U354" s="31"/>
      <c r="V354" s="564" t="s">
        <v>439</v>
      </c>
      <c r="W354" s="191" t="s">
        <v>212</v>
      </c>
      <c r="X354" s="86"/>
      <c r="Y354" s="86"/>
      <c r="Z354" s="86"/>
      <c r="AA354" s="86"/>
      <c r="AB354" s="86"/>
      <c r="AC354" s="86"/>
    </row>
    <row r="355" spans="1:29" ht="25.5">
      <c r="A355" s="19"/>
      <c r="B355" s="27" t="s">
        <v>440</v>
      </c>
      <c r="C355" s="28">
        <f>E355+H355</f>
        <v>220.42</v>
      </c>
      <c r="D355" s="28"/>
      <c r="E355" s="28">
        <f t="shared" si="65"/>
        <v>14.42</v>
      </c>
      <c r="F355" s="28">
        <f t="shared" si="66"/>
        <v>8.24</v>
      </c>
      <c r="G355" s="28">
        <f t="shared" si="67"/>
        <v>6.18</v>
      </c>
      <c r="H355" s="28">
        <f t="shared" si="68"/>
        <v>206</v>
      </c>
      <c r="I355" s="28">
        <f>H355*0.5</f>
        <v>103</v>
      </c>
      <c r="J355" s="458"/>
      <c r="K355" s="458"/>
      <c r="L355" s="458"/>
      <c r="M355" s="458"/>
      <c r="N355" s="458"/>
      <c r="O355" s="28">
        <v>3528</v>
      </c>
      <c r="P355" s="28">
        <v>3734</v>
      </c>
      <c r="Q355" s="458"/>
      <c r="R355" s="77"/>
      <c r="S355" s="54">
        <v>1</v>
      </c>
      <c r="T355" s="28">
        <f t="shared" si="77"/>
        <v>206</v>
      </c>
      <c r="U355" s="31" t="s">
        <v>441</v>
      </c>
      <c r="V355" s="564" t="s">
        <v>823</v>
      </c>
      <c r="W355" s="14" t="s">
        <v>212</v>
      </c>
      <c r="X355" s="7"/>
      <c r="Y355" s="7"/>
      <c r="Z355" s="7"/>
      <c r="AA355" s="7"/>
      <c r="AB355" s="7"/>
      <c r="AC355" s="7"/>
    </row>
    <row r="356" spans="1:29" ht="69.75">
      <c r="A356" s="19"/>
      <c r="B356" s="363" t="s">
        <v>442</v>
      </c>
      <c r="C356" s="414">
        <f>H356+E356</f>
        <v>452.61</v>
      </c>
      <c r="D356" s="414"/>
      <c r="E356" s="414">
        <f>G356+F356</f>
        <v>29.61</v>
      </c>
      <c r="F356" s="414">
        <f t="shared" si="66"/>
        <v>16.920000000000002</v>
      </c>
      <c r="G356" s="414">
        <f t="shared" si="67"/>
        <v>12.69</v>
      </c>
      <c r="H356" s="414">
        <f t="shared" si="68"/>
        <v>423</v>
      </c>
      <c r="I356" s="414">
        <f>0.6*C356</f>
        <v>271.56599999999997</v>
      </c>
      <c r="J356" s="415"/>
      <c r="K356" s="415"/>
      <c r="L356" s="415"/>
      <c r="M356" s="415"/>
      <c r="N356" s="415"/>
      <c r="O356" s="414">
        <v>34621</v>
      </c>
      <c r="P356" s="414">
        <v>35044</v>
      </c>
      <c r="Q356" s="416"/>
      <c r="R356" s="417"/>
      <c r="S356" s="418">
        <v>1</v>
      </c>
      <c r="T356" s="414">
        <f t="shared" si="77"/>
        <v>423</v>
      </c>
      <c r="U356" s="31">
        <v>492280</v>
      </c>
      <c r="V356" s="564" t="s">
        <v>443</v>
      </c>
      <c r="W356" s="14" t="s">
        <v>212</v>
      </c>
      <c r="X356" s="7"/>
      <c r="Y356" s="7"/>
      <c r="Z356" s="7"/>
      <c r="AA356" s="7"/>
      <c r="AB356" s="7"/>
      <c r="AC356" s="7"/>
    </row>
    <row r="357" spans="1:29" ht="25.5">
      <c r="A357" s="19"/>
      <c r="B357" s="27" t="s">
        <v>444</v>
      </c>
      <c r="C357" s="28">
        <f>H357+E357</f>
        <v>311.37</v>
      </c>
      <c r="D357" s="28"/>
      <c r="E357" s="28">
        <f>G357+F357</f>
        <v>20.37</v>
      </c>
      <c r="F357" s="28">
        <f t="shared" si="66"/>
        <v>11.64</v>
      </c>
      <c r="G357" s="28">
        <f t="shared" si="67"/>
        <v>8.73</v>
      </c>
      <c r="H357" s="28">
        <f t="shared" si="68"/>
        <v>291</v>
      </c>
      <c r="I357" s="28">
        <f>0.6*C357</f>
        <v>186.822</v>
      </c>
      <c r="J357" s="29"/>
      <c r="K357" s="29"/>
      <c r="L357" s="29"/>
      <c r="M357" s="29"/>
      <c r="N357" s="29"/>
      <c r="O357" s="28">
        <v>61228</v>
      </c>
      <c r="P357" s="28">
        <v>61519</v>
      </c>
      <c r="Q357" s="146"/>
      <c r="R357" s="61"/>
      <c r="S357" s="54">
        <v>1</v>
      </c>
      <c r="T357" s="28">
        <f t="shared" si="77"/>
        <v>291</v>
      </c>
      <c r="U357" s="31">
        <v>38602</v>
      </c>
      <c r="V357" s="564" t="s">
        <v>445</v>
      </c>
      <c r="W357" s="14" t="s">
        <v>212</v>
      </c>
      <c r="X357" s="7"/>
      <c r="Y357" s="7"/>
      <c r="Z357" s="7"/>
      <c r="AA357" s="7"/>
      <c r="AB357" s="7"/>
      <c r="AC357" s="7"/>
    </row>
    <row r="358" spans="1:29" ht="25.5">
      <c r="A358" s="19"/>
      <c r="B358" s="27" t="s">
        <v>446</v>
      </c>
      <c r="C358" s="28">
        <f>H358+E358</f>
        <v>501.83</v>
      </c>
      <c r="D358" s="28"/>
      <c r="E358" s="28">
        <f t="shared" ref="E358:E369" si="78">F358+G358</f>
        <v>32.83</v>
      </c>
      <c r="F358" s="28">
        <f t="shared" si="66"/>
        <v>18.760000000000002</v>
      </c>
      <c r="G358" s="28">
        <f t="shared" si="67"/>
        <v>14.07</v>
      </c>
      <c r="H358" s="28">
        <f t="shared" si="68"/>
        <v>469</v>
      </c>
      <c r="I358" s="28">
        <f>0.6*C358</f>
        <v>301.09799999999996</v>
      </c>
      <c r="J358" s="29"/>
      <c r="K358" s="29"/>
      <c r="L358" s="29"/>
      <c r="M358" s="29"/>
      <c r="N358" s="29"/>
      <c r="O358" s="28">
        <v>25903</v>
      </c>
      <c r="P358" s="28">
        <v>26372</v>
      </c>
      <c r="Q358" s="30"/>
      <c r="R358" s="351"/>
      <c r="S358" s="28">
        <v>1</v>
      </c>
      <c r="T358" s="28">
        <f t="shared" si="77"/>
        <v>469</v>
      </c>
      <c r="U358" s="31">
        <v>5978</v>
      </c>
      <c r="V358" s="564" t="s">
        <v>447</v>
      </c>
      <c r="W358" s="14" t="s">
        <v>212</v>
      </c>
      <c r="X358" s="7"/>
      <c r="Y358" s="7"/>
      <c r="Z358" s="7"/>
      <c r="AA358" s="7"/>
      <c r="AB358" s="7"/>
      <c r="AC358" s="7"/>
    </row>
    <row r="359" spans="1:29" ht="25.5">
      <c r="A359" s="19"/>
      <c r="B359" s="27" t="s">
        <v>691</v>
      </c>
      <c r="C359" s="28">
        <f>E359+H359</f>
        <v>735.09</v>
      </c>
      <c r="D359" s="28"/>
      <c r="E359" s="28">
        <f t="shared" si="78"/>
        <v>48.09</v>
      </c>
      <c r="F359" s="28">
        <f t="shared" si="66"/>
        <v>27.48</v>
      </c>
      <c r="G359" s="28">
        <f t="shared" si="67"/>
        <v>20.61</v>
      </c>
      <c r="H359" s="28">
        <f t="shared" si="68"/>
        <v>687</v>
      </c>
      <c r="I359" s="28">
        <f>H359*0.5</f>
        <v>343.5</v>
      </c>
      <c r="J359" s="458"/>
      <c r="K359" s="458"/>
      <c r="L359" s="458"/>
      <c r="M359" s="458"/>
      <c r="N359" s="458"/>
      <c r="O359" s="28">
        <v>71743</v>
      </c>
      <c r="P359" s="28">
        <v>72430</v>
      </c>
      <c r="Q359" s="458"/>
      <c r="R359" s="77"/>
      <c r="S359" s="54">
        <v>1</v>
      </c>
      <c r="T359" s="28">
        <f t="shared" si="77"/>
        <v>687</v>
      </c>
      <c r="U359" s="31" t="s">
        <v>441</v>
      </c>
      <c r="V359" s="564" t="s">
        <v>448</v>
      </c>
      <c r="W359" s="14" t="s">
        <v>212</v>
      </c>
      <c r="X359" s="7"/>
      <c r="Y359" s="7"/>
      <c r="Z359" s="7"/>
      <c r="AA359" s="7"/>
      <c r="AB359" s="7"/>
      <c r="AC359" s="7"/>
    </row>
    <row r="360" spans="1:29" ht="25.5">
      <c r="A360" s="19"/>
      <c r="B360" s="420" t="s">
        <v>449</v>
      </c>
      <c r="C360" s="28">
        <f t="shared" ref="C360:C366" si="79">H360+E360</f>
        <v>643.06999999999994</v>
      </c>
      <c r="D360" s="28"/>
      <c r="E360" s="28">
        <f t="shared" si="78"/>
        <v>42.069999999999993</v>
      </c>
      <c r="F360" s="28">
        <f t="shared" si="66"/>
        <v>24.04</v>
      </c>
      <c r="G360" s="28">
        <f t="shared" si="67"/>
        <v>18.029999999999998</v>
      </c>
      <c r="H360" s="28">
        <f t="shared" si="68"/>
        <v>601</v>
      </c>
      <c r="I360" s="28">
        <f t="shared" ref="I360:I367" si="80">0.6*C360</f>
        <v>385.84199999999993</v>
      </c>
      <c r="J360" s="29"/>
      <c r="K360" s="29"/>
      <c r="L360" s="29"/>
      <c r="M360" s="29"/>
      <c r="N360" s="29"/>
      <c r="O360" s="28">
        <v>21791</v>
      </c>
      <c r="P360" s="28">
        <v>22392</v>
      </c>
      <c r="Q360" s="30"/>
      <c r="R360" s="351"/>
      <c r="S360" s="54">
        <v>1</v>
      </c>
      <c r="T360" s="28">
        <f t="shared" si="77"/>
        <v>601</v>
      </c>
      <c r="U360" s="31"/>
      <c r="V360" s="564" t="s">
        <v>450</v>
      </c>
      <c r="W360" s="14" t="s">
        <v>212</v>
      </c>
      <c r="X360" s="7"/>
      <c r="Y360" s="7"/>
      <c r="Z360" s="7"/>
      <c r="AA360" s="7"/>
      <c r="AB360" s="7"/>
      <c r="AC360" s="7"/>
    </row>
    <row r="361" spans="1:29" ht="25.5">
      <c r="A361" s="19"/>
      <c r="B361" s="420" t="s">
        <v>449</v>
      </c>
      <c r="C361" s="28">
        <f t="shared" si="79"/>
        <v>423.72</v>
      </c>
      <c r="D361" s="28"/>
      <c r="E361" s="28">
        <f t="shared" si="78"/>
        <v>27.72</v>
      </c>
      <c r="F361" s="28">
        <f t="shared" si="66"/>
        <v>15.84</v>
      </c>
      <c r="G361" s="28">
        <f t="shared" si="67"/>
        <v>11.879999999999999</v>
      </c>
      <c r="H361" s="28">
        <f t="shared" si="68"/>
        <v>396</v>
      </c>
      <c r="I361" s="28">
        <f t="shared" si="80"/>
        <v>254.232</v>
      </c>
      <c r="J361" s="29"/>
      <c r="K361" s="29"/>
      <c r="L361" s="29"/>
      <c r="M361" s="29"/>
      <c r="N361" s="29"/>
      <c r="O361" s="28">
        <v>8335</v>
      </c>
      <c r="P361" s="28">
        <v>8731</v>
      </c>
      <c r="Q361" s="30"/>
      <c r="R361" s="351"/>
      <c r="S361" s="54">
        <v>1</v>
      </c>
      <c r="T361" s="28">
        <f t="shared" si="77"/>
        <v>396</v>
      </c>
      <c r="U361" s="31"/>
      <c r="V361" s="564" t="s">
        <v>690</v>
      </c>
      <c r="W361" s="14"/>
      <c r="X361" s="7"/>
      <c r="Y361" s="7"/>
      <c r="Z361" s="7"/>
      <c r="AA361" s="7"/>
      <c r="AB361" s="7"/>
      <c r="AC361" s="7"/>
    </row>
    <row r="362" spans="1:29" ht="30" customHeight="1">
      <c r="A362" s="19"/>
      <c r="B362" s="421" t="s">
        <v>451</v>
      </c>
      <c r="C362" s="28">
        <f>H362+E362</f>
        <v>1530.1</v>
      </c>
      <c r="D362" s="28"/>
      <c r="E362" s="28">
        <f t="shared" si="78"/>
        <v>100.1</v>
      </c>
      <c r="F362" s="28">
        <f t="shared" si="66"/>
        <v>57.2</v>
      </c>
      <c r="G362" s="28">
        <f t="shared" si="67"/>
        <v>42.9</v>
      </c>
      <c r="H362" s="28">
        <f t="shared" si="68"/>
        <v>1430</v>
      </c>
      <c r="I362" s="28">
        <f>0.6*C362</f>
        <v>918.06</v>
      </c>
      <c r="J362" s="29"/>
      <c r="K362" s="29"/>
      <c r="L362" s="29"/>
      <c r="M362" s="29"/>
      <c r="N362" s="29"/>
      <c r="O362" s="28">
        <f>5100+47400+17900</f>
        <v>70400</v>
      </c>
      <c r="P362" s="28">
        <f>5480+47750+18600</f>
        <v>71830</v>
      </c>
      <c r="Q362" s="30"/>
      <c r="R362" s="351"/>
      <c r="S362" s="28">
        <v>1</v>
      </c>
      <c r="T362" s="28">
        <f>(P362-O362)*S362</f>
        <v>1430</v>
      </c>
      <c r="U362" s="31" t="s">
        <v>452</v>
      </c>
      <c r="V362" s="542" t="s">
        <v>453</v>
      </c>
      <c r="W362" s="14" t="s">
        <v>212</v>
      </c>
      <c r="X362" s="7"/>
      <c r="Y362" s="7"/>
      <c r="Z362" s="7"/>
      <c r="AA362" s="7"/>
      <c r="AB362" s="7"/>
      <c r="AC362" s="7"/>
    </row>
    <row r="363" spans="1:29" ht="29.25" customHeight="1">
      <c r="A363" s="19"/>
      <c r="B363" s="27"/>
      <c r="C363" s="28">
        <f t="shared" si="79"/>
        <v>0</v>
      </c>
      <c r="D363" s="28"/>
      <c r="E363" s="28">
        <f t="shared" si="78"/>
        <v>0</v>
      </c>
      <c r="F363" s="28">
        <f t="shared" si="66"/>
        <v>0</v>
      </c>
      <c r="G363" s="28">
        <f t="shared" si="67"/>
        <v>0</v>
      </c>
      <c r="H363" s="28">
        <f t="shared" si="68"/>
        <v>0</v>
      </c>
      <c r="I363" s="28">
        <f>0.6*C363</f>
        <v>0</v>
      </c>
      <c r="J363" s="29"/>
      <c r="K363" s="29"/>
      <c r="L363" s="29"/>
      <c r="M363" s="29"/>
      <c r="N363" s="29"/>
      <c r="O363" s="28">
        <v>18584</v>
      </c>
      <c r="P363" s="28">
        <v>18584</v>
      </c>
      <c r="Q363" s="146"/>
      <c r="R363" s="61"/>
      <c r="S363" s="54">
        <v>1</v>
      </c>
      <c r="T363" s="28">
        <f>(P363-O363)*S363</f>
        <v>0</v>
      </c>
      <c r="U363" s="28">
        <f>560+40550+11760+8365</f>
        <v>61235</v>
      </c>
      <c r="V363" s="564" t="s">
        <v>454</v>
      </c>
      <c r="W363" s="14" t="s">
        <v>212</v>
      </c>
      <c r="X363" s="7"/>
      <c r="Y363" s="7"/>
      <c r="Z363" s="7"/>
      <c r="AA363" s="7"/>
      <c r="AB363" s="7"/>
      <c r="AC363" s="7"/>
    </row>
    <row r="364" spans="1:29" ht="24" customHeight="1">
      <c r="A364" s="19"/>
      <c r="B364" s="27"/>
      <c r="C364" s="28">
        <f t="shared" si="79"/>
        <v>0</v>
      </c>
      <c r="D364" s="28"/>
      <c r="E364" s="28">
        <f t="shared" si="78"/>
        <v>0</v>
      </c>
      <c r="F364" s="28">
        <f t="shared" si="66"/>
        <v>0</v>
      </c>
      <c r="G364" s="28">
        <f t="shared" si="67"/>
        <v>0</v>
      </c>
      <c r="H364" s="28">
        <f t="shared" si="68"/>
        <v>0</v>
      </c>
      <c r="I364" s="28">
        <f t="shared" si="80"/>
        <v>0</v>
      </c>
      <c r="J364" s="29"/>
      <c r="K364" s="29"/>
      <c r="L364" s="29"/>
      <c r="M364" s="29"/>
      <c r="N364" s="29"/>
      <c r="O364" s="28">
        <v>12992</v>
      </c>
      <c r="P364" s="28">
        <v>12992</v>
      </c>
      <c r="Q364" s="29" t="s">
        <v>33</v>
      </c>
      <c r="R364" s="348"/>
      <c r="S364" s="28">
        <v>1</v>
      </c>
      <c r="T364" s="28">
        <f>P364-O364</f>
        <v>0</v>
      </c>
      <c r="U364" s="31">
        <v>1591</v>
      </c>
      <c r="V364" s="564" t="s">
        <v>455</v>
      </c>
      <c r="W364" s="14" t="s">
        <v>212</v>
      </c>
      <c r="X364" s="7"/>
      <c r="Y364" s="7"/>
      <c r="Z364" s="7"/>
      <c r="AA364" s="7"/>
      <c r="AB364" s="7"/>
      <c r="AC364" s="7"/>
    </row>
    <row r="365" spans="1:29" ht="26.25" customHeight="1">
      <c r="A365" s="19"/>
      <c r="B365" s="566"/>
      <c r="C365" s="315"/>
      <c r="D365" s="315"/>
      <c r="E365" s="315"/>
      <c r="F365" s="315"/>
      <c r="G365" s="315"/>
      <c r="H365" s="315"/>
      <c r="I365" s="315"/>
      <c r="J365" s="316"/>
      <c r="K365" s="316"/>
      <c r="L365" s="316"/>
      <c r="M365" s="316"/>
      <c r="N365" s="316"/>
      <c r="O365" s="315"/>
      <c r="P365" s="315"/>
      <c r="Q365" s="316"/>
      <c r="R365" s="318"/>
      <c r="S365" s="315"/>
      <c r="T365" s="315"/>
      <c r="U365" s="319"/>
      <c r="V365" s="317"/>
      <c r="W365" s="14" t="s">
        <v>212</v>
      </c>
      <c r="X365" s="7"/>
      <c r="Y365" s="7"/>
      <c r="Z365" s="7"/>
      <c r="AA365" s="7"/>
      <c r="AB365" s="7"/>
      <c r="AC365" s="7"/>
    </row>
    <row r="366" spans="1:29" ht="25.5">
      <c r="A366" s="19"/>
      <c r="B366" s="472" t="s">
        <v>457</v>
      </c>
      <c r="C366" s="28">
        <f t="shared" si="79"/>
        <v>262.14999999999998</v>
      </c>
      <c r="D366" s="28"/>
      <c r="E366" s="28">
        <f t="shared" si="78"/>
        <v>17.149999999999999</v>
      </c>
      <c r="F366" s="28">
        <f t="shared" si="66"/>
        <v>9.8000000000000007</v>
      </c>
      <c r="G366" s="28">
        <f t="shared" si="67"/>
        <v>7.35</v>
      </c>
      <c r="H366" s="28">
        <f t="shared" si="68"/>
        <v>245</v>
      </c>
      <c r="I366" s="28">
        <f t="shared" si="80"/>
        <v>157.29</v>
      </c>
      <c r="J366" s="29"/>
      <c r="K366" s="29"/>
      <c r="L366" s="29"/>
      <c r="M366" s="29"/>
      <c r="N366" s="29"/>
      <c r="O366" s="28">
        <v>15141</v>
      </c>
      <c r="P366" s="28">
        <v>15386</v>
      </c>
      <c r="Q366" s="29"/>
      <c r="R366" s="348"/>
      <c r="S366" s="28">
        <v>1</v>
      </c>
      <c r="T366" s="28">
        <f t="shared" ref="T366:T377" si="81">(P366-O366)*S366</f>
        <v>245</v>
      </c>
      <c r="U366" s="31">
        <v>783398</v>
      </c>
      <c r="V366" s="564" t="s">
        <v>458</v>
      </c>
      <c r="W366" s="14" t="s">
        <v>212</v>
      </c>
      <c r="X366" s="7"/>
      <c r="Y366" s="7"/>
      <c r="Z366" s="7"/>
      <c r="AA366" s="7"/>
      <c r="AB366" s="7"/>
      <c r="AC366" s="7"/>
    </row>
    <row r="367" spans="1:29" ht="25.5">
      <c r="A367" s="19"/>
      <c r="B367" s="27" t="s">
        <v>459</v>
      </c>
      <c r="C367" s="28">
        <f>H367+E367</f>
        <v>32.1</v>
      </c>
      <c r="D367" s="28"/>
      <c r="E367" s="28">
        <f t="shared" si="78"/>
        <v>2.0999999999999996</v>
      </c>
      <c r="F367" s="28">
        <f t="shared" si="66"/>
        <v>1.2</v>
      </c>
      <c r="G367" s="28">
        <f t="shared" si="67"/>
        <v>0.89999999999999991</v>
      </c>
      <c r="H367" s="28">
        <f t="shared" si="68"/>
        <v>30</v>
      </c>
      <c r="I367" s="28">
        <f t="shared" si="80"/>
        <v>19.260000000000002</v>
      </c>
      <c r="J367" s="29"/>
      <c r="K367" s="29"/>
      <c r="L367" s="29"/>
      <c r="M367" s="29"/>
      <c r="N367" s="29" t="s">
        <v>460</v>
      </c>
      <c r="O367" s="470">
        <v>27832</v>
      </c>
      <c r="P367" s="470">
        <v>27862</v>
      </c>
      <c r="Q367" s="30"/>
      <c r="R367" s="351"/>
      <c r="S367" s="54">
        <v>1</v>
      </c>
      <c r="T367" s="28">
        <f t="shared" si="81"/>
        <v>30</v>
      </c>
      <c r="U367" s="31">
        <v>540368</v>
      </c>
      <c r="V367" s="564" t="s">
        <v>461</v>
      </c>
      <c r="W367" s="14" t="s">
        <v>212</v>
      </c>
      <c r="X367" s="7"/>
      <c r="Y367" s="7"/>
      <c r="Z367" s="7"/>
      <c r="AA367" s="7"/>
      <c r="AB367" s="7"/>
      <c r="AC367" s="7"/>
    </row>
    <row r="368" spans="1:29" ht="26.25">
      <c r="A368" s="19"/>
      <c r="B368" s="559" t="s">
        <v>462</v>
      </c>
      <c r="C368" s="549">
        <f>H368+E368</f>
        <v>0</v>
      </c>
      <c r="D368" s="549"/>
      <c r="E368" s="549">
        <f t="shared" si="78"/>
        <v>0</v>
      </c>
      <c r="F368" s="549">
        <f t="shared" si="66"/>
        <v>0</v>
      </c>
      <c r="G368" s="549">
        <f t="shared" si="67"/>
        <v>0</v>
      </c>
      <c r="H368" s="549">
        <f>T368</f>
        <v>0</v>
      </c>
      <c r="I368" s="560">
        <f>0.5*C368</f>
        <v>0</v>
      </c>
      <c r="J368" s="550"/>
      <c r="K368" s="550"/>
      <c r="L368" s="550"/>
      <c r="M368" s="550"/>
      <c r="N368" s="550"/>
      <c r="O368" s="549">
        <v>9</v>
      </c>
      <c r="P368" s="549">
        <v>9</v>
      </c>
      <c r="Q368" s="561"/>
      <c r="R368" s="562"/>
      <c r="S368" s="563">
        <v>1</v>
      </c>
      <c r="T368" s="549">
        <f t="shared" si="81"/>
        <v>0</v>
      </c>
      <c r="U368" s="551"/>
      <c r="V368" s="552" t="s">
        <v>463</v>
      </c>
      <c r="W368" s="14" t="s">
        <v>212</v>
      </c>
      <c r="X368" s="7"/>
      <c r="Y368" s="7"/>
      <c r="Z368" s="7"/>
      <c r="AA368" s="7"/>
      <c r="AB368" s="7"/>
      <c r="AC368" s="7"/>
    </row>
    <row r="369" spans="1:29" ht="26.25">
      <c r="A369" s="19"/>
      <c r="B369" s="27" t="s">
        <v>464</v>
      </c>
      <c r="C369" s="28">
        <f t="shared" ref="C369:C376" si="82">H369+E369</f>
        <v>32.1</v>
      </c>
      <c r="D369" s="28"/>
      <c r="E369" s="28">
        <f t="shared" si="78"/>
        <v>2.0999999999999996</v>
      </c>
      <c r="F369" s="28">
        <f t="shared" si="66"/>
        <v>1.2</v>
      </c>
      <c r="G369" s="28">
        <f t="shared" si="67"/>
        <v>0.89999999999999991</v>
      </c>
      <c r="H369" s="28">
        <f>T369</f>
        <v>30</v>
      </c>
      <c r="I369" s="28">
        <f>0.5*C369</f>
        <v>16.05</v>
      </c>
      <c r="J369" s="29"/>
      <c r="K369" s="29"/>
      <c r="L369" s="29"/>
      <c r="M369" s="29"/>
      <c r="N369" s="29"/>
      <c r="O369" s="28">
        <v>4772</v>
      </c>
      <c r="P369" s="28">
        <v>4802</v>
      </c>
      <c r="Q369" s="30"/>
      <c r="R369" s="351"/>
      <c r="S369" s="171">
        <v>1</v>
      </c>
      <c r="T369" s="28">
        <f t="shared" si="81"/>
        <v>30</v>
      </c>
      <c r="U369" s="31">
        <v>421550</v>
      </c>
      <c r="V369" s="564" t="s">
        <v>465</v>
      </c>
      <c r="W369" s="14" t="s">
        <v>212</v>
      </c>
      <c r="X369" s="7"/>
      <c r="Y369" s="7"/>
      <c r="Z369" s="7"/>
      <c r="AA369" s="7"/>
      <c r="AB369" s="7"/>
      <c r="AC369" s="7"/>
    </row>
    <row r="370" spans="1:29" s="195" customFormat="1" ht="25.5">
      <c r="A370" s="194"/>
      <c r="B370" s="27" t="s">
        <v>692</v>
      </c>
      <c r="C370" s="28">
        <f t="shared" si="82"/>
        <v>146.59</v>
      </c>
      <c r="D370" s="28"/>
      <c r="E370" s="28">
        <f>G370+F370</f>
        <v>9.59</v>
      </c>
      <c r="F370" s="28">
        <f t="shared" si="66"/>
        <v>5.48</v>
      </c>
      <c r="G370" s="28">
        <f t="shared" si="67"/>
        <v>4.1099999999999994</v>
      </c>
      <c r="H370" s="28">
        <f>T370</f>
        <v>137</v>
      </c>
      <c r="I370" s="28">
        <f>0.6*C370</f>
        <v>87.953999999999994</v>
      </c>
      <c r="J370" s="29"/>
      <c r="K370" s="29"/>
      <c r="L370" s="29"/>
      <c r="M370" s="29"/>
      <c r="N370" s="29"/>
      <c r="O370" s="28">
        <v>33355</v>
      </c>
      <c r="P370" s="28">
        <v>33492</v>
      </c>
      <c r="Q370" s="146"/>
      <c r="R370" s="61"/>
      <c r="S370" s="54">
        <v>1</v>
      </c>
      <c r="T370" s="28">
        <f t="shared" si="81"/>
        <v>137</v>
      </c>
      <c r="U370" s="31">
        <v>78402</v>
      </c>
      <c r="V370" s="564" t="s">
        <v>466</v>
      </c>
      <c r="W370" s="14" t="s">
        <v>212</v>
      </c>
      <c r="X370" s="86"/>
      <c r="Y370" s="86"/>
      <c r="Z370" s="86"/>
      <c r="AA370" s="86"/>
      <c r="AB370" s="86"/>
      <c r="AC370" s="86"/>
    </row>
    <row r="371" spans="1:29" s="195" customFormat="1" ht="25.5">
      <c r="A371" s="194"/>
      <c r="B371" s="27" t="s">
        <v>785</v>
      </c>
      <c r="C371" s="28">
        <f t="shared" si="82"/>
        <v>0</v>
      </c>
      <c r="D371" s="28"/>
      <c r="E371" s="28">
        <f>F371+G371</f>
        <v>0</v>
      </c>
      <c r="F371" s="28">
        <f t="shared" si="66"/>
        <v>0</v>
      </c>
      <c r="G371" s="28">
        <f t="shared" si="67"/>
        <v>0</v>
      </c>
      <c r="H371" s="28">
        <f>T371</f>
        <v>0</v>
      </c>
      <c r="I371" s="28">
        <f>0.4*C371</f>
        <v>0</v>
      </c>
      <c r="J371" s="29"/>
      <c r="K371" s="29"/>
      <c r="L371" s="29"/>
      <c r="M371" s="29"/>
      <c r="N371" s="29" t="s">
        <v>467</v>
      </c>
      <c r="O371" s="28">
        <v>7055</v>
      </c>
      <c r="P371" s="28">
        <v>7055</v>
      </c>
      <c r="Q371" s="29" t="s">
        <v>28</v>
      </c>
      <c r="R371" s="348"/>
      <c r="S371" s="54">
        <v>1</v>
      </c>
      <c r="T371" s="28">
        <f t="shared" si="81"/>
        <v>0</v>
      </c>
      <c r="U371" s="31">
        <v>295380</v>
      </c>
      <c r="V371" s="567" t="s">
        <v>468</v>
      </c>
      <c r="W371" s="191" t="s">
        <v>212</v>
      </c>
      <c r="X371" s="86"/>
      <c r="Y371" s="86"/>
      <c r="Z371" s="86"/>
      <c r="AA371" s="86"/>
      <c r="AB371" s="86"/>
      <c r="AC371" s="86"/>
    </row>
    <row r="372" spans="1:29" ht="25.5">
      <c r="A372" s="19"/>
      <c r="B372" s="27" t="s">
        <v>469</v>
      </c>
      <c r="C372" s="28">
        <f t="shared" si="82"/>
        <v>53.5</v>
      </c>
      <c r="D372" s="28"/>
      <c r="E372" s="28">
        <f>F372+G372</f>
        <v>3.5</v>
      </c>
      <c r="F372" s="28">
        <f t="shared" si="66"/>
        <v>2</v>
      </c>
      <c r="G372" s="28">
        <f t="shared" si="67"/>
        <v>1.5</v>
      </c>
      <c r="H372" s="28">
        <f t="shared" ref="H372:H377" si="83">T372</f>
        <v>50</v>
      </c>
      <c r="I372" s="28">
        <f>0.4*C372</f>
        <v>21.400000000000002</v>
      </c>
      <c r="J372" s="29"/>
      <c r="K372" s="29"/>
      <c r="L372" s="29"/>
      <c r="M372" s="29"/>
      <c r="N372" s="29"/>
      <c r="O372" s="28">
        <v>6912</v>
      </c>
      <c r="P372" s="28">
        <v>6962</v>
      </c>
      <c r="Q372" s="30"/>
      <c r="R372" s="351"/>
      <c r="S372" s="54">
        <v>1</v>
      </c>
      <c r="T372" s="28">
        <f t="shared" si="81"/>
        <v>50</v>
      </c>
      <c r="U372" s="31">
        <v>2302221</v>
      </c>
      <c r="V372" s="564" t="s">
        <v>470</v>
      </c>
      <c r="W372" s="14" t="s">
        <v>212</v>
      </c>
      <c r="X372" s="7"/>
      <c r="Y372" s="7"/>
      <c r="Z372" s="7"/>
      <c r="AA372" s="7"/>
      <c r="AB372" s="7"/>
      <c r="AC372" s="7"/>
    </row>
    <row r="373" spans="1:29" s="195" customFormat="1" ht="29.25" customHeight="1">
      <c r="A373" s="194"/>
      <c r="B373" s="27" t="s">
        <v>471</v>
      </c>
      <c r="C373" s="28">
        <f t="shared" si="82"/>
        <v>254.66</v>
      </c>
      <c r="D373" s="28"/>
      <c r="E373" s="28">
        <f>F373+G373</f>
        <v>16.66</v>
      </c>
      <c r="F373" s="28">
        <f t="shared" si="66"/>
        <v>9.52</v>
      </c>
      <c r="G373" s="28">
        <f t="shared" si="67"/>
        <v>7.14</v>
      </c>
      <c r="H373" s="28">
        <f t="shared" si="83"/>
        <v>238</v>
      </c>
      <c r="I373" s="28">
        <f>0.6*C373</f>
        <v>152.79599999999999</v>
      </c>
      <c r="J373" s="29"/>
      <c r="K373" s="29"/>
      <c r="L373" s="29"/>
      <c r="M373" s="29"/>
      <c r="N373" s="29"/>
      <c r="O373" s="28">
        <v>9512</v>
      </c>
      <c r="P373" s="28">
        <v>9750</v>
      </c>
      <c r="Q373" s="146"/>
      <c r="R373" s="61"/>
      <c r="S373" s="28">
        <v>1</v>
      </c>
      <c r="T373" s="28">
        <f t="shared" si="81"/>
        <v>238</v>
      </c>
      <c r="U373" s="31">
        <v>3224</v>
      </c>
      <c r="V373" s="564" t="s">
        <v>472</v>
      </c>
      <c r="W373" s="191" t="s">
        <v>212</v>
      </c>
      <c r="X373" s="30"/>
      <c r="Y373" s="86"/>
      <c r="Z373" s="86"/>
      <c r="AA373" s="86"/>
      <c r="AB373" s="86"/>
      <c r="AC373" s="86"/>
    </row>
    <row r="374" spans="1:29" ht="25.5">
      <c r="A374" s="19"/>
      <c r="B374" s="148" t="s">
        <v>456</v>
      </c>
      <c r="C374" s="91">
        <f>H374+E374</f>
        <v>0</v>
      </c>
      <c r="D374" s="91"/>
      <c r="E374" s="91">
        <f>F374+G374</f>
        <v>0</v>
      </c>
      <c r="F374" s="91">
        <f>0.04*H374</f>
        <v>0</v>
      </c>
      <c r="G374" s="91">
        <f>0.03*H374</f>
        <v>0</v>
      </c>
      <c r="H374" s="91">
        <f>T374</f>
        <v>0</v>
      </c>
      <c r="I374" s="91">
        <v>649</v>
      </c>
      <c r="J374" s="22"/>
      <c r="K374" s="22"/>
      <c r="L374" s="22"/>
      <c r="M374" s="22"/>
      <c r="N374" s="22"/>
      <c r="O374" s="91">
        <f>2172+60</f>
        <v>2232</v>
      </c>
      <c r="P374" s="91">
        <f>2172+60</f>
        <v>2232</v>
      </c>
      <c r="Q374" s="149"/>
      <c r="R374" s="161"/>
      <c r="S374" s="91">
        <v>1</v>
      </c>
      <c r="T374" s="91">
        <f t="shared" si="81"/>
        <v>0</v>
      </c>
      <c r="U374" s="95">
        <v>429663</v>
      </c>
      <c r="V374" s="538" t="s">
        <v>824</v>
      </c>
      <c r="W374" s="14" t="s">
        <v>212</v>
      </c>
      <c r="X374" s="7"/>
      <c r="Y374" s="7"/>
      <c r="Z374" s="7"/>
      <c r="AA374" s="7"/>
      <c r="AB374" s="7"/>
      <c r="AC374" s="7"/>
    </row>
    <row r="375" spans="1:29" s="195" customFormat="1" ht="29.25" customHeight="1">
      <c r="A375" s="194"/>
      <c r="B375" s="420" t="s">
        <v>473</v>
      </c>
      <c r="C375" s="28">
        <f t="shared" si="82"/>
        <v>22.47</v>
      </c>
      <c r="D375" s="28"/>
      <c r="E375" s="28">
        <f>F375+G375</f>
        <v>1.47</v>
      </c>
      <c r="F375" s="28">
        <f t="shared" si="66"/>
        <v>0.84</v>
      </c>
      <c r="G375" s="28">
        <f t="shared" si="67"/>
        <v>0.63</v>
      </c>
      <c r="H375" s="28">
        <f t="shared" si="83"/>
        <v>21</v>
      </c>
      <c r="I375" s="28">
        <f>0.6*C375</f>
        <v>13.481999999999999</v>
      </c>
      <c r="J375" s="29"/>
      <c r="K375" s="29"/>
      <c r="L375" s="29"/>
      <c r="M375" s="29"/>
      <c r="N375" s="29"/>
      <c r="O375" s="28">
        <v>16566</v>
      </c>
      <c r="P375" s="28">
        <v>16587</v>
      </c>
      <c r="Q375" s="146"/>
      <c r="R375" s="61"/>
      <c r="S375" s="28">
        <v>1</v>
      </c>
      <c r="T375" s="28">
        <f t="shared" si="81"/>
        <v>21</v>
      </c>
      <c r="U375" s="31"/>
      <c r="V375" s="564" t="s">
        <v>474</v>
      </c>
      <c r="W375" s="14" t="s">
        <v>212</v>
      </c>
      <c r="X375" s="86"/>
      <c r="Y375" s="86"/>
      <c r="Z375" s="86"/>
      <c r="AA375" s="86"/>
      <c r="AB375" s="86"/>
      <c r="AC375" s="86"/>
    </row>
    <row r="376" spans="1:29" s="225" customFormat="1" ht="25.5">
      <c r="A376" s="223"/>
      <c r="B376" s="27" t="s">
        <v>475</v>
      </c>
      <c r="C376" s="28">
        <f t="shared" si="82"/>
        <v>3346.96</v>
      </c>
      <c r="D376" s="28"/>
      <c r="E376" s="28">
        <f>F376++G376</f>
        <v>218.96</v>
      </c>
      <c r="F376" s="28">
        <f t="shared" si="66"/>
        <v>125.12</v>
      </c>
      <c r="G376" s="28">
        <f t="shared" si="67"/>
        <v>93.84</v>
      </c>
      <c r="H376" s="28">
        <f t="shared" si="83"/>
        <v>3128</v>
      </c>
      <c r="I376" s="28">
        <f>0.6*C376</f>
        <v>2008.1759999999999</v>
      </c>
      <c r="J376" s="29"/>
      <c r="K376" s="29"/>
      <c r="L376" s="29"/>
      <c r="M376" s="29"/>
      <c r="N376" s="29"/>
      <c r="O376" s="28">
        <v>386751</v>
      </c>
      <c r="P376" s="28">
        <v>389879</v>
      </c>
      <c r="Q376" s="30"/>
      <c r="R376" s="351"/>
      <c r="S376" s="54">
        <v>1</v>
      </c>
      <c r="T376" s="28">
        <f t="shared" si="81"/>
        <v>3128</v>
      </c>
      <c r="U376" s="31">
        <v>69776</v>
      </c>
      <c r="V376" s="542" t="s">
        <v>476</v>
      </c>
      <c r="W376" s="14" t="s">
        <v>212</v>
      </c>
      <c r="X376" s="224"/>
      <c r="Y376" s="224"/>
      <c r="Z376" s="224"/>
      <c r="AA376" s="224"/>
      <c r="AB376" s="224"/>
      <c r="AC376" s="224"/>
    </row>
    <row r="377" spans="1:29" ht="25.5">
      <c r="A377" s="19"/>
      <c r="B377" s="27" t="s">
        <v>477</v>
      </c>
      <c r="C377" s="28">
        <f>H377+E377</f>
        <v>2241.65</v>
      </c>
      <c r="D377" s="28"/>
      <c r="E377" s="28">
        <f>G377+F377</f>
        <v>146.64999999999998</v>
      </c>
      <c r="F377" s="28">
        <f>0.04*H377</f>
        <v>83.8</v>
      </c>
      <c r="G377" s="28">
        <f>0.03*H377</f>
        <v>62.849999999999994</v>
      </c>
      <c r="H377" s="28">
        <f t="shared" si="83"/>
        <v>2095</v>
      </c>
      <c r="I377" s="28">
        <f>0.6*C377</f>
        <v>1344.99</v>
      </c>
      <c r="J377" s="29"/>
      <c r="K377" s="29"/>
      <c r="L377" s="29"/>
      <c r="M377" s="29"/>
      <c r="N377" s="29"/>
      <c r="O377" s="28">
        <v>178739</v>
      </c>
      <c r="P377" s="28">
        <v>180834</v>
      </c>
      <c r="Q377" s="146"/>
      <c r="R377" s="61"/>
      <c r="S377" s="54">
        <v>1</v>
      </c>
      <c r="T377" s="28">
        <f t="shared" si="81"/>
        <v>2095</v>
      </c>
      <c r="U377" s="31">
        <v>3868</v>
      </c>
      <c r="V377" s="542" t="s">
        <v>478</v>
      </c>
      <c r="W377" s="14" t="s">
        <v>212</v>
      </c>
      <c r="X377" s="7"/>
      <c r="Y377" s="7"/>
      <c r="Z377" s="7"/>
      <c r="AA377" s="7"/>
      <c r="AB377" s="7"/>
      <c r="AC377" s="7"/>
    </row>
    <row r="378" spans="1:29" ht="25.5">
      <c r="A378" s="19"/>
      <c r="B378" s="27"/>
      <c r="C378" s="28"/>
      <c r="D378" s="28"/>
      <c r="E378" s="28"/>
      <c r="F378" s="28"/>
      <c r="G378" s="28"/>
      <c r="H378" s="28"/>
      <c r="I378" s="28"/>
      <c r="J378" s="29"/>
      <c r="K378" s="29"/>
      <c r="L378" s="29"/>
      <c r="M378" s="29"/>
      <c r="N378" s="29"/>
      <c r="O378" s="28"/>
      <c r="P378" s="28"/>
      <c r="Q378" s="146"/>
      <c r="R378" s="61"/>
      <c r="S378" s="28"/>
      <c r="T378" s="28"/>
      <c r="U378" s="31"/>
      <c r="V378" s="540"/>
      <c r="W378" s="14"/>
      <c r="X378" s="7"/>
      <c r="Y378" s="7"/>
      <c r="Z378" s="7"/>
      <c r="AA378" s="7"/>
      <c r="AB378" s="7"/>
      <c r="AC378" s="7"/>
    </row>
    <row r="379" spans="1:29" ht="26.25">
      <c r="A379" s="19"/>
      <c r="B379" s="226" t="s">
        <v>479</v>
      </c>
      <c r="C379" s="115">
        <f>SUM(C333:C378)</f>
        <v>21973.520000000004</v>
      </c>
      <c r="D379" s="115"/>
      <c r="E379" s="115"/>
      <c r="F379" s="115"/>
      <c r="G379" s="115"/>
      <c r="H379" s="115"/>
      <c r="I379" s="115"/>
      <c r="J379" s="98"/>
      <c r="K379" s="98"/>
      <c r="L379" s="98"/>
      <c r="M379" s="98"/>
      <c r="N379" s="98"/>
      <c r="O379" s="94"/>
      <c r="P379" s="94"/>
      <c r="Q379" s="227"/>
      <c r="R379" s="228"/>
      <c r="S379" s="92"/>
      <c r="T379" s="91"/>
      <c r="U379" s="1"/>
      <c r="V379" s="1"/>
      <c r="W379" s="14"/>
      <c r="X379" s="7"/>
      <c r="Y379" s="7"/>
      <c r="Z379" s="7"/>
      <c r="AA379" s="7"/>
      <c r="AB379" s="7"/>
      <c r="AC379" s="7" t="s">
        <v>15</v>
      </c>
    </row>
    <row r="380" spans="1:29" ht="30" customHeight="1">
      <c r="A380" s="19"/>
      <c r="B380" s="143"/>
      <c r="C380" s="115"/>
      <c r="D380" s="115"/>
      <c r="E380" s="115"/>
      <c r="F380" s="115"/>
      <c r="G380" s="115"/>
      <c r="H380" s="115"/>
      <c r="I380" s="115"/>
      <c r="J380" s="98"/>
      <c r="K380" s="98"/>
      <c r="L380" s="98"/>
      <c r="M380" s="98"/>
      <c r="N380" s="98"/>
      <c r="O380" s="94"/>
      <c r="P380" s="94"/>
      <c r="Q380" s="227"/>
      <c r="R380" s="228"/>
      <c r="S380" s="92"/>
      <c r="T380" s="91"/>
      <c r="U380" s="1"/>
      <c r="V380" s="1"/>
      <c r="W380" s="14"/>
      <c r="X380" s="7"/>
      <c r="Y380" s="7"/>
      <c r="Z380" s="7"/>
      <c r="AA380" s="7"/>
      <c r="AB380" s="7"/>
      <c r="AC380" s="7"/>
    </row>
    <row r="381" spans="1:29" ht="26.25" hidden="1">
      <c r="A381" s="19"/>
      <c r="B381" s="90" t="s">
        <v>480</v>
      </c>
      <c r="C381" s="28"/>
      <c r="D381" s="28"/>
      <c r="E381" s="28"/>
      <c r="F381" s="28"/>
      <c r="G381" s="28"/>
      <c r="H381" s="28"/>
      <c r="I381" s="72"/>
      <c r="J381" s="29"/>
      <c r="K381" s="29"/>
      <c r="L381" s="29"/>
      <c r="M381" s="29"/>
      <c r="N381" s="29"/>
      <c r="O381" s="28"/>
      <c r="P381" s="28"/>
      <c r="Q381" s="146"/>
      <c r="R381" s="61"/>
      <c r="S381" s="54"/>
      <c r="T381" s="28"/>
      <c r="U381" s="31"/>
      <c r="V381" s="540"/>
      <c r="W381" s="14"/>
      <c r="X381" s="7"/>
      <c r="Y381" s="7"/>
      <c r="Z381" s="7"/>
      <c r="AA381" s="7"/>
      <c r="AB381" s="7"/>
      <c r="AC381" s="7"/>
    </row>
    <row r="382" spans="1:29" ht="9.75" hidden="1" customHeight="1">
      <c r="A382" s="19" t="s">
        <v>481</v>
      </c>
      <c r="B382" s="148" t="s">
        <v>482</v>
      </c>
      <c r="C382" s="91">
        <f>H382+E382</f>
        <v>0</v>
      </c>
      <c r="D382" s="115"/>
      <c r="E382" s="91">
        <f>F382+G382</f>
        <v>0</v>
      </c>
      <c r="F382" s="91">
        <f>0.04*H382</f>
        <v>0</v>
      </c>
      <c r="G382" s="91">
        <f>0.03*H382</f>
        <v>0</v>
      </c>
      <c r="H382" s="91">
        <f>T382</f>
        <v>0</v>
      </c>
      <c r="I382" s="91">
        <f>0.5*C382</f>
        <v>0</v>
      </c>
      <c r="J382" s="22"/>
      <c r="K382" s="22"/>
      <c r="L382" s="22"/>
      <c r="M382" s="22"/>
      <c r="N382" s="22"/>
      <c r="O382" s="229">
        <v>10678</v>
      </c>
      <c r="P382" s="229">
        <v>10678</v>
      </c>
      <c r="Q382" s="149"/>
      <c r="R382" s="161"/>
      <c r="S382" s="151">
        <v>1</v>
      </c>
      <c r="T382" s="91">
        <f>(P382-O382)*S382</f>
        <v>0</v>
      </c>
      <c r="U382" s="95">
        <v>2262538</v>
      </c>
      <c r="V382" s="538" t="s">
        <v>483</v>
      </c>
      <c r="W382" s="14"/>
      <c r="X382" s="7"/>
      <c r="Y382" s="7"/>
      <c r="Z382" s="7"/>
      <c r="AA382" s="7"/>
      <c r="AB382" s="7"/>
      <c r="AC382" s="7"/>
    </row>
    <row r="383" spans="1:29" ht="25.5" hidden="1">
      <c r="A383" s="19"/>
      <c r="B383" s="148"/>
      <c r="C383" s="91"/>
      <c r="D383" s="91"/>
      <c r="E383" s="91"/>
      <c r="F383" s="91"/>
      <c r="G383" s="91"/>
      <c r="H383" s="91"/>
      <c r="I383" s="91"/>
      <c r="J383" s="22"/>
      <c r="K383" s="22"/>
      <c r="L383" s="22"/>
      <c r="M383" s="22"/>
      <c r="N383" s="22"/>
      <c r="O383" s="91"/>
      <c r="P383" s="91"/>
      <c r="Q383" s="22"/>
      <c r="R383" s="142"/>
      <c r="S383" s="91"/>
      <c r="T383" s="91"/>
      <c r="U383" s="95"/>
      <c r="V383" s="538"/>
      <c r="W383" s="14"/>
      <c r="X383" s="7"/>
      <c r="Y383" s="7"/>
      <c r="Z383" s="7"/>
      <c r="AA383" s="7"/>
      <c r="AB383" s="7"/>
      <c r="AC383" s="7"/>
    </row>
    <row r="384" spans="1:29" ht="25.5" hidden="1" customHeight="1">
      <c r="A384" s="19">
        <v>35</v>
      </c>
      <c r="B384" s="1"/>
      <c r="U384" s="1"/>
      <c r="V384" s="1"/>
      <c r="W384" s="14"/>
      <c r="X384" s="7"/>
      <c r="Y384" s="7"/>
      <c r="Z384" s="7"/>
      <c r="AA384" s="7"/>
      <c r="AB384" s="7"/>
      <c r="AC384" s="7"/>
    </row>
    <row r="385" spans="1:29" ht="27" hidden="1" customHeight="1">
      <c r="A385" s="19">
        <v>36</v>
      </c>
      <c r="B385" s="148"/>
      <c r="C385" s="91"/>
      <c r="D385" s="91"/>
      <c r="E385" s="91"/>
      <c r="F385" s="91"/>
      <c r="G385" s="91"/>
      <c r="H385" s="91"/>
      <c r="I385" s="91"/>
      <c r="J385" s="22"/>
      <c r="K385" s="22"/>
      <c r="L385" s="22"/>
      <c r="M385" s="22"/>
      <c r="N385" s="22"/>
      <c r="O385" s="91"/>
      <c r="P385" s="91"/>
      <c r="Q385" s="149"/>
      <c r="R385" s="161"/>
      <c r="S385" s="91"/>
      <c r="T385" s="91"/>
      <c r="U385" s="95"/>
      <c r="V385" s="538"/>
      <c r="W385" s="14"/>
      <c r="X385" s="7"/>
      <c r="Y385" s="7"/>
      <c r="Z385" s="7"/>
      <c r="AA385" s="7"/>
      <c r="AB385" s="7"/>
      <c r="AC385" s="7"/>
    </row>
    <row r="386" spans="1:29" ht="25.5" hidden="1">
      <c r="A386" s="19">
        <v>37</v>
      </c>
      <c r="U386" s="95"/>
      <c r="V386" s="538"/>
      <c r="W386" s="14"/>
      <c r="X386" s="7"/>
      <c r="Y386" s="7"/>
      <c r="Z386" s="7"/>
      <c r="AA386" s="7"/>
      <c r="AB386" s="7"/>
      <c r="AC386" s="7"/>
    </row>
    <row r="387" spans="1:29" ht="25.5" hidden="1">
      <c r="A387" s="19">
        <v>38</v>
      </c>
      <c r="B387" s="148"/>
      <c r="C387" s="91"/>
      <c r="D387" s="91"/>
      <c r="E387" s="91"/>
      <c r="F387" s="91"/>
      <c r="G387" s="91"/>
      <c r="H387" s="91"/>
      <c r="I387" s="91"/>
      <c r="J387" s="22"/>
      <c r="K387" s="22"/>
      <c r="L387" s="22"/>
      <c r="M387" s="22"/>
      <c r="N387" s="22"/>
      <c r="O387" s="91"/>
      <c r="P387" s="91"/>
      <c r="Q387" s="149"/>
      <c r="R387" s="161"/>
      <c r="S387" s="91"/>
      <c r="T387" s="91"/>
      <c r="U387" s="95"/>
      <c r="V387" s="538"/>
      <c r="W387" s="14"/>
      <c r="X387" s="7"/>
      <c r="Y387" s="7"/>
      <c r="Z387" s="149"/>
      <c r="AA387" s="149"/>
      <c r="AB387" s="149"/>
      <c r="AC387" s="149"/>
    </row>
    <row r="388" spans="1:29" ht="25.5" hidden="1">
      <c r="A388" s="19">
        <v>40</v>
      </c>
      <c r="B388" s="148"/>
      <c r="C388" s="91"/>
      <c r="D388" s="91"/>
      <c r="E388" s="91"/>
      <c r="F388" s="91"/>
      <c r="G388" s="91"/>
      <c r="H388" s="91"/>
      <c r="I388" s="91"/>
      <c r="J388" s="22"/>
      <c r="K388" s="22"/>
      <c r="L388" s="22"/>
      <c r="M388" s="22"/>
      <c r="N388" s="22"/>
      <c r="O388" s="91"/>
      <c r="P388" s="91"/>
      <c r="Q388" s="22"/>
      <c r="R388" s="142"/>
      <c r="S388" s="91"/>
      <c r="T388" s="91"/>
      <c r="U388" s="95"/>
      <c r="V388" s="538"/>
      <c r="W388" s="14"/>
      <c r="X388" s="7"/>
      <c r="Y388" s="7"/>
      <c r="Z388" s="7"/>
      <c r="AA388" s="7"/>
      <c r="AB388" s="7"/>
      <c r="AC388" s="7"/>
    </row>
    <row r="389" spans="1:29" ht="56.25" hidden="1" customHeight="1">
      <c r="A389" s="19">
        <v>41</v>
      </c>
      <c r="B389" s="1"/>
      <c r="U389" s="95"/>
      <c r="V389" s="538"/>
      <c r="W389" s="14"/>
      <c r="X389" s="7"/>
      <c r="Y389" s="7"/>
      <c r="Z389" s="7"/>
      <c r="AA389" s="7"/>
      <c r="AB389" s="7"/>
      <c r="AC389" s="7"/>
    </row>
    <row r="390" spans="1:29" ht="26.25" hidden="1" customHeight="1">
      <c r="A390" s="19">
        <v>42</v>
      </c>
      <c r="U390" s="95"/>
      <c r="V390" s="538"/>
      <c r="W390" s="14"/>
      <c r="X390" s="7"/>
      <c r="Y390" s="7"/>
      <c r="Z390" s="7"/>
      <c r="AA390" s="7"/>
      <c r="AB390" s="7"/>
      <c r="AC390" s="7"/>
    </row>
    <row r="391" spans="1:29" ht="29.25" hidden="1" customHeight="1">
      <c r="A391" s="19">
        <v>43</v>
      </c>
      <c r="U391" s="95"/>
      <c r="V391" s="538"/>
      <c r="W391" s="14"/>
      <c r="X391" s="7"/>
      <c r="Y391" s="7"/>
      <c r="Z391" s="7"/>
      <c r="AA391" s="7"/>
      <c r="AB391" s="7"/>
      <c r="AC391" s="7"/>
    </row>
    <row r="392" spans="1:29" ht="28.5" hidden="1" customHeight="1">
      <c r="A392" s="230">
        <v>44</v>
      </c>
      <c r="B392" s="158"/>
      <c r="C392" s="124"/>
      <c r="D392" s="124"/>
      <c r="E392" s="124"/>
      <c r="F392" s="124"/>
      <c r="G392" s="124"/>
      <c r="H392" s="124"/>
      <c r="I392" s="124"/>
      <c r="J392" s="126"/>
      <c r="K392" s="126"/>
      <c r="L392" s="126"/>
      <c r="M392" s="126"/>
      <c r="N392" s="126"/>
      <c r="O392" s="124"/>
      <c r="P392" s="124"/>
      <c r="Q392" s="7"/>
      <c r="R392" s="159"/>
      <c r="S392" s="124"/>
      <c r="T392" s="124"/>
      <c r="U392" s="127"/>
      <c r="V392" s="128"/>
      <c r="W392" s="14"/>
      <c r="X392" s="7"/>
      <c r="Y392" s="7"/>
      <c r="Z392" s="7"/>
      <c r="AA392" s="7"/>
      <c r="AB392" s="7"/>
      <c r="AC392" s="7"/>
    </row>
    <row r="393" spans="1:29" ht="26.25" hidden="1" customHeight="1">
      <c r="A393" s="19">
        <v>45</v>
      </c>
      <c r="B393" s="1"/>
      <c r="U393" s="95"/>
      <c r="V393" s="538"/>
      <c r="W393" s="14"/>
      <c r="X393" s="7"/>
      <c r="Y393" s="7"/>
      <c r="Z393" s="7"/>
      <c r="AA393" s="7"/>
      <c r="AB393" s="7"/>
      <c r="AC393" s="7"/>
    </row>
    <row r="394" spans="1:29" ht="24.75" hidden="1" customHeight="1">
      <c r="A394" s="19">
        <v>46</v>
      </c>
      <c r="B394" s="1"/>
      <c r="U394" s="95"/>
      <c r="V394" s="538"/>
      <c r="W394" s="134"/>
      <c r="X394" s="149"/>
      <c r="Y394" s="149"/>
      <c r="Z394" s="7"/>
      <c r="AA394" s="7"/>
      <c r="AB394" s="7"/>
      <c r="AC394" s="7"/>
    </row>
    <row r="395" spans="1:29" ht="23.25" hidden="1" customHeight="1">
      <c r="A395" s="19">
        <v>47</v>
      </c>
      <c r="U395" s="95"/>
      <c r="V395" s="538"/>
      <c r="W395" s="14"/>
      <c r="X395" s="7"/>
      <c r="Y395" s="7"/>
      <c r="Z395" s="7"/>
      <c r="AA395" s="7"/>
      <c r="AB395" s="7"/>
      <c r="AC395" s="7"/>
    </row>
    <row r="396" spans="1:29" ht="28.5" hidden="1" customHeight="1">
      <c r="A396" s="19">
        <v>48</v>
      </c>
      <c r="U396" s="95"/>
      <c r="V396" s="538"/>
      <c r="W396" s="14"/>
      <c r="X396" s="7"/>
      <c r="Y396" s="7"/>
      <c r="Z396" s="7"/>
      <c r="AA396" s="7"/>
      <c r="AB396" s="7"/>
      <c r="AC396" s="7"/>
    </row>
    <row r="397" spans="1:29" ht="31.5" hidden="1" customHeight="1">
      <c r="A397" s="19">
        <v>49</v>
      </c>
      <c r="B397" s="1"/>
      <c r="U397" s="1"/>
      <c r="V397" s="1"/>
      <c r="W397" s="78"/>
      <c r="X397" s="7"/>
      <c r="Y397" s="7"/>
      <c r="Z397" s="7"/>
      <c r="AA397" s="7"/>
      <c r="AB397" s="7"/>
      <c r="AC397" s="7"/>
    </row>
    <row r="398" spans="1:29" ht="25.5" hidden="1">
      <c r="A398" s="19">
        <v>50</v>
      </c>
      <c r="U398" s="95"/>
      <c r="V398" s="538"/>
      <c r="W398" s="14" t="s">
        <v>484</v>
      </c>
      <c r="X398" s="7"/>
      <c r="Y398" s="7"/>
      <c r="Z398" s="7"/>
      <c r="AA398" s="7"/>
      <c r="AB398" s="7"/>
      <c r="AC398" s="7"/>
    </row>
    <row r="399" spans="1:29" ht="25.5" hidden="1">
      <c r="A399" s="19">
        <v>51</v>
      </c>
      <c r="U399" s="95"/>
      <c r="V399" s="538"/>
      <c r="W399" s="14"/>
      <c r="X399" s="7"/>
      <c r="Y399" s="7"/>
      <c r="Z399" s="7"/>
      <c r="AA399" s="7"/>
      <c r="AB399" s="7"/>
      <c r="AC399" s="7"/>
    </row>
    <row r="400" spans="1:29" ht="25.5" hidden="1" customHeight="1">
      <c r="A400" s="231">
        <v>52</v>
      </c>
      <c r="B400" s="1"/>
      <c r="U400" s="1"/>
      <c r="V400" s="1"/>
      <c r="W400" s="14">
        <v>176</v>
      </c>
      <c r="X400" s="7">
        <v>1764.636</v>
      </c>
      <c r="Y400" s="7"/>
      <c r="Z400" s="7"/>
      <c r="AA400" s="7"/>
      <c r="AB400" s="7"/>
      <c r="AC400" s="7"/>
    </row>
    <row r="401" spans="1:29" ht="25.5" hidden="1" customHeight="1">
      <c r="A401" s="19">
        <v>53</v>
      </c>
      <c r="B401" s="1"/>
      <c r="U401" s="1"/>
      <c r="V401" s="1"/>
      <c r="W401" s="14"/>
      <c r="X401" s="7"/>
      <c r="Y401" s="7"/>
      <c r="Z401" s="7"/>
      <c r="AA401" s="7"/>
      <c r="AB401" s="7"/>
      <c r="AC401" s="7"/>
    </row>
    <row r="402" spans="1:29" ht="23.25" hidden="1" customHeight="1">
      <c r="A402" s="19">
        <v>54</v>
      </c>
      <c r="U402" s="95"/>
      <c r="V402" s="538"/>
      <c r="W402" s="14"/>
      <c r="X402" s="7"/>
      <c r="Y402" s="7"/>
      <c r="Z402" s="7"/>
      <c r="AA402" s="7"/>
      <c r="AB402" s="7"/>
      <c r="AC402" s="7"/>
    </row>
    <row r="403" spans="1:29" ht="76.5" hidden="1">
      <c r="A403" s="19" t="s">
        <v>485</v>
      </c>
      <c r="B403" s="1"/>
      <c r="U403" s="1"/>
      <c r="V403" s="1"/>
      <c r="W403" s="14"/>
      <c r="X403" s="7"/>
      <c r="Y403" s="7"/>
      <c r="Z403" s="7"/>
      <c r="AA403" s="7"/>
      <c r="AB403" s="7"/>
      <c r="AC403" s="7"/>
    </row>
    <row r="404" spans="1:29" ht="27" hidden="1" customHeight="1">
      <c r="A404" s="19">
        <v>55</v>
      </c>
      <c r="B404" s="1"/>
      <c r="U404" s="95"/>
      <c r="V404" s="538"/>
      <c r="W404" s="14">
        <v>3160</v>
      </c>
      <c r="X404" s="7"/>
      <c r="Y404" s="7"/>
      <c r="Z404" s="7"/>
      <c r="AA404" s="7"/>
      <c r="AB404" s="7"/>
      <c r="AC404" s="7"/>
    </row>
    <row r="405" spans="1:29" ht="30" hidden="1" customHeight="1">
      <c r="A405" s="19">
        <v>56</v>
      </c>
      <c r="U405" s="95"/>
      <c r="V405" s="538"/>
      <c r="W405" s="14"/>
      <c r="X405" s="7"/>
      <c r="Y405" s="7"/>
      <c r="Z405" s="7"/>
      <c r="AA405" s="7"/>
      <c r="AB405" s="7"/>
      <c r="AC405" s="7"/>
    </row>
    <row r="406" spans="1:29" ht="76.5" hidden="1">
      <c r="A406" s="19" t="s">
        <v>486</v>
      </c>
      <c r="B406" s="148"/>
      <c r="C406" s="91"/>
      <c r="D406" s="91"/>
      <c r="E406" s="91"/>
      <c r="F406" s="91"/>
      <c r="G406" s="91"/>
      <c r="H406" s="91"/>
      <c r="I406" s="91"/>
      <c r="J406" s="22"/>
      <c r="K406" s="22"/>
      <c r="L406" s="22"/>
      <c r="M406" s="22"/>
      <c r="N406" s="22"/>
      <c r="O406" s="91"/>
      <c r="P406" s="91"/>
      <c r="Q406" s="22"/>
      <c r="R406" s="142"/>
      <c r="S406" s="91"/>
      <c r="T406" s="91">
        <f>(P406-O406)*S406</f>
        <v>0</v>
      </c>
      <c r="U406" s="95"/>
      <c r="V406" s="538"/>
      <c r="W406" s="14"/>
      <c r="X406" s="7"/>
      <c r="Y406" s="7"/>
      <c r="Z406" s="7"/>
      <c r="AA406" s="7"/>
      <c r="AB406" s="7"/>
      <c r="AC406" s="7"/>
    </row>
    <row r="407" spans="1:29" ht="23.25" hidden="1" customHeight="1">
      <c r="A407" s="19">
        <v>57</v>
      </c>
      <c r="U407" s="95"/>
      <c r="V407" s="538"/>
      <c r="W407" s="14"/>
      <c r="X407" s="7"/>
      <c r="Y407" s="7"/>
      <c r="Z407" s="7"/>
      <c r="AA407" s="7"/>
      <c r="AB407" s="7"/>
      <c r="AC407" s="7"/>
    </row>
    <row r="408" spans="1:29" ht="25.5" hidden="1">
      <c r="A408" s="19">
        <v>58</v>
      </c>
      <c r="B408" s="1"/>
      <c r="U408" s="1"/>
      <c r="V408" s="1"/>
      <c r="W408" s="14"/>
      <c r="X408" s="7"/>
      <c r="Y408" s="7"/>
      <c r="Z408" s="7"/>
      <c r="AA408" s="7"/>
      <c r="AB408" s="7"/>
      <c r="AC408" s="7"/>
    </row>
    <row r="409" spans="1:29" ht="25.5" hidden="1">
      <c r="A409" s="19"/>
      <c r="B409" s="1"/>
      <c r="U409" s="1"/>
      <c r="V409" s="1"/>
      <c r="W409" s="14"/>
      <c r="X409" s="7"/>
      <c r="Y409" s="7"/>
      <c r="Z409" s="7"/>
      <c r="AA409" s="7"/>
      <c r="AB409" s="7"/>
      <c r="AC409" s="7"/>
    </row>
    <row r="410" spans="1:29" ht="14.25" hidden="1" customHeight="1">
      <c r="A410" s="19"/>
      <c r="B410" s="1"/>
      <c r="U410" s="1"/>
      <c r="V410" s="1"/>
      <c r="W410" s="14"/>
      <c r="X410" s="7"/>
      <c r="Y410" s="7"/>
      <c r="Z410" s="7"/>
      <c r="AA410" s="7"/>
      <c r="AB410" s="7"/>
      <c r="AC410" s="7"/>
    </row>
    <row r="411" spans="1:29" ht="31.5" hidden="1" customHeight="1">
      <c r="A411" s="19"/>
      <c r="B411" s="1"/>
      <c r="U411" s="1"/>
      <c r="V411" s="1"/>
      <c r="W411" s="14"/>
      <c r="X411" s="7"/>
      <c r="Y411" s="7"/>
      <c r="Z411" s="7"/>
      <c r="AA411" s="7"/>
      <c r="AB411" s="7"/>
      <c r="AC411" s="7"/>
    </row>
    <row r="412" spans="1:29" ht="31.5" hidden="1" customHeight="1">
      <c r="A412" s="19"/>
      <c r="B412" s="1"/>
      <c r="U412" s="1"/>
      <c r="V412" s="1"/>
      <c r="W412" s="14"/>
      <c r="X412" s="7"/>
      <c r="Y412" s="7"/>
      <c r="Z412" s="7"/>
      <c r="AA412" s="7"/>
      <c r="AB412" s="7"/>
      <c r="AC412" s="7"/>
    </row>
    <row r="413" spans="1:29" ht="25.5" hidden="1">
      <c r="A413" s="19"/>
      <c r="B413" s="148"/>
      <c r="C413" s="91"/>
      <c r="D413" s="91"/>
      <c r="E413" s="91"/>
      <c r="F413" s="91"/>
      <c r="G413" s="91"/>
      <c r="H413" s="91"/>
      <c r="I413" s="91"/>
      <c r="J413" s="22"/>
      <c r="K413" s="22"/>
      <c r="L413" s="22"/>
      <c r="M413" s="22"/>
      <c r="N413" s="22"/>
      <c r="O413" s="91"/>
      <c r="P413" s="91"/>
      <c r="Q413" s="149"/>
      <c r="R413" s="200"/>
      <c r="S413" s="91"/>
      <c r="T413" s="91">
        <f t="shared" ref="T413:T418" si="84">(P413-O413)*S413</f>
        <v>0</v>
      </c>
      <c r="U413" s="95"/>
      <c r="V413" s="538"/>
      <c r="W413" s="14"/>
      <c r="X413" s="7"/>
      <c r="Y413" s="7"/>
      <c r="Z413" s="7"/>
      <c r="AA413" s="7"/>
      <c r="AB413" s="7"/>
      <c r="AC413" s="7"/>
    </row>
    <row r="414" spans="1:29" ht="25.5" hidden="1">
      <c r="A414" s="19"/>
      <c r="B414" s="148"/>
      <c r="C414" s="91"/>
      <c r="D414" s="91"/>
      <c r="E414" s="91"/>
      <c r="F414" s="91"/>
      <c r="G414" s="91"/>
      <c r="H414" s="91"/>
      <c r="I414" s="91"/>
      <c r="J414" s="22"/>
      <c r="K414" s="22"/>
      <c r="L414" s="22"/>
      <c r="M414" s="22"/>
      <c r="N414" s="22"/>
      <c r="O414" s="91"/>
      <c r="P414" s="91"/>
      <c r="Q414" s="149"/>
      <c r="R414" s="200"/>
      <c r="S414" s="91"/>
      <c r="T414" s="91">
        <f t="shared" si="84"/>
        <v>0</v>
      </c>
      <c r="U414" s="95"/>
      <c r="V414" s="538"/>
      <c r="W414" s="14"/>
      <c r="X414" s="7"/>
      <c r="Y414" s="7"/>
      <c r="Z414" s="7"/>
      <c r="AA414" s="7"/>
      <c r="AB414" s="7"/>
      <c r="AC414" s="7"/>
    </row>
    <row r="415" spans="1:29" ht="25.5" hidden="1">
      <c r="A415" s="19"/>
      <c r="B415" s="148"/>
      <c r="C415" s="91"/>
      <c r="D415" s="91"/>
      <c r="E415" s="91"/>
      <c r="F415" s="91"/>
      <c r="G415" s="91"/>
      <c r="H415" s="91"/>
      <c r="I415" s="91"/>
      <c r="J415" s="22"/>
      <c r="K415" s="22"/>
      <c r="L415" s="22"/>
      <c r="M415" s="22"/>
      <c r="N415" s="22"/>
      <c r="O415" s="91"/>
      <c r="P415" s="91"/>
      <c r="Q415" s="149"/>
      <c r="R415" s="200"/>
      <c r="S415" s="91"/>
      <c r="T415" s="91">
        <f t="shared" si="84"/>
        <v>0</v>
      </c>
      <c r="U415" s="95"/>
      <c r="V415" s="538"/>
      <c r="W415" s="14"/>
      <c r="X415" s="7"/>
      <c r="Y415" s="7"/>
      <c r="Z415" s="7"/>
      <c r="AA415" s="7"/>
      <c r="AB415" s="7"/>
      <c r="AC415" s="7"/>
    </row>
    <row r="416" spans="1:29" ht="25.5" hidden="1">
      <c r="A416" s="19"/>
      <c r="B416" s="148"/>
      <c r="C416" s="91"/>
      <c r="D416" s="91"/>
      <c r="E416" s="91"/>
      <c r="F416" s="91"/>
      <c r="G416" s="91"/>
      <c r="H416" s="91"/>
      <c r="I416" s="91"/>
      <c r="J416" s="22"/>
      <c r="K416" s="22"/>
      <c r="L416" s="22"/>
      <c r="M416" s="22"/>
      <c r="N416" s="22"/>
      <c r="O416" s="91"/>
      <c r="P416" s="91"/>
      <c r="Q416" s="149"/>
      <c r="R416" s="200"/>
      <c r="S416" s="91"/>
      <c r="T416" s="91">
        <f t="shared" si="84"/>
        <v>0</v>
      </c>
      <c r="U416" s="95"/>
      <c r="V416" s="538"/>
      <c r="W416" s="14"/>
      <c r="X416" s="7"/>
      <c r="Y416" s="7"/>
      <c r="Z416" s="7"/>
      <c r="AA416" s="7"/>
      <c r="AB416" s="7"/>
      <c r="AC416" s="7"/>
    </row>
    <row r="417" spans="1:29" ht="25.5" hidden="1">
      <c r="A417" s="19"/>
      <c r="B417" s="148"/>
      <c r="C417" s="91"/>
      <c r="D417" s="91"/>
      <c r="E417" s="91"/>
      <c r="F417" s="91"/>
      <c r="G417" s="91"/>
      <c r="H417" s="91"/>
      <c r="I417" s="91"/>
      <c r="J417" s="22"/>
      <c r="K417" s="22"/>
      <c r="L417" s="22"/>
      <c r="M417" s="22"/>
      <c r="N417" s="22"/>
      <c r="O417" s="91"/>
      <c r="P417" s="91"/>
      <c r="Q417" s="149"/>
      <c r="R417" s="200"/>
      <c r="S417" s="91"/>
      <c r="T417" s="91">
        <f t="shared" si="84"/>
        <v>0</v>
      </c>
      <c r="U417" s="95"/>
      <c r="V417" s="538"/>
      <c r="W417" s="14"/>
      <c r="X417" s="7"/>
      <c r="Y417" s="7"/>
      <c r="Z417" s="7"/>
      <c r="AA417" s="7"/>
      <c r="AB417" s="7"/>
      <c r="AC417" s="7"/>
    </row>
    <row r="418" spans="1:29" ht="25.5" hidden="1">
      <c r="A418" s="19">
        <v>59</v>
      </c>
      <c r="B418" s="148"/>
      <c r="C418" s="91"/>
      <c r="D418" s="91"/>
      <c r="E418" s="91"/>
      <c r="F418" s="91"/>
      <c r="G418" s="91"/>
      <c r="H418" s="91"/>
      <c r="I418" s="91"/>
      <c r="J418" s="22"/>
      <c r="K418" s="22"/>
      <c r="L418" s="22"/>
      <c r="M418" s="22"/>
      <c r="N418" s="22"/>
      <c r="O418" s="91"/>
      <c r="P418" s="91"/>
      <c r="Q418" s="149"/>
      <c r="R418" s="232"/>
      <c r="S418" s="91"/>
      <c r="T418" s="91">
        <f t="shared" si="84"/>
        <v>0</v>
      </c>
      <c r="U418" s="95"/>
      <c r="V418" s="538"/>
      <c r="W418" s="14"/>
      <c r="X418" s="7"/>
      <c r="Y418" s="7"/>
      <c r="Z418" s="7"/>
      <c r="AA418" s="7"/>
      <c r="AB418" s="7"/>
      <c r="AC418" s="7"/>
    </row>
    <row r="419" spans="1:29" ht="25.5" hidden="1">
      <c r="A419" s="19">
        <v>60</v>
      </c>
      <c r="B419" s="148"/>
      <c r="C419" s="91"/>
      <c r="D419" s="91"/>
      <c r="E419" s="91"/>
      <c r="F419" s="91"/>
      <c r="G419" s="91"/>
      <c r="H419" s="91"/>
      <c r="I419" s="91"/>
      <c r="J419" s="22"/>
      <c r="K419" s="22"/>
      <c r="L419" s="22"/>
      <c r="M419" s="22"/>
      <c r="N419" s="22"/>
      <c r="O419" s="91"/>
      <c r="P419" s="91"/>
      <c r="Q419" s="149"/>
      <c r="R419" s="232"/>
      <c r="S419" s="91"/>
      <c r="T419" s="91"/>
      <c r="U419" s="95"/>
      <c r="V419" s="538"/>
      <c r="W419" s="14"/>
      <c r="X419" s="7"/>
      <c r="Y419" s="7"/>
      <c r="Z419" s="7"/>
      <c r="AA419" s="7"/>
      <c r="AB419" s="7"/>
      <c r="AC419" s="7"/>
    </row>
    <row r="420" spans="1:29" ht="25.5" hidden="1">
      <c r="A420" s="19">
        <v>61.1</v>
      </c>
      <c r="B420" s="1"/>
      <c r="U420" s="95"/>
      <c r="V420" s="538"/>
      <c r="W420" s="14"/>
      <c r="X420" s="7"/>
      <c r="Y420" s="7"/>
      <c r="Z420" s="7"/>
      <c r="AA420" s="7"/>
      <c r="AB420" s="7"/>
      <c r="AC420" s="7"/>
    </row>
    <row r="421" spans="1:29" ht="25.5" hidden="1">
      <c r="A421" s="19">
        <v>61.2</v>
      </c>
      <c r="B421" s="1"/>
      <c r="U421" s="95"/>
      <c r="V421" s="538"/>
      <c r="W421" s="14"/>
      <c r="X421" s="7"/>
      <c r="Y421" s="7"/>
      <c r="Z421" s="7"/>
      <c r="AA421" s="7"/>
      <c r="AB421" s="7"/>
      <c r="AC421" s="7"/>
    </row>
    <row r="422" spans="1:29" ht="25.5" hidden="1">
      <c r="A422" s="19">
        <v>61.3</v>
      </c>
      <c r="B422" s="1"/>
      <c r="U422" s="95"/>
      <c r="V422" s="538"/>
      <c r="W422" s="14"/>
      <c r="X422" s="7"/>
      <c r="Y422" s="7"/>
      <c r="Z422" s="7"/>
      <c r="AA422" s="7"/>
      <c r="AB422" s="7"/>
      <c r="AC422" s="7"/>
    </row>
    <row r="423" spans="1:29" ht="25.5" hidden="1">
      <c r="A423" s="19">
        <v>61.4</v>
      </c>
      <c r="B423" s="1"/>
      <c r="U423" s="95"/>
      <c r="V423" s="538"/>
      <c r="W423" s="14"/>
      <c r="X423" s="7"/>
      <c r="Y423" s="7"/>
      <c r="Z423" s="7"/>
      <c r="AA423" s="7"/>
      <c r="AB423" s="7"/>
      <c r="AC423" s="7"/>
    </row>
    <row r="424" spans="1:29" ht="36" hidden="1" customHeight="1">
      <c r="A424" s="19">
        <v>61.5</v>
      </c>
      <c r="B424" s="1"/>
      <c r="U424" s="95"/>
      <c r="V424" s="538"/>
      <c r="W424" s="14"/>
      <c r="X424" s="7"/>
      <c r="Y424" s="7"/>
      <c r="Z424" s="7"/>
      <c r="AA424" s="7"/>
      <c r="AB424" s="7"/>
      <c r="AC424" s="7"/>
    </row>
    <row r="425" spans="1:29" ht="25.5" hidden="1">
      <c r="A425" s="19">
        <v>61.6</v>
      </c>
      <c r="B425" s="1"/>
      <c r="U425" s="95"/>
      <c r="V425" s="538"/>
      <c r="W425" s="14"/>
      <c r="X425" s="7"/>
      <c r="Y425" s="7"/>
      <c r="Z425" s="7"/>
      <c r="AA425" s="7"/>
      <c r="AB425" s="7"/>
      <c r="AC425" s="7"/>
    </row>
    <row r="426" spans="1:29" ht="31.5" hidden="1" customHeight="1">
      <c r="A426" s="19">
        <v>61.7</v>
      </c>
      <c r="B426" s="1"/>
      <c r="U426" s="95"/>
      <c r="V426" s="538"/>
      <c r="W426" s="14"/>
      <c r="X426" s="7"/>
      <c r="Y426" s="7"/>
      <c r="Z426" s="7"/>
      <c r="AA426" s="7"/>
      <c r="AB426" s="7"/>
      <c r="AC426" s="7"/>
    </row>
    <row r="427" spans="1:29" ht="30" hidden="1" customHeight="1">
      <c r="A427" s="19">
        <v>61.8</v>
      </c>
      <c r="B427" s="1"/>
      <c r="U427" s="95"/>
      <c r="V427" s="538"/>
      <c r="W427" s="14"/>
      <c r="X427" s="7"/>
      <c r="Y427" s="7"/>
      <c r="Z427" s="7"/>
      <c r="AA427" s="7"/>
      <c r="AB427" s="7"/>
      <c r="AC427" s="7"/>
    </row>
    <row r="428" spans="1:29" ht="25.5" hidden="1">
      <c r="A428" s="19">
        <v>61.9</v>
      </c>
      <c r="B428" s="1"/>
      <c r="U428" s="95"/>
      <c r="V428" s="538"/>
      <c r="W428" s="14"/>
      <c r="X428" s="7"/>
      <c r="Y428" s="7"/>
      <c r="Z428" s="7"/>
      <c r="AA428" s="7"/>
      <c r="AB428" s="7"/>
      <c r="AC428" s="7"/>
    </row>
    <row r="429" spans="1:29" s="234" customFormat="1" ht="28.5" hidden="1" customHeight="1">
      <c r="A429" s="233">
        <v>61.1</v>
      </c>
      <c r="U429" s="235"/>
      <c r="V429" s="235"/>
      <c r="W429" s="14"/>
      <c r="X429" s="236"/>
      <c r="Y429" s="236"/>
      <c r="Z429" s="236"/>
      <c r="AA429" s="236"/>
      <c r="AB429" s="236"/>
      <c r="AC429" s="236"/>
    </row>
    <row r="430" spans="1:29" ht="28.5" hidden="1" customHeight="1">
      <c r="A430" s="19">
        <v>61.11</v>
      </c>
      <c r="B430" s="1"/>
      <c r="U430" s="95"/>
      <c r="V430" s="538"/>
      <c r="W430" s="14"/>
      <c r="X430" s="7"/>
      <c r="Y430" s="7"/>
      <c r="Z430" s="7"/>
      <c r="AA430" s="7"/>
      <c r="AB430" s="7"/>
      <c r="AC430" s="7"/>
    </row>
    <row r="431" spans="1:29" ht="25.5" hidden="1">
      <c r="A431" s="19">
        <v>61.12</v>
      </c>
      <c r="B431" s="1"/>
      <c r="U431" s="95"/>
      <c r="V431" s="538"/>
      <c r="W431" s="14"/>
      <c r="X431" s="7"/>
      <c r="Y431" s="7"/>
      <c r="Z431" s="7"/>
      <c r="AA431" s="7"/>
      <c r="AB431" s="7"/>
      <c r="AC431" s="7"/>
    </row>
    <row r="432" spans="1:29" ht="30" hidden="1" customHeight="1">
      <c r="A432" s="19">
        <v>61.13</v>
      </c>
      <c r="B432" s="1"/>
      <c r="U432" s="95"/>
      <c r="V432" s="538"/>
      <c r="W432" s="14"/>
      <c r="X432" s="7"/>
      <c r="Y432" s="7"/>
      <c r="Z432" s="7"/>
      <c r="AA432" s="7"/>
      <c r="AB432" s="7"/>
      <c r="AC432" s="7"/>
    </row>
    <row r="433" spans="1:29" ht="28.5" hidden="1" customHeight="1">
      <c r="A433" s="19">
        <v>61.14</v>
      </c>
      <c r="B433" s="1"/>
      <c r="U433" s="95"/>
      <c r="V433" s="538"/>
      <c r="W433" s="14"/>
      <c r="X433" s="7"/>
      <c r="Y433" s="7"/>
      <c r="Z433" s="7"/>
      <c r="AA433" s="7"/>
      <c r="AB433" s="7"/>
      <c r="AC433" s="7"/>
    </row>
    <row r="434" spans="1:29" ht="27" hidden="1" customHeight="1">
      <c r="A434" s="19">
        <v>61.15</v>
      </c>
      <c r="B434" s="1"/>
      <c r="U434" s="95"/>
      <c r="V434" s="538"/>
      <c r="W434" s="14"/>
      <c r="X434" s="7"/>
      <c r="Y434" s="7"/>
      <c r="Z434" s="7"/>
      <c r="AA434" s="7"/>
      <c r="AB434" s="7"/>
      <c r="AC434" s="7"/>
    </row>
    <row r="435" spans="1:29" ht="25.5" hidden="1">
      <c r="A435" s="19">
        <v>61.16</v>
      </c>
      <c r="B435" s="148"/>
      <c r="C435" s="91"/>
      <c r="D435" s="91"/>
      <c r="E435" s="91"/>
      <c r="F435" s="91"/>
      <c r="G435" s="91"/>
      <c r="H435" s="91"/>
      <c r="I435" s="91"/>
      <c r="J435" s="22"/>
      <c r="K435" s="22"/>
      <c r="L435" s="22"/>
      <c r="M435" s="22"/>
      <c r="N435" s="22"/>
      <c r="O435" s="91"/>
      <c r="P435" s="91"/>
      <c r="Q435" s="149"/>
      <c r="R435" s="200"/>
      <c r="S435" s="91"/>
      <c r="T435" s="91">
        <f>P435-O435</f>
        <v>0</v>
      </c>
      <c r="U435" s="95"/>
      <c r="V435" s="538"/>
      <c r="W435" s="14"/>
      <c r="X435" s="7"/>
      <c r="Y435" s="7"/>
      <c r="Z435" s="7"/>
      <c r="AA435" s="7"/>
      <c r="AB435" s="7"/>
      <c r="AC435" s="7"/>
    </row>
    <row r="436" spans="1:29" ht="28.5" hidden="1" customHeight="1">
      <c r="A436" s="19">
        <v>62</v>
      </c>
      <c r="B436" s="1"/>
      <c r="U436" s="95"/>
      <c r="V436" s="538"/>
      <c r="W436" s="14"/>
      <c r="X436" s="7"/>
      <c r="Y436" s="7"/>
      <c r="Z436" s="7"/>
      <c r="AA436" s="7"/>
      <c r="AB436" s="7"/>
      <c r="AC436" s="7"/>
    </row>
    <row r="437" spans="1:29" ht="25.5" hidden="1">
      <c r="A437" s="19">
        <v>63</v>
      </c>
      <c r="B437" s="148"/>
      <c r="C437" s="91"/>
      <c r="D437" s="91"/>
      <c r="E437" s="91"/>
      <c r="F437" s="91"/>
      <c r="G437" s="91"/>
      <c r="H437" s="91"/>
      <c r="I437" s="91"/>
      <c r="J437" s="22"/>
      <c r="K437" s="22"/>
      <c r="L437" s="22"/>
      <c r="M437" s="22"/>
      <c r="N437" s="22"/>
      <c r="O437" s="91"/>
      <c r="P437" s="91"/>
      <c r="Q437" s="22"/>
      <c r="R437" s="142"/>
      <c r="S437" s="91"/>
      <c r="T437" s="91">
        <f>(P437-O437)*S437</f>
        <v>0</v>
      </c>
      <c r="U437" s="95"/>
      <c r="V437" s="538"/>
      <c r="W437" s="14"/>
      <c r="X437" s="7"/>
      <c r="Y437" s="7"/>
      <c r="Z437" s="7"/>
      <c r="AA437" s="7"/>
      <c r="AB437" s="7"/>
      <c r="AC437" s="7"/>
    </row>
    <row r="438" spans="1:29" ht="27.75" hidden="1" customHeight="1">
      <c r="A438" s="19">
        <v>64</v>
      </c>
      <c r="U438" s="95"/>
      <c r="V438" s="538"/>
      <c r="W438" s="14"/>
      <c r="X438" s="7"/>
      <c r="Y438" s="7"/>
      <c r="Z438" s="7"/>
      <c r="AA438" s="7"/>
      <c r="AB438" s="7"/>
      <c r="AC438" s="7"/>
    </row>
    <row r="439" spans="1:29" ht="28.5" hidden="1" customHeight="1">
      <c r="A439" s="19">
        <v>65</v>
      </c>
      <c r="B439" s="148"/>
      <c r="C439" s="91"/>
      <c r="D439" s="91"/>
      <c r="E439" s="91"/>
      <c r="F439" s="91"/>
      <c r="G439" s="91"/>
      <c r="H439" s="91"/>
      <c r="I439" s="91"/>
      <c r="J439" s="22"/>
      <c r="K439" s="22"/>
      <c r="L439" s="22"/>
      <c r="M439" s="22"/>
      <c r="N439" s="22"/>
      <c r="O439" s="91"/>
      <c r="P439" s="91"/>
      <c r="Q439" s="22"/>
      <c r="R439" s="142"/>
      <c r="S439" s="91"/>
      <c r="T439" s="91"/>
      <c r="U439" s="95"/>
      <c r="V439" s="538"/>
      <c r="W439" s="14"/>
      <c r="X439" s="7"/>
      <c r="Y439" s="7"/>
      <c r="Z439" s="7"/>
      <c r="AA439" s="7"/>
      <c r="AB439" s="7"/>
      <c r="AC439" s="7"/>
    </row>
    <row r="440" spans="1:29" ht="31.5" hidden="1" customHeight="1">
      <c r="A440" s="19">
        <v>66</v>
      </c>
      <c r="U440" s="95"/>
      <c r="V440" s="538"/>
      <c r="W440" s="14" t="s">
        <v>487</v>
      </c>
      <c r="X440" s="7"/>
      <c r="Y440" s="7"/>
      <c r="Z440" s="7"/>
      <c r="AA440" s="7"/>
      <c r="AB440" s="7"/>
      <c r="AC440" s="7"/>
    </row>
    <row r="441" spans="1:29" ht="25.5" hidden="1">
      <c r="A441" s="19">
        <v>68</v>
      </c>
      <c r="U441" s="95"/>
      <c r="V441" s="538"/>
      <c r="W441" s="14"/>
      <c r="X441" s="7"/>
      <c r="Y441" s="7"/>
      <c r="Z441" s="149"/>
      <c r="AA441" s="149"/>
      <c r="AB441" s="149"/>
      <c r="AC441" s="149"/>
    </row>
    <row r="442" spans="1:29" ht="27.75" hidden="1" customHeight="1">
      <c r="A442" s="19">
        <v>70</v>
      </c>
      <c r="B442" s="1"/>
      <c r="U442" s="95"/>
      <c r="V442" s="538"/>
      <c r="W442" s="14"/>
      <c r="X442" s="7"/>
      <c r="Y442" s="7"/>
      <c r="Z442" s="149"/>
      <c r="AA442" s="149"/>
      <c r="AB442" s="149"/>
      <c r="AC442" s="149"/>
    </row>
    <row r="443" spans="1:29" ht="25.5" hidden="1">
      <c r="A443" s="19">
        <v>71</v>
      </c>
      <c r="U443" s="95"/>
      <c r="V443" s="538"/>
      <c r="W443" s="14"/>
      <c r="X443" s="7"/>
      <c r="Y443" s="7"/>
      <c r="Z443" s="149"/>
      <c r="AA443" s="149"/>
      <c r="AB443" s="149"/>
      <c r="AC443" s="149"/>
    </row>
    <row r="444" spans="1:29" ht="44.25" hidden="1" customHeight="1">
      <c r="A444" s="19">
        <v>72</v>
      </c>
      <c r="B444" s="1"/>
      <c r="U444" s="1"/>
      <c r="V444" s="1"/>
      <c r="W444" s="14">
        <v>16390</v>
      </c>
      <c r="X444" s="7"/>
      <c r="Y444" s="7"/>
      <c r="Z444" s="7"/>
      <c r="AA444" s="7"/>
      <c r="AB444" s="7"/>
      <c r="AC444" s="7"/>
    </row>
    <row r="445" spans="1:29" ht="25.5" hidden="1">
      <c r="A445" s="19">
        <v>73</v>
      </c>
      <c r="B445" s="1"/>
      <c r="U445" s="1"/>
      <c r="V445" s="1"/>
      <c r="W445" s="14">
        <v>19235</v>
      </c>
      <c r="X445" s="7"/>
      <c r="Y445" s="7"/>
      <c r="Z445" s="7"/>
      <c r="AA445" s="7"/>
      <c r="AB445" s="7"/>
      <c r="AC445" s="7"/>
    </row>
    <row r="446" spans="1:29" ht="25.5" hidden="1">
      <c r="A446" s="19">
        <v>74</v>
      </c>
      <c r="W446" s="14" t="s">
        <v>488</v>
      </c>
      <c r="X446" s="7"/>
      <c r="Y446" s="7"/>
      <c r="Z446" s="7"/>
      <c r="AA446" s="7"/>
      <c r="AB446" s="7"/>
      <c r="AC446" s="7"/>
    </row>
    <row r="447" spans="1:29" ht="28.5" hidden="1" customHeight="1">
      <c r="A447" s="19">
        <v>75</v>
      </c>
      <c r="B447" s="1"/>
      <c r="U447" s="1"/>
      <c r="V447" s="1"/>
      <c r="W447" s="14"/>
      <c r="X447" s="7"/>
      <c r="Y447" s="7"/>
      <c r="Z447" s="7"/>
      <c r="AA447" s="7"/>
      <c r="AB447" s="7"/>
      <c r="AC447" s="7"/>
    </row>
    <row r="448" spans="1:29" ht="22.5" hidden="1" customHeight="1">
      <c r="A448" s="19">
        <v>76</v>
      </c>
      <c r="U448" s="95"/>
      <c r="V448" s="538"/>
      <c r="W448" s="134">
        <v>590000</v>
      </c>
      <c r="X448" s="149"/>
      <c r="Y448" s="149"/>
      <c r="Z448" s="7"/>
      <c r="AA448" s="7"/>
      <c r="AB448" s="7"/>
      <c r="AC448" s="7"/>
    </row>
    <row r="449" spans="1:29" ht="34.5" hidden="1" customHeight="1">
      <c r="A449" s="19">
        <v>77</v>
      </c>
      <c r="U449" s="95"/>
      <c r="V449" s="538"/>
      <c r="W449" s="134"/>
      <c r="X449" s="149"/>
      <c r="Y449" s="149"/>
      <c r="Z449" s="7"/>
      <c r="AA449" s="7"/>
      <c r="AB449" s="7"/>
      <c r="AC449" s="7"/>
    </row>
    <row r="450" spans="1:29" ht="30" hidden="1" customHeight="1">
      <c r="A450" s="19">
        <v>78</v>
      </c>
      <c r="U450" s="95"/>
      <c r="V450" s="538"/>
      <c r="W450" s="134">
        <v>201022</v>
      </c>
      <c r="X450" s="149"/>
      <c r="Y450" s="149"/>
      <c r="Z450" s="7"/>
      <c r="AA450" s="7"/>
      <c r="AB450" s="7"/>
      <c r="AC450" s="7"/>
    </row>
    <row r="451" spans="1:29" ht="25.5" hidden="1" customHeight="1">
      <c r="A451" s="19">
        <v>79</v>
      </c>
      <c r="U451" s="95"/>
      <c r="V451" s="538"/>
      <c r="W451" s="14"/>
      <c r="X451" s="7"/>
      <c r="Y451" s="7"/>
      <c r="Z451" s="7"/>
      <c r="AA451" s="7"/>
      <c r="AB451" s="7"/>
      <c r="AC451" s="7"/>
    </row>
    <row r="452" spans="1:29" ht="33" hidden="1" customHeight="1">
      <c r="A452" s="19">
        <v>80</v>
      </c>
      <c r="B452" s="148"/>
      <c r="C452" s="91"/>
      <c r="D452" s="91"/>
      <c r="E452" s="91"/>
      <c r="F452" s="91"/>
      <c r="G452" s="91"/>
      <c r="H452" s="91"/>
      <c r="I452" s="91"/>
      <c r="J452" s="22"/>
      <c r="K452" s="22"/>
      <c r="L452" s="22"/>
      <c r="M452" s="22"/>
      <c r="N452" s="22"/>
      <c r="O452" s="91"/>
      <c r="P452" s="91"/>
      <c r="Q452" s="22"/>
      <c r="R452" s="142"/>
      <c r="S452" s="91"/>
      <c r="T452" s="91">
        <f>(P452-O452)*S452</f>
        <v>0</v>
      </c>
      <c r="U452" s="95"/>
      <c r="V452" s="538"/>
      <c r="W452" s="14"/>
      <c r="X452" s="7"/>
      <c r="Y452" s="7"/>
      <c r="Z452" s="7"/>
      <c r="AA452" s="7"/>
      <c r="AB452" s="7"/>
      <c r="AC452" s="7"/>
    </row>
    <row r="453" spans="1:29" ht="24.75" hidden="1" customHeight="1">
      <c r="A453" s="19">
        <v>81</v>
      </c>
      <c r="U453" s="95"/>
      <c r="V453" s="538"/>
      <c r="W453" s="14"/>
      <c r="X453" s="7"/>
      <c r="Y453" s="7"/>
      <c r="Z453" s="7"/>
      <c r="AA453" s="7"/>
      <c r="AB453" s="7"/>
      <c r="AC453" s="7"/>
    </row>
    <row r="454" spans="1:29" ht="26.25" hidden="1">
      <c r="A454" s="231">
        <v>82</v>
      </c>
      <c r="U454" s="95"/>
      <c r="V454" s="538"/>
      <c r="W454" s="14" t="s">
        <v>489</v>
      </c>
      <c r="X454" s="7"/>
      <c r="Y454" s="7"/>
      <c r="Z454" s="7"/>
      <c r="AA454" s="7"/>
      <c r="AB454" s="7"/>
      <c r="AC454" s="7"/>
    </row>
    <row r="455" spans="1:29" ht="26.25" hidden="1">
      <c r="A455" s="231"/>
      <c r="U455" s="95"/>
      <c r="V455" s="538"/>
      <c r="W455" s="14"/>
      <c r="X455" s="7"/>
      <c r="Y455" s="7"/>
      <c r="Z455" s="7"/>
      <c r="AA455" s="7"/>
      <c r="AB455" s="7"/>
      <c r="AC455" s="7"/>
    </row>
    <row r="456" spans="1:29" ht="26.25" hidden="1">
      <c r="A456" s="231"/>
      <c r="U456" s="95"/>
      <c r="V456" s="538"/>
      <c r="W456" s="14"/>
      <c r="X456" s="7"/>
      <c r="Y456" s="7"/>
      <c r="Z456" s="7"/>
      <c r="AA456" s="7"/>
      <c r="AB456" s="7"/>
      <c r="AC456" s="7"/>
    </row>
    <row r="457" spans="1:29" ht="26.25" hidden="1">
      <c r="A457" s="237">
        <v>83</v>
      </c>
      <c r="B457" s="1"/>
      <c r="U457" s="1"/>
      <c r="V457" s="1"/>
      <c r="W457" s="14"/>
      <c r="X457" s="7" t="s">
        <v>490</v>
      </c>
      <c r="Y457" s="7"/>
      <c r="Z457" s="7"/>
      <c r="AA457" s="7"/>
      <c r="AB457" s="7"/>
      <c r="AC457" s="7"/>
    </row>
    <row r="458" spans="1:29" ht="26.25" hidden="1">
      <c r="A458" s="231"/>
      <c r="B458" s="1"/>
      <c r="U458" s="1"/>
      <c r="V458" s="1"/>
      <c r="W458" s="14"/>
      <c r="X458" s="7"/>
      <c r="Y458" s="7"/>
      <c r="Z458" s="7"/>
      <c r="AA458" s="7"/>
      <c r="AB458" s="7"/>
      <c r="AC458" s="7"/>
    </row>
    <row r="459" spans="1:29" ht="31.5" hidden="1" customHeight="1">
      <c r="A459" s="19">
        <v>84</v>
      </c>
      <c r="U459" s="95"/>
      <c r="V459" s="538"/>
      <c r="W459" s="14"/>
      <c r="X459" s="7"/>
      <c r="Y459" s="7"/>
      <c r="Z459" s="7"/>
      <c r="AA459" s="7"/>
      <c r="AB459" s="7"/>
      <c r="AC459" s="7"/>
    </row>
    <row r="460" spans="1:29" ht="25.5" hidden="1">
      <c r="A460" s="19">
        <v>85</v>
      </c>
      <c r="B460" s="1"/>
      <c r="U460" s="1"/>
      <c r="V460" s="1"/>
      <c r="W460" s="14" t="s">
        <v>491</v>
      </c>
      <c r="X460" s="7"/>
      <c r="Y460" s="7"/>
      <c r="Z460" s="7"/>
      <c r="AA460" s="7"/>
      <c r="AB460" s="7"/>
      <c r="AC460" s="7"/>
    </row>
    <row r="461" spans="1:29" ht="26.25" hidden="1" customHeight="1">
      <c r="A461" s="19">
        <v>86</v>
      </c>
      <c r="U461" s="95"/>
      <c r="V461" s="538"/>
      <c r="W461" s="14" t="s">
        <v>492</v>
      </c>
      <c r="X461" s="7"/>
      <c r="Y461" s="7"/>
      <c r="Z461" s="7"/>
      <c r="AA461" s="7"/>
      <c r="AB461" s="7"/>
      <c r="AC461" s="7"/>
    </row>
    <row r="462" spans="1:29" ht="30" hidden="1" customHeight="1">
      <c r="A462" s="19">
        <v>87</v>
      </c>
      <c r="U462" s="95"/>
      <c r="V462" s="538"/>
      <c r="W462" s="14" t="s">
        <v>492</v>
      </c>
      <c r="X462" s="7"/>
      <c r="Y462" s="7"/>
      <c r="Z462" s="7"/>
      <c r="AA462" s="7"/>
      <c r="AB462" s="7"/>
      <c r="AC462" s="7"/>
    </row>
    <row r="463" spans="1:29" ht="26.25" hidden="1" customHeight="1">
      <c r="A463" s="19">
        <v>88</v>
      </c>
      <c r="B463" s="1"/>
      <c r="U463" s="1"/>
      <c r="V463" s="1"/>
      <c r="W463" s="14" t="s">
        <v>493</v>
      </c>
      <c r="X463" s="7"/>
      <c r="Y463" s="7"/>
      <c r="Z463" s="7"/>
      <c r="AA463" s="7"/>
      <c r="AB463" s="7"/>
      <c r="AC463" s="7"/>
    </row>
    <row r="464" spans="1:29" ht="26.25" hidden="1">
      <c r="A464" s="135">
        <v>89</v>
      </c>
      <c r="B464" s="1"/>
      <c r="U464" s="1"/>
      <c r="V464" s="1"/>
      <c r="W464" s="14"/>
      <c r="X464" s="7"/>
      <c r="Y464" s="7"/>
      <c r="Z464" s="7"/>
      <c r="AA464" s="7"/>
      <c r="AB464" s="7"/>
      <c r="AC464" s="7"/>
    </row>
    <row r="465" spans="1:29" ht="76.5" hidden="1">
      <c r="A465" s="19" t="s">
        <v>494</v>
      </c>
      <c r="B465" s="1"/>
      <c r="U465" s="1"/>
      <c r="V465" s="1"/>
      <c r="W465" s="14"/>
      <c r="X465" s="7"/>
      <c r="Y465" s="7"/>
      <c r="Z465" s="7"/>
      <c r="AA465" s="7"/>
      <c r="AB465" s="7"/>
      <c r="AC465" s="7"/>
    </row>
    <row r="466" spans="1:29" ht="25.5" hidden="1">
      <c r="A466" s="19">
        <v>90</v>
      </c>
      <c r="B466" s="1"/>
      <c r="U466" s="1"/>
      <c r="V466" s="1"/>
      <c r="W466" s="14"/>
      <c r="X466" s="7"/>
      <c r="Y466" s="7"/>
      <c r="Z466" s="7"/>
      <c r="AA466" s="7"/>
      <c r="AB466" s="7"/>
      <c r="AC466" s="7"/>
    </row>
    <row r="467" spans="1:29" ht="11.25" hidden="1" customHeight="1">
      <c r="A467" s="19">
        <v>91</v>
      </c>
      <c r="U467" s="95"/>
      <c r="V467" s="538"/>
      <c r="W467" s="14"/>
      <c r="X467" s="7"/>
      <c r="Y467" s="7"/>
      <c r="Z467" s="7"/>
      <c r="AA467" s="7"/>
      <c r="AB467" s="7"/>
      <c r="AC467" s="7"/>
    </row>
    <row r="468" spans="1:29" ht="54" hidden="1" customHeight="1">
      <c r="A468" s="19">
        <v>92</v>
      </c>
      <c r="B468" s="1"/>
      <c r="U468" s="95"/>
      <c r="V468" s="538"/>
      <c r="W468" s="14"/>
      <c r="X468" s="7"/>
      <c r="Y468" s="7"/>
      <c r="Z468" s="7"/>
      <c r="AA468" s="7"/>
      <c r="AB468" s="7"/>
      <c r="AC468" s="7"/>
    </row>
    <row r="469" spans="1:29" ht="30.75" hidden="1" customHeight="1">
      <c r="A469" s="19">
        <v>93</v>
      </c>
      <c r="B469" s="1"/>
      <c r="U469" s="95"/>
      <c r="V469" s="538"/>
      <c r="W469" s="14"/>
      <c r="X469" s="7"/>
      <c r="Y469" s="7"/>
      <c r="Z469" s="7"/>
      <c r="AA469" s="7"/>
      <c r="AB469" s="7"/>
      <c r="AC469" s="7"/>
    </row>
    <row r="470" spans="1:29" ht="57" hidden="1" customHeight="1">
      <c r="A470" s="19">
        <v>94</v>
      </c>
      <c r="B470" s="1"/>
      <c r="U470" s="95"/>
      <c r="V470" s="538"/>
      <c r="W470" s="14"/>
      <c r="X470" s="7"/>
      <c r="Y470" s="7"/>
      <c r="Z470" s="7"/>
      <c r="AA470" s="7"/>
      <c r="AB470" s="7"/>
      <c r="AC470" s="7"/>
    </row>
    <row r="471" spans="1:29" ht="28.5" hidden="1" customHeight="1">
      <c r="A471" s="19">
        <v>95</v>
      </c>
      <c r="B471" s="1"/>
      <c r="U471" s="95"/>
      <c r="V471" s="538"/>
      <c r="W471" s="14"/>
      <c r="X471" s="7"/>
      <c r="Y471" s="7"/>
      <c r="Z471" s="7"/>
      <c r="AA471" s="7"/>
      <c r="AB471" s="7"/>
      <c r="AC471" s="7"/>
    </row>
    <row r="472" spans="1:29" ht="30.75" hidden="1" customHeight="1">
      <c r="A472" s="19">
        <v>96</v>
      </c>
      <c r="B472" s="1"/>
      <c r="U472" s="95"/>
      <c r="V472" s="538"/>
      <c r="W472" s="14"/>
      <c r="X472" s="7"/>
      <c r="Y472" s="7"/>
      <c r="Z472" s="7"/>
      <c r="AA472" s="7"/>
      <c r="AB472" s="7"/>
      <c r="AC472" s="7"/>
    </row>
    <row r="473" spans="1:29" ht="30" hidden="1" customHeight="1">
      <c r="A473" s="19">
        <v>97</v>
      </c>
      <c r="B473" s="1"/>
      <c r="U473" s="95"/>
      <c r="V473" s="538"/>
      <c r="W473" s="14"/>
      <c r="X473" s="7"/>
      <c r="Y473" s="7"/>
      <c r="Z473" s="7"/>
      <c r="AA473" s="7"/>
      <c r="AB473" s="7"/>
      <c r="AC473" s="7"/>
    </row>
    <row r="474" spans="1:29" ht="27.75" hidden="1" customHeight="1">
      <c r="A474" s="19">
        <v>98</v>
      </c>
      <c r="U474" s="95"/>
      <c r="V474" s="538"/>
      <c r="W474" s="14"/>
      <c r="X474" s="7"/>
      <c r="Y474" s="7"/>
      <c r="Z474" s="7"/>
      <c r="AA474" s="7"/>
      <c r="AB474" s="7"/>
      <c r="AC474" s="7"/>
    </row>
    <row r="475" spans="1:29" ht="25.5" hidden="1">
      <c r="A475" s="19">
        <v>99</v>
      </c>
      <c r="U475" s="95"/>
      <c r="V475" s="538"/>
      <c r="W475" s="14"/>
      <c r="X475" s="7"/>
      <c r="Y475" s="7"/>
      <c r="Z475" s="7"/>
      <c r="AA475" s="7"/>
      <c r="AB475" s="7"/>
      <c r="AC475" s="7"/>
    </row>
    <row r="476" spans="1:29" ht="25.5" hidden="1">
      <c r="A476" s="19">
        <v>100</v>
      </c>
      <c r="B476" s="148"/>
      <c r="C476" s="91"/>
      <c r="D476" s="91"/>
      <c r="E476" s="91"/>
      <c r="F476" s="91"/>
      <c r="G476" s="91"/>
      <c r="H476" s="91"/>
      <c r="I476" s="91"/>
      <c r="J476" s="22"/>
      <c r="K476" s="22"/>
      <c r="L476" s="22"/>
      <c r="M476" s="22"/>
      <c r="N476" s="22"/>
      <c r="O476" s="91"/>
      <c r="P476" s="91"/>
      <c r="Q476" s="7"/>
      <c r="R476" s="200"/>
      <c r="S476" s="151"/>
      <c r="T476" s="91">
        <f>(P476-O476)*S476</f>
        <v>0</v>
      </c>
      <c r="U476" s="95"/>
      <c r="V476" s="538"/>
      <c r="W476" s="14"/>
      <c r="X476" s="7"/>
      <c r="Y476" s="7"/>
      <c r="Z476" s="7"/>
      <c r="AA476" s="7"/>
      <c r="AB476" s="7"/>
      <c r="AC476" s="7"/>
    </row>
    <row r="477" spans="1:29" ht="28.5" hidden="1" customHeight="1">
      <c r="A477" s="19">
        <v>101</v>
      </c>
      <c r="U477" s="95"/>
      <c r="V477" s="538"/>
      <c r="W477" s="14"/>
      <c r="X477" s="7"/>
      <c r="Y477" s="7"/>
      <c r="Z477" s="7"/>
      <c r="AA477" s="7"/>
      <c r="AB477" s="7"/>
      <c r="AC477" s="7"/>
    </row>
    <row r="478" spans="1:29" ht="26.25" hidden="1" customHeight="1">
      <c r="A478" s="19">
        <v>102</v>
      </c>
      <c r="U478" s="95"/>
      <c r="V478" s="538"/>
      <c r="W478" s="14">
        <v>752.1</v>
      </c>
      <c r="X478" s="238">
        <v>809.71</v>
      </c>
      <c r="Y478" s="7"/>
      <c r="Z478" s="149"/>
      <c r="AA478" s="149"/>
      <c r="AB478" s="149"/>
      <c r="AC478" s="149"/>
    </row>
    <row r="479" spans="1:29" ht="27.75" hidden="1" customHeight="1">
      <c r="A479" s="19" t="s">
        <v>495</v>
      </c>
      <c r="U479" s="95"/>
      <c r="V479" s="538"/>
      <c r="W479" s="14"/>
      <c r="X479" s="7"/>
      <c r="Y479" s="7"/>
      <c r="Z479" s="149"/>
      <c r="AA479" s="149"/>
      <c r="AB479" s="149"/>
      <c r="AC479" s="149"/>
    </row>
    <row r="480" spans="1:29" ht="31.5" hidden="1" customHeight="1">
      <c r="A480" s="19" t="s">
        <v>496</v>
      </c>
      <c r="U480" s="95"/>
      <c r="V480" s="538"/>
      <c r="W480" s="14"/>
      <c r="X480" s="7"/>
      <c r="Y480" s="7"/>
      <c r="Z480" s="7"/>
      <c r="AA480" s="7"/>
      <c r="AB480" s="7"/>
      <c r="AC480" s="7"/>
    </row>
    <row r="481" spans="1:29" ht="27.75" hidden="1" customHeight="1">
      <c r="A481" s="19">
        <v>103</v>
      </c>
      <c r="U481" s="95"/>
      <c r="V481" s="538"/>
      <c r="W481" s="14"/>
      <c r="X481" s="7"/>
      <c r="Y481" s="7"/>
      <c r="Z481" s="7"/>
      <c r="AA481" s="7"/>
      <c r="AB481" s="7"/>
      <c r="AC481" s="7"/>
    </row>
    <row r="482" spans="1:29" ht="30" hidden="1" customHeight="1">
      <c r="A482" s="19">
        <v>104</v>
      </c>
      <c r="U482" s="95"/>
      <c r="V482" s="538"/>
      <c r="W482" s="14"/>
      <c r="X482" s="7"/>
      <c r="Y482" s="7"/>
      <c r="Z482" s="7"/>
      <c r="AA482" s="7"/>
      <c r="AB482" s="7"/>
      <c r="AC482" s="7"/>
    </row>
    <row r="483" spans="1:29" ht="102" hidden="1">
      <c r="A483" s="19" t="s">
        <v>497</v>
      </c>
      <c r="B483" s="148"/>
      <c r="C483" s="199"/>
      <c r="D483" s="91"/>
      <c r="E483" s="91"/>
      <c r="F483" s="91"/>
      <c r="G483" s="91"/>
      <c r="H483" s="91"/>
      <c r="I483" s="91"/>
      <c r="J483" s="22"/>
      <c r="K483" s="22"/>
      <c r="L483" s="22"/>
      <c r="M483" s="22"/>
      <c r="N483" s="22"/>
      <c r="O483" s="91"/>
      <c r="P483" s="91"/>
      <c r="Q483" s="7"/>
      <c r="R483" s="200"/>
      <c r="S483" s="151"/>
      <c r="T483" s="91"/>
      <c r="U483" s="95"/>
      <c r="V483" s="538"/>
      <c r="W483" s="14"/>
      <c r="X483" s="7"/>
      <c r="Y483" s="7"/>
      <c r="Z483" s="7"/>
      <c r="AA483" s="7"/>
      <c r="AB483" s="7"/>
      <c r="AC483" s="7"/>
    </row>
    <row r="484" spans="1:29" ht="26.25" hidden="1">
      <c r="A484" s="231">
        <v>105</v>
      </c>
      <c r="B484" s="1"/>
      <c r="U484" s="1"/>
      <c r="V484" s="1"/>
      <c r="W484" s="14" t="s">
        <v>498</v>
      </c>
      <c r="X484" s="7">
        <v>6652</v>
      </c>
      <c r="Y484" s="7">
        <v>11490</v>
      </c>
      <c r="Z484" s="7"/>
      <c r="AA484" s="7"/>
      <c r="AB484" s="7"/>
      <c r="AC484" s="7"/>
    </row>
    <row r="485" spans="1:29" ht="25.5" hidden="1" customHeight="1">
      <c r="A485" s="19">
        <v>107</v>
      </c>
      <c r="B485" s="1"/>
      <c r="U485" s="1"/>
      <c r="V485" s="1"/>
      <c r="W485" s="134"/>
      <c r="X485" s="149"/>
      <c r="Y485" s="149"/>
      <c r="Z485" s="7"/>
      <c r="AA485" s="7"/>
      <c r="AB485" s="7"/>
      <c r="AC485" s="7"/>
    </row>
    <row r="486" spans="1:29" ht="27" hidden="1" customHeight="1">
      <c r="A486" s="19" t="s">
        <v>499</v>
      </c>
      <c r="B486" s="1"/>
      <c r="U486" s="1"/>
      <c r="V486" s="1"/>
      <c r="W486" s="134"/>
      <c r="X486" s="149"/>
      <c r="Y486" s="149"/>
      <c r="Z486" s="7"/>
      <c r="AA486" s="7"/>
      <c r="AB486" s="7"/>
      <c r="AC486" s="7"/>
    </row>
    <row r="487" spans="1:29" ht="28.5" hidden="1" customHeight="1">
      <c r="A487" s="19">
        <v>108</v>
      </c>
      <c r="B487" s="1"/>
      <c r="U487" s="1"/>
      <c r="V487" s="1"/>
      <c r="W487" s="14"/>
      <c r="X487" s="7"/>
      <c r="Y487" s="7"/>
      <c r="Z487" s="7"/>
      <c r="AA487" s="7"/>
      <c r="AB487" s="7"/>
      <c r="AC487" s="7"/>
    </row>
    <row r="488" spans="1:29" ht="25.5" hidden="1" customHeight="1">
      <c r="A488" s="19">
        <v>109</v>
      </c>
      <c r="B488" s="148"/>
      <c r="C488" s="91"/>
      <c r="D488" s="91"/>
      <c r="E488" s="91"/>
      <c r="F488" s="91"/>
      <c r="G488" s="91"/>
      <c r="H488" s="91"/>
      <c r="I488" s="91"/>
      <c r="J488" s="22"/>
      <c r="K488" s="22"/>
      <c r="L488" s="22"/>
      <c r="M488" s="22"/>
      <c r="N488" s="22"/>
      <c r="O488" s="91"/>
      <c r="P488" s="91"/>
      <c r="Q488" s="7"/>
      <c r="R488" s="94"/>
      <c r="S488" s="151"/>
      <c r="T488" s="91"/>
      <c r="U488" s="95"/>
      <c r="V488" s="538"/>
      <c r="W488" s="14"/>
      <c r="X488" s="7"/>
      <c r="Y488" s="7"/>
      <c r="Z488" s="7"/>
      <c r="AA488" s="7"/>
      <c r="AB488" s="7"/>
      <c r="AC488" s="7"/>
    </row>
    <row r="489" spans="1:29" ht="6.75" hidden="1" customHeight="1">
      <c r="A489" s="19">
        <v>110</v>
      </c>
      <c r="B489" s="1"/>
      <c r="U489" s="1"/>
      <c r="V489" s="1"/>
      <c r="W489" s="14"/>
      <c r="X489" s="7"/>
      <c r="Y489" s="7"/>
      <c r="Z489" s="7"/>
      <c r="AA489" s="7"/>
      <c r="AB489" s="7"/>
      <c r="AC489" s="7"/>
    </row>
    <row r="490" spans="1:29" ht="25.5" hidden="1">
      <c r="A490" s="19"/>
      <c r="B490" s="148"/>
      <c r="C490" s="91"/>
      <c r="D490" s="91"/>
      <c r="E490" s="91"/>
      <c r="F490" s="91"/>
      <c r="G490" s="91"/>
      <c r="H490" s="91"/>
      <c r="I490" s="91"/>
      <c r="J490" s="22"/>
      <c r="K490" s="22"/>
      <c r="L490" s="22"/>
      <c r="M490" s="22"/>
      <c r="N490" s="22"/>
      <c r="O490" s="91"/>
      <c r="P490" s="91"/>
      <c r="Q490" s="22"/>
      <c r="R490" s="142"/>
      <c r="S490" s="151"/>
      <c r="T490" s="91"/>
      <c r="U490" s="95"/>
      <c r="V490" s="538"/>
      <c r="W490" s="14"/>
      <c r="X490" s="7"/>
      <c r="Y490" s="7"/>
      <c r="Z490" s="7"/>
      <c r="AA490" s="7"/>
      <c r="AB490" s="7"/>
      <c r="AC490" s="7"/>
    </row>
    <row r="491" spans="1:29" ht="27" hidden="1" customHeight="1">
      <c r="A491" s="231">
        <v>111</v>
      </c>
      <c r="B491" s="1"/>
      <c r="U491" s="1"/>
      <c r="V491" s="1"/>
      <c r="W491" s="14"/>
      <c r="X491" s="7"/>
      <c r="Y491" s="7"/>
      <c r="Z491" s="7"/>
      <c r="AA491" s="7"/>
      <c r="AB491" s="7"/>
      <c r="AC491" s="7"/>
    </row>
    <row r="492" spans="1:29" ht="26.25" hidden="1">
      <c r="A492" s="231"/>
      <c r="B492" s="90"/>
      <c r="C492" s="91"/>
      <c r="D492" s="115"/>
      <c r="E492" s="115"/>
      <c r="F492" s="115"/>
      <c r="G492" s="115"/>
      <c r="H492" s="115"/>
      <c r="I492" s="115"/>
      <c r="J492" s="164"/>
      <c r="K492" s="164"/>
      <c r="L492" s="164"/>
      <c r="M492" s="164"/>
      <c r="N492" s="164"/>
      <c r="O492" s="91"/>
      <c r="P492" s="91"/>
      <c r="Q492" s="22"/>
      <c r="R492" s="142"/>
      <c r="S492" s="151"/>
      <c r="T492" s="91"/>
      <c r="U492" s="95"/>
      <c r="V492" s="538"/>
      <c r="W492" s="14"/>
      <c r="X492" s="7"/>
      <c r="Y492" s="7"/>
      <c r="Z492" s="7"/>
      <c r="AA492" s="7"/>
      <c r="AB492" s="7"/>
      <c r="AC492" s="7"/>
    </row>
    <row r="493" spans="1:29" ht="25.5" hidden="1">
      <c r="A493" s="19">
        <v>112</v>
      </c>
      <c r="B493" s="148"/>
      <c r="C493" s="91"/>
      <c r="D493" s="91"/>
      <c r="E493" s="91"/>
      <c r="F493" s="91"/>
      <c r="G493" s="91"/>
      <c r="H493" s="91"/>
      <c r="I493" s="91"/>
      <c r="J493" s="22"/>
      <c r="K493" s="22"/>
      <c r="L493" s="22"/>
      <c r="M493" s="22"/>
      <c r="N493" s="22"/>
      <c r="O493" s="91"/>
      <c r="P493" s="91"/>
      <c r="Q493" s="22"/>
      <c r="R493" s="142"/>
      <c r="S493" s="151"/>
      <c r="T493" s="91"/>
      <c r="U493" s="95"/>
      <c r="V493" s="538"/>
      <c r="W493" s="14"/>
      <c r="X493" s="7"/>
      <c r="Y493" s="7"/>
      <c r="Z493" s="7"/>
      <c r="AA493" s="7"/>
      <c r="AB493" s="7"/>
      <c r="AC493" s="7"/>
    </row>
    <row r="494" spans="1:29" ht="25.5" hidden="1">
      <c r="A494" s="19">
        <v>113</v>
      </c>
      <c r="B494" s="148"/>
      <c r="C494" s="91"/>
      <c r="D494" s="91"/>
      <c r="E494" s="91"/>
      <c r="F494" s="91"/>
      <c r="G494" s="91"/>
      <c r="H494" s="91"/>
      <c r="I494" s="91"/>
      <c r="J494" s="22"/>
      <c r="K494" s="22"/>
      <c r="L494" s="22"/>
      <c r="M494" s="22"/>
      <c r="N494" s="22"/>
      <c r="O494" s="91"/>
      <c r="P494" s="91"/>
      <c r="Q494" s="149"/>
      <c r="R494" s="161"/>
      <c r="S494" s="151"/>
      <c r="T494" s="91"/>
      <c r="U494" s="95"/>
      <c r="V494" s="538"/>
      <c r="W494" s="14"/>
      <c r="X494" s="7"/>
      <c r="Y494" s="7"/>
      <c r="Z494" s="7"/>
      <c r="AA494" s="7"/>
      <c r="AB494" s="7"/>
      <c r="AC494" s="7"/>
    </row>
    <row r="495" spans="1:29" ht="25.5" hidden="1">
      <c r="A495" s="19">
        <v>114</v>
      </c>
      <c r="B495" s="148"/>
      <c r="C495" s="91"/>
      <c r="D495" s="91"/>
      <c r="E495" s="91"/>
      <c r="F495" s="91"/>
      <c r="G495" s="91"/>
      <c r="H495" s="91"/>
      <c r="I495" s="91"/>
      <c r="J495" s="22"/>
      <c r="K495" s="22"/>
      <c r="L495" s="22"/>
      <c r="M495" s="22"/>
      <c r="N495" s="22"/>
      <c r="O495" s="91"/>
      <c r="P495" s="91"/>
      <c r="Q495" s="149"/>
      <c r="R495" s="161"/>
      <c r="S495" s="151"/>
      <c r="T495" s="91"/>
      <c r="U495" s="95"/>
      <c r="V495" s="538"/>
      <c r="W495" s="14"/>
      <c r="X495" s="7"/>
      <c r="Y495" s="7"/>
      <c r="Z495" s="7"/>
      <c r="AA495" s="7"/>
      <c r="AB495" s="7"/>
      <c r="AC495" s="7"/>
    </row>
    <row r="496" spans="1:29" ht="34.5" hidden="1" customHeight="1">
      <c r="A496" s="19">
        <v>115</v>
      </c>
      <c r="B496" s="1"/>
      <c r="U496" s="1"/>
      <c r="V496" s="1"/>
      <c r="W496" s="14">
        <f>20035+15857+13968</f>
        <v>49860</v>
      </c>
      <c r="X496" s="239">
        <f>27786+1606</f>
        <v>29392</v>
      </c>
      <c r="Y496" s="7"/>
      <c r="Z496" s="7"/>
      <c r="AA496" s="7"/>
      <c r="AB496" s="7"/>
      <c r="AC496" s="7"/>
    </row>
    <row r="497" spans="1:29" ht="25.5" hidden="1">
      <c r="A497" s="19">
        <v>116</v>
      </c>
      <c r="B497" s="148"/>
      <c r="C497" s="91"/>
      <c r="D497" s="91"/>
      <c r="E497" s="91"/>
      <c r="F497" s="91"/>
      <c r="G497" s="91"/>
      <c r="H497" s="91"/>
      <c r="I497" s="91"/>
      <c r="J497" s="22"/>
      <c r="K497" s="22"/>
      <c r="L497" s="22"/>
      <c r="M497" s="22"/>
      <c r="N497" s="22"/>
      <c r="O497" s="91"/>
      <c r="P497" s="91"/>
      <c r="Q497" s="22"/>
      <c r="R497" s="142"/>
      <c r="S497" s="151"/>
      <c r="T497" s="91"/>
      <c r="U497" s="95"/>
      <c r="V497" s="538"/>
      <c r="W497" s="14"/>
      <c r="X497" s="7"/>
      <c r="Y497" s="7"/>
      <c r="Z497" s="7"/>
      <c r="AA497" s="7"/>
      <c r="AB497" s="7"/>
      <c r="AC497" s="7"/>
    </row>
    <row r="498" spans="1:29" ht="25.5" hidden="1">
      <c r="A498" s="19">
        <v>117</v>
      </c>
      <c r="B498" s="1"/>
      <c r="U498" s="1"/>
      <c r="V498" s="1"/>
      <c r="W498" s="14"/>
      <c r="X498" s="7"/>
      <c r="Y498" s="7"/>
      <c r="Z498" s="7"/>
      <c r="AA498" s="7"/>
      <c r="AB498" s="7"/>
      <c r="AC498" s="7"/>
    </row>
    <row r="499" spans="1:29" ht="30.75" hidden="1" customHeight="1">
      <c r="A499" s="19">
        <v>118</v>
      </c>
      <c r="U499" s="95"/>
      <c r="V499" s="538"/>
      <c r="W499" s="14"/>
      <c r="X499" s="7"/>
      <c r="Y499" s="7"/>
      <c r="Z499" s="7"/>
      <c r="AA499" s="7"/>
      <c r="AB499" s="7"/>
      <c r="AC499" s="7"/>
    </row>
    <row r="500" spans="1:29" ht="25.5" hidden="1">
      <c r="A500" s="19">
        <v>119</v>
      </c>
      <c r="B500" s="1"/>
      <c r="U500" s="95"/>
      <c r="V500" s="538"/>
      <c r="W500" s="14"/>
      <c r="X500" s="7"/>
      <c r="Y500" s="7"/>
      <c r="Z500" s="7"/>
      <c r="AA500" s="7"/>
      <c r="AB500" s="7"/>
      <c r="AC500" s="7"/>
    </row>
    <row r="501" spans="1:29" ht="25.5" hidden="1">
      <c r="A501" s="19">
        <v>120</v>
      </c>
      <c r="B501" s="148"/>
      <c r="C501" s="91"/>
      <c r="D501" s="91"/>
      <c r="E501" s="91"/>
      <c r="F501" s="91"/>
      <c r="G501" s="91"/>
      <c r="H501" s="91"/>
      <c r="I501" s="91"/>
      <c r="J501" s="22"/>
      <c r="K501" s="22"/>
      <c r="L501" s="22"/>
      <c r="M501" s="22"/>
      <c r="N501" s="22"/>
      <c r="O501" s="91"/>
      <c r="P501" s="91"/>
      <c r="Q501" s="7"/>
      <c r="R501" s="200"/>
      <c r="S501" s="151"/>
      <c r="T501" s="91"/>
      <c r="U501" s="95"/>
      <c r="V501" s="538"/>
      <c r="W501" s="14"/>
      <c r="X501" s="7"/>
      <c r="Y501" s="7"/>
      <c r="Z501" s="7"/>
      <c r="AA501" s="7"/>
      <c r="AB501" s="7"/>
      <c r="AC501" s="7"/>
    </row>
    <row r="502" spans="1:29" ht="25.5" hidden="1">
      <c r="A502" s="19"/>
      <c r="B502" s="148"/>
      <c r="C502" s="91"/>
      <c r="D502" s="91"/>
      <c r="E502" s="91"/>
      <c r="F502" s="91"/>
      <c r="G502" s="91"/>
      <c r="H502" s="91"/>
      <c r="I502" s="91"/>
      <c r="J502" s="22"/>
      <c r="K502" s="22"/>
      <c r="L502" s="22"/>
      <c r="M502" s="22"/>
      <c r="N502" s="22"/>
      <c r="O502" s="91"/>
      <c r="P502" s="91"/>
      <c r="Q502" s="7"/>
      <c r="R502" s="200"/>
      <c r="S502" s="151"/>
      <c r="T502" s="91"/>
      <c r="U502" s="95"/>
      <c r="V502" s="538"/>
      <c r="W502" s="14"/>
      <c r="X502" s="7"/>
      <c r="Y502" s="7"/>
      <c r="Z502" s="7"/>
      <c r="AA502" s="7"/>
      <c r="AB502" s="7"/>
      <c r="AC502" s="7"/>
    </row>
    <row r="503" spans="1:29" ht="29.25" hidden="1" customHeight="1">
      <c r="A503" s="19">
        <v>121</v>
      </c>
      <c r="U503" s="95"/>
      <c r="V503" s="538"/>
      <c r="W503" s="14"/>
      <c r="X503" s="7"/>
      <c r="Y503" s="7"/>
      <c r="Z503" s="7"/>
      <c r="AA503" s="7"/>
      <c r="AB503" s="7"/>
      <c r="AC503" s="7"/>
    </row>
    <row r="504" spans="1:29" ht="25.5" hidden="1">
      <c r="A504" s="19">
        <v>122</v>
      </c>
      <c r="B504" s="148"/>
      <c r="C504" s="91"/>
      <c r="D504" s="91"/>
      <c r="E504" s="91"/>
      <c r="F504" s="91"/>
      <c r="G504" s="91"/>
      <c r="H504" s="91"/>
      <c r="I504" s="91"/>
      <c r="J504" s="22"/>
      <c r="K504" s="22"/>
      <c r="L504" s="22"/>
      <c r="M504" s="22"/>
      <c r="N504" s="22"/>
      <c r="O504" s="91"/>
      <c r="P504" s="91"/>
      <c r="Q504" s="122"/>
      <c r="R504" s="173"/>
      <c r="S504" s="151"/>
      <c r="T504" s="91"/>
      <c r="U504" s="95"/>
      <c r="V504" s="538"/>
      <c r="W504" s="14"/>
      <c r="X504" s="7"/>
      <c r="Y504" s="7"/>
      <c r="Z504" s="7"/>
      <c r="AA504" s="7"/>
      <c r="AB504" s="7"/>
      <c r="AC504" s="7"/>
    </row>
    <row r="505" spans="1:29" ht="36" hidden="1" customHeight="1">
      <c r="A505" s="19">
        <v>123</v>
      </c>
      <c r="B505" s="1"/>
      <c r="U505" s="1"/>
      <c r="V505" s="1"/>
      <c r="W505" s="14"/>
      <c r="X505" s="7"/>
      <c r="Y505" s="7"/>
      <c r="Z505" s="7"/>
      <c r="AA505" s="7"/>
      <c r="AB505" s="7"/>
      <c r="AC505" s="7"/>
    </row>
    <row r="506" spans="1:29" ht="25.5" hidden="1">
      <c r="A506" s="19"/>
      <c r="B506" s="1"/>
      <c r="U506" s="1"/>
      <c r="V506" s="1"/>
      <c r="W506" s="14"/>
      <c r="X506" s="7"/>
      <c r="Y506" s="7"/>
      <c r="Z506" s="7"/>
      <c r="AA506" s="7"/>
      <c r="AB506" s="7"/>
      <c r="AC506" s="7"/>
    </row>
    <row r="507" spans="1:29" ht="25.5" hidden="1">
      <c r="A507" s="19">
        <v>124</v>
      </c>
      <c r="B507" s="1"/>
      <c r="U507" s="95"/>
      <c r="V507" s="538"/>
      <c r="W507" s="14"/>
      <c r="X507" s="7"/>
      <c r="Y507" s="7"/>
      <c r="Z507" s="7"/>
      <c r="AA507" s="7"/>
      <c r="AB507" s="7"/>
      <c r="AC507" s="7"/>
    </row>
    <row r="508" spans="1:29" ht="25.5" hidden="1">
      <c r="A508" s="19">
        <v>125</v>
      </c>
      <c r="B508" s="148"/>
      <c r="C508" s="91"/>
      <c r="D508" s="91"/>
      <c r="E508" s="91"/>
      <c r="F508" s="91"/>
      <c r="G508" s="91"/>
      <c r="H508" s="91"/>
      <c r="I508" s="91"/>
      <c r="J508" s="22"/>
      <c r="K508" s="22"/>
      <c r="L508" s="22"/>
      <c r="M508" s="22"/>
      <c r="N508" s="22"/>
      <c r="O508" s="91"/>
      <c r="P508" s="91"/>
      <c r="Q508" s="7"/>
      <c r="R508" s="94"/>
      <c r="S508" s="151"/>
      <c r="T508" s="91"/>
      <c r="U508" s="95"/>
      <c r="V508" s="538"/>
      <c r="W508" s="14"/>
      <c r="X508" s="7"/>
      <c r="Y508" s="7"/>
      <c r="Z508" s="7"/>
      <c r="AA508" s="7"/>
      <c r="AB508" s="7"/>
      <c r="AC508" s="7"/>
    </row>
    <row r="509" spans="1:29" ht="20.25" hidden="1">
      <c r="B509" s="1"/>
      <c r="U509" s="1"/>
      <c r="V509" s="1"/>
      <c r="W509" s="14"/>
      <c r="X509" s="7"/>
      <c r="Y509" s="7"/>
      <c r="Z509" s="7"/>
      <c r="AA509" s="7"/>
      <c r="AB509" s="7"/>
      <c r="AC509" s="7"/>
    </row>
    <row r="510" spans="1:29" ht="30" hidden="1" customHeight="1">
      <c r="A510" s="19">
        <v>127</v>
      </c>
      <c r="B510" s="148"/>
      <c r="C510" s="91"/>
      <c r="D510" s="91"/>
      <c r="E510" s="91"/>
      <c r="F510" s="91"/>
      <c r="G510" s="91"/>
      <c r="H510" s="91"/>
      <c r="I510" s="91"/>
      <c r="J510" s="22"/>
      <c r="K510" s="22"/>
      <c r="L510" s="22"/>
      <c r="M510" s="22"/>
      <c r="N510" s="22"/>
      <c r="O510" s="91"/>
      <c r="P510" s="91"/>
      <c r="Q510" s="7"/>
      <c r="R510" s="94"/>
      <c r="S510" s="151"/>
      <c r="T510" s="91"/>
      <c r="U510" s="95"/>
      <c r="V510" s="538"/>
      <c r="W510" s="14"/>
      <c r="X510" s="7"/>
      <c r="Y510" s="7"/>
      <c r="Z510" s="7"/>
      <c r="AA510" s="7"/>
      <c r="AB510" s="7"/>
      <c r="AC510" s="7"/>
    </row>
    <row r="511" spans="1:29" ht="25.5" hidden="1">
      <c r="A511" s="19"/>
      <c r="B511" s="148"/>
      <c r="C511" s="91"/>
      <c r="D511" s="91"/>
      <c r="E511" s="91"/>
      <c r="F511" s="91"/>
      <c r="G511" s="91"/>
      <c r="H511" s="91"/>
      <c r="I511" s="91"/>
      <c r="J511" s="22"/>
      <c r="K511" s="22"/>
      <c r="L511" s="22"/>
      <c r="M511" s="22"/>
      <c r="N511" s="22"/>
      <c r="O511" s="91"/>
      <c r="P511" s="91"/>
      <c r="Q511" s="22"/>
      <c r="R511" s="142"/>
      <c r="S511" s="151"/>
      <c r="T511" s="91"/>
      <c r="U511" s="95"/>
      <c r="V511" s="538"/>
      <c r="W511" s="14"/>
      <c r="X511" s="7"/>
      <c r="Y511" s="7"/>
      <c r="Z511" s="7"/>
      <c r="AA511" s="7"/>
      <c r="AB511" s="7"/>
      <c r="AC511" s="7"/>
    </row>
    <row r="512" spans="1:29" ht="24.75" hidden="1" customHeight="1">
      <c r="A512" s="19">
        <v>129</v>
      </c>
      <c r="U512" s="95"/>
      <c r="V512" s="538"/>
      <c r="W512" s="14"/>
      <c r="X512" s="7"/>
      <c r="Y512" s="7"/>
      <c r="Z512" s="7"/>
      <c r="AA512" s="7"/>
      <c r="AB512" s="7"/>
      <c r="AC512" s="7"/>
    </row>
    <row r="513" spans="1:29" ht="27.75" hidden="1" customHeight="1">
      <c r="A513" s="19">
        <v>130</v>
      </c>
      <c r="B513" s="1"/>
      <c r="U513" s="95"/>
      <c r="V513" s="538"/>
      <c r="W513" s="14"/>
      <c r="X513" s="7"/>
      <c r="Y513" s="7"/>
      <c r="Z513" s="7"/>
      <c r="AA513" s="7"/>
      <c r="AB513" s="7"/>
      <c r="AC513" s="7"/>
    </row>
    <row r="514" spans="1:29" ht="19.5" hidden="1" customHeight="1">
      <c r="A514" s="19">
        <v>131</v>
      </c>
      <c r="B514" s="1"/>
      <c r="U514" s="1"/>
      <c r="V514" s="1"/>
      <c r="W514" s="14"/>
      <c r="X514" s="7"/>
      <c r="Y514" s="7"/>
      <c r="Z514" s="7"/>
      <c r="AA514" s="7"/>
      <c r="AB514" s="7"/>
      <c r="AC514" s="7"/>
    </row>
    <row r="515" spans="1:29" ht="25.5" hidden="1">
      <c r="A515" s="19"/>
      <c r="B515" s="1"/>
      <c r="U515" s="1"/>
      <c r="V515" s="1"/>
      <c r="W515" s="14"/>
      <c r="X515" s="7"/>
      <c r="Y515" s="7"/>
      <c r="Z515" s="7"/>
      <c r="AA515" s="7"/>
      <c r="AB515" s="7"/>
      <c r="AC515" s="7"/>
    </row>
    <row r="516" spans="1:29" ht="25.5" hidden="1">
      <c r="A516" s="19">
        <v>132</v>
      </c>
      <c r="U516" s="95"/>
      <c r="V516" s="538"/>
      <c r="W516" s="14"/>
      <c r="X516" s="7"/>
      <c r="Y516" s="7"/>
      <c r="Z516" s="7"/>
      <c r="AA516" s="7"/>
      <c r="AB516" s="7"/>
      <c r="AC516" s="7"/>
    </row>
    <row r="517" spans="1:29" ht="102" hidden="1">
      <c r="A517" s="19" t="s">
        <v>500</v>
      </c>
      <c r="U517" s="95"/>
      <c r="V517" s="538"/>
      <c r="W517" s="14"/>
      <c r="X517" s="7"/>
      <c r="Y517" s="7"/>
      <c r="Z517" s="7"/>
      <c r="AA517" s="7"/>
      <c r="AB517" s="7"/>
      <c r="AC517" s="7"/>
    </row>
    <row r="518" spans="1:29" ht="27" hidden="1">
      <c r="A518" s="135">
        <v>133</v>
      </c>
      <c r="B518" s="1"/>
      <c r="U518" s="1"/>
      <c r="V518" s="1"/>
      <c r="W518" s="14">
        <v>144.63999999999999</v>
      </c>
      <c r="X518" s="240">
        <v>166.05</v>
      </c>
      <c r="Y518" s="7"/>
      <c r="Z518" s="7"/>
      <c r="AA518" s="7"/>
      <c r="AB518" s="7"/>
      <c r="AC518" s="7"/>
    </row>
    <row r="519" spans="1:29" ht="25.5" hidden="1">
      <c r="A519" s="19">
        <v>134</v>
      </c>
      <c r="B519" s="1"/>
      <c r="U519" s="1"/>
      <c r="V519" s="1"/>
      <c r="W519" s="14"/>
      <c r="X519" s="7"/>
      <c r="Y519" s="7"/>
      <c r="Z519" s="7"/>
      <c r="AA519" s="7"/>
      <c r="AB519" s="7"/>
      <c r="AC519" s="7"/>
    </row>
    <row r="520" spans="1:29" ht="34.5" hidden="1" customHeight="1">
      <c r="A520" s="19" t="s">
        <v>501</v>
      </c>
      <c r="B520" s="1"/>
      <c r="U520" s="1"/>
      <c r="V520" s="1"/>
      <c r="W520" s="14"/>
      <c r="X520" s="7"/>
      <c r="Y520" s="7"/>
      <c r="Z520" s="7"/>
      <c r="AA520" s="7"/>
      <c r="AB520" s="7"/>
      <c r="AC520" s="7"/>
    </row>
    <row r="521" spans="1:29" ht="25.5" hidden="1" customHeight="1">
      <c r="A521" s="19" t="s">
        <v>502</v>
      </c>
      <c r="B521" s="1"/>
      <c r="U521" s="1"/>
      <c r="V521" s="1"/>
      <c r="W521" s="14"/>
      <c r="X521" s="7"/>
      <c r="Y521" s="7"/>
      <c r="Z521" s="7"/>
      <c r="AA521" s="7"/>
      <c r="AB521" s="7"/>
      <c r="AC521" s="7"/>
    </row>
    <row r="522" spans="1:29" ht="34.5" hidden="1" customHeight="1">
      <c r="A522" s="19" t="s">
        <v>503</v>
      </c>
      <c r="B522" s="148"/>
      <c r="C522" s="124"/>
      <c r="D522" s="124"/>
      <c r="E522" s="124"/>
      <c r="F522" s="124"/>
      <c r="G522" s="124"/>
      <c r="H522" s="124"/>
      <c r="I522" s="124"/>
      <c r="J522" s="126"/>
      <c r="K522" s="126"/>
      <c r="L522" s="126"/>
      <c r="M522" s="126"/>
      <c r="N522" s="126"/>
      <c r="O522" s="241"/>
      <c r="P522" s="241"/>
      <c r="Q522" s="7"/>
      <c r="R522" s="242"/>
      <c r="S522" s="140"/>
      <c r="T522" s="124"/>
      <c r="U522" s="127"/>
      <c r="V522" s="128"/>
      <c r="W522" s="14"/>
      <c r="X522" s="7"/>
      <c r="Y522" s="7"/>
      <c r="Z522" s="7"/>
      <c r="AA522" s="7"/>
      <c r="AB522" s="7"/>
      <c r="AC522" s="7"/>
    </row>
    <row r="523" spans="1:29" ht="102" hidden="1">
      <c r="A523" s="19" t="s">
        <v>504</v>
      </c>
      <c r="B523" s="1"/>
      <c r="U523" s="1"/>
      <c r="V523" s="1"/>
      <c r="W523" s="14"/>
      <c r="X523" s="7"/>
      <c r="Y523" s="7"/>
      <c r="Z523" s="7"/>
      <c r="AA523" s="7"/>
      <c r="AB523" s="7"/>
      <c r="AC523" s="7"/>
    </row>
    <row r="524" spans="1:29" ht="26.25" hidden="1">
      <c r="A524" s="19"/>
      <c r="B524" s="243"/>
      <c r="C524" s="124"/>
      <c r="D524" s="91"/>
      <c r="E524" s="124"/>
      <c r="F524" s="124"/>
      <c r="G524" s="124"/>
      <c r="H524" s="124"/>
      <c r="I524" s="124"/>
      <c r="J524" s="244"/>
      <c r="K524" s="244"/>
      <c r="L524" s="244"/>
      <c r="M524" s="244"/>
      <c r="N524" s="244"/>
      <c r="O524" s="115"/>
      <c r="P524" s="115"/>
      <c r="Q524" s="245"/>
      <c r="R524" s="246"/>
      <c r="S524" s="140"/>
      <c r="T524" s="124"/>
      <c r="U524" s="127"/>
      <c r="V524" s="128"/>
      <c r="W524" s="14"/>
      <c r="X524" s="7"/>
      <c r="Y524" s="7"/>
      <c r="Z524" s="7"/>
      <c r="AA524" s="7"/>
      <c r="AB524" s="7"/>
      <c r="AC524" s="7"/>
    </row>
    <row r="525" spans="1:29" ht="26.25" hidden="1">
      <c r="A525" s="135">
        <v>135</v>
      </c>
      <c r="B525" s="1"/>
      <c r="U525" s="1"/>
      <c r="V525" s="1"/>
      <c r="W525" s="14">
        <v>1687</v>
      </c>
      <c r="X525" s="48">
        <v>1800</v>
      </c>
      <c r="Y525" s="48">
        <v>60</v>
      </c>
      <c r="Z525" s="48">
        <f>(X525-W525)*Y525</f>
        <v>6780</v>
      </c>
      <c r="AA525" s="48"/>
      <c r="AB525" s="7"/>
      <c r="AC525" s="7"/>
    </row>
    <row r="526" spans="1:29" ht="30" hidden="1" customHeight="1">
      <c r="A526" s="19" t="s">
        <v>505</v>
      </c>
      <c r="B526" s="1"/>
      <c r="U526" s="95"/>
      <c r="V526" s="538"/>
      <c r="W526" s="14"/>
      <c r="X526" s="7"/>
      <c r="Y526" s="7"/>
      <c r="Z526" s="7"/>
      <c r="AA526" s="7"/>
      <c r="AB526" s="7"/>
      <c r="AC526" s="7"/>
    </row>
    <row r="527" spans="1:29" ht="30" hidden="1" customHeight="1">
      <c r="A527" s="19" t="s">
        <v>506</v>
      </c>
      <c r="U527" s="95"/>
      <c r="V527" s="538"/>
      <c r="W527" s="14"/>
      <c r="X527" s="7"/>
      <c r="Y527" s="7"/>
      <c r="Z527" s="7"/>
      <c r="AA527" s="7"/>
      <c r="AB527" s="7"/>
      <c r="AC527" s="7"/>
    </row>
    <row r="528" spans="1:29" ht="30" hidden="1" customHeight="1">
      <c r="A528" s="19" t="s">
        <v>507</v>
      </c>
      <c r="U528" s="95"/>
      <c r="V528" s="538"/>
      <c r="W528" s="14"/>
      <c r="X528" s="7"/>
      <c r="Y528" s="7"/>
      <c r="Z528" s="7"/>
      <c r="AA528" s="7"/>
      <c r="AB528" s="7"/>
      <c r="AC528" s="7"/>
    </row>
    <row r="529" spans="1:29" ht="30" hidden="1" customHeight="1">
      <c r="A529" s="19" t="s">
        <v>508</v>
      </c>
      <c r="U529" s="95"/>
      <c r="V529" s="538"/>
      <c r="W529" s="14"/>
      <c r="X529" s="7"/>
      <c r="Y529" s="7"/>
      <c r="Z529" s="7"/>
      <c r="AA529" s="7"/>
      <c r="AB529" s="7"/>
      <c r="AC529" s="7"/>
    </row>
    <row r="530" spans="1:29" ht="30" hidden="1" customHeight="1">
      <c r="A530" s="19" t="s">
        <v>509</v>
      </c>
      <c r="U530" s="95"/>
      <c r="V530" s="538"/>
      <c r="W530" s="14"/>
      <c r="X530" s="7"/>
      <c r="Y530" s="7"/>
      <c r="Z530" s="7"/>
      <c r="AA530" s="7"/>
      <c r="AB530" s="7"/>
      <c r="AC530" s="7"/>
    </row>
    <row r="531" spans="1:29" ht="30" hidden="1" customHeight="1">
      <c r="A531" s="19" t="s">
        <v>510</v>
      </c>
      <c r="U531" s="95"/>
      <c r="V531" s="538"/>
      <c r="W531" s="14"/>
      <c r="X531" s="7"/>
      <c r="Y531" s="7"/>
      <c r="Z531" s="7"/>
      <c r="AA531" s="7"/>
      <c r="AB531" s="7"/>
      <c r="AC531" s="7"/>
    </row>
    <row r="532" spans="1:29" ht="30" hidden="1" customHeight="1">
      <c r="A532" s="19" t="s">
        <v>511</v>
      </c>
      <c r="U532" s="95"/>
      <c r="V532" s="538"/>
      <c r="W532" s="14"/>
      <c r="X532" s="7"/>
      <c r="Y532" s="7"/>
      <c r="Z532" s="7"/>
      <c r="AA532" s="7"/>
      <c r="AB532" s="7"/>
      <c r="AC532" s="7"/>
    </row>
    <row r="533" spans="1:29" ht="30" hidden="1" customHeight="1">
      <c r="A533" s="19" t="s">
        <v>512</v>
      </c>
      <c r="U533" s="95"/>
      <c r="V533" s="538"/>
      <c r="W533" s="14"/>
      <c r="X533" s="7"/>
      <c r="Y533" s="7"/>
      <c r="Z533" s="7"/>
      <c r="AA533" s="7"/>
      <c r="AB533" s="7"/>
      <c r="AC533" s="7"/>
    </row>
    <row r="534" spans="1:29" ht="30" hidden="1" customHeight="1">
      <c r="A534" s="19" t="s">
        <v>513</v>
      </c>
      <c r="U534" s="95"/>
      <c r="V534" s="538"/>
      <c r="W534" s="14"/>
      <c r="X534" s="7"/>
      <c r="Y534" s="7"/>
      <c r="Z534" s="7"/>
      <c r="AA534" s="7"/>
      <c r="AB534" s="7"/>
      <c r="AC534" s="7"/>
    </row>
    <row r="535" spans="1:29" ht="28.5" hidden="1" customHeight="1">
      <c r="A535" s="19" t="s">
        <v>514</v>
      </c>
      <c r="U535" s="95"/>
      <c r="V535" s="538"/>
      <c r="W535" s="14"/>
      <c r="X535" s="7"/>
      <c r="Y535" s="7"/>
      <c r="Z535" s="7"/>
      <c r="AA535" s="7"/>
      <c r="AB535" s="7"/>
      <c r="AC535" s="7"/>
    </row>
    <row r="536" spans="1:29" ht="28.5" hidden="1" customHeight="1">
      <c r="A536" s="19"/>
      <c r="B536" s="148"/>
      <c r="C536" s="91"/>
      <c r="D536" s="91"/>
      <c r="E536" s="91"/>
      <c r="F536" s="91"/>
      <c r="G536" s="91"/>
      <c r="H536" s="91"/>
      <c r="I536" s="91"/>
      <c r="J536" s="22"/>
      <c r="K536" s="22"/>
      <c r="L536" s="22"/>
      <c r="M536" s="22"/>
      <c r="N536" s="22"/>
      <c r="O536" s="91"/>
      <c r="P536" s="91"/>
      <c r="Q536" s="7"/>
      <c r="R536" s="94"/>
      <c r="S536" s="151"/>
      <c r="T536" s="91"/>
      <c r="U536" s="95"/>
      <c r="V536" s="538"/>
      <c r="W536" s="14"/>
      <c r="X536" s="7"/>
      <c r="Y536" s="7"/>
      <c r="Z536" s="7"/>
      <c r="AA536" s="7"/>
      <c r="AB536" s="7"/>
      <c r="AC536" s="7"/>
    </row>
    <row r="537" spans="1:29" ht="25.5" hidden="1">
      <c r="A537" s="19">
        <v>137</v>
      </c>
      <c r="B537" s="1"/>
      <c r="U537" s="1"/>
      <c r="V537" s="1"/>
      <c r="W537" s="14"/>
      <c r="X537" s="7"/>
      <c r="Y537" s="7"/>
      <c r="Z537" s="7"/>
      <c r="AA537" s="7"/>
      <c r="AB537" s="7"/>
      <c r="AC537" s="7"/>
    </row>
    <row r="538" spans="1:29" ht="26.25" hidden="1" customHeight="1">
      <c r="A538" s="19">
        <v>138</v>
      </c>
      <c r="B538" s="1"/>
      <c r="U538" s="95"/>
      <c r="V538" s="538"/>
      <c r="W538" s="14"/>
      <c r="X538" s="7"/>
      <c r="Y538" s="7"/>
      <c r="Z538" s="7"/>
      <c r="AA538" s="7"/>
      <c r="AB538" s="7"/>
      <c r="AC538" s="7"/>
    </row>
    <row r="539" spans="1:29" ht="48" hidden="1" customHeight="1">
      <c r="A539" s="19">
        <v>139</v>
      </c>
      <c r="B539" s="1"/>
      <c r="U539" s="1"/>
      <c r="V539" s="1"/>
      <c r="W539" s="14"/>
      <c r="X539" s="7"/>
      <c r="Y539" s="7"/>
      <c r="Z539" s="7"/>
      <c r="AA539" s="7"/>
      <c r="AB539" s="7"/>
      <c r="AC539" s="7"/>
    </row>
    <row r="540" spans="1:29" ht="30" hidden="1" customHeight="1">
      <c r="A540" s="19" t="s">
        <v>515</v>
      </c>
      <c r="B540" s="1"/>
      <c r="U540" s="1"/>
      <c r="V540" s="1"/>
      <c r="W540" s="14"/>
      <c r="X540" s="7"/>
      <c r="Y540" s="7"/>
      <c r="Z540" s="7"/>
      <c r="AA540" s="7"/>
      <c r="AB540" s="7"/>
      <c r="AC540" s="7"/>
    </row>
    <row r="541" spans="1:29" ht="31.5" hidden="1" customHeight="1">
      <c r="A541" s="19">
        <v>140</v>
      </c>
      <c r="U541" s="95"/>
      <c r="V541" s="538"/>
      <c r="W541" s="14"/>
      <c r="X541" s="7"/>
      <c r="Y541" s="7"/>
      <c r="Z541" s="7"/>
      <c r="AA541" s="7"/>
      <c r="AB541" s="7"/>
      <c r="AC541" s="7"/>
    </row>
    <row r="542" spans="1:29" ht="28.5" hidden="1" customHeight="1">
      <c r="A542" s="19">
        <v>141</v>
      </c>
      <c r="B542" s="1"/>
      <c r="U542" s="1"/>
      <c r="V542" s="1"/>
      <c r="W542" s="14"/>
      <c r="X542" s="7"/>
      <c r="Y542" s="7"/>
      <c r="Z542" s="7"/>
      <c r="AA542" s="7"/>
      <c r="AB542" s="7"/>
      <c r="AC542" s="7"/>
    </row>
    <row r="543" spans="1:29" ht="25.5" hidden="1">
      <c r="A543" s="19">
        <v>142</v>
      </c>
      <c r="B543" s="1"/>
      <c r="U543" s="1"/>
      <c r="V543" s="1"/>
      <c r="W543" s="14"/>
      <c r="X543" s="7"/>
      <c r="Y543" s="7"/>
      <c r="Z543" s="7"/>
      <c r="AA543" s="7"/>
      <c r="AB543" s="7"/>
      <c r="AC543" s="7"/>
    </row>
    <row r="544" spans="1:29" ht="25.5" hidden="1">
      <c r="A544" s="19">
        <v>143</v>
      </c>
      <c r="B544" s="1"/>
      <c r="U544" s="95"/>
      <c r="V544" s="538"/>
      <c r="W544" s="14"/>
      <c r="X544" s="7"/>
      <c r="Y544" s="7"/>
      <c r="Z544" s="105"/>
      <c r="AA544" s="244"/>
      <c r="AB544" s="244"/>
      <c r="AC544" s="7"/>
    </row>
    <row r="545" spans="1:29" ht="30" hidden="1" customHeight="1">
      <c r="A545" s="19">
        <v>144</v>
      </c>
      <c r="B545" s="1"/>
      <c r="U545" s="95"/>
      <c r="V545" s="538"/>
      <c r="W545" s="14"/>
      <c r="X545" s="7"/>
      <c r="Y545" s="7"/>
      <c r="Z545" s="7"/>
      <c r="AA545" s="7"/>
      <c r="AB545" s="7"/>
      <c r="AC545" s="7"/>
    </row>
    <row r="546" spans="1:29" ht="25.5" hidden="1">
      <c r="A546" s="19">
        <v>145</v>
      </c>
      <c r="U546" s="95"/>
      <c r="V546" s="538"/>
      <c r="W546" s="14"/>
      <c r="X546" s="7"/>
      <c r="Y546" s="7"/>
      <c r="Z546" s="7"/>
      <c r="AA546" s="7"/>
      <c r="AB546" s="7"/>
      <c r="AC546" s="7"/>
    </row>
    <row r="547" spans="1:29" ht="25.5" hidden="1">
      <c r="A547" s="19">
        <v>146</v>
      </c>
      <c r="B547" s="148"/>
      <c r="C547" s="91"/>
      <c r="D547" s="91"/>
      <c r="E547" s="91"/>
      <c r="F547" s="91"/>
      <c r="G547" s="91"/>
      <c r="H547" s="91"/>
      <c r="I547" s="91"/>
      <c r="J547" s="22"/>
      <c r="K547" s="22"/>
      <c r="L547" s="22"/>
      <c r="M547" s="22"/>
      <c r="N547" s="22"/>
      <c r="O547" s="91"/>
      <c r="P547" s="91"/>
      <c r="Q547" s="149"/>
      <c r="R547" s="161"/>
      <c r="S547" s="151"/>
      <c r="T547" s="91">
        <f>(P547-O547)*S547</f>
        <v>0</v>
      </c>
      <c r="U547" s="95"/>
      <c r="V547" s="538"/>
      <c r="W547" s="134"/>
      <c r="X547" s="7"/>
      <c r="Y547" s="7"/>
      <c r="Z547" s="7"/>
      <c r="AA547" s="7"/>
      <c r="AB547" s="7"/>
      <c r="AC547" s="7"/>
    </row>
    <row r="548" spans="1:29" ht="25.5" hidden="1">
      <c r="A548" s="19">
        <v>147</v>
      </c>
      <c r="B548" s="1"/>
      <c r="U548" s="95"/>
      <c r="V548" s="538"/>
      <c r="W548" s="14"/>
      <c r="X548" s="7"/>
      <c r="Y548" s="7"/>
      <c r="Z548" s="7"/>
      <c r="AA548" s="7"/>
      <c r="AB548" s="7"/>
      <c r="AC548" s="7"/>
    </row>
    <row r="549" spans="1:29" ht="102" hidden="1">
      <c r="A549" s="19" t="s">
        <v>516</v>
      </c>
      <c r="U549" s="95"/>
      <c r="V549" s="538"/>
      <c r="W549" s="14"/>
      <c r="X549" s="7"/>
      <c r="Y549" s="7"/>
      <c r="Z549" s="7"/>
      <c r="AA549" s="7"/>
      <c r="AB549" s="7"/>
      <c r="AC549" s="7"/>
    </row>
    <row r="550" spans="1:29" ht="25.5" hidden="1">
      <c r="A550" s="19">
        <v>148</v>
      </c>
      <c r="U550" s="95"/>
      <c r="V550" s="538"/>
      <c r="W550" s="14"/>
      <c r="X550" s="7"/>
      <c r="Y550" s="7"/>
      <c r="Z550" s="7"/>
      <c r="AA550" s="7"/>
      <c r="AB550" s="7"/>
      <c r="AC550" s="7"/>
    </row>
    <row r="551" spans="1:29" ht="102" hidden="1">
      <c r="A551" s="19" t="s">
        <v>517</v>
      </c>
      <c r="B551" s="148"/>
      <c r="C551" s="91"/>
      <c r="D551" s="91"/>
      <c r="E551" s="91"/>
      <c r="F551" s="91"/>
      <c r="G551" s="91"/>
      <c r="H551" s="91"/>
      <c r="I551" s="91"/>
      <c r="J551" s="22"/>
      <c r="K551" s="22"/>
      <c r="L551" s="22"/>
      <c r="M551" s="22"/>
      <c r="N551" s="22"/>
      <c r="O551" s="91"/>
      <c r="P551" s="91"/>
      <c r="Q551" s="149"/>
      <c r="R551" s="161"/>
      <c r="S551" s="151"/>
      <c r="T551" s="91">
        <f>(P551-O551)*S551</f>
        <v>0</v>
      </c>
      <c r="U551" s="95"/>
      <c r="V551" s="538"/>
      <c r="W551" s="14"/>
      <c r="X551" s="244"/>
      <c r="Y551" s="244"/>
      <c r="Z551" s="7"/>
      <c r="AA551" s="7"/>
      <c r="AB551" s="7"/>
      <c r="AC551" s="7"/>
    </row>
    <row r="552" spans="1:29" ht="25.5" hidden="1">
      <c r="A552" s="19">
        <v>149</v>
      </c>
      <c r="B552" s="148"/>
      <c r="C552" s="91"/>
      <c r="D552" s="91"/>
      <c r="E552" s="91"/>
      <c r="F552" s="91"/>
      <c r="G552" s="91"/>
      <c r="H552" s="91"/>
      <c r="I552" s="91"/>
      <c r="J552" s="22"/>
      <c r="K552" s="22"/>
      <c r="L552" s="22"/>
      <c r="M552" s="22"/>
      <c r="N552" s="22"/>
      <c r="O552" s="91"/>
      <c r="P552" s="91"/>
      <c r="Q552" s="149"/>
      <c r="R552" s="161"/>
      <c r="S552" s="151"/>
      <c r="T552" s="91">
        <f>(P552-O552)*S552</f>
        <v>0</v>
      </c>
      <c r="U552" s="95"/>
      <c r="V552" s="538"/>
      <c r="W552" s="14"/>
      <c r="X552" s="7"/>
      <c r="Y552" s="7"/>
      <c r="Z552" s="7"/>
      <c r="AA552" s="7"/>
      <c r="AB552" s="7"/>
      <c r="AC552" s="7"/>
    </row>
    <row r="553" spans="1:29" ht="20.25" hidden="1" customHeight="1">
      <c r="A553" s="19">
        <v>150</v>
      </c>
      <c r="B553" s="148"/>
      <c r="C553" s="91"/>
      <c r="D553" s="91"/>
      <c r="E553" s="91"/>
      <c r="F553" s="91"/>
      <c r="G553" s="91"/>
      <c r="H553" s="91"/>
      <c r="I553" s="91"/>
      <c r="J553" s="22"/>
      <c r="K553" s="22"/>
      <c r="L553" s="22"/>
      <c r="M553" s="22"/>
      <c r="N553" s="22"/>
      <c r="O553" s="115"/>
      <c r="P553" s="115"/>
      <c r="Q553" s="149"/>
      <c r="R553" s="247"/>
      <c r="S553" s="248"/>
      <c r="T553" s="91">
        <f>(P553-O553)*S553</f>
        <v>0</v>
      </c>
      <c r="U553" s="95"/>
      <c r="V553" s="538"/>
      <c r="W553" s="134"/>
      <c r="X553" s="7"/>
      <c r="Y553" s="7"/>
      <c r="Z553" s="7"/>
      <c r="AA553" s="7"/>
      <c r="AB553" s="7"/>
      <c r="AC553" s="7"/>
    </row>
    <row r="554" spans="1:29" ht="25.5" hidden="1">
      <c r="A554" s="19">
        <v>151</v>
      </c>
      <c r="U554" s="95"/>
      <c r="V554" s="538"/>
      <c r="W554" s="14"/>
      <c r="X554" s="7"/>
      <c r="Y554" s="7"/>
      <c r="Z554" s="7"/>
      <c r="AA554" s="7"/>
      <c r="AB554" s="7"/>
      <c r="AC554" s="7"/>
    </row>
    <row r="555" spans="1:29" ht="102" hidden="1">
      <c r="A555" s="19" t="s">
        <v>518</v>
      </c>
      <c r="U555" s="95"/>
      <c r="V555" s="538"/>
      <c r="W555" s="134"/>
      <c r="X555" s="7"/>
      <c r="Y555" s="7"/>
      <c r="Z555" s="7"/>
      <c r="AA555" s="7"/>
      <c r="AB555" s="7"/>
      <c r="AC555" s="7"/>
    </row>
    <row r="556" spans="1:29" ht="102" hidden="1">
      <c r="A556" s="19" t="s">
        <v>519</v>
      </c>
      <c r="B556" s="1"/>
      <c r="U556" s="95"/>
      <c r="V556" s="538"/>
      <c r="W556" s="14"/>
      <c r="X556" s="7"/>
      <c r="Y556" s="7"/>
      <c r="Z556" s="7"/>
      <c r="AA556" s="7"/>
      <c r="AB556" s="7"/>
      <c r="AC556" s="7"/>
    </row>
    <row r="557" spans="1:29" ht="26.25" hidden="1">
      <c r="A557" s="231">
        <v>152</v>
      </c>
      <c r="B557" s="1"/>
      <c r="U557" s="1"/>
      <c r="V557" s="1"/>
      <c r="W557" s="14"/>
      <c r="X557" s="7"/>
      <c r="Y557" s="7"/>
      <c r="Z557" s="7"/>
      <c r="AA557" s="7"/>
      <c r="AB557" s="7"/>
      <c r="AC557" s="7"/>
    </row>
    <row r="558" spans="1:29" ht="28.5" hidden="1" customHeight="1">
      <c r="A558" s="19">
        <v>153</v>
      </c>
      <c r="U558" s="95"/>
      <c r="V558" s="538"/>
      <c r="W558" s="14"/>
      <c r="X558" s="7"/>
      <c r="Y558" s="7"/>
      <c r="Z558" s="7"/>
      <c r="AA558" s="7"/>
      <c r="AB558" s="7"/>
      <c r="AC558" s="7"/>
    </row>
    <row r="559" spans="1:29" ht="25.5" hidden="1">
      <c r="A559" s="19">
        <v>154</v>
      </c>
      <c r="B559" s="1"/>
      <c r="U559" s="95"/>
      <c r="V559" s="538"/>
      <c r="W559" s="14"/>
      <c r="X559" s="7"/>
      <c r="Y559" s="7"/>
      <c r="Z559" s="7"/>
      <c r="AA559" s="7"/>
      <c r="AB559" s="7"/>
      <c r="AC559" s="7"/>
    </row>
    <row r="560" spans="1:29" ht="25.5" hidden="1">
      <c r="A560" s="19">
        <v>155</v>
      </c>
      <c r="B560" s="1"/>
      <c r="U560" s="1"/>
      <c r="V560" s="1"/>
      <c r="W560" s="14"/>
      <c r="X560" s="7"/>
      <c r="Y560" s="7"/>
      <c r="Z560" s="7"/>
      <c r="AA560" s="7"/>
      <c r="AB560" s="7"/>
      <c r="AC560" s="7"/>
    </row>
    <row r="561" spans="1:29" ht="25.5" hidden="1">
      <c r="A561" s="19">
        <v>156</v>
      </c>
      <c r="B561" s="1"/>
      <c r="U561" s="1"/>
      <c r="V561" s="1"/>
      <c r="W561" s="14"/>
      <c r="X561" s="7"/>
      <c r="Y561" s="7"/>
      <c r="Z561" s="7"/>
      <c r="AA561" s="7"/>
      <c r="AB561" s="7"/>
      <c r="AC561" s="7"/>
    </row>
    <row r="562" spans="1:29" ht="25.5" hidden="1">
      <c r="A562" s="19"/>
      <c r="B562" s="1"/>
      <c r="U562" s="1"/>
      <c r="V562" s="1"/>
      <c r="W562" s="14"/>
      <c r="X562" s="7"/>
      <c r="Y562" s="7"/>
      <c r="Z562" s="7"/>
      <c r="AA562" s="7"/>
      <c r="AB562" s="7"/>
      <c r="AC562" s="7"/>
    </row>
    <row r="563" spans="1:29" ht="25.5" hidden="1">
      <c r="A563" s="19"/>
      <c r="B563" s="1"/>
      <c r="U563" s="1"/>
      <c r="V563" s="1"/>
      <c r="W563" s="14" t="s">
        <v>520</v>
      </c>
      <c r="X563" s="7"/>
      <c r="Y563" s="7"/>
      <c r="Z563" s="7"/>
      <c r="AA563" s="7"/>
      <c r="AB563" s="7"/>
      <c r="AC563" s="7"/>
    </row>
    <row r="564" spans="1:29" ht="25.5" hidden="1">
      <c r="A564" s="19"/>
      <c r="B564" s="1"/>
      <c r="U564" s="1"/>
      <c r="V564" s="1"/>
      <c r="W564" s="14"/>
      <c r="X564" s="7"/>
      <c r="Y564" s="7"/>
      <c r="Z564" s="7"/>
      <c r="AA564" s="7"/>
      <c r="AB564" s="7"/>
      <c r="AC564" s="7"/>
    </row>
    <row r="565" spans="1:29" ht="25.5" hidden="1">
      <c r="A565" s="19"/>
      <c r="B565" s="1"/>
      <c r="U565" s="1"/>
      <c r="V565" s="1"/>
      <c r="W565" s="14" t="s">
        <v>521</v>
      </c>
      <c r="X565" s="7"/>
      <c r="Y565" s="7"/>
      <c r="Z565" s="7"/>
      <c r="AA565" s="7"/>
      <c r="AB565" s="7"/>
      <c r="AC565" s="7"/>
    </row>
    <row r="566" spans="1:29" ht="25.5" hidden="1">
      <c r="A566" s="19"/>
      <c r="B566" s="1"/>
      <c r="U566" s="1"/>
      <c r="V566" s="1"/>
      <c r="W566" s="14" t="s">
        <v>522</v>
      </c>
      <c r="X566" s="7"/>
      <c r="Y566" s="7"/>
      <c r="Z566" s="7"/>
      <c r="AA566" s="7"/>
      <c r="AB566" s="7"/>
      <c r="AC566" s="7"/>
    </row>
    <row r="567" spans="1:29" ht="25.5" hidden="1">
      <c r="A567" s="19"/>
      <c r="B567" s="1"/>
      <c r="U567" s="1"/>
      <c r="V567" s="1"/>
      <c r="W567" s="14">
        <v>9462</v>
      </c>
      <c r="X567" s="7"/>
      <c r="Y567" s="7"/>
      <c r="Z567" s="7"/>
      <c r="AA567" s="7"/>
      <c r="AB567" s="7"/>
      <c r="AC567" s="7"/>
    </row>
    <row r="568" spans="1:29" ht="25.5" hidden="1">
      <c r="A568" s="19"/>
      <c r="B568" s="1"/>
      <c r="U568" s="1"/>
      <c r="V568" s="1"/>
      <c r="W568" s="14">
        <v>6899</v>
      </c>
      <c r="X568" s="48">
        <v>7486</v>
      </c>
      <c r="Y568" s="7"/>
      <c r="Z568" s="7"/>
      <c r="AA568" s="7"/>
      <c r="AB568" s="7"/>
      <c r="AC568" s="7"/>
    </row>
    <row r="569" spans="1:29" ht="26.25" hidden="1">
      <c r="A569" s="231">
        <v>157</v>
      </c>
      <c r="B569" s="90"/>
      <c r="C569" s="91"/>
      <c r="D569" s="115"/>
      <c r="E569" s="115"/>
      <c r="F569" s="249"/>
      <c r="G569" s="115"/>
      <c r="H569" s="115"/>
      <c r="I569" s="115"/>
      <c r="J569" s="22"/>
      <c r="K569" s="22"/>
      <c r="L569" s="22"/>
      <c r="M569" s="22"/>
      <c r="N569" s="22"/>
      <c r="O569" s="91"/>
      <c r="P569" s="91"/>
      <c r="Q569" s="7"/>
      <c r="R569" s="94"/>
      <c r="S569" s="151"/>
      <c r="T569" s="91"/>
      <c r="U569" s="95"/>
      <c r="V569" s="538"/>
      <c r="W569" s="14"/>
      <c r="X569" s="7"/>
      <c r="Y569" s="7"/>
      <c r="Z569" s="7"/>
      <c r="AA569" s="7"/>
      <c r="AB569" s="7"/>
      <c r="AC569" s="7"/>
    </row>
    <row r="570" spans="1:29" ht="25.5" hidden="1">
      <c r="A570" s="19">
        <v>158</v>
      </c>
      <c r="U570" s="95"/>
      <c r="V570" s="538"/>
      <c r="W570" s="14"/>
      <c r="X570" s="7"/>
      <c r="Y570" s="7"/>
      <c r="Z570" s="7"/>
      <c r="AA570" s="7"/>
      <c r="AB570" s="7"/>
      <c r="AC570" s="7"/>
    </row>
    <row r="571" spans="1:29" ht="26.25" hidden="1">
      <c r="A571" s="19"/>
      <c r="B571" s="148"/>
      <c r="C571" s="91"/>
      <c r="D571" s="91"/>
      <c r="E571" s="91"/>
      <c r="F571" s="91"/>
      <c r="G571" s="91"/>
      <c r="H571" s="91"/>
      <c r="I571" s="115"/>
      <c r="J571" s="22"/>
      <c r="K571" s="22"/>
      <c r="L571" s="22"/>
      <c r="M571" s="22"/>
      <c r="N571" s="22"/>
      <c r="O571" s="91"/>
      <c r="P571" s="91"/>
      <c r="Q571" s="22"/>
      <c r="R571" s="142"/>
      <c r="S571" s="151"/>
      <c r="T571" s="91"/>
      <c r="U571" s="95"/>
      <c r="V571" s="538"/>
      <c r="W571" s="14"/>
      <c r="X571" s="7"/>
      <c r="Y571" s="7"/>
      <c r="Z571" s="7"/>
      <c r="AA571" s="7"/>
      <c r="AB571" s="7"/>
      <c r="AC571" s="7"/>
    </row>
    <row r="572" spans="1:29" ht="25.5" hidden="1">
      <c r="A572" s="19">
        <v>160</v>
      </c>
      <c r="B572" s="1"/>
      <c r="U572" s="95"/>
      <c r="V572" s="538"/>
      <c r="W572" s="14"/>
      <c r="X572" s="7"/>
      <c r="Y572" s="7"/>
      <c r="Z572" s="7"/>
      <c r="AA572" s="7"/>
      <c r="AB572" s="7"/>
      <c r="AC572" s="7"/>
    </row>
    <row r="573" spans="1:29" ht="25.5" hidden="1">
      <c r="A573" s="19">
        <v>161</v>
      </c>
      <c r="B573" s="1"/>
      <c r="U573" s="1"/>
      <c r="V573" s="1"/>
      <c r="W573" s="14"/>
      <c r="X573" s="7"/>
      <c r="Y573" s="7"/>
      <c r="Z573" s="7"/>
      <c r="AA573" s="7"/>
      <c r="AB573" s="7"/>
      <c r="AC573" s="7"/>
    </row>
    <row r="574" spans="1:29" ht="20.25" hidden="1" customHeight="1">
      <c r="A574" s="19">
        <v>163</v>
      </c>
      <c r="B574" s="1"/>
      <c r="U574" s="1"/>
      <c r="V574" s="1"/>
      <c r="W574" s="14" t="s">
        <v>523</v>
      </c>
      <c r="X574" s="7"/>
      <c r="Y574" s="7"/>
      <c r="Z574" s="7"/>
      <c r="AA574" s="7"/>
      <c r="AB574" s="7"/>
      <c r="AC574" s="7"/>
    </row>
    <row r="575" spans="1:29" ht="26.25" hidden="1">
      <c r="A575" s="19"/>
      <c r="B575" s="148"/>
      <c r="C575" s="91"/>
      <c r="D575" s="91"/>
      <c r="E575" s="91"/>
      <c r="F575" s="250"/>
      <c r="G575" s="251"/>
      <c r="H575" s="91"/>
      <c r="I575" s="115"/>
      <c r="J575" s="22"/>
      <c r="K575" s="22"/>
      <c r="L575" s="22"/>
      <c r="M575" s="22"/>
      <c r="N575" s="22"/>
      <c r="O575" s="91"/>
      <c r="P575" s="91"/>
      <c r="Q575" s="22"/>
      <c r="R575" s="142"/>
      <c r="S575" s="151"/>
      <c r="T575" s="91"/>
      <c r="U575" s="95"/>
      <c r="V575" s="538"/>
      <c r="W575" s="14"/>
      <c r="X575" s="7"/>
      <c r="Y575" s="7"/>
      <c r="Z575" s="7"/>
      <c r="AA575" s="7"/>
      <c r="AB575" s="7"/>
      <c r="AC575" s="7"/>
    </row>
    <row r="576" spans="1:29" ht="25.5" hidden="1">
      <c r="A576" s="19">
        <v>164</v>
      </c>
      <c r="U576" s="95"/>
      <c r="V576" s="538"/>
      <c r="W576" s="14"/>
      <c r="X576" s="7"/>
      <c r="Y576" s="7"/>
      <c r="Z576" s="7"/>
      <c r="AA576" s="7"/>
      <c r="AB576" s="7"/>
      <c r="AC576" s="7"/>
    </row>
    <row r="577" spans="1:29" ht="32.25" hidden="1" customHeight="1">
      <c r="A577" s="19">
        <v>165</v>
      </c>
      <c r="U577" s="95"/>
      <c r="V577" s="538"/>
      <c r="W577" s="14"/>
      <c r="X577" s="7"/>
      <c r="Y577" s="7"/>
      <c r="Z577" s="7"/>
      <c r="AA577" s="7"/>
      <c r="AB577" s="7"/>
      <c r="AC577" s="7"/>
    </row>
    <row r="578" spans="1:29" ht="26.25" hidden="1">
      <c r="A578" s="19">
        <v>166</v>
      </c>
      <c r="B578" s="148"/>
      <c r="C578" s="91"/>
      <c r="D578" s="91"/>
      <c r="E578" s="91"/>
      <c r="F578" s="91"/>
      <c r="G578" s="91"/>
      <c r="H578" s="91"/>
      <c r="I578" s="115"/>
      <c r="J578" s="22"/>
      <c r="K578" s="22"/>
      <c r="L578" s="22"/>
      <c r="M578" s="22"/>
      <c r="N578" s="22"/>
      <c r="O578" s="91"/>
      <c r="P578" s="91"/>
      <c r="Q578" s="149"/>
      <c r="R578" s="161"/>
      <c r="S578" s="151"/>
      <c r="T578" s="91">
        <f>(P578-O578)*S578</f>
        <v>0</v>
      </c>
      <c r="U578" s="95"/>
      <c r="V578" s="538"/>
      <c r="W578" s="14"/>
      <c r="X578" s="7"/>
      <c r="Y578" s="7"/>
      <c r="Z578" s="7"/>
      <c r="AA578" s="7"/>
      <c r="AB578" s="7"/>
      <c r="AC578" s="7"/>
    </row>
    <row r="579" spans="1:29" ht="25.5" hidden="1">
      <c r="A579" s="19">
        <v>167</v>
      </c>
      <c r="U579" s="95"/>
      <c r="V579" s="538"/>
      <c r="W579" s="14"/>
      <c r="X579" s="7"/>
      <c r="Y579" s="7"/>
      <c r="Z579" s="7"/>
      <c r="AA579" s="7"/>
      <c r="AB579" s="7"/>
      <c r="AC579" s="7"/>
    </row>
    <row r="580" spans="1:29" ht="25.5" hidden="1">
      <c r="A580" s="19">
        <v>168</v>
      </c>
      <c r="B580" s="1"/>
      <c r="U580" s="1"/>
      <c r="V580" s="1"/>
      <c r="W580" s="14"/>
      <c r="X580" s="7"/>
      <c r="Y580" s="7"/>
      <c r="Z580" s="7"/>
      <c r="AA580" s="7"/>
      <c r="AB580" s="7"/>
      <c r="AC580" s="7"/>
    </row>
    <row r="581" spans="1:29" ht="27.75" hidden="1" customHeight="1">
      <c r="A581" s="19">
        <v>169</v>
      </c>
      <c r="U581" s="95"/>
      <c r="V581" s="538"/>
      <c r="W581" s="14"/>
      <c r="X581" s="7"/>
      <c r="Y581" s="7"/>
      <c r="Z581" s="7"/>
      <c r="AA581" s="7"/>
      <c r="AB581" s="7"/>
      <c r="AC581" s="7"/>
    </row>
    <row r="582" spans="1:29" ht="25.5" hidden="1">
      <c r="A582" s="19">
        <v>170</v>
      </c>
      <c r="B582" s="1"/>
      <c r="U582" s="1"/>
      <c r="V582" s="1"/>
      <c r="W582" s="14"/>
      <c r="X582" s="7"/>
      <c r="Y582" s="7"/>
      <c r="Z582" s="7"/>
      <c r="AA582" s="7"/>
      <c r="AB582" s="7"/>
      <c r="AC582" s="7"/>
    </row>
    <row r="583" spans="1:29" ht="26.25" hidden="1">
      <c r="A583" s="19">
        <v>171</v>
      </c>
      <c r="B583" s="148"/>
      <c r="C583" s="91"/>
      <c r="D583" s="91"/>
      <c r="E583" s="91"/>
      <c r="F583" s="91"/>
      <c r="G583" s="91"/>
      <c r="H583" s="91"/>
      <c r="I583" s="115"/>
      <c r="J583" s="22"/>
      <c r="K583" s="22"/>
      <c r="L583" s="22"/>
      <c r="M583" s="22"/>
      <c r="N583" s="22"/>
      <c r="O583" s="91"/>
      <c r="P583" s="91"/>
      <c r="Q583" s="22"/>
      <c r="R583" s="142"/>
      <c r="S583" s="151"/>
      <c r="T583" s="91">
        <f>(P583-O583)*S583</f>
        <v>0</v>
      </c>
      <c r="U583" s="95"/>
      <c r="V583" s="538"/>
      <c r="W583" s="14"/>
      <c r="X583" s="7"/>
      <c r="Y583" s="7"/>
      <c r="Z583" s="7"/>
      <c r="AA583" s="7"/>
      <c r="AB583" s="7"/>
      <c r="AC583" s="7"/>
    </row>
    <row r="584" spans="1:29" ht="36.75" hidden="1" customHeight="1">
      <c r="A584" s="19" t="s">
        <v>524</v>
      </c>
      <c r="B584" s="1"/>
      <c r="U584" s="1"/>
      <c r="V584" s="1"/>
      <c r="W584" s="14"/>
      <c r="X584" s="7"/>
      <c r="Y584" s="7"/>
      <c r="Z584" s="7"/>
      <c r="AA584" s="7"/>
      <c r="AB584" s="7"/>
      <c r="AC584" s="7"/>
    </row>
    <row r="585" spans="1:29" ht="23.25" hidden="1" customHeight="1">
      <c r="A585" s="19">
        <v>172</v>
      </c>
      <c r="B585" s="1"/>
      <c r="U585" s="1"/>
      <c r="V585" s="1"/>
      <c r="W585" s="14"/>
      <c r="X585" s="7"/>
      <c r="Y585" s="7"/>
      <c r="Z585" s="7"/>
      <c r="AA585" s="7"/>
      <c r="AB585" s="7"/>
      <c r="AC585" s="7"/>
    </row>
    <row r="586" spans="1:29" ht="25.5" hidden="1">
      <c r="A586" s="19"/>
      <c r="B586" s="1"/>
      <c r="U586" s="1"/>
      <c r="V586" s="1"/>
      <c r="W586" s="14" t="s">
        <v>525</v>
      </c>
      <c r="X586" s="7"/>
      <c r="Y586" s="7"/>
      <c r="Z586" s="7"/>
      <c r="AA586" s="7"/>
      <c r="AB586" s="7"/>
      <c r="AC586" s="7"/>
    </row>
    <row r="587" spans="1:29" ht="25.5" hidden="1">
      <c r="A587" s="19"/>
      <c r="B587" s="1"/>
      <c r="U587" s="1"/>
      <c r="V587" s="1"/>
      <c r="W587" s="14"/>
      <c r="X587" s="7"/>
      <c r="Y587" s="7"/>
      <c r="Z587" s="7"/>
      <c r="AA587" s="7"/>
      <c r="AB587" s="7"/>
      <c r="AC587" s="7"/>
    </row>
    <row r="588" spans="1:29" ht="25.5" hidden="1">
      <c r="A588" s="19"/>
      <c r="B588" s="1"/>
      <c r="U588" s="1"/>
      <c r="V588" s="1"/>
      <c r="W588" s="14"/>
      <c r="X588" s="7"/>
      <c r="Y588" s="7"/>
      <c r="Z588" s="7"/>
      <c r="AA588" s="7"/>
      <c r="AB588" s="7"/>
      <c r="AC588" s="7"/>
    </row>
    <row r="589" spans="1:29" ht="12" hidden="1" customHeight="1">
      <c r="A589" s="19"/>
      <c r="B589" s="1"/>
      <c r="U589" s="1"/>
      <c r="V589" s="1"/>
      <c r="W589" s="14" t="s">
        <v>526</v>
      </c>
      <c r="X589" s="7"/>
      <c r="Y589" s="7"/>
      <c r="Z589" s="7"/>
      <c r="AA589" s="7"/>
      <c r="AB589" s="7"/>
      <c r="AC589" s="7"/>
    </row>
    <row r="590" spans="1:29" ht="25.5" hidden="1">
      <c r="A590" s="19">
        <v>173</v>
      </c>
      <c r="B590" s="1"/>
      <c r="U590" s="1"/>
      <c r="V590" s="1"/>
      <c r="W590" s="14" t="s">
        <v>493</v>
      </c>
      <c r="X590" s="7"/>
      <c r="Y590" s="7"/>
      <c r="Z590" s="7"/>
      <c r="AA590" s="7"/>
      <c r="AB590" s="7"/>
      <c r="AC590" s="7"/>
    </row>
    <row r="591" spans="1:29" ht="26.25" hidden="1" customHeight="1">
      <c r="A591" s="19">
        <v>174</v>
      </c>
      <c r="B591" s="1"/>
      <c r="U591" s="1"/>
      <c r="V591" s="1"/>
      <c r="W591" s="14"/>
      <c r="X591" s="7"/>
      <c r="Y591" s="7"/>
      <c r="Z591" s="7"/>
      <c r="AA591" s="7"/>
      <c r="AB591" s="7"/>
      <c r="AC591" s="7"/>
    </row>
    <row r="592" spans="1:29" ht="68.25" hidden="1" customHeight="1">
      <c r="A592" s="19">
        <v>175</v>
      </c>
      <c r="U592" s="95"/>
      <c r="V592" s="538"/>
      <c r="W592" s="14"/>
      <c r="X592" s="7"/>
      <c r="Y592" s="7"/>
      <c r="Z592" s="7"/>
      <c r="AA592" s="7"/>
      <c r="AB592" s="7"/>
      <c r="AC592" s="7"/>
    </row>
    <row r="593" spans="1:29" ht="25.5" hidden="1">
      <c r="A593" s="19">
        <v>177</v>
      </c>
      <c r="U593" s="95"/>
      <c r="V593" s="538"/>
      <c r="W593" s="14">
        <v>126691</v>
      </c>
      <c r="X593" s="7"/>
      <c r="Y593" s="7"/>
      <c r="Z593" s="7"/>
      <c r="AA593" s="7"/>
      <c r="AB593" s="7"/>
      <c r="AC593" s="7"/>
    </row>
    <row r="594" spans="1:29" ht="32.25" hidden="1" customHeight="1">
      <c r="A594" s="19">
        <v>178</v>
      </c>
      <c r="U594" s="95"/>
      <c r="V594" s="538"/>
      <c r="W594" s="14"/>
      <c r="X594" s="7"/>
      <c r="Y594" s="7"/>
      <c r="Z594" s="7"/>
      <c r="AA594" s="7"/>
      <c r="AB594" s="7"/>
      <c r="AC594" s="7"/>
    </row>
    <row r="595" spans="1:29" ht="25.5" hidden="1">
      <c r="A595" s="19">
        <v>179</v>
      </c>
      <c r="B595" s="1"/>
      <c r="U595" s="1"/>
      <c r="V595" s="1"/>
      <c r="W595" s="14"/>
      <c r="X595" s="7"/>
      <c r="Y595" s="7"/>
      <c r="Z595" s="7"/>
      <c r="AA595" s="7"/>
      <c r="AB595" s="7"/>
      <c r="AC595" s="7"/>
    </row>
    <row r="596" spans="1:29" ht="27.75" hidden="1" customHeight="1">
      <c r="A596" s="19">
        <v>180</v>
      </c>
      <c r="B596" s="1"/>
      <c r="U596" s="95"/>
      <c r="V596" s="538"/>
      <c r="W596" s="14"/>
      <c r="X596" s="7"/>
      <c r="Y596" s="7"/>
      <c r="Z596" s="7"/>
      <c r="AA596" s="7"/>
      <c r="AB596" s="7"/>
      <c r="AC596" s="7"/>
    </row>
    <row r="597" spans="1:29" ht="25.5" hidden="1">
      <c r="A597" s="252">
        <v>181</v>
      </c>
      <c r="U597" s="95"/>
      <c r="V597" s="538"/>
      <c r="W597" s="14"/>
      <c r="X597" s="7"/>
      <c r="Y597" s="7"/>
      <c r="Z597" s="7"/>
      <c r="AA597" s="7"/>
      <c r="AB597" s="7"/>
      <c r="AC597" s="7"/>
    </row>
    <row r="598" spans="1:29" ht="25.5" hidden="1">
      <c r="A598" s="19">
        <v>182</v>
      </c>
      <c r="B598" s="1"/>
      <c r="U598" s="1"/>
      <c r="V598" s="1"/>
      <c r="W598" s="14"/>
      <c r="X598" s="7"/>
      <c r="Y598" s="7"/>
      <c r="Z598" s="7"/>
      <c r="AA598" s="7"/>
      <c r="AB598" s="7"/>
      <c r="AC598" s="7"/>
    </row>
    <row r="599" spans="1:29" ht="29.25" hidden="1" customHeight="1">
      <c r="A599" s="19">
        <v>183</v>
      </c>
      <c r="B599" s="1"/>
      <c r="U599" s="95"/>
      <c r="V599" s="538"/>
      <c r="W599" s="14"/>
      <c r="X599" s="7"/>
      <c r="Y599" s="7"/>
      <c r="Z599" s="7"/>
      <c r="AA599" s="7"/>
      <c r="AB599" s="7"/>
      <c r="AC599" s="7"/>
    </row>
    <row r="600" spans="1:29" ht="29.25" hidden="1" customHeight="1">
      <c r="A600" s="19">
        <v>184</v>
      </c>
      <c r="U600" s="95"/>
      <c r="V600" s="538"/>
      <c r="W600" s="14"/>
      <c r="X600" s="7"/>
      <c r="Y600" s="7"/>
      <c r="Z600" s="253"/>
      <c r="AA600" s="253"/>
      <c r="AB600" s="254"/>
      <c r="AC600" s="253"/>
    </row>
    <row r="601" spans="1:29" ht="26.25" hidden="1">
      <c r="A601" s="19">
        <v>185</v>
      </c>
      <c r="B601" s="148"/>
      <c r="C601" s="91"/>
      <c r="D601" s="91"/>
      <c r="E601" s="91"/>
      <c r="F601" s="91"/>
      <c r="G601" s="91"/>
      <c r="H601" s="91"/>
      <c r="I601" s="115"/>
      <c r="J601" s="22"/>
      <c r="K601" s="22"/>
      <c r="L601" s="22"/>
      <c r="M601" s="22"/>
      <c r="N601" s="22"/>
      <c r="O601" s="91"/>
      <c r="P601" s="91"/>
      <c r="Q601" s="122"/>
      <c r="R601" s="173"/>
      <c r="S601" s="151"/>
      <c r="T601" s="91"/>
      <c r="U601" s="95"/>
      <c r="V601" s="538"/>
      <c r="W601" s="14"/>
      <c r="X601" s="7"/>
      <c r="Y601" s="7"/>
      <c r="Z601" s="7"/>
      <c r="AA601" s="7"/>
      <c r="AB601" s="7"/>
      <c r="AC601" s="7"/>
    </row>
    <row r="602" spans="1:29" ht="32.25" hidden="1" customHeight="1">
      <c r="A602" s="19">
        <v>186</v>
      </c>
      <c r="U602" s="95"/>
      <c r="V602" s="538"/>
      <c r="W602" s="14"/>
      <c r="X602" s="7"/>
      <c r="Y602" s="7"/>
      <c r="Z602" s="7"/>
      <c r="AA602" s="7"/>
      <c r="AB602" s="7"/>
      <c r="AC602" s="7"/>
    </row>
    <row r="603" spans="1:29" ht="30" hidden="1" customHeight="1">
      <c r="A603" s="19">
        <v>187</v>
      </c>
      <c r="B603" s="1"/>
      <c r="U603" s="95"/>
      <c r="V603" s="538"/>
      <c r="W603" s="14"/>
      <c r="X603" s="7"/>
      <c r="Y603" s="7"/>
      <c r="Z603" s="7"/>
      <c r="AA603" s="7"/>
      <c r="AB603" s="7"/>
      <c r="AC603" s="7"/>
    </row>
    <row r="604" spans="1:29" ht="26.25" hidden="1">
      <c r="A604" s="19">
        <v>188</v>
      </c>
      <c r="B604" s="148"/>
      <c r="C604" s="91"/>
      <c r="D604" s="91"/>
      <c r="E604" s="91"/>
      <c r="F604" s="91"/>
      <c r="G604" s="91"/>
      <c r="H604" s="91"/>
      <c r="I604" s="115"/>
      <c r="J604" s="22"/>
      <c r="K604" s="22"/>
      <c r="L604" s="22"/>
      <c r="M604" s="22"/>
      <c r="N604" s="22"/>
      <c r="O604" s="91"/>
      <c r="P604" s="91"/>
      <c r="Q604" s="7"/>
      <c r="R604" s="200"/>
      <c r="S604" s="151"/>
      <c r="T604" s="91">
        <f>(P604-O604)*S604</f>
        <v>0</v>
      </c>
      <c r="U604" s="95"/>
      <c r="V604" s="538"/>
      <c r="W604" s="14"/>
      <c r="X604" s="7"/>
      <c r="Y604" s="7"/>
      <c r="Z604" s="7"/>
      <c r="AA604" s="7"/>
      <c r="AB604" s="7"/>
      <c r="AC604" s="7"/>
    </row>
    <row r="605" spans="1:29" ht="25.5" hidden="1">
      <c r="A605" s="19">
        <v>189</v>
      </c>
      <c r="B605" s="1"/>
      <c r="U605" s="95"/>
      <c r="V605" s="538"/>
      <c r="W605" s="14"/>
      <c r="X605" s="7"/>
      <c r="Y605" s="7"/>
      <c r="Z605" s="7"/>
      <c r="AA605" s="7"/>
      <c r="AB605" s="7"/>
      <c r="AC605" s="7"/>
    </row>
    <row r="606" spans="1:29" ht="26.25" hidden="1">
      <c r="A606" s="19">
        <v>190</v>
      </c>
      <c r="B606" s="148"/>
      <c r="C606" s="91"/>
      <c r="D606" s="91"/>
      <c r="E606" s="91"/>
      <c r="F606" s="91"/>
      <c r="G606" s="91"/>
      <c r="H606" s="91"/>
      <c r="I606" s="115"/>
      <c r="J606" s="22"/>
      <c r="K606" s="22"/>
      <c r="L606" s="22"/>
      <c r="M606" s="22"/>
      <c r="N606" s="22"/>
      <c r="O606" s="91"/>
      <c r="P606" s="91"/>
      <c r="Q606" s="7"/>
      <c r="R606" s="142"/>
      <c r="S606" s="151"/>
      <c r="T606" s="91">
        <f>(P606-O606)*S606</f>
        <v>0</v>
      </c>
      <c r="U606" s="95"/>
      <c r="V606" s="538"/>
      <c r="W606" s="14" t="s">
        <v>527</v>
      </c>
      <c r="X606" s="7"/>
      <c r="Y606" s="7"/>
      <c r="Z606" s="7"/>
      <c r="AA606" s="7"/>
      <c r="AB606" s="7"/>
      <c r="AC606" s="7"/>
    </row>
    <row r="607" spans="1:29" ht="26.25" hidden="1" customHeight="1">
      <c r="A607" s="19">
        <v>191</v>
      </c>
      <c r="U607" s="95"/>
      <c r="V607" s="538"/>
      <c r="W607" s="14"/>
      <c r="X607" s="7"/>
      <c r="Y607" s="7"/>
      <c r="Z607" s="7"/>
      <c r="AA607" s="7"/>
      <c r="AB607" s="7"/>
      <c r="AC607" s="7"/>
    </row>
    <row r="608" spans="1:29" ht="25.5" hidden="1">
      <c r="A608" s="19">
        <v>192</v>
      </c>
      <c r="B608" s="1"/>
      <c r="U608" s="1"/>
      <c r="V608" s="1"/>
      <c r="W608" s="14"/>
      <c r="X608" s="7"/>
      <c r="Y608" s="7"/>
      <c r="Z608" s="7"/>
      <c r="AA608" s="7"/>
      <c r="AB608" s="7"/>
      <c r="AC608" s="7"/>
    </row>
    <row r="609" spans="1:29" ht="26.25" hidden="1">
      <c r="A609" s="19">
        <v>193</v>
      </c>
      <c r="B609" s="148"/>
      <c r="C609" s="91"/>
      <c r="D609" s="91"/>
      <c r="E609" s="91"/>
      <c r="F609" s="91"/>
      <c r="G609" s="91"/>
      <c r="H609" s="91"/>
      <c r="I609" s="115"/>
      <c r="J609" s="22"/>
      <c r="K609" s="22"/>
      <c r="L609" s="22"/>
      <c r="M609" s="22"/>
      <c r="N609" s="22"/>
      <c r="O609" s="91"/>
      <c r="P609" s="91"/>
      <c r="Q609" s="22"/>
      <c r="R609" s="142"/>
      <c r="S609" s="151"/>
      <c r="T609" s="91">
        <f>(P609-O609)*S609</f>
        <v>0</v>
      </c>
      <c r="U609" s="95"/>
      <c r="V609" s="538"/>
      <c r="W609" s="14"/>
      <c r="X609" s="7"/>
      <c r="Y609" s="7"/>
      <c r="Z609" s="7"/>
      <c r="AA609" s="7"/>
      <c r="AB609" s="7"/>
      <c r="AC609" s="7"/>
    </row>
    <row r="610" spans="1:29" ht="29.25" hidden="1" customHeight="1">
      <c r="A610" s="19">
        <v>194</v>
      </c>
      <c r="U610" s="95"/>
      <c r="V610" s="538"/>
      <c r="W610" s="14"/>
      <c r="X610" s="7"/>
      <c r="Y610" s="7"/>
      <c r="Z610" s="7"/>
      <c r="AA610" s="7"/>
      <c r="AB610" s="7"/>
      <c r="AC610" s="7"/>
    </row>
    <row r="611" spans="1:29" ht="26.25" hidden="1">
      <c r="A611" s="19">
        <v>195</v>
      </c>
      <c r="B611" s="148"/>
      <c r="C611" s="91"/>
      <c r="D611" s="91"/>
      <c r="E611" s="91"/>
      <c r="F611" s="91"/>
      <c r="G611" s="91"/>
      <c r="H611" s="91"/>
      <c r="I611" s="115"/>
      <c r="J611" s="22"/>
      <c r="K611" s="22"/>
      <c r="L611" s="22"/>
      <c r="M611" s="22"/>
      <c r="N611" s="22"/>
      <c r="O611" s="91"/>
      <c r="P611" s="91"/>
      <c r="Q611" s="149"/>
      <c r="R611" s="161"/>
      <c r="S611" s="151"/>
      <c r="T611" s="91"/>
      <c r="U611" s="95"/>
      <c r="V611" s="538"/>
      <c r="W611" s="14" t="s">
        <v>528</v>
      </c>
      <c r="X611" s="7"/>
      <c r="Y611" s="7"/>
      <c r="Z611" s="7"/>
      <c r="AA611" s="7"/>
      <c r="AB611" s="7"/>
      <c r="AC611" s="7"/>
    </row>
    <row r="612" spans="1:29" ht="30" hidden="1" customHeight="1">
      <c r="A612" s="19">
        <v>196</v>
      </c>
      <c r="U612" s="95"/>
      <c r="V612" s="538"/>
      <c r="W612" s="14"/>
      <c r="X612" s="7"/>
      <c r="Y612" s="7"/>
      <c r="Z612" s="7"/>
      <c r="AA612" s="7"/>
      <c r="AB612" s="7"/>
      <c r="AC612" s="7"/>
    </row>
    <row r="613" spans="1:29" ht="27" hidden="1" customHeight="1">
      <c r="A613" s="19"/>
      <c r="B613" s="90"/>
      <c r="C613" s="115"/>
      <c r="D613" s="115"/>
      <c r="E613" s="115"/>
      <c r="F613" s="91"/>
      <c r="G613" s="91"/>
      <c r="H613" s="115"/>
      <c r="I613" s="115"/>
      <c r="J613" s="22"/>
      <c r="K613" s="22"/>
      <c r="L613" s="22"/>
      <c r="M613" s="22"/>
      <c r="N613" s="22"/>
      <c r="O613" s="91"/>
      <c r="P613" s="91"/>
      <c r="Q613" s="149"/>
      <c r="R613" s="161"/>
      <c r="S613" s="151"/>
      <c r="T613" s="91">
        <f>(P613-O613)*S613</f>
        <v>0</v>
      </c>
      <c r="U613" s="95"/>
      <c r="V613" s="538"/>
      <c r="W613" s="14"/>
      <c r="X613" s="7"/>
      <c r="Y613" s="7"/>
      <c r="Z613" s="7"/>
      <c r="AA613" s="7"/>
      <c r="AB613" s="7"/>
      <c r="AC613" s="7"/>
    </row>
    <row r="614" spans="1:29" ht="29.25" customHeight="1">
      <c r="A614" s="19"/>
      <c r="B614" s="90" t="s">
        <v>480</v>
      </c>
      <c r="C614" s="91"/>
      <c r="D614" s="91"/>
      <c r="E614" s="91"/>
      <c r="F614" s="91"/>
      <c r="G614" s="91"/>
      <c r="H614" s="91"/>
      <c r="I614" s="115"/>
      <c r="J614" s="22"/>
      <c r="K614" s="22"/>
      <c r="L614" s="22"/>
      <c r="M614" s="22"/>
      <c r="N614" s="22"/>
      <c r="O614" s="91"/>
      <c r="P614" s="91"/>
      <c r="Q614" s="149"/>
      <c r="R614" s="161"/>
      <c r="S614" s="151"/>
      <c r="T614" s="91"/>
      <c r="U614" s="95"/>
      <c r="V614" s="538"/>
      <c r="W614" s="14"/>
      <c r="X614" s="7"/>
      <c r="Y614" s="7"/>
      <c r="Z614" s="255"/>
      <c r="AA614" s="255"/>
      <c r="AB614" s="255"/>
      <c r="AC614" s="255"/>
    </row>
    <row r="615" spans="1:29" ht="29.25" customHeight="1">
      <c r="A615" s="19"/>
      <c r="B615" s="27" t="s">
        <v>529</v>
      </c>
      <c r="C615" s="28">
        <f>H615+E615</f>
        <v>309.23</v>
      </c>
      <c r="D615" s="72"/>
      <c r="E615" s="28">
        <f>F615+G615</f>
        <v>20.23</v>
      </c>
      <c r="F615" s="28">
        <f t="shared" ref="F615:F654" si="85">0.04*H615</f>
        <v>11.56</v>
      </c>
      <c r="G615" s="28">
        <f t="shared" ref="G615:G654" si="86">0.03*H615</f>
        <v>8.67</v>
      </c>
      <c r="H615" s="28">
        <f>T615</f>
        <v>289</v>
      </c>
      <c r="I615" s="28">
        <f>0.5*C615</f>
        <v>154.61500000000001</v>
      </c>
      <c r="J615" s="29"/>
      <c r="K615" s="29"/>
      <c r="L615" s="29"/>
      <c r="M615" s="29"/>
      <c r="N615" s="29"/>
      <c r="O615" s="414">
        <v>14225</v>
      </c>
      <c r="P615" s="414">
        <v>14514</v>
      </c>
      <c r="Q615" s="146"/>
      <c r="R615" s="61"/>
      <c r="S615" s="54">
        <v>1</v>
      </c>
      <c r="T615" s="28">
        <f t="shared" ref="T615:T638" si="87">(P615-O615)*S615</f>
        <v>289</v>
      </c>
      <c r="U615" s="31">
        <v>2262538</v>
      </c>
      <c r="V615" s="542" t="s">
        <v>530</v>
      </c>
      <c r="W615" s="14" t="s">
        <v>43</v>
      </c>
      <c r="X615" s="7"/>
      <c r="Y615" s="7"/>
      <c r="Z615" s="7"/>
      <c r="AA615" s="7"/>
      <c r="AB615" s="7"/>
      <c r="AC615" s="7"/>
    </row>
    <row r="616" spans="1:29" ht="30" customHeight="1">
      <c r="A616" s="19"/>
      <c r="B616" s="27" t="s">
        <v>531</v>
      </c>
      <c r="C616" s="28">
        <f t="shared" ref="C616:C646" si="88">H616+E616</f>
        <v>0</v>
      </c>
      <c r="D616" s="28"/>
      <c r="E616" s="28">
        <f t="shared" ref="E616:E654" si="89">F616+G616</f>
        <v>0</v>
      </c>
      <c r="F616" s="28">
        <f t="shared" si="85"/>
        <v>0</v>
      </c>
      <c r="G616" s="28">
        <f t="shared" si="86"/>
        <v>0</v>
      </c>
      <c r="H616" s="28">
        <f>T616</f>
        <v>0</v>
      </c>
      <c r="I616" s="28">
        <f t="shared" ref="I616:I646" si="90">0.5*C616</f>
        <v>0</v>
      </c>
      <c r="J616" s="29"/>
      <c r="K616" s="29"/>
      <c r="L616" s="29"/>
      <c r="M616" s="29"/>
      <c r="N616" s="29"/>
      <c r="O616" s="414">
        <v>45710</v>
      </c>
      <c r="P616" s="414">
        <v>45710</v>
      </c>
      <c r="Q616" s="29"/>
      <c r="R616" s="348"/>
      <c r="S616" s="54">
        <v>1</v>
      </c>
      <c r="T616" s="28">
        <f t="shared" si="87"/>
        <v>0</v>
      </c>
      <c r="U616" s="31">
        <v>5521045</v>
      </c>
      <c r="V616" s="542" t="s">
        <v>532</v>
      </c>
      <c r="W616" s="14" t="s">
        <v>43</v>
      </c>
      <c r="X616" s="7"/>
      <c r="Y616" s="7"/>
      <c r="Z616" s="7"/>
      <c r="AA616" s="7"/>
      <c r="AB616" s="7"/>
      <c r="AC616" s="7"/>
    </row>
    <row r="617" spans="1:29" ht="27" customHeight="1">
      <c r="A617" s="19"/>
      <c r="B617" s="27" t="s">
        <v>533</v>
      </c>
      <c r="C617" s="28">
        <f t="shared" si="88"/>
        <v>529.65</v>
      </c>
      <c r="D617" s="77"/>
      <c r="E617" s="28">
        <f t="shared" si="89"/>
        <v>34.65</v>
      </c>
      <c r="F617" s="28">
        <f t="shared" si="85"/>
        <v>19.8</v>
      </c>
      <c r="G617" s="28">
        <f t="shared" si="86"/>
        <v>14.85</v>
      </c>
      <c r="H617" s="28">
        <f t="shared" ref="H617:H650" si="91">T617</f>
        <v>495</v>
      </c>
      <c r="I617" s="28">
        <f t="shared" si="90"/>
        <v>264.82499999999999</v>
      </c>
      <c r="J617" s="29"/>
      <c r="K617" s="29"/>
      <c r="L617" s="29"/>
      <c r="M617" s="29"/>
      <c r="N617" s="29"/>
      <c r="O617" s="414">
        <v>35512</v>
      </c>
      <c r="P617" s="414">
        <v>36007</v>
      </c>
      <c r="Q617" s="30"/>
      <c r="R617" s="256"/>
      <c r="S617" s="54">
        <v>1</v>
      </c>
      <c r="T617" s="28">
        <f t="shared" si="87"/>
        <v>495</v>
      </c>
      <c r="U617" s="31">
        <v>2261340</v>
      </c>
      <c r="V617" s="542" t="s">
        <v>534</v>
      </c>
      <c r="W617" s="14" t="s">
        <v>43</v>
      </c>
      <c r="X617" s="7"/>
      <c r="Y617" s="7"/>
      <c r="Z617" s="7"/>
      <c r="AA617" s="7"/>
      <c r="AB617" s="7"/>
      <c r="AC617" s="7"/>
    </row>
    <row r="618" spans="1:29" ht="30" customHeight="1">
      <c r="A618" s="19"/>
      <c r="B618" s="27" t="s">
        <v>535</v>
      </c>
      <c r="C618" s="28">
        <f t="shared" si="88"/>
        <v>975.84</v>
      </c>
      <c r="D618" s="77"/>
      <c r="E618" s="28">
        <f t="shared" si="89"/>
        <v>63.84</v>
      </c>
      <c r="F618" s="28">
        <f t="shared" si="85"/>
        <v>36.480000000000004</v>
      </c>
      <c r="G618" s="28">
        <f t="shared" si="86"/>
        <v>27.36</v>
      </c>
      <c r="H618" s="28">
        <f t="shared" si="91"/>
        <v>912</v>
      </c>
      <c r="I618" s="28">
        <f t="shared" si="90"/>
        <v>487.92</v>
      </c>
      <c r="J618" s="29"/>
      <c r="K618" s="29"/>
      <c r="L618" s="29"/>
      <c r="M618" s="29"/>
      <c r="N618" s="29"/>
      <c r="O618" s="414">
        <v>43203</v>
      </c>
      <c r="P618" s="414">
        <v>44115</v>
      </c>
      <c r="Q618" s="30"/>
      <c r="R618" s="256"/>
      <c r="S618" s="54">
        <v>1</v>
      </c>
      <c r="T618" s="28">
        <f t="shared" si="87"/>
        <v>912</v>
      </c>
      <c r="U618" s="31">
        <v>5510929</v>
      </c>
      <c r="V618" s="542" t="s">
        <v>536</v>
      </c>
      <c r="W618" s="14" t="s">
        <v>43</v>
      </c>
      <c r="X618" s="7"/>
      <c r="Y618" s="7"/>
      <c r="Z618" s="7"/>
      <c r="AA618" s="7"/>
      <c r="AB618" s="7"/>
      <c r="AC618" s="7"/>
    </row>
    <row r="619" spans="1:29" ht="27.75" customHeight="1">
      <c r="A619" s="19"/>
      <c r="B619" s="27" t="s">
        <v>537</v>
      </c>
      <c r="C619" s="28">
        <f t="shared" si="88"/>
        <v>598.13</v>
      </c>
      <c r="D619" s="72"/>
      <c r="E619" s="28">
        <f t="shared" si="89"/>
        <v>39.129999999999995</v>
      </c>
      <c r="F619" s="28">
        <f t="shared" si="85"/>
        <v>22.36</v>
      </c>
      <c r="G619" s="28">
        <f t="shared" si="86"/>
        <v>16.77</v>
      </c>
      <c r="H619" s="28">
        <f t="shared" si="91"/>
        <v>559</v>
      </c>
      <c r="I619" s="28">
        <f t="shared" si="90"/>
        <v>299.065</v>
      </c>
      <c r="J619" s="29"/>
      <c r="K619" s="29"/>
      <c r="L619" s="29"/>
      <c r="M619" s="29"/>
      <c r="N619" s="29"/>
      <c r="O619" s="414">
        <v>67482</v>
      </c>
      <c r="P619" s="414">
        <v>68041</v>
      </c>
      <c r="Q619" s="30"/>
      <c r="R619" s="256"/>
      <c r="S619" s="54">
        <v>1</v>
      </c>
      <c r="T619" s="28">
        <f t="shared" si="87"/>
        <v>559</v>
      </c>
      <c r="U619" s="31">
        <v>5511505</v>
      </c>
      <c r="V619" s="542" t="s">
        <v>538</v>
      </c>
      <c r="W619" s="14" t="s">
        <v>43</v>
      </c>
      <c r="X619" s="7"/>
      <c r="Y619" s="7"/>
      <c r="Z619" s="7"/>
      <c r="AA619" s="7"/>
      <c r="AB619" s="7"/>
      <c r="AC619" s="7"/>
    </row>
    <row r="620" spans="1:29" ht="27" customHeight="1">
      <c r="A620" s="19"/>
      <c r="B620" s="27" t="s">
        <v>539</v>
      </c>
      <c r="C620" s="28">
        <f t="shared" si="88"/>
        <v>262.14999999999998</v>
      </c>
      <c r="D620" s="77"/>
      <c r="E620" s="28">
        <f t="shared" si="89"/>
        <v>17.149999999999999</v>
      </c>
      <c r="F620" s="28">
        <f t="shared" si="85"/>
        <v>9.8000000000000007</v>
      </c>
      <c r="G620" s="28">
        <f t="shared" si="86"/>
        <v>7.35</v>
      </c>
      <c r="H620" s="28">
        <f t="shared" si="91"/>
        <v>245</v>
      </c>
      <c r="I620" s="28">
        <f t="shared" si="90"/>
        <v>131.07499999999999</v>
      </c>
      <c r="J620" s="29"/>
      <c r="K620" s="29"/>
      <c r="L620" s="29"/>
      <c r="M620" s="29"/>
      <c r="N620" s="29"/>
      <c r="O620" s="414">
        <v>38466</v>
      </c>
      <c r="P620" s="414">
        <v>38711</v>
      </c>
      <c r="Q620" s="30"/>
      <c r="R620" s="256"/>
      <c r="S620" s="54">
        <v>1</v>
      </c>
      <c r="T620" s="28">
        <f t="shared" si="87"/>
        <v>245</v>
      </c>
      <c r="U620" s="31">
        <v>5510311</v>
      </c>
      <c r="V620" s="542" t="s">
        <v>540</v>
      </c>
      <c r="W620" s="14" t="s">
        <v>43</v>
      </c>
      <c r="X620" s="7"/>
      <c r="Y620" s="7"/>
      <c r="Z620" s="7"/>
      <c r="AA620" s="7"/>
      <c r="AB620" s="7"/>
      <c r="AC620" s="7"/>
    </row>
    <row r="621" spans="1:29" ht="25.5" customHeight="1">
      <c r="A621" s="19"/>
      <c r="B621" s="27" t="s">
        <v>541</v>
      </c>
      <c r="C621" s="28">
        <f t="shared" si="88"/>
        <v>360.59</v>
      </c>
      <c r="D621" s="77"/>
      <c r="E621" s="28">
        <f t="shared" si="89"/>
        <v>23.59</v>
      </c>
      <c r="F621" s="28">
        <f t="shared" si="85"/>
        <v>13.48</v>
      </c>
      <c r="G621" s="28">
        <f t="shared" si="86"/>
        <v>10.11</v>
      </c>
      <c r="H621" s="28">
        <f t="shared" si="91"/>
        <v>337</v>
      </c>
      <c r="I621" s="28">
        <f t="shared" si="90"/>
        <v>180.29499999999999</v>
      </c>
      <c r="J621" s="29"/>
      <c r="K621" s="29"/>
      <c r="L621" s="29"/>
      <c r="M621" s="29"/>
      <c r="N621" s="29"/>
      <c r="O621" s="414">
        <v>48796</v>
      </c>
      <c r="P621" s="414">
        <v>49133</v>
      </c>
      <c r="Q621" s="30"/>
      <c r="R621" s="256"/>
      <c r="S621" s="54">
        <v>1</v>
      </c>
      <c r="T621" s="28">
        <f t="shared" si="87"/>
        <v>337</v>
      </c>
      <c r="U621" s="31">
        <v>5510177</v>
      </c>
      <c r="V621" s="542" t="s">
        <v>542</v>
      </c>
      <c r="W621" s="14" t="s">
        <v>90</v>
      </c>
      <c r="X621" s="255"/>
      <c r="Y621" s="255"/>
      <c r="Z621" s="7"/>
      <c r="AA621" s="7"/>
      <c r="AB621" s="7"/>
      <c r="AC621" s="7"/>
    </row>
    <row r="622" spans="1:29" ht="31.5" customHeight="1">
      <c r="A622" s="19"/>
      <c r="B622" s="27" t="s">
        <v>750</v>
      </c>
      <c r="C622" s="28">
        <f t="shared" si="88"/>
        <v>484.71</v>
      </c>
      <c r="D622" s="77"/>
      <c r="E622" s="28">
        <f t="shared" si="89"/>
        <v>31.71</v>
      </c>
      <c r="F622" s="28">
        <f t="shared" si="85"/>
        <v>18.12</v>
      </c>
      <c r="G622" s="28">
        <f t="shared" si="86"/>
        <v>13.59</v>
      </c>
      <c r="H622" s="28">
        <f t="shared" si="91"/>
        <v>453</v>
      </c>
      <c r="I622" s="28">
        <f t="shared" si="90"/>
        <v>242.35499999999999</v>
      </c>
      <c r="J622" s="29"/>
      <c r="K622" s="29"/>
      <c r="L622" s="29"/>
      <c r="M622" s="29"/>
      <c r="N622" s="29"/>
      <c r="O622" s="414">
        <v>88461</v>
      </c>
      <c r="P622" s="414">
        <v>88914</v>
      </c>
      <c r="Q622" s="30"/>
      <c r="R622" s="256"/>
      <c r="S622" s="54">
        <v>1</v>
      </c>
      <c r="T622" s="28">
        <f t="shared" si="87"/>
        <v>453</v>
      </c>
      <c r="U622" s="31">
        <v>2262535</v>
      </c>
      <c r="V622" s="542" t="s">
        <v>543</v>
      </c>
      <c r="W622" s="14" t="s">
        <v>90</v>
      </c>
      <c r="X622" s="7"/>
      <c r="Y622" s="7"/>
      <c r="Z622" s="7"/>
      <c r="AA622" s="7"/>
      <c r="AB622" s="7"/>
      <c r="AC622" s="7"/>
    </row>
    <row r="623" spans="1:29" ht="25.5">
      <c r="A623" s="19"/>
      <c r="B623" s="27" t="s">
        <v>544</v>
      </c>
      <c r="C623" s="28">
        <f t="shared" si="88"/>
        <v>1211.24</v>
      </c>
      <c r="D623" s="77"/>
      <c r="E623" s="28">
        <f t="shared" si="89"/>
        <v>79.240000000000009</v>
      </c>
      <c r="F623" s="28">
        <f t="shared" si="85"/>
        <v>45.28</v>
      </c>
      <c r="G623" s="28">
        <f t="shared" si="86"/>
        <v>33.96</v>
      </c>
      <c r="H623" s="28">
        <f t="shared" si="91"/>
        <v>1132</v>
      </c>
      <c r="I623" s="28">
        <f t="shared" si="90"/>
        <v>605.62</v>
      </c>
      <c r="J623" s="29"/>
      <c r="K623" s="29"/>
      <c r="L623" s="29"/>
      <c r="M623" s="29"/>
      <c r="N623" s="29"/>
      <c r="O623" s="414">
        <v>42218</v>
      </c>
      <c r="P623" s="414">
        <v>43350</v>
      </c>
      <c r="Q623" s="146"/>
      <c r="R623" s="147"/>
      <c r="S623" s="54">
        <v>1</v>
      </c>
      <c r="T623" s="28">
        <f t="shared" si="87"/>
        <v>1132</v>
      </c>
      <c r="U623" s="31" t="s">
        <v>545</v>
      </c>
      <c r="V623" s="542" t="s">
        <v>546</v>
      </c>
      <c r="W623" s="14" t="s">
        <v>90</v>
      </c>
      <c r="X623" s="7"/>
      <c r="Y623" s="7"/>
      <c r="Z623" s="7"/>
      <c r="AA623" s="7"/>
      <c r="AB623" s="7"/>
      <c r="AC623" s="7"/>
    </row>
    <row r="624" spans="1:29" ht="27" customHeight="1">
      <c r="A624" s="19"/>
      <c r="B624" s="27" t="s">
        <v>547</v>
      </c>
      <c r="C624" s="28">
        <f t="shared" si="88"/>
        <v>18430.75</v>
      </c>
      <c r="D624" s="77"/>
      <c r="E624" s="28">
        <f t="shared" si="89"/>
        <v>1205.75</v>
      </c>
      <c r="F624" s="28">
        <f t="shared" si="85"/>
        <v>689</v>
      </c>
      <c r="G624" s="28">
        <f t="shared" si="86"/>
        <v>516.75</v>
      </c>
      <c r="H624" s="28">
        <f t="shared" si="91"/>
        <v>17225</v>
      </c>
      <c r="I624" s="28">
        <f t="shared" si="90"/>
        <v>9215.375</v>
      </c>
      <c r="J624" s="29"/>
      <c r="K624" s="29"/>
      <c r="L624" s="29"/>
      <c r="M624" s="29"/>
      <c r="N624" s="29"/>
      <c r="O624" s="414">
        <v>233784</v>
      </c>
      <c r="P624" s="414">
        <v>251009</v>
      </c>
      <c r="Q624" s="146"/>
      <c r="R624" s="147"/>
      <c r="S624" s="54">
        <v>1</v>
      </c>
      <c r="T624" s="28">
        <f t="shared" si="87"/>
        <v>17225</v>
      </c>
      <c r="U624" s="31"/>
      <c r="V624" s="542" t="s">
        <v>548</v>
      </c>
      <c r="W624" s="14" t="s">
        <v>90</v>
      </c>
      <c r="X624" s="7"/>
      <c r="Y624" s="7"/>
      <c r="Z624" s="7"/>
      <c r="AA624" s="7"/>
      <c r="AB624" s="7"/>
      <c r="AC624" s="7"/>
    </row>
    <row r="625" spans="1:29" ht="26.25">
      <c r="A625" s="257"/>
      <c r="B625" s="449" t="s">
        <v>549</v>
      </c>
      <c r="C625" s="28">
        <f t="shared" si="88"/>
        <v>751.14</v>
      </c>
      <c r="D625" s="450"/>
      <c r="E625" s="28">
        <f t="shared" si="89"/>
        <v>49.14</v>
      </c>
      <c r="F625" s="28">
        <f t="shared" si="85"/>
        <v>28.080000000000002</v>
      </c>
      <c r="G625" s="28">
        <f t="shared" si="86"/>
        <v>21.06</v>
      </c>
      <c r="H625" s="28">
        <f t="shared" si="91"/>
        <v>702</v>
      </c>
      <c r="I625" s="28">
        <f t="shared" si="90"/>
        <v>375.57</v>
      </c>
      <c r="J625" s="46"/>
      <c r="K625" s="29"/>
      <c r="L625" s="29"/>
      <c r="M625" s="29"/>
      <c r="N625" s="29"/>
      <c r="O625" s="451">
        <v>47740</v>
      </c>
      <c r="P625" s="451">
        <v>48442</v>
      </c>
      <c r="Q625" s="30"/>
      <c r="R625" s="452"/>
      <c r="S625" s="54">
        <v>1</v>
      </c>
      <c r="T625" s="28">
        <f t="shared" si="87"/>
        <v>702</v>
      </c>
      <c r="U625" s="31">
        <v>2261380</v>
      </c>
      <c r="V625" s="542" t="s">
        <v>550</v>
      </c>
      <c r="W625" s="14" t="s">
        <v>90</v>
      </c>
      <c r="X625" s="7"/>
      <c r="Y625" s="7"/>
      <c r="Z625" s="7"/>
      <c r="AA625" s="7"/>
      <c r="AB625" s="7"/>
      <c r="AC625" s="7"/>
    </row>
    <row r="626" spans="1:29" ht="25.5">
      <c r="A626" s="23"/>
      <c r="B626" s="62" t="s">
        <v>551</v>
      </c>
      <c r="C626" s="28">
        <f t="shared" si="88"/>
        <v>2075.8000000000002</v>
      </c>
      <c r="D626" s="453"/>
      <c r="E626" s="28">
        <f t="shared" si="89"/>
        <v>135.80000000000001</v>
      </c>
      <c r="F626" s="28">
        <f t="shared" si="85"/>
        <v>77.600000000000009</v>
      </c>
      <c r="G626" s="28">
        <f t="shared" si="86"/>
        <v>58.199999999999996</v>
      </c>
      <c r="H626" s="28">
        <f t="shared" si="91"/>
        <v>1940</v>
      </c>
      <c r="I626" s="28">
        <f t="shared" si="90"/>
        <v>1037.9000000000001</v>
      </c>
      <c r="J626" s="348"/>
      <c r="K626" s="348"/>
      <c r="L626" s="348"/>
      <c r="M626" s="348"/>
      <c r="N626" s="348"/>
      <c r="O626" s="454">
        <v>63223</v>
      </c>
      <c r="P626" s="454">
        <v>65163</v>
      </c>
      <c r="Q626" s="351"/>
      <c r="R626" s="351"/>
      <c r="S626" s="54">
        <v>1</v>
      </c>
      <c r="T626" s="28">
        <f t="shared" si="87"/>
        <v>1940</v>
      </c>
      <c r="U626" s="31">
        <v>2261167</v>
      </c>
      <c r="V626" s="542" t="s">
        <v>552</v>
      </c>
      <c r="W626" s="14" t="s">
        <v>90</v>
      </c>
      <c r="X626" s="7"/>
      <c r="Y626" s="7"/>
      <c r="Z626" s="7"/>
      <c r="AA626" s="7"/>
      <c r="AB626" s="7"/>
      <c r="AC626" s="7"/>
    </row>
    <row r="627" spans="1:29" ht="25.5">
      <c r="A627" s="23"/>
      <c r="B627" s="62" t="s">
        <v>553</v>
      </c>
      <c r="C627" s="28">
        <f t="shared" si="88"/>
        <v>507.18</v>
      </c>
      <c r="D627" s="77"/>
      <c r="E627" s="28">
        <f t="shared" si="89"/>
        <v>33.18</v>
      </c>
      <c r="F627" s="28">
        <f t="shared" si="85"/>
        <v>18.96</v>
      </c>
      <c r="G627" s="28">
        <f t="shared" si="86"/>
        <v>14.219999999999999</v>
      </c>
      <c r="H627" s="28">
        <f t="shared" si="91"/>
        <v>474</v>
      </c>
      <c r="I627" s="28">
        <f t="shared" si="90"/>
        <v>253.59</v>
      </c>
      <c r="J627" s="348"/>
      <c r="K627" s="348"/>
      <c r="L627" s="348"/>
      <c r="M627" s="348"/>
      <c r="N627" s="348"/>
      <c r="O627" s="454">
        <v>26471</v>
      </c>
      <c r="P627" s="454">
        <v>26945</v>
      </c>
      <c r="Q627" s="351"/>
      <c r="R627" s="351"/>
      <c r="S627" s="54">
        <v>1</v>
      </c>
      <c r="T627" s="28">
        <f t="shared" si="87"/>
        <v>474</v>
      </c>
      <c r="U627" s="31">
        <v>5510402</v>
      </c>
      <c r="V627" s="542" t="s">
        <v>554</v>
      </c>
      <c r="W627" s="14" t="s">
        <v>43</v>
      </c>
      <c r="X627" s="7"/>
      <c r="Y627" s="7"/>
      <c r="Z627" s="7"/>
      <c r="AA627" s="7"/>
      <c r="AB627" s="7"/>
      <c r="AC627" s="7"/>
    </row>
    <row r="628" spans="1:29" ht="25.5">
      <c r="A628" s="23"/>
      <c r="B628" s="62" t="s">
        <v>555</v>
      </c>
      <c r="C628" s="28">
        <f t="shared" si="88"/>
        <v>490.06</v>
      </c>
      <c r="D628" s="77"/>
      <c r="E628" s="28">
        <f t="shared" si="89"/>
        <v>32.06</v>
      </c>
      <c r="F628" s="28">
        <f t="shared" si="85"/>
        <v>18.32</v>
      </c>
      <c r="G628" s="28">
        <f t="shared" si="86"/>
        <v>13.74</v>
      </c>
      <c r="H628" s="28">
        <f t="shared" si="91"/>
        <v>458</v>
      </c>
      <c r="I628" s="28">
        <f t="shared" si="90"/>
        <v>245.03</v>
      </c>
      <c r="J628" s="348"/>
      <c r="K628" s="348"/>
      <c r="L628" s="348"/>
      <c r="M628" s="348"/>
      <c r="N628" s="348"/>
      <c r="O628" s="454">
        <v>36639</v>
      </c>
      <c r="P628" s="454">
        <v>37097</v>
      </c>
      <c r="Q628" s="351"/>
      <c r="R628" s="351"/>
      <c r="S628" s="54">
        <v>1</v>
      </c>
      <c r="T628" s="28">
        <f t="shared" si="87"/>
        <v>458</v>
      </c>
      <c r="U628" s="31">
        <v>5509256</v>
      </c>
      <c r="V628" s="540" t="s">
        <v>263</v>
      </c>
      <c r="W628" s="14" t="s">
        <v>43</v>
      </c>
      <c r="X628" s="7"/>
      <c r="Y628" s="7"/>
      <c r="Z628" s="7"/>
      <c r="AA628" s="7"/>
      <c r="AB628" s="7"/>
      <c r="AC628" s="7"/>
    </row>
    <row r="629" spans="1:29" ht="25.5">
      <c r="A629" s="23"/>
      <c r="B629" s="62" t="s">
        <v>556</v>
      </c>
      <c r="C629" s="28">
        <f>H629+E629</f>
        <v>798.22</v>
      </c>
      <c r="D629" s="77"/>
      <c r="E629" s="28">
        <f t="shared" si="89"/>
        <v>52.22</v>
      </c>
      <c r="F629" s="28">
        <f t="shared" si="85"/>
        <v>29.84</v>
      </c>
      <c r="G629" s="28">
        <f t="shared" si="86"/>
        <v>22.38</v>
      </c>
      <c r="H629" s="28">
        <f t="shared" si="91"/>
        <v>746</v>
      </c>
      <c r="I629" s="28">
        <f t="shared" si="90"/>
        <v>399.11</v>
      </c>
      <c r="J629" s="348"/>
      <c r="K629" s="348"/>
      <c r="L629" s="348"/>
      <c r="M629" s="348"/>
      <c r="N629" s="348"/>
      <c r="O629" s="454">
        <v>31347</v>
      </c>
      <c r="P629" s="454">
        <v>32093</v>
      </c>
      <c r="Q629" s="351"/>
      <c r="R629" s="351"/>
      <c r="S629" s="54">
        <v>1</v>
      </c>
      <c r="T629" s="28">
        <f>(P629-O629)*S629</f>
        <v>746</v>
      </c>
      <c r="U629" s="31">
        <v>5509265</v>
      </c>
      <c r="V629" s="542" t="s">
        <v>557</v>
      </c>
      <c r="W629" s="14" t="s">
        <v>43</v>
      </c>
      <c r="X629" s="7"/>
      <c r="Y629" s="7"/>
      <c r="Z629" s="7"/>
      <c r="AA629" s="7"/>
      <c r="AB629" s="7"/>
      <c r="AC629" s="7"/>
    </row>
    <row r="630" spans="1:29" ht="25.5">
      <c r="A630" s="23"/>
      <c r="B630" s="62" t="s">
        <v>558</v>
      </c>
      <c r="C630" s="28">
        <f t="shared" si="88"/>
        <v>350.96</v>
      </c>
      <c r="D630" s="77"/>
      <c r="E630" s="28">
        <f t="shared" si="89"/>
        <v>22.96</v>
      </c>
      <c r="F630" s="28">
        <f t="shared" si="85"/>
        <v>13.120000000000001</v>
      </c>
      <c r="G630" s="28">
        <f t="shared" si="86"/>
        <v>9.84</v>
      </c>
      <c r="H630" s="28">
        <f t="shared" si="91"/>
        <v>328</v>
      </c>
      <c r="I630" s="28">
        <f t="shared" si="90"/>
        <v>175.48</v>
      </c>
      <c r="J630" s="348"/>
      <c r="K630" s="348"/>
      <c r="L630" s="348"/>
      <c r="M630" s="348"/>
      <c r="N630" s="348"/>
      <c r="O630" s="454">
        <v>22123</v>
      </c>
      <c r="P630" s="454">
        <v>22451</v>
      </c>
      <c r="Q630" s="351"/>
      <c r="R630" s="351"/>
      <c r="S630" s="54">
        <v>1</v>
      </c>
      <c r="T630" s="28">
        <f t="shared" si="87"/>
        <v>328</v>
      </c>
      <c r="U630" s="31">
        <v>5518342</v>
      </c>
      <c r="V630" s="542" t="s">
        <v>559</v>
      </c>
      <c r="W630" s="14" t="s">
        <v>43</v>
      </c>
      <c r="X630" s="7"/>
      <c r="Y630" s="7"/>
      <c r="Z630" s="7"/>
      <c r="AA630" s="7"/>
      <c r="AB630" s="7"/>
      <c r="AC630" s="7"/>
    </row>
    <row r="631" spans="1:29" ht="25.5">
      <c r="A631" s="23"/>
      <c r="B631" s="62" t="s">
        <v>560</v>
      </c>
      <c r="C631" s="28">
        <f t="shared" si="88"/>
        <v>451.54</v>
      </c>
      <c r="D631" s="77"/>
      <c r="E631" s="28">
        <f t="shared" si="89"/>
        <v>29.54</v>
      </c>
      <c r="F631" s="28">
        <f t="shared" si="85"/>
        <v>16.88</v>
      </c>
      <c r="G631" s="28">
        <f t="shared" si="86"/>
        <v>12.66</v>
      </c>
      <c r="H631" s="28">
        <f t="shared" si="91"/>
        <v>422</v>
      </c>
      <c r="I631" s="28">
        <f t="shared" si="90"/>
        <v>225.77</v>
      </c>
      <c r="J631" s="348"/>
      <c r="K631" s="348"/>
      <c r="L631" s="348"/>
      <c r="M631" s="348"/>
      <c r="N631" s="348"/>
      <c r="O631" s="454">
        <v>24420</v>
      </c>
      <c r="P631" s="454">
        <v>24842</v>
      </c>
      <c r="Q631" s="351"/>
      <c r="R631" s="351"/>
      <c r="S631" s="54">
        <v>1</v>
      </c>
      <c r="T631" s="28">
        <f t="shared" si="87"/>
        <v>422</v>
      </c>
      <c r="U631" s="31">
        <v>2262004</v>
      </c>
      <c r="V631" s="542" t="s">
        <v>561</v>
      </c>
      <c r="W631" s="14" t="s">
        <v>43</v>
      </c>
      <c r="X631" s="7"/>
      <c r="Y631" s="7"/>
      <c r="Z631" s="7"/>
      <c r="AA631" s="7"/>
      <c r="AB631" s="7"/>
      <c r="AC631" s="7"/>
    </row>
    <row r="632" spans="1:29" ht="25.5">
      <c r="A632" s="23"/>
      <c r="B632" s="62" t="s">
        <v>562</v>
      </c>
      <c r="C632" s="28">
        <f t="shared" si="88"/>
        <v>450.47</v>
      </c>
      <c r="D632" s="77"/>
      <c r="E632" s="28">
        <f t="shared" si="89"/>
        <v>29.47</v>
      </c>
      <c r="F632" s="28">
        <f t="shared" si="85"/>
        <v>16.84</v>
      </c>
      <c r="G632" s="28">
        <f t="shared" si="86"/>
        <v>12.629999999999999</v>
      </c>
      <c r="H632" s="28">
        <f t="shared" si="91"/>
        <v>421</v>
      </c>
      <c r="I632" s="28">
        <f t="shared" si="90"/>
        <v>225.23500000000001</v>
      </c>
      <c r="J632" s="348"/>
      <c r="K632" s="348"/>
      <c r="L632" s="348"/>
      <c r="M632" s="348"/>
      <c r="N632" s="348"/>
      <c r="O632" s="454">
        <v>21674</v>
      </c>
      <c r="P632" s="454">
        <v>22095</v>
      </c>
      <c r="Q632" s="351"/>
      <c r="R632" s="351"/>
      <c r="S632" s="54">
        <v>1</v>
      </c>
      <c r="T632" s="28">
        <f t="shared" si="87"/>
        <v>421</v>
      </c>
      <c r="U632" s="31">
        <v>2262573</v>
      </c>
      <c r="V632" s="542" t="s">
        <v>813</v>
      </c>
      <c r="W632" s="14" t="s">
        <v>43</v>
      </c>
      <c r="X632" s="7"/>
      <c r="Y632" s="7"/>
      <c r="Z632" s="7"/>
      <c r="AA632" s="7"/>
      <c r="AB632" s="7"/>
      <c r="AC632" s="7"/>
    </row>
    <row r="633" spans="1:29" ht="25.5">
      <c r="A633" s="23"/>
      <c r="B633" s="62" t="s">
        <v>700</v>
      </c>
      <c r="C633" s="28">
        <f t="shared" si="88"/>
        <v>640.92999999999995</v>
      </c>
      <c r="D633" s="77"/>
      <c r="E633" s="28">
        <f t="shared" si="89"/>
        <v>41.93</v>
      </c>
      <c r="F633" s="28">
        <f t="shared" si="85"/>
        <v>23.96</v>
      </c>
      <c r="G633" s="28">
        <f t="shared" si="86"/>
        <v>17.97</v>
      </c>
      <c r="H633" s="28">
        <f t="shared" si="91"/>
        <v>599</v>
      </c>
      <c r="I633" s="28">
        <f t="shared" si="90"/>
        <v>320.46499999999997</v>
      </c>
      <c r="J633" s="348"/>
      <c r="K633" s="348"/>
      <c r="L633" s="348"/>
      <c r="M633" s="348"/>
      <c r="N633" s="348"/>
      <c r="O633" s="454">
        <v>60632</v>
      </c>
      <c r="P633" s="454">
        <v>61231</v>
      </c>
      <c r="Q633" s="351"/>
      <c r="R633" s="351"/>
      <c r="S633" s="54">
        <v>1</v>
      </c>
      <c r="T633" s="28">
        <f t="shared" si="87"/>
        <v>599</v>
      </c>
      <c r="U633" s="31">
        <v>2262504</v>
      </c>
      <c r="V633" s="542" t="s">
        <v>385</v>
      </c>
      <c r="W633" s="14" t="s">
        <v>43</v>
      </c>
      <c r="X633" s="7"/>
      <c r="Y633" s="7"/>
      <c r="Z633" s="7"/>
      <c r="AA633" s="7"/>
      <c r="AB633" s="7"/>
      <c r="AC633" s="7"/>
    </row>
    <row r="634" spans="1:29" ht="25.5">
      <c r="A634" s="23"/>
      <c r="B634" s="62" t="s">
        <v>564</v>
      </c>
      <c r="C634" s="28">
        <f t="shared" si="88"/>
        <v>218.28</v>
      </c>
      <c r="D634" s="77"/>
      <c r="E634" s="28">
        <f t="shared" si="89"/>
        <v>14.280000000000001</v>
      </c>
      <c r="F634" s="28">
        <f t="shared" si="85"/>
        <v>8.16</v>
      </c>
      <c r="G634" s="28">
        <f t="shared" si="86"/>
        <v>6.12</v>
      </c>
      <c r="H634" s="28">
        <f t="shared" si="91"/>
        <v>204</v>
      </c>
      <c r="I634" s="28">
        <f t="shared" si="90"/>
        <v>109.14</v>
      </c>
      <c r="J634" s="348"/>
      <c r="K634" s="348"/>
      <c r="L634" s="348"/>
      <c r="M634" s="348"/>
      <c r="N634" s="348"/>
      <c r="O634" s="454">
        <v>14346</v>
      </c>
      <c r="P634" s="454">
        <v>14550</v>
      </c>
      <c r="Q634" s="351"/>
      <c r="R634" s="351"/>
      <c r="S634" s="54">
        <v>1</v>
      </c>
      <c r="T634" s="28">
        <f t="shared" si="87"/>
        <v>204</v>
      </c>
      <c r="U634" s="31">
        <v>282333</v>
      </c>
      <c r="V634" s="542" t="s">
        <v>565</v>
      </c>
      <c r="W634" s="14" t="s">
        <v>43</v>
      </c>
      <c r="X634" s="7"/>
      <c r="Y634" s="7"/>
      <c r="Z634" s="7"/>
      <c r="AA634" s="7"/>
      <c r="AB634" s="7"/>
      <c r="AC634" s="7"/>
    </row>
    <row r="635" spans="1:29" ht="25.5">
      <c r="A635" s="23"/>
      <c r="B635" s="104"/>
      <c r="C635" s="91"/>
      <c r="D635" s="92"/>
      <c r="E635" s="91"/>
      <c r="F635" s="91"/>
      <c r="G635" s="91"/>
      <c r="H635" s="91"/>
      <c r="I635" s="91"/>
      <c r="J635" s="142"/>
      <c r="K635" s="142"/>
      <c r="L635" s="142"/>
      <c r="M635" s="142"/>
      <c r="N635" s="142"/>
      <c r="O635" s="258"/>
      <c r="P635" s="258"/>
      <c r="Q635" s="173"/>
      <c r="R635" s="173"/>
      <c r="S635" s="151"/>
      <c r="T635" s="91"/>
      <c r="U635" s="95"/>
      <c r="V635" s="538"/>
      <c r="W635" s="14" t="s">
        <v>90</v>
      </c>
      <c r="X635" s="7"/>
      <c r="Y635" s="7"/>
      <c r="Z635" s="7"/>
      <c r="AA635" s="7"/>
      <c r="AB635" s="7"/>
      <c r="AC635" s="7"/>
    </row>
    <row r="636" spans="1:29" s="195" customFormat="1" ht="25.5">
      <c r="A636" s="479"/>
      <c r="B636" s="62" t="s">
        <v>566</v>
      </c>
      <c r="C636" s="28">
        <f t="shared" si="88"/>
        <v>0</v>
      </c>
      <c r="D636" s="77"/>
      <c r="E636" s="28">
        <f t="shared" si="89"/>
        <v>0</v>
      </c>
      <c r="F636" s="28">
        <f t="shared" si="85"/>
        <v>0</v>
      </c>
      <c r="G636" s="28">
        <f t="shared" si="86"/>
        <v>0</v>
      </c>
      <c r="H636" s="28">
        <f t="shared" si="91"/>
        <v>0</v>
      </c>
      <c r="I636" s="28">
        <f t="shared" si="90"/>
        <v>0</v>
      </c>
      <c r="J636" s="348"/>
      <c r="K636" s="348"/>
      <c r="L636" s="348"/>
      <c r="M636" s="348"/>
      <c r="N636" s="348"/>
      <c r="O636" s="454">
        <v>42066</v>
      </c>
      <c r="P636" s="454">
        <v>42066</v>
      </c>
      <c r="Q636" s="351"/>
      <c r="R636" s="351"/>
      <c r="S636" s="54">
        <v>1</v>
      </c>
      <c r="T636" s="28">
        <f t="shared" si="87"/>
        <v>0</v>
      </c>
      <c r="U636" s="31">
        <v>3263</v>
      </c>
      <c r="V636" s="542" t="s">
        <v>567</v>
      </c>
      <c r="W636" s="191" t="s">
        <v>43</v>
      </c>
      <c r="X636" s="86"/>
      <c r="Y636" s="86"/>
      <c r="Z636" s="86"/>
      <c r="AA636" s="86"/>
      <c r="AB636" s="86"/>
      <c r="AC636" s="86"/>
    </row>
    <row r="637" spans="1:29" ht="25.5">
      <c r="A637" s="23"/>
      <c r="B637" s="62" t="s">
        <v>568</v>
      </c>
      <c r="C637" s="28">
        <f>H637+E637</f>
        <v>71.69</v>
      </c>
      <c r="D637" s="77"/>
      <c r="E637" s="28">
        <f t="shared" si="89"/>
        <v>4.6899999999999995</v>
      </c>
      <c r="F637" s="28">
        <f t="shared" si="85"/>
        <v>2.68</v>
      </c>
      <c r="G637" s="28">
        <f t="shared" si="86"/>
        <v>2.0099999999999998</v>
      </c>
      <c r="H637" s="28">
        <f t="shared" si="91"/>
        <v>67</v>
      </c>
      <c r="I637" s="28">
        <f t="shared" si="90"/>
        <v>35.844999999999999</v>
      </c>
      <c r="J637" s="348"/>
      <c r="K637" s="348"/>
      <c r="L637" s="348"/>
      <c r="M637" s="348"/>
      <c r="N637" s="348"/>
      <c r="O637" s="454">
        <v>599</v>
      </c>
      <c r="P637" s="454">
        <v>666</v>
      </c>
      <c r="Q637" s="351"/>
      <c r="R637" s="351"/>
      <c r="S637" s="54">
        <v>1</v>
      </c>
      <c r="T637" s="28">
        <f>(P637-O637)*S637</f>
        <v>67</v>
      </c>
      <c r="U637" s="31">
        <v>2568</v>
      </c>
      <c r="V637" s="542" t="s">
        <v>569</v>
      </c>
      <c r="W637" s="14" t="s">
        <v>90</v>
      </c>
      <c r="X637" s="7"/>
      <c r="Y637" s="7"/>
      <c r="Z637" s="7"/>
      <c r="AA637" s="7"/>
      <c r="AB637" s="7"/>
      <c r="AC637" s="7"/>
    </row>
    <row r="638" spans="1:29" ht="25.5">
      <c r="A638" s="23"/>
      <c r="B638" s="62" t="s">
        <v>570</v>
      </c>
      <c r="C638" s="28">
        <f>H638+E638</f>
        <v>639.86</v>
      </c>
      <c r="D638" s="77"/>
      <c r="E638" s="28">
        <f t="shared" si="89"/>
        <v>41.86</v>
      </c>
      <c r="F638" s="28">
        <f t="shared" si="85"/>
        <v>23.92</v>
      </c>
      <c r="G638" s="28">
        <f t="shared" si="86"/>
        <v>17.939999999999998</v>
      </c>
      <c r="H638" s="28">
        <f t="shared" si="91"/>
        <v>598</v>
      </c>
      <c r="I638" s="28">
        <f t="shared" si="90"/>
        <v>319.93</v>
      </c>
      <c r="J638" s="348"/>
      <c r="K638" s="348"/>
      <c r="L638" s="348"/>
      <c r="M638" s="348"/>
      <c r="N638" s="348"/>
      <c r="O638" s="454">
        <v>8294</v>
      </c>
      <c r="P638" s="454">
        <v>8892</v>
      </c>
      <c r="Q638" s="351"/>
      <c r="R638" s="351"/>
      <c r="S638" s="54">
        <v>1</v>
      </c>
      <c r="T638" s="28">
        <f t="shared" si="87"/>
        <v>598</v>
      </c>
      <c r="U638" s="31">
        <v>2643</v>
      </c>
      <c r="V638" s="540" t="s">
        <v>571</v>
      </c>
      <c r="W638" s="14" t="s">
        <v>90</v>
      </c>
      <c r="X638" s="7"/>
      <c r="Y638" s="7"/>
      <c r="Z638" s="7"/>
      <c r="AA638" s="7"/>
      <c r="AB638" s="7"/>
      <c r="AC638" s="7"/>
    </row>
    <row r="639" spans="1:29" ht="25.5">
      <c r="A639" s="23"/>
      <c r="B639" s="62" t="s">
        <v>572</v>
      </c>
      <c r="C639" s="28">
        <f t="shared" si="88"/>
        <v>670.89</v>
      </c>
      <c r="D639" s="77"/>
      <c r="E639" s="28">
        <f t="shared" si="89"/>
        <v>43.89</v>
      </c>
      <c r="F639" s="28">
        <f t="shared" si="85"/>
        <v>25.080000000000002</v>
      </c>
      <c r="G639" s="28">
        <f t="shared" si="86"/>
        <v>18.809999999999999</v>
      </c>
      <c r="H639" s="28">
        <f t="shared" si="91"/>
        <v>627</v>
      </c>
      <c r="I639" s="28">
        <f t="shared" si="90"/>
        <v>335.44499999999999</v>
      </c>
      <c r="J639" s="348"/>
      <c r="K639" s="348"/>
      <c r="L639" s="348"/>
      <c r="M639" s="348"/>
      <c r="N639" s="348"/>
      <c r="O639" s="454">
        <v>107263</v>
      </c>
      <c r="P639" s="454">
        <v>107890</v>
      </c>
      <c r="Q639" s="351"/>
      <c r="R639" s="351"/>
      <c r="S639" s="54">
        <v>1</v>
      </c>
      <c r="T639" s="28">
        <f>(P639-O639)*S639</f>
        <v>627</v>
      </c>
      <c r="U639" s="31">
        <v>1146</v>
      </c>
      <c r="V639" s="542" t="s">
        <v>573</v>
      </c>
      <c r="W639" s="14" t="s">
        <v>90</v>
      </c>
      <c r="X639" s="7"/>
      <c r="Y639" s="7"/>
      <c r="Z639" s="7"/>
      <c r="AA639" s="7"/>
      <c r="AB639" s="7"/>
      <c r="AC639" s="7"/>
    </row>
    <row r="640" spans="1:29" ht="25.5">
      <c r="A640" s="23"/>
      <c r="B640" s="62" t="s">
        <v>701</v>
      </c>
      <c r="C640" s="28">
        <f t="shared" si="88"/>
        <v>5001.18</v>
      </c>
      <c r="D640" s="77"/>
      <c r="E640" s="28">
        <f t="shared" si="89"/>
        <v>327.18</v>
      </c>
      <c r="F640" s="28">
        <f t="shared" si="85"/>
        <v>186.96</v>
      </c>
      <c r="G640" s="28">
        <f t="shared" si="86"/>
        <v>140.22</v>
      </c>
      <c r="H640" s="28">
        <f t="shared" si="91"/>
        <v>4674</v>
      </c>
      <c r="I640" s="28">
        <f t="shared" si="90"/>
        <v>2500.59</v>
      </c>
      <c r="J640" s="348"/>
      <c r="K640" s="348"/>
      <c r="L640" s="348"/>
      <c r="M640" s="348"/>
      <c r="N640" s="348"/>
      <c r="O640" s="454">
        <v>246082</v>
      </c>
      <c r="P640" s="454">
        <v>250756</v>
      </c>
      <c r="Q640" s="351"/>
      <c r="R640" s="351"/>
      <c r="S640" s="54">
        <v>1</v>
      </c>
      <c r="T640" s="28">
        <f>(P640-O640)*S640</f>
        <v>4674</v>
      </c>
      <c r="U640" s="31">
        <v>7883</v>
      </c>
      <c r="V640" s="542" t="s">
        <v>574</v>
      </c>
      <c r="W640" s="14" t="s">
        <v>90</v>
      </c>
      <c r="X640" s="7"/>
      <c r="Y640" s="7"/>
      <c r="Z640" s="7"/>
      <c r="AA640" s="7"/>
      <c r="AB640" s="7"/>
      <c r="AC640" s="7"/>
    </row>
    <row r="641" spans="1:29" ht="25.5">
      <c r="A641" s="23"/>
      <c r="B641" s="104"/>
      <c r="C641" s="91"/>
      <c r="D641" s="92"/>
      <c r="E641" s="91"/>
      <c r="F641" s="91"/>
      <c r="G641" s="91"/>
      <c r="H641" s="91"/>
      <c r="I641" s="91"/>
      <c r="J641" s="142"/>
      <c r="K641" s="142"/>
      <c r="L641" s="142"/>
      <c r="M641" s="142"/>
      <c r="N641" s="142"/>
      <c r="O641" s="258"/>
      <c r="P641" s="258"/>
      <c r="Q641" s="173"/>
      <c r="R641" s="173"/>
      <c r="S641" s="151"/>
      <c r="T641" s="91"/>
      <c r="U641" s="95"/>
      <c r="V641" s="538"/>
      <c r="W641" s="14"/>
      <c r="X641" s="7"/>
      <c r="Y641" s="7"/>
      <c r="Z641" s="7"/>
      <c r="AA641" s="7"/>
      <c r="AB641" s="7"/>
      <c r="AC641" s="7"/>
    </row>
    <row r="642" spans="1:29" ht="26.25">
      <c r="A642" s="23"/>
      <c r="B642" s="62" t="s">
        <v>575</v>
      </c>
      <c r="C642" s="28">
        <f t="shared" ref="C642" si="92">H642+E642</f>
        <v>630.23</v>
      </c>
      <c r="D642" s="72"/>
      <c r="E642" s="28">
        <f t="shared" ref="E642" si="93">F642+G642</f>
        <v>41.23</v>
      </c>
      <c r="F642" s="28">
        <f t="shared" ref="F642" si="94">0.04*H642</f>
        <v>23.56</v>
      </c>
      <c r="G642" s="28">
        <f t="shared" ref="G642" si="95">0.03*H642</f>
        <v>17.669999999999998</v>
      </c>
      <c r="H642" s="28">
        <f>T642</f>
        <v>589</v>
      </c>
      <c r="I642" s="28">
        <f t="shared" ref="I642" si="96">0.5*C642</f>
        <v>315.11500000000001</v>
      </c>
      <c r="J642" s="348"/>
      <c r="K642" s="348"/>
      <c r="L642" s="348"/>
      <c r="M642" s="348"/>
      <c r="N642" s="348"/>
      <c r="O642" s="454">
        <v>2318</v>
      </c>
      <c r="P642" s="454">
        <v>2907</v>
      </c>
      <c r="Q642" s="351"/>
      <c r="R642" s="351"/>
      <c r="S642" s="77">
        <v>1</v>
      </c>
      <c r="T642" s="28">
        <f>(P642-O642)*S642</f>
        <v>589</v>
      </c>
      <c r="U642" s="31"/>
      <c r="V642" s="542" t="s">
        <v>814</v>
      </c>
      <c r="W642" s="14"/>
      <c r="X642" s="7"/>
      <c r="Y642" s="7"/>
      <c r="Z642" s="7"/>
      <c r="AA642" s="7"/>
      <c r="AB642" s="7"/>
      <c r="AC642" s="7"/>
    </row>
    <row r="643" spans="1:29" ht="26.25">
      <c r="A643" s="23"/>
      <c r="B643" s="62" t="s">
        <v>575</v>
      </c>
      <c r="C643" s="28">
        <f t="shared" si="88"/>
        <v>68.48</v>
      </c>
      <c r="D643" s="72"/>
      <c r="E643" s="28">
        <f t="shared" si="89"/>
        <v>4.4800000000000004</v>
      </c>
      <c r="F643" s="28">
        <f t="shared" si="85"/>
        <v>2.56</v>
      </c>
      <c r="G643" s="28">
        <f t="shared" si="86"/>
        <v>1.92</v>
      </c>
      <c r="H643" s="28">
        <f>T643</f>
        <v>64</v>
      </c>
      <c r="I643" s="28">
        <f t="shared" si="90"/>
        <v>34.24</v>
      </c>
      <c r="J643" s="348"/>
      <c r="K643" s="348"/>
      <c r="L643" s="348"/>
      <c r="M643" s="348"/>
      <c r="N643" s="348"/>
      <c r="O643" s="454">
        <v>13616</v>
      </c>
      <c r="P643" s="454">
        <v>13680</v>
      </c>
      <c r="Q643" s="351"/>
      <c r="R643" s="351"/>
      <c r="S643" s="77">
        <v>1</v>
      </c>
      <c r="T643" s="28">
        <f>(P643-O643)*S643</f>
        <v>64</v>
      </c>
      <c r="U643" s="31">
        <v>370293</v>
      </c>
      <c r="V643" s="542" t="s">
        <v>815</v>
      </c>
      <c r="W643" s="14" t="s">
        <v>90</v>
      </c>
      <c r="X643" s="7"/>
      <c r="Y643" s="7"/>
      <c r="Z643" s="7"/>
      <c r="AA643" s="7"/>
      <c r="AB643" s="7"/>
      <c r="AC643" s="7"/>
    </row>
    <row r="644" spans="1:29" ht="57" customHeight="1">
      <c r="A644" s="252"/>
      <c r="B644" s="259" t="s">
        <v>702</v>
      </c>
      <c r="C644" s="260">
        <f t="shared" si="88"/>
        <v>53.5</v>
      </c>
      <c r="D644" s="261"/>
      <c r="E644" s="260">
        <f t="shared" si="89"/>
        <v>3.5</v>
      </c>
      <c r="F644" s="260">
        <f t="shared" si="85"/>
        <v>2</v>
      </c>
      <c r="G644" s="260">
        <f t="shared" si="86"/>
        <v>1.5</v>
      </c>
      <c r="H644" s="260">
        <f t="shared" si="91"/>
        <v>50</v>
      </c>
      <c r="I644" s="260">
        <f t="shared" si="90"/>
        <v>26.75</v>
      </c>
      <c r="J644" s="262"/>
      <c r="K644" s="262"/>
      <c r="L644" s="262"/>
      <c r="M644" s="262"/>
      <c r="N644" s="262"/>
      <c r="O644" s="263">
        <v>0</v>
      </c>
      <c r="P644" s="263">
        <v>50</v>
      </c>
      <c r="Q644" s="264"/>
      <c r="R644" s="264"/>
      <c r="S644" s="265">
        <v>1</v>
      </c>
      <c r="T644" s="260">
        <f>(P644-O644)*S644</f>
        <v>50</v>
      </c>
      <c r="U644" s="266" t="s">
        <v>336</v>
      </c>
      <c r="V644" s="267" t="s">
        <v>576</v>
      </c>
      <c r="W644" s="14"/>
      <c r="X644" s="7"/>
      <c r="Y644" s="7"/>
      <c r="Z644" s="7"/>
      <c r="AA644" s="7"/>
      <c r="AB644" s="7"/>
      <c r="AC644" s="7"/>
    </row>
    <row r="645" spans="1:29" ht="26.25">
      <c r="A645" s="252"/>
      <c r="B645" s="104"/>
      <c r="C645" s="91"/>
      <c r="D645" s="115"/>
      <c r="E645" s="91"/>
      <c r="F645" s="91"/>
      <c r="G645" s="91"/>
      <c r="H645" s="91"/>
      <c r="I645" s="91"/>
      <c r="J645" s="142"/>
      <c r="K645" s="142"/>
      <c r="L645" s="142"/>
      <c r="M645" s="142"/>
      <c r="N645" s="142"/>
      <c r="O645" s="258"/>
      <c r="P645" s="258"/>
      <c r="Q645" s="173"/>
      <c r="R645" s="173"/>
      <c r="S645" s="92"/>
      <c r="T645" s="91"/>
      <c r="U645" s="95"/>
      <c r="V645" s="538"/>
      <c r="W645" s="14"/>
      <c r="X645" s="7"/>
      <c r="Y645" s="7"/>
      <c r="Z645" s="7"/>
      <c r="AA645" s="7"/>
      <c r="AB645" s="7"/>
      <c r="AC645" s="7"/>
    </row>
    <row r="646" spans="1:29" ht="26.25">
      <c r="A646" s="252"/>
      <c r="B646" s="104" t="s">
        <v>577</v>
      </c>
      <c r="C646" s="91">
        <f t="shared" si="88"/>
        <v>0</v>
      </c>
      <c r="D646" s="115"/>
      <c r="E646" s="91">
        <f t="shared" si="89"/>
        <v>0</v>
      </c>
      <c r="F646" s="91">
        <f t="shared" si="85"/>
        <v>0</v>
      </c>
      <c r="G646" s="91">
        <f t="shared" si="86"/>
        <v>0</v>
      </c>
      <c r="H646" s="91">
        <f t="shared" si="91"/>
        <v>0</v>
      </c>
      <c r="I646" s="91">
        <f t="shared" si="90"/>
        <v>0</v>
      </c>
      <c r="J646" s="142"/>
      <c r="K646" s="142"/>
      <c r="L646" s="142"/>
      <c r="M646" s="142"/>
      <c r="N646" s="142"/>
      <c r="O646" s="258">
        <v>6430</v>
      </c>
      <c r="P646" s="258">
        <v>6430</v>
      </c>
      <c r="Q646" s="173"/>
      <c r="R646" s="173"/>
      <c r="S646" s="92">
        <v>1</v>
      </c>
      <c r="T646" s="91">
        <f>(P646-O646)*S646</f>
        <v>0</v>
      </c>
      <c r="U646" s="95">
        <v>1940</v>
      </c>
      <c r="V646" s="541" t="s">
        <v>816</v>
      </c>
      <c r="W646" s="14" t="s">
        <v>90</v>
      </c>
      <c r="X646" s="7"/>
      <c r="Y646" s="7"/>
      <c r="Z646" s="7"/>
      <c r="AA646" s="7"/>
      <c r="AB646" s="7"/>
      <c r="AC646" s="7"/>
    </row>
    <row r="647" spans="1:29" ht="26.25">
      <c r="A647" s="268"/>
      <c r="B647" s="357" t="s">
        <v>703</v>
      </c>
      <c r="C647" s="28">
        <f>H647+E647</f>
        <v>559.61</v>
      </c>
      <c r="D647" s="28"/>
      <c r="E647" s="28">
        <f>G647+F647</f>
        <v>36.61</v>
      </c>
      <c r="F647" s="28">
        <f>0.04*H647</f>
        <v>20.92</v>
      </c>
      <c r="G647" s="28">
        <f>0.03*H647</f>
        <v>15.69</v>
      </c>
      <c r="H647" s="28">
        <f>T647</f>
        <v>523</v>
      </c>
      <c r="I647" s="28">
        <f>0.6*C647</f>
        <v>335.76600000000002</v>
      </c>
      <c r="J647" s="29"/>
      <c r="K647" s="29"/>
      <c r="L647" s="29"/>
      <c r="M647" s="29"/>
      <c r="N647" s="29"/>
      <c r="O647" s="28">
        <v>16462</v>
      </c>
      <c r="P647" s="28">
        <v>16985</v>
      </c>
      <c r="Q647" s="30"/>
      <c r="R647" s="439"/>
      <c r="S647" s="54">
        <v>1</v>
      </c>
      <c r="T647" s="28">
        <f>(P647-O647)*S647</f>
        <v>523</v>
      </c>
      <c r="U647" s="31" t="s">
        <v>578</v>
      </c>
      <c r="V647" s="542" t="s">
        <v>751</v>
      </c>
      <c r="W647" s="14" t="s">
        <v>90</v>
      </c>
      <c r="X647" s="7"/>
      <c r="Y647" s="7"/>
      <c r="Z647" s="7"/>
      <c r="AA647" s="7"/>
      <c r="AB647" s="7"/>
      <c r="AC647" s="7"/>
    </row>
    <row r="648" spans="1:29" ht="26.25">
      <c r="A648" s="268"/>
      <c r="B648" s="104"/>
      <c r="C648" s="91"/>
      <c r="D648" s="91"/>
      <c r="E648" s="91"/>
      <c r="F648" s="91"/>
      <c r="G648" s="91"/>
      <c r="H648" s="91"/>
      <c r="I648" s="91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1"/>
      <c r="U648" s="95"/>
      <c r="V648" s="538"/>
      <c r="W648" s="14" t="s">
        <v>43</v>
      </c>
      <c r="X648" s="7"/>
      <c r="Y648" s="7"/>
      <c r="Z648" s="7"/>
      <c r="AA648" s="7"/>
      <c r="AB648" s="7"/>
      <c r="AC648" s="7"/>
    </row>
    <row r="649" spans="1:29" ht="26.25">
      <c r="A649" s="268"/>
      <c r="B649" s="339"/>
      <c r="C649" s="91"/>
      <c r="D649" s="91"/>
      <c r="E649" s="91"/>
      <c r="F649" s="91"/>
      <c r="G649" s="91"/>
      <c r="H649" s="91"/>
      <c r="I649" s="91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1"/>
      <c r="U649" s="95"/>
      <c r="V649" s="538"/>
      <c r="W649" s="14"/>
      <c r="X649" s="7"/>
      <c r="Y649" s="7"/>
      <c r="Z649" s="7"/>
      <c r="AA649" s="7"/>
      <c r="AB649" s="7"/>
      <c r="AC649" s="7"/>
    </row>
    <row r="650" spans="1:29" ht="26.25">
      <c r="A650" s="268"/>
      <c r="B650" s="62" t="s">
        <v>579</v>
      </c>
      <c r="C650" s="28">
        <f>H650+E650</f>
        <v>127.33</v>
      </c>
      <c r="D650" s="28"/>
      <c r="E650" s="28">
        <f t="shared" si="89"/>
        <v>8.33</v>
      </c>
      <c r="F650" s="28">
        <f t="shared" si="85"/>
        <v>4.76</v>
      </c>
      <c r="G650" s="28">
        <f t="shared" si="86"/>
        <v>3.57</v>
      </c>
      <c r="H650" s="28">
        <f t="shared" si="91"/>
        <v>119</v>
      </c>
      <c r="I650" s="28"/>
      <c r="J650" s="77"/>
      <c r="K650" s="77"/>
      <c r="L650" s="77"/>
      <c r="M650" s="77"/>
      <c r="N650" s="77"/>
      <c r="O650" s="77">
        <v>4016</v>
      </c>
      <c r="P650" s="77">
        <v>4135</v>
      </c>
      <c r="Q650" s="77"/>
      <c r="R650" s="77"/>
      <c r="S650" s="77">
        <v>1</v>
      </c>
      <c r="T650" s="28">
        <f>(P650-O650)*S650</f>
        <v>119</v>
      </c>
      <c r="U650" s="455" t="s">
        <v>580</v>
      </c>
      <c r="V650" s="542" t="s">
        <v>581</v>
      </c>
      <c r="W650" s="795" t="s">
        <v>90</v>
      </c>
      <c r="X650" s="7"/>
      <c r="Y650" s="7"/>
      <c r="Z650" s="7"/>
      <c r="AA650" s="7"/>
      <c r="AB650" s="7"/>
      <c r="AC650" s="7"/>
    </row>
    <row r="651" spans="1:29" ht="26.25">
      <c r="A651" s="268"/>
      <c r="B651" s="486"/>
      <c r="C651" s="315"/>
      <c r="D651" s="315"/>
      <c r="E651" s="315"/>
      <c r="F651" s="315"/>
      <c r="G651" s="315"/>
      <c r="H651" s="315"/>
      <c r="I651" s="315"/>
      <c r="J651" s="512"/>
      <c r="K651" s="512"/>
      <c r="L651" s="512"/>
      <c r="M651" s="512"/>
      <c r="N651" s="512"/>
      <c r="O651" s="512"/>
      <c r="P651" s="512"/>
      <c r="Q651" s="512"/>
      <c r="R651" s="512"/>
      <c r="S651" s="512"/>
      <c r="T651" s="315"/>
      <c r="U651" s="319"/>
      <c r="V651" s="317"/>
      <c r="W651" s="796"/>
      <c r="X651" s="7"/>
      <c r="Y651" s="7"/>
      <c r="Z651" s="7"/>
      <c r="AA651" s="7"/>
      <c r="AB651" s="7"/>
      <c r="AC651" s="7"/>
    </row>
    <row r="652" spans="1:29" ht="26.25">
      <c r="A652" s="268"/>
      <c r="B652" s="104"/>
      <c r="C652" s="91"/>
      <c r="D652" s="91"/>
      <c r="E652" s="91"/>
      <c r="F652" s="91"/>
      <c r="G652" s="91"/>
      <c r="H652" s="91"/>
      <c r="I652" s="91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1"/>
      <c r="U652" s="95"/>
      <c r="V652" s="538"/>
      <c r="W652" s="797"/>
      <c r="X652" s="7"/>
      <c r="Y652" s="7"/>
      <c r="Z652" s="7"/>
      <c r="AA652" s="7"/>
      <c r="AB652" s="7"/>
      <c r="AC652" s="7"/>
    </row>
    <row r="653" spans="1:29" ht="26.25">
      <c r="A653" s="268"/>
      <c r="B653" s="357" t="s">
        <v>704</v>
      </c>
      <c r="C653" s="28">
        <f>H653+E653</f>
        <v>148.72999999999999</v>
      </c>
      <c r="D653" s="28"/>
      <c r="E653" s="28">
        <f>F653+G653</f>
        <v>9.73</v>
      </c>
      <c r="F653" s="28">
        <f>0.04*H653</f>
        <v>5.5600000000000005</v>
      </c>
      <c r="G653" s="28">
        <f>0.03*H653</f>
        <v>4.17</v>
      </c>
      <c r="H653" s="28">
        <f>T653</f>
        <v>139</v>
      </c>
      <c r="I653" s="28">
        <f>0.6*C653</f>
        <v>89.237999999999985</v>
      </c>
      <c r="J653" s="29"/>
      <c r="K653" s="29"/>
      <c r="L653" s="29"/>
      <c r="M653" s="29"/>
      <c r="N653" s="29"/>
      <c r="O653" s="28">
        <v>8938</v>
      </c>
      <c r="P653" s="28">
        <v>9077</v>
      </c>
      <c r="Q653" s="29" t="s">
        <v>28</v>
      </c>
      <c r="R653" s="348"/>
      <c r="S653" s="54">
        <v>1</v>
      </c>
      <c r="T653" s="28">
        <f>(P653-O653)*S653</f>
        <v>139</v>
      </c>
      <c r="U653" s="31" t="s">
        <v>582</v>
      </c>
      <c r="V653" s="542" t="s">
        <v>583</v>
      </c>
      <c r="W653" s="14" t="s">
        <v>90</v>
      </c>
      <c r="X653" s="7"/>
      <c r="Y653" s="7"/>
      <c r="Z653" s="7"/>
      <c r="AA653" s="7"/>
      <c r="AB653" s="7"/>
      <c r="AC653" s="7"/>
    </row>
    <row r="654" spans="1:29" ht="26.25">
      <c r="A654" s="271"/>
      <c r="B654" s="143" t="s">
        <v>584</v>
      </c>
      <c r="C654" s="115">
        <f>SUM(C615:C653)</f>
        <v>37868.370000000017</v>
      </c>
      <c r="D654" s="115"/>
      <c r="E654" s="115">
        <f t="shared" si="89"/>
        <v>2402.4699999999998</v>
      </c>
      <c r="F654" s="115">
        <f t="shared" si="85"/>
        <v>1372.84</v>
      </c>
      <c r="G654" s="115">
        <f t="shared" si="86"/>
        <v>1029.6299999999999</v>
      </c>
      <c r="H654" s="115">
        <f>SUM(H616:H645)</f>
        <v>34321</v>
      </c>
      <c r="I654" s="115">
        <f>SUM(I616:I647)</f>
        <v>18697.501000000004</v>
      </c>
      <c r="J654" s="142"/>
      <c r="K654" s="142"/>
      <c r="L654" s="142"/>
      <c r="M654" s="142"/>
      <c r="N654" s="142"/>
      <c r="O654" s="94"/>
      <c r="P654" s="94"/>
      <c r="Q654" s="94"/>
      <c r="R654" s="94"/>
      <c r="S654" s="92"/>
      <c r="T654" s="91"/>
      <c r="U654" s="95"/>
      <c r="V654" s="538"/>
      <c r="W654" s="14"/>
      <c r="X654" s="7"/>
      <c r="Y654" s="7"/>
      <c r="Z654" s="7"/>
      <c r="AA654" s="7"/>
      <c r="AB654" s="7"/>
      <c r="AC654" s="7"/>
    </row>
    <row r="655" spans="1:29" ht="26.25">
      <c r="A655" s="271"/>
      <c r="B655" s="143"/>
      <c r="C655" s="115"/>
      <c r="D655" s="115"/>
      <c r="E655" s="115"/>
      <c r="F655" s="115"/>
      <c r="G655" s="115"/>
      <c r="H655" s="115"/>
      <c r="I655" s="115"/>
      <c r="J655" s="98"/>
      <c r="K655" s="98"/>
      <c r="L655" s="98"/>
      <c r="M655" s="98"/>
      <c r="N655" s="98"/>
      <c r="O655" s="94"/>
      <c r="P655" s="94"/>
      <c r="Q655" s="227"/>
      <c r="R655" s="228"/>
      <c r="S655" s="92"/>
      <c r="T655" s="91"/>
      <c r="U655" s="95"/>
      <c r="V655" s="538"/>
      <c r="W655" s="14"/>
      <c r="X655" s="7"/>
      <c r="Y655" s="7"/>
      <c r="Z655" s="7"/>
      <c r="AA655" s="7"/>
      <c r="AB655" s="7"/>
      <c r="AC655" s="7"/>
    </row>
    <row r="656" spans="1:29" ht="26.25">
      <c r="A656" s="271"/>
      <c r="B656" s="143" t="s">
        <v>585</v>
      </c>
      <c r="C656" s="91"/>
      <c r="D656" s="92"/>
      <c r="E656" s="91"/>
      <c r="F656" s="91"/>
      <c r="G656" s="91"/>
      <c r="H656" s="92"/>
      <c r="I656" s="92"/>
      <c r="J656" s="98"/>
      <c r="K656" s="98"/>
      <c r="L656" s="98"/>
      <c r="M656" s="98"/>
      <c r="N656" s="98"/>
      <c r="O656" s="92"/>
      <c r="P656" s="92"/>
      <c r="Q656" s="105"/>
      <c r="R656" s="106"/>
      <c r="S656" s="92"/>
      <c r="T656" s="91"/>
      <c r="U656" s="95"/>
      <c r="V656" s="538"/>
      <c r="W656" s="14"/>
      <c r="X656" s="7"/>
      <c r="Y656" s="7"/>
      <c r="Z656" s="7"/>
      <c r="AA656" s="7"/>
      <c r="AB656" s="7"/>
      <c r="AC656" s="7"/>
    </row>
    <row r="657" spans="1:29" ht="25.5">
      <c r="A657" s="252"/>
      <c r="B657" s="62"/>
      <c r="C657" s="28"/>
      <c r="D657" s="77"/>
      <c r="E657" s="28"/>
      <c r="F657" s="28"/>
      <c r="G657" s="28"/>
      <c r="H657" s="28"/>
      <c r="I657" s="77"/>
      <c r="J657" s="46"/>
      <c r="K657" s="46"/>
      <c r="L657" s="46"/>
      <c r="M657" s="46"/>
      <c r="N657" s="46"/>
      <c r="O657" s="77"/>
      <c r="P657" s="77"/>
      <c r="Q657" s="79"/>
      <c r="R657" s="80"/>
      <c r="S657" s="77"/>
      <c r="T657" s="28"/>
      <c r="U657" s="31"/>
      <c r="V657" s="540"/>
      <c r="W657" s="14"/>
      <c r="X657" s="7"/>
      <c r="Y657" s="7"/>
      <c r="Z657" s="7"/>
      <c r="AA657" s="7"/>
      <c r="AB657" s="7"/>
      <c r="AC657" s="7"/>
    </row>
    <row r="658" spans="1:29" ht="25.5">
      <c r="A658" s="252"/>
      <c r="B658" s="62" t="s">
        <v>705</v>
      </c>
      <c r="C658" s="28">
        <f t="shared" ref="C658:C696" si="97">H658+E658</f>
        <v>3233.54</v>
      </c>
      <c r="D658" s="77"/>
      <c r="E658" s="28">
        <f t="shared" ref="E658:E696" si="98">F658+G658</f>
        <v>211.54</v>
      </c>
      <c r="F658" s="28">
        <f t="shared" ref="F658:F696" si="99">0.04*T658</f>
        <v>120.88</v>
      </c>
      <c r="G658" s="28">
        <f t="shared" ref="G658:G696" si="100">0.03*T658</f>
        <v>90.66</v>
      </c>
      <c r="H658" s="28">
        <f t="shared" ref="H658:H696" si="101">T658</f>
        <v>3022</v>
      </c>
      <c r="I658" s="28">
        <f>H658*0.5</f>
        <v>1511</v>
      </c>
      <c r="J658" s="46"/>
      <c r="K658" s="46"/>
      <c r="L658" s="46"/>
      <c r="M658" s="46"/>
      <c r="N658" s="46"/>
      <c r="O658" s="77">
        <v>35978</v>
      </c>
      <c r="P658" s="77">
        <v>39000</v>
      </c>
      <c r="Q658" s="79"/>
      <c r="R658" s="80"/>
      <c r="S658" s="77">
        <v>1</v>
      </c>
      <c r="T658" s="28">
        <f t="shared" ref="T658:T694" si="102">(P658-O658)*S658</f>
        <v>3022</v>
      </c>
      <c r="U658" s="31" t="s">
        <v>586</v>
      </c>
      <c r="V658" s="542" t="s">
        <v>587</v>
      </c>
      <c r="W658" s="14" t="s">
        <v>48</v>
      </c>
      <c r="X658" s="7"/>
      <c r="Y658" s="7"/>
      <c r="Z658" s="7"/>
      <c r="AA658" s="7"/>
      <c r="AB658" s="7"/>
      <c r="AC658" s="7"/>
    </row>
    <row r="659" spans="1:29" ht="25.5">
      <c r="A659" s="252"/>
      <c r="B659" s="62" t="s">
        <v>836</v>
      </c>
      <c r="C659" s="28">
        <f t="shared" si="97"/>
        <v>4574.25</v>
      </c>
      <c r="D659" s="77"/>
      <c r="E659" s="28">
        <f t="shared" si="98"/>
        <v>299.25</v>
      </c>
      <c r="F659" s="28">
        <f t="shared" si="99"/>
        <v>171</v>
      </c>
      <c r="G659" s="28">
        <f t="shared" si="100"/>
        <v>128.25</v>
      </c>
      <c r="H659" s="28">
        <f t="shared" si="101"/>
        <v>4275</v>
      </c>
      <c r="I659" s="28">
        <f t="shared" ref="I659:I696" si="103">H659*0.5</f>
        <v>2137.5</v>
      </c>
      <c r="J659" s="46"/>
      <c r="K659" s="46"/>
      <c r="L659" s="46"/>
      <c r="M659" s="46"/>
      <c r="N659" s="46"/>
      <c r="O659" s="77">
        <v>151253</v>
      </c>
      <c r="P659" s="77">
        <v>155528</v>
      </c>
      <c r="Q659" s="79"/>
      <c r="R659" s="80"/>
      <c r="S659" s="77">
        <v>1</v>
      </c>
      <c r="T659" s="28">
        <f t="shared" si="102"/>
        <v>4275</v>
      </c>
      <c r="U659" s="31"/>
      <c r="V659" s="542" t="s">
        <v>753</v>
      </c>
      <c r="W659" s="14" t="s">
        <v>48</v>
      </c>
      <c r="X659" s="7"/>
      <c r="Y659" s="7"/>
      <c r="Z659" s="7"/>
      <c r="AA659" s="7"/>
      <c r="AB659" s="7"/>
      <c r="AC659" s="7"/>
    </row>
    <row r="660" spans="1:29" ht="25.5">
      <c r="A660" s="252"/>
      <c r="B660" s="62" t="s">
        <v>588</v>
      </c>
      <c r="C660" s="28">
        <f t="shared" si="97"/>
        <v>190.46</v>
      </c>
      <c r="D660" s="77"/>
      <c r="E660" s="28">
        <f t="shared" si="98"/>
        <v>12.46</v>
      </c>
      <c r="F660" s="28">
        <f t="shared" si="99"/>
        <v>7.12</v>
      </c>
      <c r="G660" s="28">
        <f t="shared" si="100"/>
        <v>5.34</v>
      </c>
      <c r="H660" s="28">
        <f t="shared" si="101"/>
        <v>178</v>
      </c>
      <c r="I660" s="28">
        <f t="shared" si="103"/>
        <v>89</v>
      </c>
      <c r="J660" s="46"/>
      <c r="K660" s="46"/>
      <c r="L660" s="46"/>
      <c r="M660" s="46"/>
      <c r="N660" s="46"/>
      <c r="O660" s="77">
        <v>15317</v>
      </c>
      <c r="P660" s="77">
        <v>15495</v>
      </c>
      <c r="Q660" s="79"/>
      <c r="R660" s="80"/>
      <c r="S660" s="77">
        <v>1</v>
      </c>
      <c r="T660" s="28">
        <f t="shared" si="102"/>
        <v>178</v>
      </c>
      <c r="U660" s="31">
        <v>4691</v>
      </c>
      <c r="V660" s="542" t="s">
        <v>589</v>
      </c>
      <c r="W660" s="14" t="s">
        <v>48</v>
      </c>
      <c r="X660" s="7"/>
      <c r="Y660" s="7"/>
      <c r="Z660" s="7"/>
      <c r="AA660" s="7"/>
      <c r="AB660" s="7"/>
      <c r="AC660" s="7"/>
    </row>
    <row r="661" spans="1:29" ht="25.5">
      <c r="A661" s="252"/>
      <c r="B661" s="62" t="s">
        <v>590</v>
      </c>
      <c r="C661" s="28">
        <f t="shared" si="97"/>
        <v>347.75</v>
      </c>
      <c r="D661" s="77"/>
      <c r="E661" s="28">
        <f t="shared" si="98"/>
        <v>22.75</v>
      </c>
      <c r="F661" s="28">
        <f t="shared" si="99"/>
        <v>13</v>
      </c>
      <c r="G661" s="28">
        <f t="shared" si="100"/>
        <v>9.75</v>
      </c>
      <c r="H661" s="28">
        <f t="shared" si="101"/>
        <v>325</v>
      </c>
      <c r="I661" s="28">
        <f t="shared" si="103"/>
        <v>162.5</v>
      </c>
      <c r="J661" s="46"/>
      <c r="K661" s="46"/>
      <c r="L661" s="46"/>
      <c r="M661" s="46"/>
      <c r="N661" s="46"/>
      <c r="O661" s="77">
        <v>17331</v>
      </c>
      <c r="P661" s="77">
        <v>17656</v>
      </c>
      <c r="Q661" s="79"/>
      <c r="R661" s="80"/>
      <c r="S661" s="77">
        <v>1</v>
      </c>
      <c r="T661" s="28">
        <f t="shared" si="102"/>
        <v>325</v>
      </c>
      <c r="U661" s="31">
        <v>1641</v>
      </c>
      <c r="V661" s="542" t="s">
        <v>591</v>
      </c>
      <c r="W661" s="14" t="s">
        <v>48</v>
      </c>
      <c r="X661" s="7"/>
      <c r="Y661" s="7"/>
      <c r="Z661" s="7"/>
      <c r="AA661" s="7"/>
      <c r="AB661" s="7"/>
      <c r="AC661" s="7"/>
    </row>
    <row r="662" spans="1:29" ht="25.5">
      <c r="A662" s="252"/>
      <c r="B662" s="62" t="s">
        <v>592</v>
      </c>
      <c r="C662" s="28">
        <f t="shared" si="97"/>
        <v>321</v>
      </c>
      <c r="D662" s="77"/>
      <c r="E662" s="28">
        <f t="shared" si="98"/>
        <v>21</v>
      </c>
      <c r="F662" s="28">
        <f t="shared" si="99"/>
        <v>12</v>
      </c>
      <c r="G662" s="28">
        <f t="shared" si="100"/>
        <v>9</v>
      </c>
      <c r="H662" s="28">
        <f t="shared" si="101"/>
        <v>300</v>
      </c>
      <c r="I662" s="28">
        <f t="shared" si="103"/>
        <v>150</v>
      </c>
      <c r="J662" s="46"/>
      <c r="K662" s="46"/>
      <c r="L662" s="46"/>
      <c r="M662" s="46"/>
      <c r="N662" s="46"/>
      <c r="O662" s="77">
        <v>17266</v>
      </c>
      <c r="P662" s="77">
        <v>17566</v>
      </c>
      <c r="Q662" s="79"/>
      <c r="R662" s="80"/>
      <c r="S662" s="77">
        <v>1</v>
      </c>
      <c r="T662" s="28">
        <f t="shared" si="102"/>
        <v>300</v>
      </c>
      <c r="U662" s="31">
        <v>6943</v>
      </c>
      <c r="V662" s="542" t="s">
        <v>593</v>
      </c>
      <c r="W662" s="14" t="s">
        <v>48</v>
      </c>
      <c r="X662" s="7"/>
      <c r="Y662" s="7"/>
      <c r="Z662" s="7"/>
      <c r="AA662" s="7"/>
      <c r="AB662" s="7"/>
      <c r="AC662" s="7"/>
    </row>
    <row r="663" spans="1:29" ht="25.5">
      <c r="A663" s="252"/>
      <c r="B663" s="62" t="s">
        <v>594</v>
      </c>
      <c r="C663" s="28">
        <f t="shared" si="97"/>
        <v>315.64999999999998</v>
      </c>
      <c r="D663" s="77"/>
      <c r="E663" s="28">
        <f t="shared" si="98"/>
        <v>20.65</v>
      </c>
      <c r="F663" s="28">
        <f t="shared" si="99"/>
        <v>11.8</v>
      </c>
      <c r="G663" s="28">
        <f t="shared" si="100"/>
        <v>8.85</v>
      </c>
      <c r="H663" s="28">
        <f t="shared" si="101"/>
        <v>295</v>
      </c>
      <c r="I663" s="28">
        <f t="shared" si="103"/>
        <v>147.5</v>
      </c>
      <c r="J663" s="46"/>
      <c r="K663" s="46"/>
      <c r="L663" s="46"/>
      <c r="M663" s="46"/>
      <c r="N663" s="46"/>
      <c r="O663" s="77">
        <v>20670</v>
      </c>
      <c r="P663" s="77">
        <v>20965</v>
      </c>
      <c r="Q663" s="79"/>
      <c r="R663" s="80"/>
      <c r="S663" s="77">
        <v>1</v>
      </c>
      <c r="T663" s="28">
        <f t="shared" si="102"/>
        <v>295</v>
      </c>
      <c r="U663" s="31">
        <v>9787</v>
      </c>
      <c r="V663" s="542" t="s">
        <v>595</v>
      </c>
      <c r="W663" s="14" t="s">
        <v>48</v>
      </c>
      <c r="X663" s="7"/>
      <c r="Y663" s="7"/>
      <c r="Z663" s="7"/>
      <c r="AA663" s="7"/>
      <c r="AB663" s="7"/>
      <c r="AC663" s="7"/>
    </row>
    <row r="664" spans="1:29" ht="25.5">
      <c r="A664" s="252"/>
      <c r="B664" s="62" t="s">
        <v>596</v>
      </c>
      <c r="C664" s="28">
        <f t="shared" si="97"/>
        <v>236.47</v>
      </c>
      <c r="D664" s="77"/>
      <c r="E664" s="28">
        <f t="shared" si="98"/>
        <v>15.469999999999999</v>
      </c>
      <c r="F664" s="28">
        <f t="shared" si="99"/>
        <v>8.84</v>
      </c>
      <c r="G664" s="28">
        <f t="shared" si="100"/>
        <v>6.63</v>
      </c>
      <c r="H664" s="28">
        <f t="shared" si="101"/>
        <v>221</v>
      </c>
      <c r="I664" s="28">
        <f t="shared" si="103"/>
        <v>110.5</v>
      </c>
      <c r="J664" s="46"/>
      <c r="K664" s="46"/>
      <c r="L664" s="46"/>
      <c r="M664" s="46"/>
      <c r="N664" s="46"/>
      <c r="O664" s="77">
        <v>20348</v>
      </c>
      <c r="P664" s="77">
        <v>20569</v>
      </c>
      <c r="Q664" s="79"/>
      <c r="R664" s="80"/>
      <c r="S664" s="77">
        <v>1</v>
      </c>
      <c r="T664" s="28">
        <f t="shared" si="102"/>
        <v>221</v>
      </c>
      <c r="U664" s="31" t="s">
        <v>597</v>
      </c>
      <c r="V664" s="542" t="s">
        <v>598</v>
      </c>
      <c r="W664" s="14" t="s">
        <v>48</v>
      </c>
      <c r="X664" s="7"/>
      <c r="Y664" s="7"/>
      <c r="Z664" s="7"/>
      <c r="AA664" s="7"/>
      <c r="AB664" s="7"/>
      <c r="AC664" s="7"/>
    </row>
    <row r="665" spans="1:29" ht="25.5">
      <c r="A665" s="252"/>
      <c r="B665" s="62" t="s">
        <v>599</v>
      </c>
      <c r="C665" s="28">
        <f t="shared" si="97"/>
        <v>822.83</v>
      </c>
      <c r="D665" s="77"/>
      <c r="E665" s="28">
        <f t="shared" si="98"/>
        <v>53.83</v>
      </c>
      <c r="F665" s="28">
        <f t="shared" si="99"/>
        <v>30.76</v>
      </c>
      <c r="G665" s="28">
        <f t="shared" si="100"/>
        <v>23.07</v>
      </c>
      <c r="H665" s="28">
        <f t="shared" si="101"/>
        <v>769</v>
      </c>
      <c r="I665" s="28">
        <f t="shared" si="103"/>
        <v>384.5</v>
      </c>
      <c r="J665" s="46"/>
      <c r="K665" s="46"/>
      <c r="L665" s="46"/>
      <c r="M665" s="46"/>
      <c r="N665" s="46"/>
      <c r="O665" s="77">
        <v>34127</v>
      </c>
      <c r="P665" s="77">
        <v>34896</v>
      </c>
      <c r="Q665" s="79"/>
      <c r="R665" s="80"/>
      <c r="S665" s="77">
        <v>1</v>
      </c>
      <c r="T665" s="28">
        <f t="shared" si="102"/>
        <v>769</v>
      </c>
      <c r="U665" s="31">
        <v>9791</v>
      </c>
      <c r="V665" s="542" t="s">
        <v>600</v>
      </c>
      <c r="W665" s="14" t="s">
        <v>48</v>
      </c>
      <c r="X665" s="7"/>
      <c r="Y665" s="7"/>
      <c r="Z665" s="7"/>
      <c r="AA665" s="7"/>
      <c r="AB665" s="7"/>
      <c r="AC665" s="7"/>
    </row>
    <row r="666" spans="1:29" ht="25.5">
      <c r="A666" s="252"/>
      <c r="B666" s="269" t="s">
        <v>601</v>
      </c>
      <c r="C666" s="28">
        <f t="shared" si="97"/>
        <v>184.04</v>
      </c>
      <c r="D666" s="77"/>
      <c r="E666" s="28">
        <f t="shared" si="98"/>
        <v>12.04</v>
      </c>
      <c r="F666" s="28">
        <f t="shared" si="99"/>
        <v>6.88</v>
      </c>
      <c r="G666" s="28">
        <f t="shared" si="100"/>
        <v>5.16</v>
      </c>
      <c r="H666" s="28">
        <f t="shared" si="101"/>
        <v>172</v>
      </c>
      <c r="I666" s="28">
        <f t="shared" si="103"/>
        <v>86</v>
      </c>
      <c r="J666" s="46"/>
      <c r="K666" s="46"/>
      <c r="L666" s="46"/>
      <c r="M666" s="46"/>
      <c r="N666" s="46"/>
      <c r="O666" s="77">
        <v>9236</v>
      </c>
      <c r="P666" s="77">
        <v>9408</v>
      </c>
      <c r="Q666" s="79"/>
      <c r="R666" s="80"/>
      <c r="S666" s="77">
        <v>1</v>
      </c>
      <c r="T666" s="28">
        <f t="shared" si="102"/>
        <v>172</v>
      </c>
      <c r="U666" s="31">
        <v>1049</v>
      </c>
      <c r="V666" s="542" t="s">
        <v>602</v>
      </c>
      <c r="W666" s="14" t="s">
        <v>48</v>
      </c>
      <c r="X666" s="7"/>
      <c r="Y666" s="7"/>
      <c r="Z666" s="7"/>
      <c r="AA666" s="7"/>
      <c r="AB666" s="7"/>
      <c r="AC666" s="7"/>
    </row>
    <row r="667" spans="1:29" ht="25.5">
      <c r="A667" s="252"/>
      <c r="B667" s="62" t="s">
        <v>706</v>
      </c>
      <c r="C667" s="28">
        <f t="shared" si="97"/>
        <v>1525.82</v>
      </c>
      <c r="D667" s="77"/>
      <c r="E667" s="28">
        <f t="shared" si="98"/>
        <v>99.82</v>
      </c>
      <c r="F667" s="28">
        <f t="shared" si="99"/>
        <v>57.04</v>
      </c>
      <c r="G667" s="28">
        <f t="shared" si="100"/>
        <v>42.78</v>
      </c>
      <c r="H667" s="28">
        <f t="shared" si="101"/>
        <v>1426</v>
      </c>
      <c r="I667" s="28">
        <f t="shared" si="103"/>
        <v>713</v>
      </c>
      <c r="J667" s="46"/>
      <c r="K667" s="46"/>
      <c r="L667" s="46"/>
      <c r="M667" s="46"/>
      <c r="N667" s="46"/>
      <c r="O667" s="77">
        <v>85643</v>
      </c>
      <c r="P667" s="77">
        <v>87069</v>
      </c>
      <c r="Q667" s="79"/>
      <c r="R667" s="80"/>
      <c r="S667" s="77">
        <v>1</v>
      </c>
      <c r="T667" s="28">
        <f t="shared" si="102"/>
        <v>1426</v>
      </c>
      <c r="U667" s="31">
        <v>4265</v>
      </c>
      <c r="V667" s="542" t="s">
        <v>603</v>
      </c>
      <c r="W667" s="14" t="s">
        <v>48</v>
      </c>
      <c r="X667" s="7"/>
      <c r="Y667" s="7"/>
      <c r="Z667" s="7"/>
      <c r="AA667" s="7"/>
      <c r="AB667" s="7"/>
      <c r="AC667" s="7"/>
    </row>
    <row r="668" spans="1:29" ht="25.5">
      <c r="A668" s="252"/>
      <c r="B668" s="62" t="s">
        <v>604</v>
      </c>
      <c r="C668" s="28">
        <f t="shared" si="97"/>
        <v>667.68</v>
      </c>
      <c r="D668" s="77"/>
      <c r="E668" s="28">
        <f t="shared" si="98"/>
        <v>43.68</v>
      </c>
      <c r="F668" s="28">
        <f t="shared" si="99"/>
        <v>24.96</v>
      </c>
      <c r="G668" s="28">
        <f t="shared" si="100"/>
        <v>18.72</v>
      </c>
      <c r="H668" s="28">
        <f t="shared" si="101"/>
        <v>624</v>
      </c>
      <c r="I668" s="28">
        <f t="shared" si="103"/>
        <v>312</v>
      </c>
      <c r="J668" s="46"/>
      <c r="K668" s="46"/>
      <c r="L668" s="46"/>
      <c r="M668" s="46"/>
      <c r="N668" s="46"/>
      <c r="O668" s="77">
        <v>40051</v>
      </c>
      <c r="P668" s="77">
        <v>40675</v>
      </c>
      <c r="Q668" s="79"/>
      <c r="R668" s="80"/>
      <c r="S668" s="77">
        <v>1</v>
      </c>
      <c r="T668" s="28">
        <f t="shared" si="102"/>
        <v>624</v>
      </c>
      <c r="U668" s="31">
        <v>3583</v>
      </c>
      <c r="V668" s="542" t="s">
        <v>605</v>
      </c>
      <c r="W668" s="14" t="s">
        <v>48</v>
      </c>
      <c r="X668" s="7"/>
      <c r="Y668" s="7"/>
      <c r="Z668" s="7"/>
      <c r="AA668" s="7"/>
      <c r="AB668" s="7"/>
      <c r="AC668" s="7"/>
    </row>
    <row r="669" spans="1:29" ht="25.5">
      <c r="A669" s="252"/>
      <c r="B669" s="62" t="s">
        <v>606</v>
      </c>
      <c r="C669" s="28">
        <f t="shared" si="97"/>
        <v>177.62</v>
      </c>
      <c r="D669" s="77"/>
      <c r="E669" s="28">
        <f t="shared" si="98"/>
        <v>11.620000000000001</v>
      </c>
      <c r="F669" s="28">
        <f t="shared" si="99"/>
        <v>6.6400000000000006</v>
      </c>
      <c r="G669" s="28">
        <f t="shared" si="100"/>
        <v>4.9799999999999995</v>
      </c>
      <c r="H669" s="28">
        <f t="shared" si="101"/>
        <v>166</v>
      </c>
      <c r="I669" s="28">
        <f t="shared" si="103"/>
        <v>83</v>
      </c>
      <c r="J669" s="46"/>
      <c r="K669" s="46"/>
      <c r="L669" s="46"/>
      <c r="M669" s="46"/>
      <c r="N669" s="46"/>
      <c r="O669" s="77">
        <v>8967</v>
      </c>
      <c r="P669" s="77">
        <v>9133</v>
      </c>
      <c r="Q669" s="79"/>
      <c r="R669" s="80"/>
      <c r="S669" s="77">
        <v>1</v>
      </c>
      <c r="T669" s="28">
        <f t="shared" si="102"/>
        <v>166</v>
      </c>
      <c r="U669" s="31">
        <v>4513</v>
      </c>
      <c r="V669" s="542" t="s">
        <v>607</v>
      </c>
      <c r="W669" s="14" t="s">
        <v>48</v>
      </c>
      <c r="X669" s="7"/>
      <c r="Y669" s="7"/>
      <c r="Z669" s="7"/>
      <c r="AA669" s="7"/>
      <c r="AB669" s="7"/>
      <c r="AC669" s="7"/>
    </row>
    <row r="670" spans="1:29" ht="25.5">
      <c r="A670" s="252"/>
      <c r="B670" s="62" t="s">
        <v>608</v>
      </c>
      <c r="C670" s="28">
        <f t="shared" si="97"/>
        <v>293.18</v>
      </c>
      <c r="D670" s="77"/>
      <c r="E670" s="28">
        <f t="shared" si="98"/>
        <v>19.18</v>
      </c>
      <c r="F670" s="28">
        <f t="shared" si="99"/>
        <v>10.96</v>
      </c>
      <c r="G670" s="28">
        <f t="shared" si="100"/>
        <v>8.2199999999999989</v>
      </c>
      <c r="H670" s="28">
        <f t="shared" si="101"/>
        <v>274</v>
      </c>
      <c r="I670" s="28">
        <f t="shared" si="103"/>
        <v>137</v>
      </c>
      <c r="J670" s="46"/>
      <c r="K670" s="46"/>
      <c r="L670" s="46"/>
      <c r="M670" s="46"/>
      <c r="N670" s="46"/>
      <c r="O670" s="77">
        <v>15200</v>
      </c>
      <c r="P670" s="77">
        <v>15474</v>
      </c>
      <c r="Q670" s="79"/>
      <c r="R670" s="80"/>
      <c r="S670" s="77">
        <v>1</v>
      </c>
      <c r="T670" s="28">
        <f t="shared" si="102"/>
        <v>274</v>
      </c>
      <c r="U670" s="31">
        <v>3882</v>
      </c>
      <c r="V670" s="542" t="s">
        <v>609</v>
      </c>
      <c r="W670" s="14" t="s">
        <v>48</v>
      </c>
      <c r="X670" s="7"/>
      <c r="Y670" s="7"/>
      <c r="Z670" s="7"/>
      <c r="AA670" s="7"/>
      <c r="AB670" s="7"/>
      <c r="AC670" s="7"/>
    </row>
    <row r="671" spans="1:29" ht="25.5">
      <c r="A671" s="252"/>
      <c r="B671" s="62" t="s">
        <v>707</v>
      </c>
      <c r="C671" s="28">
        <f t="shared" si="97"/>
        <v>747.93</v>
      </c>
      <c r="D671" s="77"/>
      <c r="E671" s="28">
        <f t="shared" si="98"/>
        <v>48.93</v>
      </c>
      <c r="F671" s="28">
        <f t="shared" si="99"/>
        <v>27.96</v>
      </c>
      <c r="G671" s="28">
        <f t="shared" si="100"/>
        <v>20.97</v>
      </c>
      <c r="H671" s="28">
        <f t="shared" si="101"/>
        <v>699</v>
      </c>
      <c r="I671" s="28">
        <f t="shared" si="103"/>
        <v>349.5</v>
      </c>
      <c r="J671" s="46"/>
      <c r="K671" s="46"/>
      <c r="L671" s="46"/>
      <c r="M671" s="46"/>
      <c r="N671" s="46"/>
      <c r="O671" s="77">
        <v>21742</v>
      </c>
      <c r="P671" s="77">
        <v>22441</v>
      </c>
      <c r="Q671" s="79"/>
      <c r="R671" s="80"/>
      <c r="S671" s="77">
        <v>1</v>
      </c>
      <c r="T671" s="28">
        <f t="shared" si="102"/>
        <v>699</v>
      </c>
      <c r="U671" s="31">
        <v>6296</v>
      </c>
      <c r="V671" s="542" t="s">
        <v>687</v>
      </c>
      <c r="W671" s="14" t="s">
        <v>48</v>
      </c>
      <c r="X671" s="7"/>
      <c r="Y671" s="7"/>
      <c r="Z671" s="7"/>
      <c r="AA671" s="7"/>
      <c r="AB671" s="7"/>
      <c r="AC671" s="7"/>
    </row>
    <row r="672" spans="1:29" ht="27" customHeight="1">
      <c r="B672" s="62" t="s">
        <v>840</v>
      </c>
      <c r="C672" s="28">
        <f t="shared" ref="C672" si="104">H672+E672</f>
        <v>266.43</v>
      </c>
      <c r="D672" s="77"/>
      <c r="E672" s="28">
        <f t="shared" ref="E672" si="105">F672+G672</f>
        <v>17.43</v>
      </c>
      <c r="F672" s="28">
        <f t="shared" ref="F672" si="106">0.04*T672</f>
        <v>9.9600000000000009</v>
      </c>
      <c r="G672" s="28">
        <f t="shared" ref="G672" si="107">0.03*T672</f>
        <v>7.47</v>
      </c>
      <c r="H672" s="28">
        <f t="shared" ref="H672" si="108">T672</f>
        <v>249</v>
      </c>
      <c r="I672" s="28">
        <f t="shared" ref="I672" si="109">H672*0.5</f>
        <v>124.5</v>
      </c>
      <c r="J672" s="46"/>
      <c r="K672" s="46"/>
      <c r="L672" s="46"/>
      <c r="M672" s="46"/>
      <c r="N672" s="46"/>
      <c r="O672" s="77">
        <v>8796</v>
      </c>
      <c r="P672" s="77">
        <v>9045</v>
      </c>
      <c r="Q672" s="79"/>
      <c r="R672" s="80"/>
      <c r="S672" s="77">
        <v>1</v>
      </c>
      <c r="T672" s="28">
        <f t="shared" ref="T672" si="110">(P672-O672)*S672</f>
        <v>249</v>
      </c>
      <c r="U672" s="31">
        <v>9873</v>
      </c>
      <c r="V672" s="542" t="s">
        <v>841</v>
      </c>
    </row>
    <row r="673" spans="1:29" ht="25.5">
      <c r="A673" s="252"/>
      <c r="B673" s="62" t="s">
        <v>611</v>
      </c>
      <c r="C673" s="28">
        <f t="shared" si="97"/>
        <v>417.3</v>
      </c>
      <c r="D673" s="77"/>
      <c r="E673" s="28">
        <f t="shared" si="98"/>
        <v>27.299999999999997</v>
      </c>
      <c r="F673" s="28">
        <f t="shared" si="99"/>
        <v>15.6</v>
      </c>
      <c r="G673" s="28">
        <f t="shared" si="100"/>
        <v>11.7</v>
      </c>
      <c r="H673" s="28">
        <f t="shared" si="101"/>
        <v>390</v>
      </c>
      <c r="I673" s="28">
        <f t="shared" si="103"/>
        <v>195</v>
      </c>
      <c r="J673" s="46"/>
      <c r="K673" s="46"/>
      <c r="L673" s="46"/>
      <c r="M673" s="46"/>
      <c r="N673" s="46"/>
      <c r="O673" s="77">
        <v>15686</v>
      </c>
      <c r="P673" s="77">
        <v>16076</v>
      </c>
      <c r="Q673" s="79"/>
      <c r="R673" s="80"/>
      <c r="S673" s="77">
        <v>1</v>
      </c>
      <c r="T673" s="28">
        <f t="shared" si="102"/>
        <v>390</v>
      </c>
      <c r="U673" s="31">
        <v>5679</v>
      </c>
      <c r="V673" s="542" t="s">
        <v>289</v>
      </c>
      <c r="W673" s="14" t="s">
        <v>48</v>
      </c>
      <c r="X673" s="7"/>
      <c r="Y673" s="7"/>
      <c r="Z673" s="7"/>
      <c r="AA673" s="7"/>
      <c r="AB673" s="7"/>
      <c r="AC673" s="7"/>
    </row>
    <row r="674" spans="1:29" ht="25.5">
      <c r="A674" s="252"/>
      <c r="B674" s="62" t="s">
        <v>612</v>
      </c>
      <c r="C674" s="28">
        <f t="shared" si="97"/>
        <v>584.22</v>
      </c>
      <c r="D674" s="77"/>
      <c r="E674" s="28">
        <f t="shared" si="98"/>
        <v>38.22</v>
      </c>
      <c r="F674" s="28">
        <f t="shared" si="99"/>
        <v>21.84</v>
      </c>
      <c r="G674" s="28">
        <f t="shared" si="100"/>
        <v>16.38</v>
      </c>
      <c r="H674" s="28">
        <f t="shared" si="101"/>
        <v>546</v>
      </c>
      <c r="I674" s="28">
        <f t="shared" si="103"/>
        <v>273</v>
      </c>
      <c r="J674" s="46"/>
      <c r="K674" s="46"/>
      <c r="L674" s="46"/>
      <c r="M674" s="46"/>
      <c r="N674" s="46"/>
      <c r="O674" s="77">
        <v>44021</v>
      </c>
      <c r="P674" s="77">
        <v>44567</v>
      </c>
      <c r="Q674" s="79"/>
      <c r="R674" s="80"/>
      <c r="S674" s="77">
        <v>1</v>
      </c>
      <c r="T674" s="28">
        <f t="shared" si="102"/>
        <v>546</v>
      </c>
      <c r="U674" s="31">
        <v>5803</v>
      </c>
      <c r="V674" s="542" t="s">
        <v>613</v>
      </c>
      <c r="W674" s="14" t="s">
        <v>48</v>
      </c>
      <c r="X674" s="7"/>
      <c r="Y674" s="7"/>
      <c r="Z674" s="7"/>
      <c r="AA674" s="7"/>
      <c r="AB674" s="7"/>
      <c r="AC674" s="7"/>
    </row>
    <row r="675" spans="1:29" ht="25.5">
      <c r="A675" s="252"/>
      <c r="B675" s="62" t="s">
        <v>614</v>
      </c>
      <c r="C675" s="28">
        <f t="shared" si="97"/>
        <v>511.46</v>
      </c>
      <c r="D675" s="77"/>
      <c r="E675" s="28">
        <f t="shared" si="98"/>
        <v>33.46</v>
      </c>
      <c r="F675" s="28">
        <f t="shared" si="99"/>
        <v>19.12</v>
      </c>
      <c r="G675" s="28">
        <f t="shared" si="100"/>
        <v>14.34</v>
      </c>
      <c r="H675" s="28">
        <f t="shared" si="101"/>
        <v>478</v>
      </c>
      <c r="I675" s="28">
        <f t="shared" si="103"/>
        <v>239</v>
      </c>
      <c r="J675" s="46"/>
      <c r="K675" s="46"/>
      <c r="L675" s="46"/>
      <c r="M675" s="46"/>
      <c r="N675" s="46"/>
      <c r="O675" s="77">
        <v>22641</v>
      </c>
      <c r="P675" s="77">
        <v>23119</v>
      </c>
      <c r="Q675" s="79"/>
      <c r="R675" s="80"/>
      <c r="S675" s="77">
        <v>1</v>
      </c>
      <c r="T675" s="28">
        <f t="shared" si="102"/>
        <v>478</v>
      </c>
      <c r="U675" s="31">
        <v>5419</v>
      </c>
      <c r="V675" s="542" t="s">
        <v>615</v>
      </c>
      <c r="W675" s="14" t="s">
        <v>48</v>
      </c>
      <c r="X675" s="7"/>
      <c r="Y675" s="7"/>
      <c r="Z675" s="7"/>
      <c r="AA675" s="7"/>
      <c r="AB675" s="7"/>
      <c r="AC675" s="7"/>
    </row>
    <row r="676" spans="1:29" ht="25.5">
      <c r="A676" s="252"/>
      <c r="B676" s="62" t="s">
        <v>616</v>
      </c>
      <c r="C676" s="28">
        <f t="shared" si="97"/>
        <v>586.36</v>
      </c>
      <c r="D676" s="77"/>
      <c r="E676" s="28">
        <f t="shared" si="98"/>
        <v>38.36</v>
      </c>
      <c r="F676" s="28">
        <f t="shared" si="99"/>
        <v>21.92</v>
      </c>
      <c r="G676" s="28">
        <f t="shared" si="100"/>
        <v>16.439999999999998</v>
      </c>
      <c r="H676" s="28">
        <f t="shared" si="101"/>
        <v>548</v>
      </c>
      <c r="I676" s="28">
        <f t="shared" si="103"/>
        <v>274</v>
      </c>
      <c r="J676" s="46"/>
      <c r="K676" s="46"/>
      <c r="L676" s="46"/>
      <c r="M676" s="46"/>
      <c r="N676" s="46"/>
      <c r="O676" s="77">
        <v>33727</v>
      </c>
      <c r="P676" s="77">
        <v>34275</v>
      </c>
      <c r="Q676" s="79"/>
      <c r="R676" s="80"/>
      <c r="S676" s="77">
        <v>1</v>
      </c>
      <c r="T676" s="28">
        <f t="shared" si="102"/>
        <v>548</v>
      </c>
      <c r="U676" s="31">
        <v>5691</v>
      </c>
      <c r="V676" s="542" t="s">
        <v>617</v>
      </c>
      <c r="W676" s="14" t="s">
        <v>48</v>
      </c>
      <c r="X676" s="7"/>
      <c r="Y676" s="7"/>
      <c r="Z676" s="7"/>
      <c r="AA676" s="7"/>
      <c r="AB676" s="7"/>
      <c r="AC676" s="7"/>
    </row>
    <row r="677" spans="1:29" ht="25.5">
      <c r="A677" s="252"/>
      <c r="B677" s="62" t="s">
        <v>837</v>
      </c>
      <c r="C677" s="28">
        <f t="shared" si="97"/>
        <v>2281.2399999999998</v>
      </c>
      <c r="D677" s="77"/>
      <c r="E677" s="28">
        <f t="shared" si="98"/>
        <v>149.24</v>
      </c>
      <c r="F677" s="28">
        <f t="shared" si="99"/>
        <v>85.28</v>
      </c>
      <c r="G677" s="28">
        <f t="shared" si="100"/>
        <v>63.96</v>
      </c>
      <c r="H677" s="28">
        <f t="shared" si="101"/>
        <v>2132</v>
      </c>
      <c r="I677" s="28">
        <f t="shared" si="103"/>
        <v>1066</v>
      </c>
      <c r="J677" s="46"/>
      <c r="K677" s="46"/>
      <c r="L677" s="46"/>
      <c r="M677" s="46"/>
      <c r="N677" s="46"/>
      <c r="O677" s="456">
        <v>61675</v>
      </c>
      <c r="P677" s="456">
        <v>63807</v>
      </c>
      <c r="Q677" s="79"/>
      <c r="R677" s="80"/>
      <c r="S677" s="77">
        <v>1</v>
      </c>
      <c r="T677" s="28">
        <f t="shared" si="102"/>
        <v>2132</v>
      </c>
      <c r="U677" s="31">
        <v>2169</v>
      </c>
      <c r="V677" s="542" t="s">
        <v>817</v>
      </c>
      <c r="W677" s="14" t="s">
        <v>48</v>
      </c>
      <c r="X677" s="7"/>
      <c r="Y677" s="7"/>
      <c r="Z677" s="7"/>
      <c r="AA677" s="7"/>
      <c r="AB677" s="7"/>
      <c r="AC677" s="7"/>
    </row>
    <row r="678" spans="1:29" ht="25.5">
      <c r="A678" s="252"/>
      <c r="B678" s="62" t="s">
        <v>618</v>
      </c>
      <c r="C678" s="28">
        <f t="shared" si="97"/>
        <v>1479.81</v>
      </c>
      <c r="D678" s="77"/>
      <c r="E678" s="28">
        <f t="shared" si="98"/>
        <v>96.81</v>
      </c>
      <c r="F678" s="28">
        <f t="shared" si="99"/>
        <v>55.32</v>
      </c>
      <c r="G678" s="28">
        <f t="shared" si="100"/>
        <v>41.49</v>
      </c>
      <c r="H678" s="28">
        <f t="shared" si="101"/>
        <v>1383</v>
      </c>
      <c r="I678" s="28">
        <f t="shared" si="103"/>
        <v>691.5</v>
      </c>
      <c r="J678" s="46"/>
      <c r="K678" s="46"/>
      <c r="L678" s="46"/>
      <c r="M678" s="46"/>
      <c r="N678" s="46"/>
      <c r="O678" s="77">
        <v>55143</v>
      </c>
      <c r="P678" s="77">
        <v>56526</v>
      </c>
      <c r="Q678" s="79"/>
      <c r="R678" s="80"/>
      <c r="S678" s="77">
        <v>1</v>
      </c>
      <c r="T678" s="28">
        <f t="shared" si="102"/>
        <v>1383</v>
      </c>
      <c r="U678" s="31">
        <v>3943</v>
      </c>
      <c r="V678" s="542" t="s">
        <v>838</v>
      </c>
      <c r="W678" s="14" t="s">
        <v>48</v>
      </c>
      <c r="X678" s="7"/>
      <c r="Y678" s="7"/>
      <c r="Z678" s="7"/>
      <c r="AA678" s="7"/>
      <c r="AB678" s="7"/>
      <c r="AC678" s="7"/>
    </row>
    <row r="679" spans="1:29" ht="25.5">
      <c r="A679" s="252"/>
      <c r="B679" s="62" t="s">
        <v>619</v>
      </c>
      <c r="C679" s="28">
        <f>H679+E679</f>
        <v>1949.54</v>
      </c>
      <c r="D679" s="28"/>
      <c r="E679" s="28">
        <f>F679+G679</f>
        <v>127.53999999999999</v>
      </c>
      <c r="F679" s="28">
        <f>0.04*H679</f>
        <v>72.88</v>
      </c>
      <c r="G679" s="28">
        <f>0.03*H679</f>
        <v>54.66</v>
      </c>
      <c r="H679" s="28">
        <f>T679</f>
        <v>1822</v>
      </c>
      <c r="I679" s="28">
        <f>0.5*C679</f>
        <v>974.77</v>
      </c>
      <c r="J679" s="29"/>
      <c r="K679" s="29"/>
      <c r="L679" s="29"/>
      <c r="M679" s="29"/>
      <c r="N679" s="29"/>
      <c r="O679" s="28">
        <v>68617</v>
      </c>
      <c r="P679" s="28">
        <v>70439</v>
      </c>
      <c r="Q679" s="30"/>
      <c r="R679" s="457"/>
      <c r="S679" s="28">
        <v>1</v>
      </c>
      <c r="T679" s="28">
        <f t="shared" si="102"/>
        <v>1822</v>
      </c>
      <c r="U679" s="31">
        <v>5973</v>
      </c>
      <c r="V679" s="542" t="s">
        <v>839</v>
      </c>
      <c r="W679" s="14" t="s">
        <v>48</v>
      </c>
      <c r="X679" s="7"/>
      <c r="Y679" s="7"/>
      <c r="Z679" s="7"/>
      <c r="AA679" s="7"/>
      <c r="AB679" s="7"/>
      <c r="AC679" s="7"/>
    </row>
    <row r="680" spans="1:29" ht="25.5">
      <c r="A680" s="252"/>
      <c r="B680" s="62" t="s">
        <v>754</v>
      </c>
      <c r="C680" s="28">
        <f t="shared" si="97"/>
        <v>2304.7800000000002</v>
      </c>
      <c r="D680" s="77"/>
      <c r="E680" s="28">
        <f t="shared" si="98"/>
        <v>150.78</v>
      </c>
      <c r="F680" s="28">
        <f t="shared" si="99"/>
        <v>86.16</v>
      </c>
      <c r="G680" s="28">
        <f t="shared" si="100"/>
        <v>64.62</v>
      </c>
      <c r="H680" s="28">
        <f t="shared" si="101"/>
        <v>2154</v>
      </c>
      <c r="I680" s="28">
        <f t="shared" si="103"/>
        <v>1077</v>
      </c>
      <c r="J680" s="46"/>
      <c r="K680" s="46"/>
      <c r="L680" s="46"/>
      <c r="M680" s="46"/>
      <c r="N680" s="46"/>
      <c r="O680" s="77">
        <v>36516</v>
      </c>
      <c r="P680" s="77">
        <v>38670</v>
      </c>
      <c r="Q680" s="79"/>
      <c r="R680" s="80"/>
      <c r="S680" s="77">
        <v>1</v>
      </c>
      <c r="T680" s="28">
        <f t="shared" si="102"/>
        <v>2154</v>
      </c>
      <c r="U680" s="31">
        <v>9880</v>
      </c>
      <c r="V680" s="542" t="s">
        <v>620</v>
      </c>
      <c r="W680" s="14" t="s">
        <v>48</v>
      </c>
      <c r="X680" s="7"/>
      <c r="Y680" s="7"/>
      <c r="Z680" s="7"/>
      <c r="AA680" s="7"/>
      <c r="AB680" s="7"/>
      <c r="AC680" s="7"/>
    </row>
    <row r="681" spans="1:29" ht="25.5">
      <c r="A681" s="252"/>
      <c r="B681" s="62" t="s">
        <v>621</v>
      </c>
      <c r="C681" s="28">
        <f t="shared" si="97"/>
        <v>862.42</v>
      </c>
      <c r="D681" s="77"/>
      <c r="E681" s="28">
        <f t="shared" si="98"/>
        <v>56.42</v>
      </c>
      <c r="F681" s="28">
        <f t="shared" si="99"/>
        <v>32.24</v>
      </c>
      <c r="G681" s="28">
        <f t="shared" si="100"/>
        <v>24.18</v>
      </c>
      <c r="H681" s="28">
        <f t="shared" si="101"/>
        <v>806</v>
      </c>
      <c r="I681" s="28">
        <f t="shared" si="103"/>
        <v>403</v>
      </c>
      <c r="J681" s="46"/>
      <c r="K681" s="46"/>
      <c r="L681" s="46"/>
      <c r="M681" s="46"/>
      <c r="N681" s="46"/>
      <c r="O681" s="77">
        <v>53314</v>
      </c>
      <c r="P681" s="77">
        <v>54120</v>
      </c>
      <c r="Q681" s="79"/>
      <c r="R681" s="80"/>
      <c r="S681" s="77">
        <v>1</v>
      </c>
      <c r="T681" s="28">
        <f t="shared" si="102"/>
        <v>806</v>
      </c>
      <c r="U681" s="31">
        <v>9736</v>
      </c>
      <c r="V681" s="542" t="s">
        <v>622</v>
      </c>
      <c r="W681" s="14" t="s">
        <v>48</v>
      </c>
      <c r="X681" s="7"/>
      <c r="Y681" s="7"/>
      <c r="Z681" s="7"/>
      <c r="AA681" s="7"/>
      <c r="AB681" s="7"/>
      <c r="AC681" s="7"/>
    </row>
    <row r="682" spans="1:29" ht="25.5">
      <c r="A682" s="252"/>
      <c r="B682" s="62" t="s">
        <v>623</v>
      </c>
      <c r="C682" s="28">
        <f t="shared" si="97"/>
        <v>1921.72</v>
      </c>
      <c r="D682" s="77"/>
      <c r="E682" s="28">
        <f t="shared" si="98"/>
        <v>125.72</v>
      </c>
      <c r="F682" s="28">
        <f t="shared" si="99"/>
        <v>71.84</v>
      </c>
      <c r="G682" s="28">
        <f t="shared" si="100"/>
        <v>53.879999999999995</v>
      </c>
      <c r="H682" s="28">
        <f t="shared" si="101"/>
        <v>1796</v>
      </c>
      <c r="I682" s="28">
        <f t="shared" si="103"/>
        <v>898</v>
      </c>
      <c r="J682" s="46"/>
      <c r="K682" s="46"/>
      <c r="L682" s="46"/>
      <c r="M682" s="46"/>
      <c r="N682" s="46"/>
      <c r="O682" s="77">
        <v>172846</v>
      </c>
      <c r="P682" s="77">
        <v>174642</v>
      </c>
      <c r="Q682" s="79"/>
      <c r="R682" s="80"/>
      <c r="S682" s="77">
        <v>1</v>
      </c>
      <c r="T682" s="28">
        <f t="shared" si="102"/>
        <v>1796</v>
      </c>
      <c r="U682" s="31">
        <v>2154</v>
      </c>
      <c r="V682" s="542" t="s">
        <v>624</v>
      </c>
      <c r="W682" s="14" t="s">
        <v>48</v>
      </c>
      <c r="X682" s="7"/>
      <c r="Y682" s="7"/>
      <c r="Z682" s="7"/>
      <c r="AA682" s="7"/>
      <c r="AB682" s="7"/>
      <c r="AC682" s="7"/>
    </row>
    <row r="683" spans="1:29" ht="25.5">
      <c r="A683" s="252"/>
      <c r="B683" s="62" t="s">
        <v>625</v>
      </c>
      <c r="C683" s="28">
        <f t="shared" si="97"/>
        <v>1014.36</v>
      </c>
      <c r="D683" s="77"/>
      <c r="E683" s="28">
        <f t="shared" si="98"/>
        <v>66.36</v>
      </c>
      <c r="F683" s="28">
        <f t="shared" si="99"/>
        <v>37.92</v>
      </c>
      <c r="G683" s="28">
        <f t="shared" si="100"/>
        <v>28.439999999999998</v>
      </c>
      <c r="H683" s="28">
        <f t="shared" si="101"/>
        <v>948</v>
      </c>
      <c r="I683" s="28">
        <f t="shared" si="103"/>
        <v>474</v>
      </c>
      <c r="J683" s="29"/>
      <c r="K683" s="29"/>
      <c r="L683" s="29"/>
      <c r="M683" s="29"/>
      <c r="N683" s="29"/>
      <c r="O683" s="28">
        <v>54542</v>
      </c>
      <c r="P683" s="28">
        <v>55490</v>
      </c>
      <c r="Q683" s="458"/>
      <c r="R683" s="80"/>
      <c r="S683" s="54">
        <v>1</v>
      </c>
      <c r="T683" s="28">
        <f t="shared" si="102"/>
        <v>948</v>
      </c>
      <c r="U683" s="31">
        <v>9093</v>
      </c>
      <c r="V683" s="542" t="s">
        <v>626</v>
      </c>
      <c r="W683" s="14" t="s">
        <v>48</v>
      </c>
      <c r="X683" s="7"/>
      <c r="Y683" s="7"/>
      <c r="Z683" s="7"/>
      <c r="AA683" s="7"/>
      <c r="AB683" s="7"/>
      <c r="AC683" s="7"/>
    </row>
    <row r="684" spans="1:29" ht="25.5">
      <c r="A684" s="252"/>
      <c r="B684" s="62" t="s">
        <v>627</v>
      </c>
      <c r="C684" s="28">
        <f t="shared" si="97"/>
        <v>533.92999999999995</v>
      </c>
      <c r="D684" s="77"/>
      <c r="E684" s="28">
        <f t="shared" si="98"/>
        <v>34.93</v>
      </c>
      <c r="F684" s="28">
        <f t="shared" si="99"/>
        <v>19.96</v>
      </c>
      <c r="G684" s="28">
        <f t="shared" si="100"/>
        <v>14.969999999999999</v>
      </c>
      <c r="H684" s="28">
        <f t="shared" si="101"/>
        <v>499</v>
      </c>
      <c r="I684" s="28">
        <f t="shared" si="103"/>
        <v>249.5</v>
      </c>
      <c r="J684" s="29"/>
      <c r="K684" s="29"/>
      <c r="L684" s="29"/>
      <c r="M684" s="29"/>
      <c r="N684" s="29"/>
      <c r="O684" s="28">
        <v>31858</v>
      </c>
      <c r="P684" s="28">
        <v>32357</v>
      </c>
      <c r="Q684" s="458"/>
      <c r="R684" s="80"/>
      <c r="S684" s="54">
        <v>1</v>
      </c>
      <c r="T684" s="28">
        <f t="shared" si="102"/>
        <v>499</v>
      </c>
      <c r="U684" s="31">
        <v>8650</v>
      </c>
      <c r="V684" s="542" t="s">
        <v>628</v>
      </c>
      <c r="W684" s="14" t="s">
        <v>48</v>
      </c>
      <c r="X684" s="7"/>
      <c r="Y684" s="7"/>
      <c r="Z684" s="7"/>
      <c r="AA684" s="7"/>
      <c r="AB684" s="7"/>
      <c r="AC684" s="7"/>
    </row>
    <row r="685" spans="1:29" ht="25.5">
      <c r="A685" s="252"/>
      <c r="B685" s="62" t="s">
        <v>629</v>
      </c>
      <c r="C685" s="28">
        <f t="shared" si="97"/>
        <v>337.05</v>
      </c>
      <c r="D685" s="77"/>
      <c r="E685" s="28">
        <f t="shared" si="98"/>
        <v>22.049999999999997</v>
      </c>
      <c r="F685" s="28">
        <f t="shared" si="99"/>
        <v>12.6</v>
      </c>
      <c r="G685" s="28">
        <f t="shared" si="100"/>
        <v>9.4499999999999993</v>
      </c>
      <c r="H685" s="28">
        <f t="shared" si="101"/>
        <v>315</v>
      </c>
      <c r="I685" s="28">
        <f t="shared" si="103"/>
        <v>157.5</v>
      </c>
      <c r="J685" s="29"/>
      <c r="K685" s="29"/>
      <c r="L685" s="29"/>
      <c r="M685" s="29"/>
      <c r="N685" s="29"/>
      <c r="O685" s="28">
        <v>15441</v>
      </c>
      <c r="P685" s="28">
        <v>15756</v>
      </c>
      <c r="Q685" s="458"/>
      <c r="R685" s="80"/>
      <c r="S685" s="54">
        <v>1</v>
      </c>
      <c r="T685" s="28">
        <f t="shared" si="102"/>
        <v>315</v>
      </c>
      <c r="U685" s="31">
        <v>4707</v>
      </c>
      <c r="V685" s="542" t="s">
        <v>630</v>
      </c>
      <c r="W685" s="14" t="s">
        <v>48</v>
      </c>
      <c r="X685" s="7"/>
      <c r="Y685" s="7"/>
      <c r="Z685" s="7"/>
      <c r="AA685" s="7"/>
      <c r="AB685" s="7"/>
      <c r="AC685" s="7"/>
    </row>
    <row r="686" spans="1:29" ht="25.5">
      <c r="A686" s="252"/>
      <c r="B686" s="62"/>
      <c r="C686" s="28">
        <f t="shared" ref="C686" si="111">H686+E686</f>
        <v>0</v>
      </c>
      <c r="D686" s="77"/>
      <c r="E686" s="28">
        <f t="shared" ref="E686" si="112">F686+G686</f>
        <v>0</v>
      </c>
      <c r="F686" s="28">
        <f t="shared" ref="F686" si="113">0.04*T686</f>
        <v>0</v>
      </c>
      <c r="G686" s="28">
        <f t="shared" ref="G686" si="114">0.03*T686</f>
        <v>0</v>
      </c>
      <c r="H686" s="28">
        <f t="shared" ref="H686" si="115">T686</f>
        <v>0</v>
      </c>
      <c r="I686" s="28">
        <f t="shared" ref="I686" si="116">H686*0.5</f>
        <v>0</v>
      </c>
      <c r="J686" s="29"/>
      <c r="K686" s="29"/>
      <c r="L686" s="29"/>
      <c r="M686" s="29"/>
      <c r="N686" s="29"/>
      <c r="O686" s="28">
        <v>239407</v>
      </c>
      <c r="P686" s="28">
        <v>239407</v>
      </c>
      <c r="Q686" s="458"/>
      <c r="R686" s="80"/>
      <c r="S686" s="54">
        <v>1</v>
      </c>
      <c r="T686" s="28">
        <f t="shared" ref="T686" si="117">(P686-O686)*S686</f>
        <v>0</v>
      </c>
      <c r="U686" s="31">
        <v>2556</v>
      </c>
      <c r="V686" s="568" t="s">
        <v>842</v>
      </c>
      <c r="W686" s="14" t="s">
        <v>48</v>
      </c>
      <c r="X686" s="7"/>
      <c r="Y686" s="7"/>
      <c r="Z686" s="7"/>
      <c r="AA686" s="7"/>
      <c r="AB686" s="7"/>
      <c r="AC686" s="7"/>
    </row>
    <row r="687" spans="1:29" ht="25.5">
      <c r="A687" s="252"/>
      <c r="B687" s="104"/>
      <c r="C687" s="91"/>
      <c r="D687" s="92"/>
      <c r="E687" s="91"/>
      <c r="F687" s="91"/>
      <c r="G687" s="91"/>
      <c r="H687" s="91"/>
      <c r="I687" s="91"/>
      <c r="J687" s="22"/>
      <c r="K687" s="22"/>
      <c r="L687" s="22"/>
      <c r="M687" s="22"/>
      <c r="N687" s="22"/>
      <c r="O687" s="91"/>
      <c r="P687" s="91"/>
      <c r="Q687" s="244"/>
      <c r="R687" s="106"/>
      <c r="S687" s="151"/>
      <c r="T687" s="91"/>
      <c r="U687" s="95"/>
      <c r="V687" s="538"/>
      <c r="W687" s="14" t="s">
        <v>48</v>
      </c>
      <c r="X687" s="7"/>
      <c r="Y687" s="7"/>
      <c r="Z687" s="7"/>
      <c r="AA687" s="7"/>
      <c r="AB687" s="7"/>
      <c r="AC687" s="7"/>
    </row>
    <row r="688" spans="1:29" ht="30.75" customHeight="1">
      <c r="A688" s="252"/>
      <c r="B688" s="104"/>
      <c r="C688" s="91"/>
      <c r="D688" s="92"/>
      <c r="E688" s="91"/>
      <c r="F688" s="91"/>
      <c r="G688" s="91"/>
      <c r="H688" s="91"/>
      <c r="I688" s="91"/>
      <c r="J688" s="22"/>
      <c r="K688" s="22"/>
      <c r="L688" s="22"/>
      <c r="M688" s="22"/>
      <c r="N688" s="22"/>
      <c r="O688" s="91"/>
      <c r="P688" s="91"/>
      <c r="Q688" s="244"/>
      <c r="R688" s="106"/>
      <c r="S688" s="151"/>
      <c r="T688" s="91"/>
      <c r="U688" s="95"/>
      <c r="V688" s="538"/>
      <c r="W688" s="14" t="s">
        <v>48</v>
      </c>
      <c r="X688" s="7"/>
      <c r="Y688" s="7"/>
      <c r="Z688" s="7"/>
      <c r="AA688" s="7"/>
      <c r="AB688" s="7"/>
      <c r="AC688" s="7"/>
    </row>
    <row r="689" spans="1:29" ht="25.5">
      <c r="A689" s="252"/>
      <c r="B689" s="62" t="s">
        <v>631</v>
      </c>
      <c r="C689" s="28">
        <f t="shared" si="97"/>
        <v>885.96</v>
      </c>
      <c r="D689" s="77"/>
      <c r="E689" s="28">
        <f t="shared" si="98"/>
        <v>57.959999999999994</v>
      </c>
      <c r="F689" s="28">
        <f t="shared" si="99"/>
        <v>33.119999999999997</v>
      </c>
      <c r="G689" s="28">
        <f t="shared" si="100"/>
        <v>24.84</v>
      </c>
      <c r="H689" s="28">
        <f t="shared" si="101"/>
        <v>828</v>
      </c>
      <c r="I689" s="28">
        <f t="shared" si="103"/>
        <v>414</v>
      </c>
      <c r="J689" s="29"/>
      <c r="K689" s="29"/>
      <c r="L689" s="29"/>
      <c r="M689" s="29"/>
      <c r="N689" s="29"/>
      <c r="O689" s="28">
        <v>40607</v>
      </c>
      <c r="P689" s="28">
        <v>41435</v>
      </c>
      <c r="Q689" s="458"/>
      <c r="R689" s="80"/>
      <c r="S689" s="54">
        <v>1</v>
      </c>
      <c r="T689" s="28">
        <f t="shared" si="102"/>
        <v>828</v>
      </c>
      <c r="U689" s="31" t="s">
        <v>632</v>
      </c>
      <c r="V689" s="542" t="s">
        <v>633</v>
      </c>
      <c r="W689" s="14" t="s">
        <v>48</v>
      </c>
      <c r="X689" s="7"/>
      <c r="Y689" s="7"/>
      <c r="Z689" s="7"/>
      <c r="AA689" s="7"/>
      <c r="AB689" s="7"/>
      <c r="AC689" s="7"/>
    </row>
    <row r="690" spans="1:29" ht="25.5">
      <c r="A690" s="252"/>
      <c r="B690" s="339"/>
      <c r="C690" s="91"/>
      <c r="D690" s="92"/>
      <c r="E690" s="91"/>
      <c r="F690" s="91"/>
      <c r="G690" s="91"/>
      <c r="H690" s="91"/>
      <c r="I690" s="91"/>
      <c r="J690" s="22"/>
      <c r="K690" s="22"/>
      <c r="L690" s="22"/>
      <c r="M690" s="22"/>
      <c r="N690" s="22"/>
      <c r="O690" s="91"/>
      <c r="P690" s="91"/>
      <c r="Q690" s="244"/>
      <c r="R690" s="106"/>
      <c r="S690" s="151"/>
      <c r="T690" s="91"/>
      <c r="U690" s="95"/>
      <c r="V690" s="538"/>
      <c r="W690" s="14" t="s">
        <v>48</v>
      </c>
      <c r="X690" s="7"/>
      <c r="Y690" s="7"/>
      <c r="Z690" s="7"/>
      <c r="AA690" s="7"/>
      <c r="AB690" s="7"/>
      <c r="AC690" s="7"/>
    </row>
    <row r="691" spans="1:29" ht="25.5">
      <c r="A691" s="252"/>
      <c r="B691" s="104"/>
      <c r="C691" s="91"/>
      <c r="D691" s="92"/>
      <c r="E691" s="91"/>
      <c r="F691" s="91"/>
      <c r="G691" s="91"/>
      <c r="H691" s="91"/>
      <c r="I691" s="91"/>
      <c r="J691" s="22"/>
      <c r="K691" s="22"/>
      <c r="L691" s="22"/>
      <c r="M691" s="22"/>
      <c r="N691" s="22"/>
      <c r="O691" s="91"/>
      <c r="P691" s="91"/>
      <c r="Q691" s="244"/>
      <c r="R691" s="106"/>
      <c r="S691" s="151"/>
      <c r="T691" s="91"/>
      <c r="U691" s="95"/>
      <c r="V691" s="538"/>
      <c r="W691" s="14" t="s">
        <v>48</v>
      </c>
      <c r="X691" s="7"/>
      <c r="Y691" s="7"/>
      <c r="Z691" s="7"/>
      <c r="AA691" s="7"/>
      <c r="AB691" s="7"/>
      <c r="AC691" s="7"/>
    </row>
    <row r="692" spans="1:29" ht="25.5">
      <c r="A692" s="252"/>
      <c r="B692" s="104"/>
      <c r="C692" s="91"/>
      <c r="D692" s="92"/>
      <c r="E692" s="91"/>
      <c r="F692" s="91"/>
      <c r="G692" s="91"/>
      <c r="H692" s="91"/>
      <c r="I692" s="91"/>
      <c r="J692" s="22"/>
      <c r="K692" s="22"/>
      <c r="L692" s="22"/>
      <c r="M692" s="22"/>
      <c r="N692" s="22"/>
      <c r="O692" s="91"/>
      <c r="P692" s="91"/>
      <c r="Q692" s="244"/>
      <c r="R692" s="106"/>
      <c r="S692" s="151"/>
      <c r="T692" s="91"/>
      <c r="U692" s="95"/>
      <c r="V692" s="538"/>
      <c r="W692" s="14" t="s">
        <v>48</v>
      </c>
      <c r="X692" s="7"/>
      <c r="Y692" s="7"/>
      <c r="Z692" s="7"/>
      <c r="AA692" s="7"/>
      <c r="AB692" s="7"/>
      <c r="AC692" s="7"/>
    </row>
    <row r="693" spans="1:29" ht="25.5">
      <c r="A693" s="252"/>
      <c r="B693" s="62" t="s">
        <v>634</v>
      </c>
      <c r="C693" s="28">
        <f t="shared" si="97"/>
        <v>4003.94</v>
      </c>
      <c r="D693" s="77"/>
      <c r="E693" s="28">
        <f t="shared" si="98"/>
        <v>261.94</v>
      </c>
      <c r="F693" s="28">
        <f t="shared" si="99"/>
        <v>149.68</v>
      </c>
      <c r="G693" s="28">
        <f t="shared" si="100"/>
        <v>112.25999999999999</v>
      </c>
      <c r="H693" s="28">
        <f t="shared" si="101"/>
        <v>3742</v>
      </c>
      <c r="I693" s="28">
        <f t="shared" si="103"/>
        <v>1871</v>
      </c>
      <c r="J693" s="29"/>
      <c r="K693" s="29"/>
      <c r="L693" s="29"/>
      <c r="M693" s="29"/>
      <c r="N693" s="29"/>
      <c r="O693" s="28">
        <v>43810</v>
      </c>
      <c r="P693" s="28">
        <v>47552</v>
      </c>
      <c r="Q693" s="458"/>
      <c r="R693" s="80"/>
      <c r="S693" s="54">
        <v>1</v>
      </c>
      <c r="T693" s="28">
        <f t="shared" si="102"/>
        <v>3742</v>
      </c>
      <c r="U693" s="31">
        <v>3299</v>
      </c>
      <c r="V693" s="542" t="s">
        <v>635</v>
      </c>
      <c r="W693" s="14" t="s">
        <v>48</v>
      </c>
      <c r="X693" s="7"/>
      <c r="Y693" s="7"/>
      <c r="Z693" s="7"/>
      <c r="AA693" s="7"/>
      <c r="AB693" s="7"/>
      <c r="AC693" s="7"/>
    </row>
    <row r="694" spans="1:29" ht="25.5">
      <c r="A694" s="252"/>
      <c r="B694" s="62" t="s">
        <v>767</v>
      </c>
      <c r="C694" s="28">
        <f t="shared" si="97"/>
        <v>11242.49</v>
      </c>
      <c r="D694" s="77"/>
      <c r="E694" s="28">
        <f t="shared" si="98"/>
        <v>735.49</v>
      </c>
      <c r="F694" s="28">
        <f t="shared" si="99"/>
        <v>420.28000000000003</v>
      </c>
      <c r="G694" s="28">
        <f t="shared" si="100"/>
        <v>315.20999999999998</v>
      </c>
      <c r="H694" s="28">
        <f t="shared" si="101"/>
        <v>10507</v>
      </c>
      <c r="I694" s="28">
        <f t="shared" si="103"/>
        <v>5253.5</v>
      </c>
      <c r="J694" s="29"/>
      <c r="K694" s="29"/>
      <c r="L694" s="29"/>
      <c r="M694" s="29"/>
      <c r="N694" s="29"/>
      <c r="O694" s="28">
        <v>59065</v>
      </c>
      <c r="P694" s="28">
        <v>69572</v>
      </c>
      <c r="Q694" s="458"/>
      <c r="R694" s="80"/>
      <c r="S694" s="54">
        <v>1</v>
      </c>
      <c r="T694" s="28">
        <f t="shared" si="102"/>
        <v>10507</v>
      </c>
      <c r="U694" s="31">
        <v>5770</v>
      </c>
      <c r="V694" s="542" t="s">
        <v>760</v>
      </c>
      <c r="W694" s="14" t="s">
        <v>48</v>
      </c>
      <c r="X694" s="7"/>
      <c r="Y694" s="7"/>
      <c r="Z694" s="7"/>
      <c r="AA694" s="7"/>
      <c r="AB694" s="7"/>
      <c r="AC694" s="7"/>
    </row>
    <row r="695" spans="1:29" ht="25.5">
      <c r="A695" s="252"/>
      <c r="B695" s="104"/>
      <c r="C695" s="91"/>
      <c r="D695" s="92"/>
      <c r="E695" s="91"/>
      <c r="F695" s="91"/>
      <c r="G695" s="91"/>
      <c r="H695" s="91"/>
      <c r="I695" s="91"/>
      <c r="J695" s="22"/>
      <c r="K695" s="22"/>
      <c r="L695" s="22"/>
      <c r="M695" s="22"/>
      <c r="N695" s="22"/>
      <c r="O695" s="91"/>
      <c r="P695" s="91"/>
      <c r="Q695" s="244"/>
      <c r="R695" s="106"/>
      <c r="S695" s="151"/>
      <c r="T695" s="91"/>
      <c r="U695" s="95"/>
      <c r="V695" s="538"/>
      <c r="W695" s="14" t="s">
        <v>48</v>
      </c>
      <c r="X695" s="7"/>
      <c r="Y695" s="7"/>
      <c r="Z695" s="7"/>
      <c r="AA695" s="7"/>
      <c r="AB695" s="7"/>
      <c r="AC695" s="7"/>
    </row>
    <row r="696" spans="1:29" ht="25.5">
      <c r="A696" s="252"/>
      <c r="B696" s="62" t="s">
        <v>636</v>
      </c>
      <c r="C696" s="28">
        <f t="shared" si="97"/>
        <v>34.24</v>
      </c>
      <c r="D696" s="77"/>
      <c r="E696" s="28">
        <f t="shared" si="98"/>
        <v>2.2400000000000002</v>
      </c>
      <c r="F696" s="28">
        <f t="shared" si="99"/>
        <v>1.28</v>
      </c>
      <c r="G696" s="28">
        <f t="shared" si="100"/>
        <v>0.96</v>
      </c>
      <c r="H696" s="28">
        <f t="shared" si="101"/>
        <v>32</v>
      </c>
      <c r="I696" s="28">
        <f t="shared" si="103"/>
        <v>16</v>
      </c>
      <c r="J696" s="29"/>
      <c r="K696" s="29"/>
      <c r="L696" s="29"/>
      <c r="M696" s="29"/>
      <c r="N696" s="29"/>
      <c r="O696" s="28">
        <v>61111</v>
      </c>
      <c r="P696" s="28">
        <v>62091</v>
      </c>
      <c r="Q696" s="458"/>
      <c r="R696" s="80"/>
      <c r="S696" s="54">
        <v>1</v>
      </c>
      <c r="T696" s="28">
        <f>(P696-O696)*S696-T683</f>
        <v>32</v>
      </c>
      <c r="U696" s="31" t="s">
        <v>637</v>
      </c>
      <c r="V696" s="542" t="s">
        <v>638</v>
      </c>
      <c r="W696" s="14" t="s">
        <v>48</v>
      </c>
      <c r="X696" s="7"/>
      <c r="Y696" s="7"/>
      <c r="Z696" s="7"/>
      <c r="AA696" s="7"/>
      <c r="AB696" s="7"/>
      <c r="AC696" s="7"/>
    </row>
    <row r="697" spans="1:29" ht="25.5">
      <c r="A697" s="252"/>
      <c r="B697" s="430"/>
      <c r="C697" s="34"/>
      <c r="D697" s="370"/>
      <c r="E697" s="34"/>
      <c r="F697" s="34"/>
      <c r="G697" s="34"/>
      <c r="H697" s="34"/>
      <c r="I697" s="34"/>
      <c r="J697" s="36"/>
      <c r="K697" s="36"/>
      <c r="L697" s="36"/>
      <c r="M697" s="36"/>
      <c r="N697" s="36"/>
      <c r="O697" s="34"/>
      <c r="P697" s="34"/>
      <c r="Q697" s="371"/>
      <c r="R697" s="372"/>
      <c r="S697" s="373"/>
      <c r="T697" s="34"/>
      <c r="U697" s="38"/>
      <c r="V697" s="39"/>
      <c r="W697" s="14" t="s">
        <v>48</v>
      </c>
      <c r="X697" s="7"/>
      <c r="Y697" s="7"/>
      <c r="Z697" s="7"/>
      <c r="AA697" s="7"/>
      <c r="AB697" s="7"/>
      <c r="AC697" s="7"/>
    </row>
    <row r="698" spans="1:29" ht="25.5">
      <c r="A698" s="252"/>
      <c r="B698" s="430"/>
      <c r="C698" s="34"/>
      <c r="D698" s="370"/>
      <c r="E698" s="34"/>
      <c r="F698" s="34"/>
      <c r="G698" s="34"/>
      <c r="H698" s="34"/>
      <c r="I698" s="34"/>
      <c r="J698" s="36"/>
      <c r="K698" s="36"/>
      <c r="L698" s="36"/>
      <c r="M698" s="36"/>
      <c r="N698" s="36"/>
      <c r="O698" s="34"/>
      <c r="P698" s="34"/>
      <c r="Q698" s="371"/>
      <c r="R698" s="372"/>
      <c r="S698" s="373"/>
      <c r="T698" s="34"/>
      <c r="U698" s="38"/>
      <c r="V698" s="39"/>
      <c r="W698" s="14" t="s">
        <v>48</v>
      </c>
      <c r="X698" s="7"/>
      <c r="Y698" s="7"/>
      <c r="Z698" s="7"/>
      <c r="AA698" s="7"/>
      <c r="AB698" s="7"/>
      <c r="AC698" s="7"/>
    </row>
    <row r="699" spans="1:29" ht="25.5">
      <c r="A699" s="252"/>
      <c r="B699" s="314"/>
      <c r="C699" s="315"/>
      <c r="D699" s="315"/>
      <c r="E699" s="315"/>
      <c r="F699" s="315"/>
      <c r="G699" s="315"/>
      <c r="H699" s="315"/>
      <c r="I699" s="315"/>
      <c r="J699" s="316"/>
      <c r="K699" s="316"/>
      <c r="L699" s="316"/>
      <c r="M699" s="316"/>
      <c r="N699" s="316"/>
      <c r="O699" s="315"/>
      <c r="P699" s="315"/>
      <c r="Q699" s="344"/>
      <c r="R699" s="318"/>
      <c r="S699" s="315"/>
      <c r="T699" s="315"/>
      <c r="U699" s="319"/>
      <c r="V699" s="317"/>
      <c r="W699" s="14" t="s">
        <v>48</v>
      </c>
      <c r="X699" s="7"/>
      <c r="Y699" s="7"/>
      <c r="Z699" s="7"/>
      <c r="AA699" s="7"/>
      <c r="AB699" s="7"/>
      <c r="AC699" s="7"/>
    </row>
    <row r="700" spans="1:29" ht="25.5">
      <c r="A700" s="252"/>
      <c r="B700" s="459"/>
      <c r="C700" s="315"/>
      <c r="D700" s="315"/>
      <c r="E700" s="315"/>
      <c r="F700" s="315"/>
      <c r="G700" s="315"/>
      <c r="H700" s="315"/>
      <c r="I700" s="315"/>
      <c r="J700" s="316"/>
      <c r="K700" s="316"/>
      <c r="L700" s="316"/>
      <c r="M700" s="316"/>
      <c r="N700" s="316"/>
      <c r="O700" s="315"/>
      <c r="P700" s="315"/>
      <c r="Q700" s="344"/>
      <c r="R700" s="460"/>
      <c r="S700" s="315"/>
      <c r="T700" s="315"/>
      <c r="U700" s="319"/>
      <c r="V700" s="317"/>
      <c r="W700" s="14" t="s">
        <v>48</v>
      </c>
      <c r="X700" s="7"/>
      <c r="Y700" s="7"/>
      <c r="Z700" s="7"/>
      <c r="AA700" s="7"/>
      <c r="AB700" s="7"/>
      <c r="AC700" s="7"/>
    </row>
    <row r="701" spans="1:29" ht="25.5">
      <c r="A701" s="252"/>
      <c r="B701" s="430"/>
      <c r="C701" s="34"/>
      <c r="D701" s="34"/>
      <c r="E701" s="34"/>
      <c r="F701" s="34"/>
      <c r="G701" s="34"/>
      <c r="H701" s="34"/>
      <c r="I701" s="34"/>
      <c r="J701" s="36"/>
      <c r="K701" s="36"/>
      <c r="L701" s="36"/>
      <c r="M701" s="36"/>
      <c r="N701" s="36"/>
      <c r="O701" s="34"/>
      <c r="P701" s="34"/>
      <c r="Q701" s="437"/>
      <c r="R701" s="461"/>
      <c r="S701" s="373"/>
      <c r="T701" s="34"/>
      <c r="U701" s="38"/>
      <c r="V701" s="39"/>
      <c r="W701" s="14" t="s">
        <v>48</v>
      </c>
      <c r="X701" s="7"/>
      <c r="Y701" s="7"/>
      <c r="Z701" s="7"/>
      <c r="AA701" s="7"/>
      <c r="AB701" s="7"/>
      <c r="AC701" s="7"/>
    </row>
    <row r="702" spans="1:29" ht="25.5">
      <c r="A702" s="252"/>
      <c r="B702" s="430"/>
      <c r="C702" s="34"/>
      <c r="D702" s="34"/>
      <c r="E702" s="34"/>
      <c r="F702" s="34"/>
      <c r="G702" s="34"/>
      <c r="H702" s="34"/>
      <c r="I702" s="34"/>
      <c r="J702" s="36"/>
      <c r="K702" s="36"/>
      <c r="L702" s="36"/>
      <c r="M702" s="36"/>
      <c r="N702" s="36"/>
      <c r="O702" s="34"/>
      <c r="P702" s="34"/>
      <c r="Q702" s="437"/>
      <c r="R702" s="461"/>
      <c r="S702" s="373"/>
      <c r="T702" s="34"/>
      <c r="U702" s="38"/>
      <c r="V702" s="39"/>
      <c r="W702" s="14" t="s">
        <v>48</v>
      </c>
      <c r="X702" s="7"/>
      <c r="Y702" s="7"/>
      <c r="Z702" s="7"/>
      <c r="AA702" s="7"/>
      <c r="AB702" s="7"/>
      <c r="AC702" s="7"/>
    </row>
    <row r="703" spans="1:29" ht="25.5">
      <c r="A703" s="252"/>
      <c r="B703" s="430"/>
      <c r="C703" s="34"/>
      <c r="D703" s="34"/>
      <c r="E703" s="34"/>
      <c r="F703" s="34"/>
      <c r="G703" s="34"/>
      <c r="H703" s="34"/>
      <c r="I703" s="34"/>
      <c r="J703" s="36"/>
      <c r="K703" s="36"/>
      <c r="L703" s="36"/>
      <c r="M703" s="36"/>
      <c r="N703" s="36"/>
      <c r="O703" s="34"/>
      <c r="P703" s="34"/>
      <c r="Q703" s="437"/>
      <c r="R703" s="461"/>
      <c r="S703" s="373"/>
      <c r="T703" s="34"/>
      <c r="U703" s="38"/>
      <c r="V703" s="39"/>
      <c r="W703" s="14" t="s">
        <v>48</v>
      </c>
      <c r="X703" s="7"/>
      <c r="Y703" s="7"/>
      <c r="Z703" s="7"/>
      <c r="AA703" s="7"/>
      <c r="AB703" s="7"/>
      <c r="AC703" s="7"/>
    </row>
    <row r="704" spans="1:29" ht="25.5">
      <c r="A704" s="252"/>
      <c r="B704" s="430"/>
      <c r="C704" s="34"/>
      <c r="D704" s="34"/>
      <c r="E704" s="34"/>
      <c r="F704" s="34"/>
      <c r="G704" s="34"/>
      <c r="H704" s="34"/>
      <c r="I704" s="34"/>
      <c r="J704" s="36"/>
      <c r="K704" s="36"/>
      <c r="L704" s="36"/>
      <c r="M704" s="36"/>
      <c r="N704" s="36"/>
      <c r="O704" s="34"/>
      <c r="P704" s="34"/>
      <c r="Q704" s="437"/>
      <c r="R704" s="462"/>
      <c r="S704" s="34"/>
      <c r="T704" s="34"/>
      <c r="U704" s="38"/>
      <c r="V704" s="39"/>
      <c r="W704" s="14" t="s">
        <v>48</v>
      </c>
      <c r="X704" s="7"/>
      <c r="Y704" s="7"/>
      <c r="Z704" s="7"/>
      <c r="AA704" s="7"/>
      <c r="AB704" s="7"/>
      <c r="AC704" s="7"/>
    </row>
    <row r="705" spans="1:29" ht="25.5">
      <c r="A705" s="252"/>
      <c r="B705" s="104"/>
      <c r="C705" s="91"/>
      <c r="D705" s="91"/>
      <c r="E705" s="91"/>
      <c r="F705" s="91"/>
      <c r="G705" s="91"/>
      <c r="H705" s="91"/>
      <c r="I705" s="91"/>
      <c r="J705" s="22"/>
      <c r="K705" s="22"/>
      <c r="L705" s="22"/>
      <c r="M705" s="22"/>
      <c r="N705" s="22"/>
      <c r="O705" s="91"/>
      <c r="P705" s="91"/>
      <c r="Q705" s="7"/>
      <c r="R705" s="272"/>
      <c r="S705" s="151"/>
      <c r="T705" s="91"/>
      <c r="U705" s="95"/>
      <c r="V705" s="538"/>
      <c r="W705" s="14"/>
      <c r="X705" s="7"/>
      <c r="Y705" s="7"/>
      <c r="Z705" s="7"/>
      <c r="AA705" s="7"/>
      <c r="AB705" s="7"/>
      <c r="AC705" s="7"/>
    </row>
    <row r="706" spans="1:29" ht="26.25">
      <c r="A706" s="19"/>
      <c r="B706" s="143" t="s">
        <v>639</v>
      </c>
      <c r="C706" s="115">
        <f>SUM(C657:C705)</f>
        <v>44855.469999999994</v>
      </c>
      <c r="D706" s="246"/>
      <c r="E706" s="115"/>
      <c r="F706" s="115"/>
      <c r="G706" s="115"/>
      <c r="H706" s="115"/>
      <c r="I706" s="115">
        <f>SUM(I657:I691)</f>
        <v>13883.77</v>
      </c>
      <c r="J706" s="22"/>
      <c r="K706" s="22"/>
      <c r="L706" s="22"/>
      <c r="M706" s="22"/>
      <c r="N706" s="22"/>
      <c r="O706" s="91"/>
      <c r="P706" s="91"/>
      <c r="Q706" s="244"/>
      <c r="R706" s="106"/>
      <c r="S706" s="151"/>
      <c r="T706" s="91"/>
      <c r="U706" s="95"/>
      <c r="V706" s="538"/>
      <c r="W706" s="14"/>
      <c r="X706" s="7"/>
      <c r="Y706" s="7"/>
      <c r="Z706" s="7"/>
      <c r="AA706" s="7"/>
      <c r="AB706" s="7"/>
      <c r="AC706" s="7"/>
    </row>
    <row r="707" spans="1:29" ht="25.5">
      <c r="A707" s="19"/>
      <c r="B707" s="104"/>
      <c r="C707" s="91"/>
      <c r="D707" s="92"/>
      <c r="E707" s="91"/>
      <c r="F707" s="91"/>
      <c r="G707" s="91"/>
      <c r="H707" s="91"/>
      <c r="I707" s="91"/>
      <c r="J707" s="22"/>
      <c r="K707" s="22"/>
      <c r="L707" s="22"/>
      <c r="M707" s="22"/>
      <c r="N707" s="22"/>
      <c r="O707" s="91"/>
      <c r="P707" s="91"/>
      <c r="Q707" s="244"/>
      <c r="R707" s="106"/>
      <c r="S707" s="151"/>
      <c r="T707" s="91"/>
      <c r="U707" s="95"/>
      <c r="V707" s="538"/>
      <c r="W707" s="14"/>
      <c r="X707" s="7"/>
      <c r="Y707" s="7"/>
      <c r="Z707" s="7"/>
      <c r="AA707" s="7"/>
      <c r="AB707" s="7"/>
      <c r="AC707" s="7"/>
    </row>
    <row r="708" spans="1:29" ht="25.5">
      <c r="A708" s="19"/>
      <c r="B708" s="148"/>
      <c r="C708" s="91"/>
      <c r="D708" s="92"/>
      <c r="E708" s="91"/>
      <c r="F708" s="91"/>
      <c r="G708" s="91"/>
      <c r="H708" s="91"/>
      <c r="I708" s="91"/>
      <c r="J708" s="22"/>
      <c r="K708" s="22"/>
      <c r="L708" s="22"/>
      <c r="M708" s="22"/>
      <c r="N708" s="22"/>
      <c r="O708" s="91"/>
      <c r="P708" s="91"/>
      <c r="Q708" s="244"/>
      <c r="R708" s="106"/>
      <c r="S708" s="151"/>
      <c r="T708" s="91"/>
      <c r="U708" s="95"/>
      <c r="V708" s="538"/>
      <c r="W708" s="14"/>
      <c r="X708" s="7"/>
      <c r="Y708" s="7"/>
      <c r="Z708" s="7"/>
      <c r="AA708" s="7"/>
      <c r="AB708" s="7"/>
      <c r="AC708" s="7"/>
    </row>
    <row r="709" spans="1:29" ht="26.25">
      <c r="A709" s="19"/>
      <c r="B709" s="90" t="s">
        <v>640</v>
      </c>
      <c r="C709" s="115">
        <f>C85+C109+C132+C329+C379+C654+C706+C163+D142</f>
        <v>1478703.7829499971</v>
      </c>
      <c r="D709" s="115">
        <f>D109+D86+D613</f>
        <v>0</v>
      </c>
      <c r="E709" s="115" t="e">
        <f>#REF!+E86+E109+E613</f>
        <v>#REF!</v>
      </c>
      <c r="F709" s="115"/>
      <c r="G709" s="115"/>
      <c r="H709" s="115" t="e">
        <f>#REF!+H109+H92+H613+H656+H657+H659+H56+H663</f>
        <v>#REF!</v>
      </c>
      <c r="I709" s="115">
        <f>I654+I85+I109+I613+I706</f>
        <v>236917.21299999949</v>
      </c>
      <c r="J709" s="22"/>
      <c r="K709" s="22"/>
      <c r="L709" s="22"/>
      <c r="M709" s="22"/>
      <c r="N709" s="22"/>
      <c r="O709" s="91"/>
      <c r="P709" s="91"/>
      <c r="Q709" s="7"/>
      <c r="R709" s="228"/>
      <c r="S709" s="151"/>
      <c r="T709" s="91"/>
      <c r="U709" s="95"/>
      <c r="V709" s="538"/>
      <c r="W709" s="14"/>
      <c r="X709" s="7"/>
      <c r="Y709" s="7"/>
      <c r="Z709" s="7"/>
      <c r="AA709" s="7"/>
      <c r="AB709" s="7"/>
      <c r="AC709" s="7"/>
    </row>
    <row r="710" spans="1:29" ht="26.25">
      <c r="A710" s="19"/>
      <c r="B710" s="148"/>
      <c r="C710" s="91"/>
      <c r="D710" s="115"/>
      <c r="E710" s="91"/>
      <c r="F710" s="91"/>
      <c r="G710" s="91"/>
      <c r="H710" s="91"/>
      <c r="I710" s="91"/>
      <c r="J710" s="22"/>
      <c r="K710" s="22"/>
      <c r="L710" s="22"/>
      <c r="M710" s="22"/>
      <c r="N710" s="22"/>
      <c r="O710" s="91"/>
      <c r="P710" s="91"/>
      <c r="Q710" s="7"/>
      <c r="R710" s="228"/>
      <c r="S710" s="248"/>
      <c r="T710" s="91"/>
      <c r="U710" s="95"/>
      <c r="V710" s="538"/>
      <c r="W710" s="14"/>
      <c r="X710" s="7"/>
      <c r="Y710" s="7"/>
      <c r="Z710" s="7"/>
      <c r="AA710" s="7"/>
      <c r="AB710" s="7"/>
      <c r="AC710" s="7"/>
    </row>
    <row r="711" spans="1:29" ht="26.25">
      <c r="A711" s="19"/>
      <c r="B711" s="148"/>
      <c r="C711" s="115"/>
      <c r="D711" s="92"/>
      <c r="E711" s="91"/>
      <c r="F711" s="91"/>
      <c r="G711" s="91"/>
      <c r="H711" s="91"/>
      <c r="I711" s="91"/>
      <c r="J711" s="22"/>
      <c r="K711" s="22"/>
      <c r="L711" s="22"/>
      <c r="M711" s="22"/>
      <c r="N711" s="22"/>
      <c r="O711" s="91"/>
      <c r="P711" s="91"/>
      <c r="Q711" s="7"/>
      <c r="R711" s="228"/>
      <c r="S711" s="248"/>
      <c r="T711" s="91"/>
      <c r="U711" s="95"/>
      <c r="V711" s="538"/>
      <c r="W711" s="14"/>
      <c r="X711" s="7"/>
      <c r="Y711" s="7"/>
      <c r="Z711" s="7"/>
      <c r="AA711" s="7"/>
      <c r="AB711" s="7"/>
      <c r="AC711" s="7"/>
    </row>
    <row r="712" spans="1:29" ht="25.5">
      <c r="A712" s="19"/>
      <c r="B712" s="148"/>
      <c r="C712" s="91"/>
      <c r="D712" s="92"/>
      <c r="E712" s="91"/>
      <c r="F712" s="91"/>
      <c r="G712" s="91"/>
      <c r="H712" s="91"/>
      <c r="I712" s="91"/>
      <c r="J712" s="22"/>
      <c r="K712" s="22"/>
      <c r="L712" s="22"/>
      <c r="M712" s="22"/>
      <c r="N712" s="22"/>
      <c r="O712" s="91"/>
      <c r="P712" s="91"/>
      <c r="Q712" s="7"/>
      <c r="R712" s="228"/>
      <c r="S712" s="151"/>
      <c r="T712" s="91"/>
      <c r="U712" s="95"/>
      <c r="V712" s="538"/>
      <c r="W712" s="14"/>
      <c r="X712" s="7"/>
      <c r="Y712" s="7"/>
      <c r="Z712" s="7"/>
      <c r="AA712" s="7"/>
      <c r="AB712" s="7"/>
      <c r="AC712" s="7"/>
    </row>
    <row r="713" spans="1:29" ht="25.5">
      <c r="A713" s="19"/>
      <c r="B713" s="148"/>
      <c r="C713" s="28"/>
      <c r="D713" s="77"/>
      <c r="E713" s="28"/>
      <c r="F713" s="28"/>
      <c r="G713" s="28"/>
      <c r="H713" s="28"/>
      <c r="I713" s="28"/>
      <c r="J713" s="29"/>
      <c r="K713" s="29"/>
      <c r="L713" s="29"/>
      <c r="M713" s="29"/>
      <c r="N713" s="29"/>
      <c r="O713" s="91"/>
      <c r="P713" s="91"/>
      <c r="Q713" s="30"/>
      <c r="R713" s="256"/>
      <c r="S713" s="54"/>
      <c r="T713" s="28"/>
      <c r="U713" s="95"/>
      <c r="V713" s="538"/>
      <c r="W713" s="14"/>
      <c r="X713" s="7"/>
      <c r="Y713" s="7"/>
      <c r="Z713" s="7"/>
      <c r="AA713" s="7"/>
      <c r="AB713" s="7"/>
      <c r="AC713" s="7"/>
    </row>
    <row r="714" spans="1:29" ht="25.5">
      <c r="A714" s="19"/>
      <c r="B714" s="148"/>
      <c r="C714" s="28"/>
      <c r="D714" s="77"/>
      <c r="E714" s="28"/>
      <c r="F714" s="28"/>
      <c r="G714" s="28"/>
      <c r="H714" s="28"/>
      <c r="I714" s="28"/>
      <c r="J714" s="29"/>
      <c r="K714" s="29"/>
      <c r="L714" s="29"/>
      <c r="M714" s="29"/>
      <c r="N714" s="29"/>
      <c r="O714" s="28"/>
      <c r="P714" s="28"/>
      <c r="Q714" s="30"/>
      <c r="R714" s="256"/>
      <c r="S714" s="54"/>
      <c r="T714" s="28"/>
      <c r="U714" s="95"/>
      <c r="V714" s="538"/>
      <c r="W714" s="14"/>
      <c r="X714" s="7"/>
      <c r="Y714" s="7"/>
      <c r="Z714" s="7"/>
      <c r="AA714" s="7"/>
      <c r="AB714" s="7"/>
      <c r="AC714" s="7"/>
    </row>
    <row r="715" spans="1:29" ht="26.25">
      <c r="A715" s="19"/>
      <c r="B715" s="148"/>
      <c r="C715" s="115"/>
      <c r="D715" s="92"/>
      <c r="E715" s="91"/>
      <c r="F715" s="91"/>
      <c r="G715" s="91"/>
      <c r="H715" s="91"/>
      <c r="I715" s="91"/>
      <c r="J715" s="22"/>
      <c r="K715" s="22"/>
      <c r="L715" s="22"/>
      <c r="M715" s="22"/>
      <c r="N715" s="22"/>
      <c r="O715" s="91"/>
      <c r="P715" s="91"/>
      <c r="Q715" s="149"/>
      <c r="R715" s="150"/>
      <c r="S715" s="151"/>
      <c r="T715" s="91"/>
      <c r="U715" s="95"/>
      <c r="V715" s="538"/>
      <c r="W715" s="14"/>
      <c r="X715" s="7"/>
      <c r="Y715" s="7"/>
      <c r="Z715" s="7"/>
      <c r="AA715" s="7"/>
      <c r="AB715" s="7"/>
      <c r="AC715" s="7"/>
    </row>
    <row r="716" spans="1:29" ht="26.25">
      <c r="A716" s="19"/>
      <c r="B716" s="148"/>
      <c r="C716" s="115"/>
      <c r="D716" s="91"/>
      <c r="E716" s="91"/>
      <c r="F716" s="91"/>
      <c r="G716" s="91"/>
      <c r="H716" s="91"/>
      <c r="I716" s="91"/>
      <c r="J716" s="22"/>
      <c r="K716" s="22"/>
      <c r="L716" s="22"/>
      <c r="M716" s="22"/>
      <c r="N716" s="22"/>
      <c r="O716" s="91"/>
      <c r="P716" s="91"/>
      <c r="Q716" s="149"/>
      <c r="R716" s="150"/>
      <c r="S716" s="151"/>
      <c r="T716" s="91"/>
      <c r="U716" s="95"/>
      <c r="V716" s="538"/>
      <c r="W716" s="14"/>
      <c r="X716" s="7"/>
      <c r="Y716" s="7"/>
      <c r="Z716" s="7"/>
      <c r="AA716" s="7"/>
      <c r="AB716" s="7"/>
      <c r="AC716" s="7"/>
    </row>
    <row r="717" spans="1:29" ht="25.5">
      <c r="A717" s="19"/>
      <c r="B717" s="104"/>
      <c r="C717" s="92"/>
      <c r="D717" s="92"/>
      <c r="E717" s="92"/>
      <c r="F717" s="92"/>
      <c r="G717" s="92"/>
      <c r="H717" s="92"/>
      <c r="I717" s="92"/>
      <c r="J717" s="142"/>
      <c r="K717" s="142"/>
      <c r="L717" s="142"/>
      <c r="M717" s="142"/>
      <c r="N717" s="142"/>
      <c r="O717" s="94"/>
      <c r="P717" s="94"/>
      <c r="Q717" s="94"/>
      <c r="R717" s="94"/>
      <c r="S717" s="94"/>
      <c r="T717" s="94"/>
      <c r="U717" s="273"/>
      <c r="V717" s="274"/>
      <c r="W717" s="14"/>
      <c r="X717" s="7"/>
      <c r="Y717" s="7"/>
      <c r="Z717" s="7"/>
      <c r="AA717" s="7"/>
      <c r="AB717" s="7"/>
      <c r="AC717" s="7"/>
    </row>
    <row r="718" spans="1:29" ht="26.25">
      <c r="A718" s="19"/>
      <c r="B718" s="123" t="s">
        <v>641</v>
      </c>
      <c r="C718" s="115"/>
      <c r="D718" s="92"/>
      <c r="E718" s="91">
        <f>F718+G718</f>
        <v>0</v>
      </c>
      <c r="F718" s="91"/>
      <c r="G718" s="91"/>
      <c r="H718" s="91"/>
      <c r="I718" s="91"/>
      <c r="J718" s="22"/>
      <c r="K718" s="22"/>
      <c r="L718" s="22"/>
      <c r="M718" s="22"/>
      <c r="N718" s="22"/>
      <c r="O718" s="91"/>
      <c r="P718" s="91"/>
      <c r="Q718" s="7"/>
      <c r="R718" s="228"/>
      <c r="S718" s="151"/>
      <c r="T718" s="91"/>
      <c r="U718" s="95"/>
      <c r="V718" s="538"/>
      <c r="W718" s="14"/>
      <c r="X718" s="7"/>
      <c r="Y718" s="7"/>
      <c r="Z718" s="7"/>
      <c r="AA718" s="7"/>
      <c r="AB718" s="7"/>
      <c r="AC718" s="7"/>
    </row>
    <row r="719" spans="1:29" ht="26.25">
      <c r="A719" s="19"/>
      <c r="B719" s="27" t="s">
        <v>642</v>
      </c>
      <c r="C719" s="72">
        <f>T719</f>
        <v>57</v>
      </c>
      <c r="D719" s="77"/>
      <c r="E719" s="28"/>
      <c r="F719" s="28"/>
      <c r="G719" s="28"/>
      <c r="H719" s="28"/>
      <c r="I719" s="28"/>
      <c r="J719" s="29"/>
      <c r="K719" s="29"/>
      <c r="L719" s="29"/>
      <c r="M719" s="29"/>
      <c r="N719" s="29"/>
      <c r="O719" s="28">
        <v>7923</v>
      </c>
      <c r="P719" s="28">
        <v>7980</v>
      </c>
      <c r="Q719" s="30"/>
      <c r="R719" s="256"/>
      <c r="S719" s="54">
        <v>1</v>
      </c>
      <c r="T719" s="28">
        <f>(P719-O719)*S719</f>
        <v>57</v>
      </c>
      <c r="U719" s="95"/>
      <c r="V719" s="538"/>
      <c r="W719" s="14"/>
      <c r="X719" s="7"/>
      <c r="Y719" s="7"/>
      <c r="Z719" s="7"/>
      <c r="AA719" s="7"/>
      <c r="AB719" s="7"/>
      <c r="AC719" s="7"/>
    </row>
    <row r="720" spans="1:29" ht="26.25">
      <c r="A720" s="19"/>
      <c r="B720" s="27" t="s">
        <v>643</v>
      </c>
      <c r="C720" s="28"/>
      <c r="D720" s="72">
        <f>P720-O720</f>
        <v>672</v>
      </c>
      <c r="E720" s="28"/>
      <c r="F720" s="28"/>
      <c r="G720" s="28"/>
      <c r="H720" s="28"/>
      <c r="I720" s="28"/>
      <c r="J720" s="29"/>
      <c r="K720" s="29"/>
      <c r="L720" s="29"/>
      <c r="M720" s="29"/>
      <c r="N720" s="29"/>
      <c r="O720" s="28">
        <v>121330</v>
      </c>
      <c r="P720" s="28">
        <v>122002</v>
      </c>
      <c r="Q720" s="30"/>
      <c r="R720" s="256"/>
      <c r="S720" s="171">
        <v>1</v>
      </c>
      <c r="T720" s="28">
        <f>(P720-O720)*S720</f>
        <v>672</v>
      </c>
      <c r="U720" s="95"/>
      <c r="V720" s="538"/>
      <c r="W720" s="14"/>
      <c r="X720" s="7"/>
      <c r="Y720" s="7"/>
      <c r="Z720" s="7"/>
      <c r="AA720" s="7"/>
      <c r="AB720" s="7"/>
      <c r="AC720" s="7"/>
    </row>
    <row r="721" spans="1:29" ht="26.25">
      <c r="A721" s="19"/>
      <c r="B721" s="27" t="s">
        <v>644</v>
      </c>
      <c r="C721" s="72">
        <f>P721-O721</f>
        <v>46</v>
      </c>
      <c r="D721" s="77"/>
      <c r="E721" s="28"/>
      <c r="F721" s="28"/>
      <c r="G721" s="28"/>
      <c r="H721" s="28"/>
      <c r="I721" s="28"/>
      <c r="J721" s="29"/>
      <c r="K721" s="29"/>
      <c r="L721" s="29"/>
      <c r="M721" s="29"/>
      <c r="N721" s="29"/>
      <c r="O721" s="28">
        <v>14790</v>
      </c>
      <c r="P721" s="28">
        <v>14836</v>
      </c>
      <c r="Q721" s="30"/>
      <c r="R721" s="256"/>
      <c r="S721" s="171">
        <v>1</v>
      </c>
      <c r="T721" s="28">
        <f>(P721-O721)*S721</f>
        <v>46</v>
      </c>
      <c r="U721" s="95"/>
      <c r="V721" s="538"/>
      <c r="W721" s="14"/>
      <c r="X721" s="7"/>
      <c r="Y721" s="7"/>
      <c r="Z721" s="7"/>
      <c r="AA721" s="7"/>
      <c r="AB721" s="7"/>
      <c r="AC721" s="7"/>
    </row>
    <row r="722" spans="1:29" ht="26.25">
      <c r="A722" s="19"/>
      <c r="B722" s="148" t="s">
        <v>645</v>
      </c>
      <c r="C722" s="115">
        <f>P722-O722</f>
        <v>0</v>
      </c>
      <c r="D722" s="92"/>
      <c r="E722" s="91"/>
      <c r="F722" s="91"/>
      <c r="G722" s="91"/>
      <c r="H722" s="91"/>
      <c r="I722" s="91"/>
      <c r="J722" s="22"/>
      <c r="K722" s="22"/>
      <c r="L722" s="22"/>
      <c r="M722" s="22"/>
      <c r="N722" s="22"/>
      <c r="O722" s="340">
        <v>86354</v>
      </c>
      <c r="P722" s="340">
        <v>86354</v>
      </c>
      <c r="Q722" s="122"/>
      <c r="R722" s="338"/>
      <c r="S722" s="248">
        <v>1</v>
      </c>
      <c r="T722" s="91">
        <f>(P722-O722)*S722</f>
        <v>0</v>
      </c>
      <c r="U722" s="95"/>
      <c r="V722" s="538"/>
      <c r="W722" s="14"/>
      <c r="X722" s="7"/>
      <c r="Y722" s="7"/>
      <c r="Z722" s="7"/>
      <c r="AA722" s="7"/>
      <c r="AB722" s="7"/>
      <c r="AC722" s="7"/>
    </row>
    <row r="723" spans="1:29" ht="25.5">
      <c r="A723" s="19"/>
      <c r="B723" s="27" t="s">
        <v>646</v>
      </c>
      <c r="C723" s="28">
        <f>T723</f>
        <v>212</v>
      </c>
      <c r="D723" s="77"/>
      <c r="E723" s="28"/>
      <c r="F723" s="28"/>
      <c r="G723" s="28"/>
      <c r="H723" s="28"/>
      <c r="I723" s="28"/>
      <c r="J723" s="29"/>
      <c r="K723" s="29"/>
      <c r="L723" s="29"/>
      <c r="M723" s="29"/>
      <c r="N723" s="29"/>
      <c r="O723" s="28">
        <v>50515</v>
      </c>
      <c r="P723" s="28">
        <v>50727</v>
      </c>
      <c r="Q723" s="30"/>
      <c r="R723" s="256"/>
      <c r="S723" s="54">
        <v>1</v>
      </c>
      <c r="T723" s="28">
        <f>(P723-O723)*S723</f>
        <v>212</v>
      </c>
      <c r="U723" s="95"/>
      <c r="V723" s="538"/>
      <c r="W723" s="14"/>
      <c r="X723" s="7"/>
      <c r="Y723" s="7"/>
      <c r="Z723" s="7"/>
      <c r="AA723" s="7"/>
      <c r="AB723" s="7"/>
      <c r="AC723" s="7"/>
    </row>
    <row r="724" spans="1:29" ht="26.25">
      <c r="A724" s="19"/>
      <c r="B724" s="27" t="s">
        <v>647</v>
      </c>
      <c r="C724" s="72">
        <f>T724</f>
        <v>796</v>
      </c>
      <c r="D724" s="77">
        <v>0</v>
      </c>
      <c r="E724" s="28"/>
      <c r="F724" s="28"/>
      <c r="G724" s="28"/>
      <c r="H724" s="28"/>
      <c r="I724" s="28"/>
      <c r="J724" s="29"/>
      <c r="K724" s="29"/>
      <c r="L724" s="29"/>
      <c r="M724" s="29"/>
      <c r="N724" s="29"/>
      <c r="O724" s="28">
        <v>5364</v>
      </c>
      <c r="P724" s="28">
        <v>6160</v>
      </c>
      <c r="Q724" s="146"/>
      <c r="R724" s="147"/>
      <c r="S724" s="54">
        <v>1</v>
      </c>
      <c r="T724" s="28">
        <f>P724-O724</f>
        <v>796</v>
      </c>
      <c r="U724" s="95"/>
      <c r="V724" s="538"/>
      <c r="W724" s="14"/>
      <c r="X724" s="7"/>
      <c r="Y724" s="7"/>
      <c r="Z724" s="7"/>
      <c r="AA724" s="7"/>
      <c r="AB724" s="7"/>
      <c r="AC724" s="7"/>
    </row>
    <row r="725" spans="1:29" ht="26.25">
      <c r="A725" s="19"/>
      <c r="B725" s="218"/>
      <c r="C725" s="72"/>
      <c r="D725" s="77"/>
      <c r="E725" s="28"/>
      <c r="F725" s="28"/>
      <c r="G725" s="28"/>
      <c r="H725" s="28"/>
      <c r="I725" s="28"/>
      <c r="J725" s="29"/>
      <c r="K725" s="29"/>
      <c r="L725" s="29"/>
      <c r="M725" s="29"/>
      <c r="N725" s="29"/>
      <c r="O725" s="28"/>
      <c r="P725" s="28"/>
      <c r="Q725" s="146"/>
      <c r="R725" s="147"/>
      <c r="S725" s="54"/>
      <c r="T725" s="28"/>
      <c r="U725" s="95"/>
      <c r="V725" s="538"/>
      <c r="W725" s="14"/>
      <c r="X725" s="7"/>
      <c r="Y725" s="7"/>
      <c r="Z725" s="7"/>
      <c r="AA725" s="7"/>
      <c r="AB725" s="7"/>
      <c r="AC725" s="7"/>
    </row>
    <row r="726" spans="1:29" ht="26.25">
      <c r="A726" s="19"/>
      <c r="B726" s="148" t="s">
        <v>86</v>
      </c>
      <c r="C726" s="115">
        <f>C719+C721+C723+C722+C724</f>
        <v>1111</v>
      </c>
      <c r="D726" s="91">
        <f>D720+D724</f>
        <v>672</v>
      </c>
      <c r="E726" s="28"/>
      <c r="F726" s="28"/>
      <c r="G726" s="28"/>
      <c r="H726" s="28"/>
      <c r="I726" s="28"/>
      <c r="J726" s="29"/>
      <c r="K726" s="29"/>
      <c r="L726" s="29"/>
      <c r="M726" s="29"/>
      <c r="N726" s="29"/>
      <c r="O726" s="28"/>
      <c r="P726" s="28"/>
      <c r="Q726" s="146"/>
      <c r="R726" s="147"/>
      <c r="S726" s="54"/>
      <c r="T726" s="28"/>
      <c r="U726" s="95"/>
      <c r="V726" s="538"/>
      <c r="W726" s="14"/>
      <c r="X726" s="7"/>
      <c r="Y726" s="7"/>
      <c r="Z726" s="7"/>
      <c r="AA726" s="7"/>
      <c r="AB726" s="7"/>
      <c r="AC726" s="7"/>
    </row>
    <row r="727" spans="1:29" ht="25.5">
      <c r="A727" s="19"/>
      <c r="B727" s="104"/>
      <c r="C727" s="92"/>
      <c r="D727" s="92"/>
      <c r="E727" s="92"/>
      <c r="F727" s="92"/>
      <c r="G727" s="92"/>
      <c r="H727" s="92"/>
      <c r="I727" s="92"/>
      <c r="J727" s="142"/>
      <c r="K727" s="142"/>
      <c r="L727" s="142"/>
      <c r="M727" s="142"/>
      <c r="N727" s="142"/>
      <c r="O727" s="94"/>
      <c r="P727" s="91"/>
      <c r="Q727" s="94"/>
      <c r="R727" s="94"/>
      <c r="S727" s="94"/>
      <c r="T727" s="94"/>
      <c r="U727" s="273"/>
      <c r="V727" s="274"/>
      <c r="W727" s="14"/>
      <c r="X727" s="7"/>
      <c r="Y727" s="7"/>
      <c r="Z727" s="7"/>
      <c r="AA727" s="7"/>
      <c r="AB727" s="7"/>
      <c r="AC727" s="7"/>
    </row>
    <row r="728" spans="1:29" ht="26.25">
      <c r="A728" s="19"/>
      <c r="B728" s="143"/>
      <c r="C728" s="92"/>
      <c r="D728" s="92"/>
      <c r="E728" s="246"/>
      <c r="F728" s="246"/>
      <c r="G728" s="92"/>
      <c r="H728" s="92"/>
      <c r="I728" s="92"/>
      <c r="J728" s="142"/>
      <c r="K728" s="142"/>
      <c r="L728" s="142"/>
      <c r="M728" s="142"/>
      <c r="N728" s="142"/>
      <c r="O728" s="94"/>
      <c r="P728" s="94"/>
      <c r="Q728" s="94"/>
      <c r="R728" s="94"/>
      <c r="S728" s="94"/>
      <c r="T728" s="94"/>
      <c r="U728" s="273"/>
      <c r="V728" s="274"/>
      <c r="W728" s="14"/>
      <c r="X728" s="7"/>
      <c r="Y728" s="7"/>
      <c r="Z728" s="7"/>
      <c r="AA728" s="7"/>
      <c r="AB728" s="7"/>
      <c r="AC728" s="7"/>
    </row>
    <row r="729" spans="1:29" ht="26.25">
      <c r="A729" s="271"/>
      <c r="B729" s="143" t="s">
        <v>648</v>
      </c>
      <c r="C729" s="115">
        <f>C709+C92</f>
        <v>1512558.0629499969</v>
      </c>
      <c r="D729" s="115">
        <f>D709+D726</f>
        <v>672</v>
      </c>
      <c r="E729" s="115" t="e">
        <f>E709</f>
        <v>#REF!</v>
      </c>
      <c r="F729" s="91"/>
      <c r="G729" s="91"/>
      <c r="H729" s="248" t="e">
        <f>H709</f>
        <v>#REF!</v>
      </c>
      <c r="I729" s="115">
        <f>I709</f>
        <v>236917.21299999949</v>
      </c>
      <c r="J729" s="142"/>
      <c r="K729" s="142"/>
      <c r="L729" s="142"/>
      <c r="M729" s="142"/>
      <c r="N729" s="142"/>
      <c r="O729" s="94"/>
      <c r="P729" s="94"/>
      <c r="Q729" s="94"/>
      <c r="R729" s="94"/>
      <c r="S729" s="94"/>
      <c r="T729" s="94"/>
      <c r="U729" s="273"/>
      <c r="V729" s="274"/>
      <c r="W729" s="14"/>
      <c r="X729" s="7"/>
      <c r="Y729" s="7"/>
      <c r="Z729" s="7"/>
      <c r="AA729" s="7"/>
      <c r="AB729" s="7"/>
      <c r="AC729" s="7"/>
    </row>
    <row r="730" spans="1:29" ht="26.25">
      <c r="A730" s="271"/>
      <c r="B730" s="143"/>
      <c r="C730" s="246"/>
      <c r="D730" s="246"/>
      <c r="E730" s="246"/>
      <c r="F730" s="92"/>
      <c r="G730" s="92"/>
      <c r="H730" s="92"/>
      <c r="I730" s="92"/>
      <c r="J730" s="142"/>
      <c r="K730" s="142"/>
      <c r="L730" s="142"/>
      <c r="M730" s="142"/>
      <c r="N730" s="142"/>
      <c r="O730" s="94"/>
      <c r="P730" s="94"/>
      <c r="Q730" s="94"/>
      <c r="R730" s="94"/>
      <c r="S730" s="94"/>
      <c r="T730" s="94"/>
      <c r="U730" s="273"/>
      <c r="V730" s="274"/>
      <c r="W730" s="14"/>
      <c r="X730" s="7"/>
      <c r="Y730" s="7"/>
      <c r="Z730" s="7"/>
      <c r="AA730" s="7"/>
      <c r="AB730" s="7"/>
      <c r="AC730" s="7"/>
    </row>
    <row r="731" spans="1:29" ht="25.5">
      <c r="A731" s="271"/>
      <c r="B731" s="104"/>
      <c r="C731" s="92"/>
      <c r="D731" s="92"/>
      <c r="E731" s="92"/>
      <c r="F731" s="92"/>
      <c r="G731" s="92"/>
      <c r="H731" s="92"/>
      <c r="I731" s="92"/>
      <c r="J731" s="142"/>
      <c r="K731" s="142"/>
      <c r="L731" s="142"/>
      <c r="M731" s="142"/>
      <c r="N731" s="142"/>
      <c r="O731" s="94"/>
      <c r="P731" s="94"/>
      <c r="Q731" s="94"/>
      <c r="R731" s="94"/>
      <c r="S731" s="94"/>
      <c r="T731" s="94"/>
      <c r="U731" s="273"/>
      <c r="V731" s="274"/>
      <c r="W731" s="14"/>
      <c r="X731" s="7"/>
      <c r="Y731" s="7"/>
      <c r="Z731" s="7"/>
      <c r="AA731" s="7"/>
      <c r="AB731" s="7"/>
      <c r="AC731" s="7"/>
    </row>
    <row r="732" spans="1:29" ht="26.25">
      <c r="A732" s="271"/>
      <c r="B732" s="143" t="s">
        <v>649</v>
      </c>
      <c r="C732" s="246"/>
      <c r="D732" s="246"/>
      <c r="E732" s="246"/>
      <c r="F732" s="92"/>
      <c r="G732" s="275"/>
      <c r="H732" s="92"/>
      <c r="I732" s="92"/>
      <c r="J732" s="142"/>
      <c r="K732" s="142"/>
      <c r="L732" s="142"/>
      <c r="M732" s="142"/>
      <c r="N732" s="142"/>
      <c r="O732" s="94"/>
      <c r="P732" s="94"/>
      <c r="Q732" s="94"/>
      <c r="R732" s="94"/>
      <c r="S732" s="94"/>
      <c r="T732" s="94"/>
      <c r="U732" s="273"/>
      <c r="V732" s="274"/>
      <c r="W732" s="14"/>
      <c r="X732" s="7"/>
      <c r="Y732" s="7"/>
      <c r="Z732" s="7"/>
      <c r="AA732" s="7"/>
      <c r="AB732" s="7"/>
      <c r="AC732" s="7"/>
    </row>
    <row r="733" spans="1:29" ht="25.5">
      <c r="A733" s="271"/>
      <c r="B733" s="104"/>
      <c r="C733" s="92"/>
      <c r="D733" s="92"/>
      <c r="E733" s="92"/>
      <c r="F733" s="92"/>
      <c r="G733" s="275"/>
      <c r="H733" s="92"/>
      <c r="I733" s="92"/>
      <c r="J733" s="142"/>
      <c r="K733" s="142"/>
      <c r="L733" s="142"/>
      <c r="M733" s="142"/>
      <c r="N733" s="142"/>
      <c r="O733" s="94"/>
      <c r="P733" s="94"/>
      <c r="Q733" s="94"/>
      <c r="R733" s="94"/>
      <c r="S733" s="94"/>
      <c r="T733" s="94"/>
      <c r="U733" s="273"/>
      <c r="V733" s="274"/>
      <c r="W733" s="14"/>
      <c r="X733" s="7"/>
      <c r="Y733" s="7"/>
      <c r="Z733" s="7"/>
      <c r="AA733" s="7"/>
      <c r="AB733" s="7"/>
      <c r="AC733" s="7"/>
    </row>
    <row r="734" spans="1:29" ht="25.5">
      <c r="A734" s="276"/>
      <c r="B734" s="277"/>
      <c r="C734" s="105"/>
      <c r="D734" s="105"/>
      <c r="E734" s="105"/>
      <c r="F734" s="105"/>
      <c r="G734" s="105"/>
      <c r="H734" s="105"/>
      <c r="I734" s="105"/>
      <c r="J734" s="98"/>
      <c r="K734" s="98"/>
      <c r="L734" s="98"/>
      <c r="M734" s="98"/>
      <c r="N734" s="98"/>
      <c r="O734" s="227"/>
      <c r="P734" s="227"/>
      <c r="Q734" s="227"/>
      <c r="R734" s="227"/>
      <c r="S734" s="227"/>
      <c r="T734" s="227"/>
      <c r="U734" s="273"/>
      <c r="V734" s="274"/>
      <c r="W734" s="7"/>
      <c r="X734" s="7"/>
      <c r="Y734" s="7"/>
      <c r="Z734" s="7"/>
      <c r="AA734" s="7"/>
      <c r="AB734" s="7"/>
      <c r="AC734" s="7"/>
    </row>
    <row r="735" spans="1:29" ht="25.5">
      <c r="A735" s="276"/>
      <c r="B735" s="277"/>
      <c r="C735" s="105"/>
      <c r="D735" s="105"/>
      <c r="E735" s="105"/>
      <c r="F735" s="105"/>
      <c r="G735" s="105"/>
      <c r="H735" s="105"/>
      <c r="I735" s="105"/>
      <c r="J735" s="98"/>
      <c r="K735" s="98"/>
      <c r="L735" s="98"/>
      <c r="M735" s="98"/>
      <c r="N735" s="98"/>
      <c r="O735" s="227"/>
      <c r="P735" s="227"/>
      <c r="Q735" s="227"/>
      <c r="R735" s="227"/>
      <c r="S735" s="227"/>
      <c r="T735" s="227"/>
      <c r="U735" s="273"/>
      <c r="V735" s="274"/>
      <c r="W735" s="7"/>
      <c r="X735" s="7"/>
      <c r="Y735" s="7"/>
      <c r="Z735" s="7"/>
      <c r="AA735" s="7"/>
      <c r="AB735" s="7"/>
      <c r="AC735" s="7"/>
    </row>
    <row r="736" spans="1:29" ht="25.5">
      <c r="A736" s="276"/>
      <c r="B736" s="277"/>
      <c r="C736" s="105"/>
      <c r="D736" s="105"/>
      <c r="E736" s="105"/>
      <c r="F736" s="105"/>
      <c r="G736" s="105"/>
      <c r="H736" s="105"/>
      <c r="I736" s="105"/>
      <c r="J736" s="98"/>
      <c r="K736" s="98"/>
      <c r="L736" s="98"/>
      <c r="M736" s="98"/>
      <c r="N736" s="98"/>
      <c r="O736" s="227"/>
      <c r="P736" s="227"/>
      <c r="Q736" s="227"/>
      <c r="R736" s="227"/>
      <c r="S736" s="227"/>
      <c r="T736" s="227"/>
      <c r="U736" s="273"/>
      <c r="V736" s="274"/>
      <c r="W736" s="7"/>
      <c r="X736" s="7"/>
      <c r="Y736" s="7"/>
      <c r="Z736" s="7"/>
      <c r="AA736" s="7"/>
      <c r="AB736" s="7"/>
      <c r="AC736" s="7"/>
    </row>
    <row r="737" spans="1:29" ht="25.5">
      <c r="A737" s="276"/>
      <c r="B737" s="277"/>
      <c r="C737" s="105"/>
      <c r="D737" s="105"/>
      <c r="E737" s="105"/>
      <c r="F737" s="105"/>
      <c r="G737" s="105"/>
      <c r="H737" s="105"/>
      <c r="I737" s="105"/>
      <c r="J737" s="98"/>
      <c r="K737" s="98"/>
      <c r="L737" s="98"/>
      <c r="M737" s="98"/>
      <c r="N737" s="98"/>
      <c r="O737" s="227"/>
      <c r="P737" s="227"/>
      <c r="Q737" s="227"/>
      <c r="R737" s="227"/>
      <c r="S737" s="227"/>
      <c r="T737" s="227"/>
      <c r="U737" s="273"/>
      <c r="V737" s="274"/>
      <c r="W737" s="7"/>
      <c r="X737" s="7"/>
      <c r="Y737" s="7"/>
      <c r="Z737" s="7"/>
      <c r="AA737" s="7"/>
      <c r="AB737" s="7"/>
      <c r="AC737" s="7"/>
    </row>
    <row r="738" spans="1:29" ht="25.5">
      <c r="A738" s="276"/>
      <c r="B738" s="277"/>
      <c r="C738" s="105"/>
      <c r="D738" s="105"/>
      <c r="E738" s="105"/>
      <c r="F738" s="105"/>
      <c r="G738" s="105"/>
      <c r="H738" s="105"/>
      <c r="I738" s="105"/>
      <c r="J738" s="98"/>
      <c r="K738" s="98"/>
      <c r="L738" s="98"/>
      <c r="M738" s="98"/>
      <c r="N738" s="98"/>
      <c r="O738" s="227"/>
      <c r="P738" s="227"/>
      <c r="Q738" s="227"/>
      <c r="R738" s="227"/>
      <c r="S738" s="227"/>
      <c r="T738" s="227"/>
      <c r="U738" s="273"/>
      <c r="V738" s="274"/>
      <c r="W738" s="7"/>
      <c r="X738" s="7"/>
      <c r="Y738" s="7"/>
      <c r="Z738" s="7"/>
      <c r="AA738" s="7"/>
      <c r="AB738" s="7"/>
      <c r="AC738" s="7"/>
    </row>
    <row r="739" spans="1:29" ht="25.5">
      <c r="A739" s="276"/>
      <c r="B739" s="277"/>
      <c r="C739" s="105"/>
      <c r="D739" s="105"/>
      <c r="E739" s="105"/>
      <c r="F739" s="105"/>
      <c r="G739" s="105"/>
      <c r="H739" s="105"/>
      <c r="I739" s="105"/>
      <c r="J739" s="98"/>
      <c r="K739" s="98"/>
      <c r="L739" s="98"/>
      <c r="M739" s="98"/>
      <c r="N739" s="98"/>
      <c r="O739" s="227"/>
      <c r="P739" s="227"/>
      <c r="Q739" s="227"/>
      <c r="R739" s="227"/>
      <c r="S739" s="227"/>
      <c r="T739" s="227"/>
      <c r="U739" s="273"/>
      <c r="V739" s="274"/>
      <c r="W739" s="7"/>
      <c r="X739" s="7"/>
      <c r="Y739" s="7"/>
      <c r="Z739" s="7"/>
      <c r="AA739" s="7"/>
      <c r="AB739" s="7"/>
      <c r="AC739" s="7"/>
    </row>
    <row r="740" spans="1:29" ht="25.5">
      <c r="A740" s="276"/>
      <c r="B740" s="277"/>
      <c r="C740" s="105"/>
      <c r="D740" s="105"/>
      <c r="E740" s="105"/>
      <c r="F740" s="105"/>
      <c r="G740" s="105"/>
      <c r="H740" s="105"/>
      <c r="I740" s="105"/>
      <c r="J740" s="98"/>
      <c r="K740" s="98"/>
      <c r="L740" s="98"/>
      <c r="M740" s="98"/>
      <c r="N740" s="98"/>
      <c r="O740" s="227"/>
      <c r="P740" s="227"/>
      <c r="Q740" s="227"/>
      <c r="R740" s="227"/>
      <c r="S740" s="227"/>
      <c r="T740" s="227"/>
      <c r="U740" s="273"/>
      <c r="V740" s="274"/>
      <c r="W740" s="7"/>
      <c r="X740" s="7"/>
      <c r="Y740" s="7"/>
      <c r="Z740" s="7"/>
      <c r="AA740" s="7"/>
      <c r="AB740" s="7"/>
      <c r="AC740" s="7"/>
    </row>
    <row r="741" spans="1:29" ht="25.5">
      <c r="A741" s="276"/>
      <c r="B741" s="277"/>
      <c r="C741" s="105"/>
      <c r="D741" s="105"/>
      <c r="E741" s="105"/>
      <c r="F741" s="105"/>
      <c r="G741" s="105"/>
      <c r="H741" s="105"/>
      <c r="I741" s="105"/>
      <c r="J741" s="98"/>
      <c r="K741" s="98"/>
      <c r="L741" s="98"/>
      <c r="M741" s="98"/>
      <c r="N741" s="98"/>
      <c r="O741" s="227"/>
      <c r="P741" s="227"/>
      <c r="Q741" s="227"/>
      <c r="R741" s="227"/>
      <c r="S741" s="227"/>
      <c r="T741" s="227"/>
      <c r="U741" s="273"/>
      <c r="V741" s="274"/>
      <c r="W741" s="7"/>
      <c r="X741" s="7"/>
      <c r="Y741" s="7"/>
      <c r="Z741" s="7"/>
      <c r="AA741" s="7"/>
      <c r="AB741" s="7"/>
      <c r="AC741" s="7"/>
    </row>
    <row r="742" spans="1:29" ht="25.5">
      <c r="A742" s="276"/>
      <c r="B742" s="277"/>
      <c r="C742" s="105"/>
      <c r="D742" s="105"/>
      <c r="E742" s="105"/>
      <c r="F742" s="105"/>
      <c r="G742" s="105"/>
      <c r="H742" s="105"/>
      <c r="I742" s="105"/>
      <c r="J742" s="98"/>
      <c r="K742" s="98"/>
      <c r="L742" s="98"/>
      <c r="M742" s="98"/>
      <c r="N742" s="98"/>
      <c r="O742" s="227"/>
      <c r="P742" s="227"/>
      <c r="Q742" s="227"/>
      <c r="R742" s="227"/>
      <c r="S742" s="227"/>
      <c r="T742" s="227"/>
      <c r="U742" s="273"/>
      <c r="V742" s="274"/>
      <c r="W742" s="7"/>
      <c r="X742" s="7"/>
      <c r="Y742" s="7"/>
      <c r="Z742" s="7"/>
      <c r="AA742" s="7"/>
      <c r="AB742" s="7"/>
      <c r="AC742" s="7"/>
    </row>
    <row r="743" spans="1:29" ht="25.5">
      <c r="A743" s="276"/>
      <c r="B743" s="277"/>
      <c r="C743" s="105"/>
      <c r="D743" s="105"/>
      <c r="E743" s="105"/>
      <c r="F743" s="105"/>
      <c r="G743" s="105"/>
      <c r="H743" s="105"/>
      <c r="I743" s="105"/>
      <c r="J743" s="98"/>
      <c r="K743" s="98"/>
      <c r="L743" s="98"/>
      <c r="M743" s="98"/>
      <c r="N743" s="98"/>
      <c r="O743" s="227"/>
      <c r="P743" s="227"/>
      <c r="Q743" s="227"/>
      <c r="R743" s="227"/>
      <c r="S743" s="227"/>
      <c r="T743" s="227"/>
      <c r="U743" s="273"/>
      <c r="V743" s="274"/>
      <c r="W743" s="7"/>
      <c r="X743" s="7"/>
      <c r="Y743" s="7"/>
      <c r="Z743" s="7"/>
      <c r="AA743" s="7"/>
      <c r="AB743" s="7"/>
      <c r="AC743" s="7"/>
    </row>
    <row r="744" spans="1:29" ht="25.5">
      <c r="A744" s="276"/>
      <c r="B744" s="277"/>
      <c r="C744" s="105"/>
      <c r="D744" s="105"/>
      <c r="E744" s="105"/>
      <c r="F744" s="105"/>
      <c r="G744" s="105"/>
      <c r="H744" s="105"/>
      <c r="I744" s="105"/>
      <c r="J744" s="98"/>
      <c r="K744" s="98"/>
      <c r="L744" s="98"/>
      <c r="M744" s="98"/>
      <c r="N744" s="98"/>
      <c r="O744" s="227"/>
      <c r="P744" s="227"/>
      <c r="Q744" s="227"/>
      <c r="R744" s="227"/>
      <c r="S744" s="227"/>
      <c r="T744" s="227"/>
      <c r="U744" s="273"/>
      <c r="V744" s="274"/>
      <c r="W744" s="7"/>
      <c r="X744" s="7"/>
      <c r="Y744" s="7"/>
      <c r="Z744" s="7"/>
      <c r="AA744" s="7"/>
      <c r="AB744" s="7"/>
      <c r="AC744" s="7"/>
    </row>
    <row r="745" spans="1:29" ht="25.5">
      <c r="A745" s="276"/>
      <c r="B745" s="277"/>
      <c r="C745" s="105"/>
      <c r="D745" s="105"/>
      <c r="E745" s="105"/>
      <c r="F745" s="105"/>
      <c r="G745" s="105"/>
      <c r="H745" s="105"/>
      <c r="I745" s="105"/>
      <c r="J745" s="98"/>
      <c r="K745" s="98"/>
      <c r="L745" s="98"/>
      <c r="M745" s="98"/>
      <c r="N745" s="98"/>
      <c r="O745" s="227"/>
      <c r="P745" s="227"/>
      <c r="Q745" s="227"/>
      <c r="R745" s="227"/>
      <c r="S745" s="227"/>
      <c r="T745" s="227"/>
      <c r="U745" s="273"/>
      <c r="V745" s="274"/>
      <c r="W745" s="7"/>
      <c r="X745" s="7"/>
      <c r="Y745" s="7"/>
      <c r="Z745" s="7"/>
      <c r="AA745" s="7"/>
      <c r="AB745" s="7"/>
      <c r="AC745" s="7"/>
    </row>
    <row r="746" spans="1:29" ht="25.5">
      <c r="A746" s="276"/>
      <c r="B746" s="277"/>
      <c r="C746" s="105"/>
      <c r="D746" s="105"/>
      <c r="E746" s="105"/>
      <c r="F746" s="105"/>
      <c r="G746" s="105"/>
      <c r="H746" s="105"/>
      <c r="I746" s="105"/>
      <c r="J746" s="98"/>
      <c r="K746" s="98"/>
      <c r="L746" s="98"/>
      <c r="M746" s="98"/>
      <c r="N746" s="98"/>
      <c r="O746" s="227"/>
      <c r="P746" s="227"/>
      <c r="Q746" s="227"/>
      <c r="R746" s="227"/>
      <c r="S746" s="227"/>
      <c r="T746" s="227"/>
      <c r="U746" s="273"/>
      <c r="V746" s="274"/>
      <c r="W746" s="7"/>
      <c r="X746" s="7"/>
      <c r="Y746" s="7"/>
      <c r="Z746" s="7"/>
      <c r="AA746" s="7"/>
      <c r="AB746" s="7"/>
      <c r="AC746" s="7"/>
    </row>
    <row r="747" spans="1:29" ht="25.5">
      <c r="A747" s="276"/>
      <c r="B747" s="277"/>
      <c r="C747" s="105"/>
      <c r="D747" s="105"/>
      <c r="E747" s="105"/>
      <c r="F747" s="105"/>
      <c r="G747" s="105"/>
      <c r="H747" s="105"/>
      <c r="I747" s="105"/>
      <c r="J747" s="98"/>
      <c r="K747" s="98"/>
      <c r="L747" s="98"/>
      <c r="M747" s="98"/>
      <c r="N747" s="98"/>
      <c r="O747" s="227"/>
      <c r="P747" s="227"/>
      <c r="Q747" s="227"/>
      <c r="R747" s="227"/>
      <c r="S747" s="227"/>
      <c r="T747" s="227"/>
      <c r="U747" s="273"/>
      <c r="V747" s="274"/>
      <c r="W747" s="7"/>
      <c r="X747" s="7"/>
      <c r="Y747" s="7"/>
      <c r="Z747" s="7"/>
      <c r="AA747" s="7"/>
      <c r="AB747" s="7"/>
      <c r="AC747" s="7"/>
    </row>
  </sheetData>
  <mergeCells count="24">
    <mergeCell ref="A94:B94"/>
    <mergeCell ref="AQ1:BJ1"/>
    <mergeCell ref="A3:T3"/>
    <mergeCell ref="A4:A5"/>
    <mergeCell ref="B4:B5"/>
    <mergeCell ref="C4:C5"/>
    <mergeCell ref="D4:D5"/>
    <mergeCell ref="E4:G4"/>
    <mergeCell ref="H4:H5"/>
    <mergeCell ref="I4:I5"/>
    <mergeCell ref="O4:O5"/>
    <mergeCell ref="P4:P5"/>
    <mergeCell ref="S4:S5"/>
    <mergeCell ref="T4:T5"/>
    <mergeCell ref="V61:V62"/>
    <mergeCell ref="A87:B87"/>
    <mergeCell ref="W650:W652"/>
    <mergeCell ref="B98:B99"/>
    <mergeCell ref="B176:B177"/>
    <mergeCell ref="B187:B188"/>
    <mergeCell ref="V200:V201"/>
    <mergeCell ref="V211:V212"/>
    <mergeCell ref="B247:B248"/>
    <mergeCell ref="V247:V248"/>
  </mergeCells>
  <pageMargins left="0.27559055118110237" right="0" top="0.39370078740157483" bottom="0.39370078740157483" header="0.31496062992125984" footer="0.31496062992125984"/>
  <pageSetup paperSize="9" scale="43" orientation="landscape" r:id="rId1"/>
  <colBreaks count="1" manualBreakCount="1">
    <brk id="22" max="635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7"/>
  <sheetViews>
    <sheetView topLeftCell="A54" zoomScale="55" zoomScaleNormal="55" workbookViewId="0">
      <selection activeCell="B73" sqref="B73"/>
    </sheetView>
  </sheetViews>
  <sheetFormatPr defaultRowHeight="26.25"/>
  <cols>
    <col min="1" max="1" width="90" style="282" customWidth="1"/>
    <col min="2" max="2" width="21" style="282" customWidth="1"/>
    <col min="3" max="3" width="0.140625" style="282" customWidth="1"/>
    <col min="4" max="4" width="19" style="282" customWidth="1"/>
    <col min="5" max="5" width="17.7109375" style="282" customWidth="1"/>
    <col min="6" max="6" width="18.5703125" style="282" customWidth="1"/>
    <col min="7" max="7" width="21.5703125" style="282" customWidth="1"/>
    <col min="8" max="8" width="19.5703125" style="282" customWidth="1"/>
    <col min="9" max="12" width="9.140625" style="282" hidden="1" customWidth="1"/>
    <col min="13" max="13" width="21.7109375" style="282" hidden="1" customWidth="1"/>
    <col min="14" max="14" width="22.7109375" style="282" customWidth="1"/>
    <col min="15" max="15" width="40.140625" style="282" customWidth="1"/>
    <col min="16" max="16" width="9.140625" style="282" hidden="1" customWidth="1"/>
    <col min="17" max="17" width="14.85546875" style="282" hidden="1" customWidth="1"/>
    <col min="18" max="18" width="11.7109375" style="282" customWidth="1"/>
    <col min="19" max="19" width="21.5703125" style="282" customWidth="1"/>
    <col min="20" max="20" width="17.42578125" style="282" customWidth="1"/>
    <col min="21" max="16384" width="9.140625" style="282"/>
  </cols>
  <sheetData>
    <row r="1" spans="1:21">
      <c r="A1" s="278"/>
      <c r="B1" s="279"/>
      <c r="C1" s="279"/>
      <c r="D1" s="279"/>
      <c r="E1" s="279"/>
      <c r="F1" s="279"/>
      <c r="G1" s="279"/>
      <c r="H1" s="279"/>
      <c r="I1" s="280"/>
      <c r="J1" s="280"/>
      <c r="K1" s="280"/>
      <c r="L1" s="280"/>
      <c r="M1" s="280"/>
      <c r="N1" s="279"/>
      <c r="O1" s="279"/>
      <c r="P1" s="280"/>
      <c r="Q1" s="280"/>
      <c r="R1" s="279"/>
      <c r="S1" s="279"/>
      <c r="T1" s="281"/>
      <c r="U1" s="281"/>
    </row>
    <row r="2" spans="1:21">
      <c r="A2" s="278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</row>
    <row r="3" spans="1:21">
      <c r="A3" s="278"/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</row>
    <row r="4" spans="1:21">
      <c r="A4" s="278"/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</row>
    <row r="5" spans="1:21">
      <c r="A5" s="278"/>
      <c r="B5" s="281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</row>
    <row r="6" spans="1:21">
      <c r="A6" s="278"/>
      <c r="B6" s="281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</row>
    <row r="7" spans="1:21">
      <c r="A7" s="278"/>
      <c r="B7" s="281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</row>
    <row r="8" spans="1:21">
      <c r="A8" s="278"/>
      <c r="B8" s="281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</row>
    <row r="9" spans="1:21">
      <c r="A9" s="278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</row>
    <row r="10" spans="1:21">
      <c r="A10" s="278"/>
      <c r="B10" s="281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</row>
    <row r="11" spans="1:21">
      <c r="A11" s="278"/>
      <c r="B11" s="281"/>
      <c r="C11" s="279"/>
      <c r="D11" s="279"/>
      <c r="E11" s="279"/>
      <c r="F11" s="279"/>
      <c r="G11" s="279"/>
      <c r="H11" s="279"/>
      <c r="I11" s="279"/>
      <c r="J11" s="280"/>
      <c r="K11" s="280"/>
      <c r="L11" s="280"/>
      <c r="M11" s="280"/>
      <c r="N11" s="280"/>
      <c r="O11" s="279"/>
      <c r="P11" s="279"/>
      <c r="Q11" s="280"/>
      <c r="R11" s="280"/>
      <c r="S11" s="279"/>
      <c r="T11" s="279"/>
      <c r="U11" s="281"/>
    </row>
    <row r="12" spans="1:21">
      <c r="A12" s="278"/>
      <c r="B12" s="281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</row>
    <row r="13" spans="1:21">
      <c r="A13" s="278"/>
    </row>
    <row r="14" spans="1:21">
      <c r="A14" s="278"/>
    </row>
    <row r="15" spans="1:21">
      <c r="A15" s="278"/>
    </row>
    <row r="16" spans="1:21">
      <c r="A16" s="278"/>
    </row>
    <row r="17" spans="1:30">
      <c r="A17" s="278"/>
    </row>
    <row r="18" spans="1:30">
      <c r="A18" s="278"/>
    </row>
    <row r="19" spans="1:30">
      <c r="A19" s="278"/>
    </row>
    <row r="20" spans="1:30">
      <c r="A20" s="278"/>
    </row>
    <row r="21" spans="1:30">
      <c r="A21" s="278"/>
    </row>
    <row r="22" spans="1:30">
      <c r="A22" s="278"/>
    </row>
    <row r="23" spans="1:30">
      <c r="A23" s="278"/>
    </row>
    <row r="24" spans="1:30">
      <c r="A24" s="283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</row>
    <row r="25" spans="1:30">
      <c r="A25" s="284"/>
      <c r="B25" s="279"/>
      <c r="C25" s="279"/>
      <c r="D25" s="279"/>
      <c r="E25" s="279"/>
      <c r="F25" s="279"/>
      <c r="G25" s="279"/>
      <c r="H25" s="279"/>
      <c r="I25" s="280"/>
      <c r="J25" s="280"/>
      <c r="K25" s="280"/>
      <c r="L25" s="280"/>
      <c r="M25" s="280"/>
      <c r="N25" s="279"/>
      <c r="O25" s="279"/>
      <c r="P25" s="280"/>
      <c r="Q25" s="280"/>
      <c r="R25" s="279"/>
      <c r="S25" s="279"/>
    </row>
    <row r="26" spans="1:30">
      <c r="A26" s="283"/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</row>
    <row r="27" spans="1:30">
      <c r="A27" s="281"/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</row>
    <row r="28" spans="1:30" ht="15" customHeight="1" thickBot="1">
      <c r="A28" s="281"/>
      <c r="B28" s="281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</row>
    <row r="29" spans="1:30" ht="41.25" customHeight="1" thickBot="1">
      <c r="A29" s="285"/>
      <c r="B29" s="843" t="s">
        <v>1083</v>
      </c>
      <c r="C29" s="844"/>
      <c r="D29" s="844"/>
      <c r="E29" s="844"/>
      <c r="F29" s="844"/>
      <c r="G29" s="844"/>
      <c r="H29" s="844"/>
      <c r="I29" s="844"/>
      <c r="J29" s="844"/>
      <c r="K29" s="844"/>
      <c r="L29" s="844"/>
      <c r="M29" s="844"/>
      <c r="N29" s="845"/>
      <c r="O29" s="285"/>
      <c r="P29" s="285"/>
      <c r="Q29" s="285"/>
      <c r="R29" s="285"/>
      <c r="S29" s="285"/>
      <c r="T29" s="286"/>
      <c r="U29" s="286"/>
      <c r="V29" s="286"/>
      <c r="W29" s="286"/>
      <c r="X29" s="286"/>
      <c r="Y29" s="286"/>
      <c r="Z29" s="286"/>
      <c r="AA29" s="286"/>
      <c r="AB29" s="286"/>
      <c r="AC29" s="286"/>
      <c r="AD29" s="286"/>
    </row>
    <row r="30" spans="1:30" ht="9.75" customHeight="1">
      <c r="A30" s="285"/>
      <c r="B30" s="285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5"/>
      <c r="N30" s="285"/>
      <c r="O30" s="285"/>
      <c r="P30" s="285"/>
      <c r="Q30" s="285"/>
      <c r="R30" s="285"/>
      <c r="S30" s="285"/>
      <c r="T30" s="286"/>
      <c r="U30" s="286"/>
      <c r="V30" s="286"/>
      <c r="W30" s="286"/>
      <c r="X30" s="286"/>
      <c r="Y30" s="286"/>
      <c r="Z30" s="286"/>
      <c r="AA30" s="286"/>
      <c r="AB30" s="286"/>
      <c r="AC30" s="286"/>
      <c r="AD30" s="286"/>
    </row>
    <row r="31" spans="1:30" ht="33.75" customHeight="1">
      <c r="A31" s="829" t="s">
        <v>1</v>
      </c>
      <c r="B31" s="826" t="s">
        <v>2</v>
      </c>
      <c r="C31" s="826" t="s">
        <v>3</v>
      </c>
      <c r="D31" s="826" t="s">
        <v>4</v>
      </c>
      <c r="E31" s="826"/>
      <c r="F31" s="826"/>
      <c r="G31" s="826" t="s">
        <v>5</v>
      </c>
      <c r="H31" s="826" t="s">
        <v>6</v>
      </c>
      <c r="I31" s="206"/>
      <c r="J31" s="287"/>
      <c r="K31" s="287"/>
      <c r="L31" s="287"/>
      <c r="M31" s="287"/>
      <c r="N31" s="824" t="s">
        <v>7</v>
      </c>
      <c r="O31" s="826" t="s">
        <v>8</v>
      </c>
      <c r="P31" s="287"/>
      <c r="Q31" s="287"/>
      <c r="R31" s="826" t="s">
        <v>9</v>
      </c>
      <c r="S31" s="826" t="s">
        <v>2</v>
      </c>
      <c r="T31" s="286"/>
      <c r="U31" s="286"/>
      <c r="V31" s="286"/>
      <c r="W31" s="286"/>
      <c r="X31" s="286"/>
      <c r="Y31" s="286"/>
      <c r="Z31" s="286"/>
      <c r="AA31" s="286"/>
      <c r="AB31" s="286"/>
      <c r="AC31" s="286"/>
      <c r="AD31" s="286"/>
    </row>
    <row r="32" spans="1:30" ht="51" customHeight="1">
      <c r="A32" s="829"/>
      <c r="B32" s="826"/>
      <c r="C32" s="826"/>
      <c r="D32" s="709" t="s">
        <v>10</v>
      </c>
      <c r="E32" s="709" t="s">
        <v>11</v>
      </c>
      <c r="F32" s="709" t="s">
        <v>12</v>
      </c>
      <c r="G32" s="826"/>
      <c r="H32" s="826"/>
      <c r="I32" s="206"/>
      <c r="J32" s="287"/>
      <c r="K32" s="287"/>
      <c r="L32" s="287"/>
      <c r="M32" s="287"/>
      <c r="N32" s="825"/>
      <c r="O32" s="826"/>
      <c r="P32" s="287"/>
      <c r="Q32" s="288"/>
      <c r="R32" s="826"/>
      <c r="S32" s="826"/>
      <c r="T32" s="286"/>
      <c r="U32" s="286"/>
      <c r="V32" s="286"/>
      <c r="W32" s="286"/>
      <c r="X32" s="286"/>
      <c r="Y32" s="286"/>
      <c r="Z32" s="286"/>
      <c r="AA32" s="286"/>
      <c r="AB32" s="286"/>
      <c r="AC32" s="286"/>
      <c r="AD32" s="286"/>
    </row>
    <row r="33" spans="1:30" ht="35.1" customHeight="1">
      <c r="A33" s="289" t="s">
        <v>650</v>
      </c>
      <c r="B33" s="206">
        <f t="shared" ref="B33:B60" si="0">G33+D33</f>
        <v>1883.2</v>
      </c>
      <c r="C33" s="206"/>
      <c r="D33" s="206">
        <f t="shared" ref="D33:D56" si="1">E33+F33</f>
        <v>123.2</v>
      </c>
      <c r="E33" s="206">
        <f t="shared" ref="E33:E56" si="2">0.04*G33</f>
        <v>70.400000000000006</v>
      </c>
      <c r="F33" s="206">
        <f t="shared" ref="F33:F56" si="3">0.03*G33</f>
        <v>52.8</v>
      </c>
      <c r="G33" s="206">
        <f t="shared" ref="G33:G56" si="4">S33</f>
        <v>1760</v>
      </c>
      <c r="H33" s="206">
        <f t="shared" ref="H33:H60" si="5">0.6*B33</f>
        <v>1129.92</v>
      </c>
      <c r="I33" s="290"/>
      <c r="J33" s="290"/>
      <c r="K33" s="290"/>
      <c r="L33" s="290"/>
      <c r="M33" s="290"/>
      <c r="N33" s="206">
        <v>4731</v>
      </c>
      <c r="O33" s="206">
        <v>4775</v>
      </c>
      <c r="P33" s="203"/>
      <c r="Q33" s="205"/>
      <c r="R33" s="291">
        <v>40</v>
      </c>
      <c r="S33" s="206">
        <f t="shared" ref="S33:S47" si="6">(O33-N33)*R33</f>
        <v>1760</v>
      </c>
      <c r="T33" s="286"/>
      <c r="U33" s="286"/>
      <c r="V33" s="286"/>
      <c r="W33" s="286"/>
      <c r="X33" s="286"/>
      <c r="Y33" s="286"/>
      <c r="Z33" s="286"/>
      <c r="AA33" s="286"/>
      <c r="AB33" s="286"/>
      <c r="AC33" s="286"/>
      <c r="AD33" s="286"/>
    </row>
    <row r="34" spans="1:30" ht="35.1" customHeight="1">
      <c r="A34" s="289" t="s">
        <v>651</v>
      </c>
      <c r="B34" s="206">
        <f t="shared" si="0"/>
        <v>2311.1999999999998</v>
      </c>
      <c r="C34" s="206"/>
      <c r="D34" s="206">
        <f t="shared" si="1"/>
        <v>151.19999999999999</v>
      </c>
      <c r="E34" s="206">
        <f t="shared" si="2"/>
        <v>86.4</v>
      </c>
      <c r="F34" s="206">
        <f t="shared" si="3"/>
        <v>64.8</v>
      </c>
      <c r="G34" s="206">
        <f t="shared" si="4"/>
        <v>2160</v>
      </c>
      <c r="H34" s="206">
        <f t="shared" si="5"/>
        <v>1386.7199999999998</v>
      </c>
      <c r="I34" s="290"/>
      <c r="J34" s="290"/>
      <c r="K34" s="290"/>
      <c r="L34" s="290"/>
      <c r="M34" s="290"/>
      <c r="N34" s="206">
        <v>4316</v>
      </c>
      <c r="O34" s="206">
        <v>4370</v>
      </c>
      <c r="P34" s="203"/>
      <c r="Q34" s="205"/>
      <c r="R34" s="291">
        <v>40</v>
      </c>
      <c r="S34" s="206">
        <f t="shared" si="6"/>
        <v>2160</v>
      </c>
      <c r="T34" s="286"/>
      <c r="U34" s="286"/>
      <c r="V34" s="286"/>
      <c r="W34" s="286"/>
      <c r="X34" s="286"/>
      <c r="Y34" s="286"/>
      <c r="Z34" s="286"/>
      <c r="AA34" s="286"/>
      <c r="AB34" s="286"/>
      <c r="AC34" s="286"/>
      <c r="AD34" s="286"/>
    </row>
    <row r="35" spans="1:30" ht="35.1" customHeight="1">
      <c r="A35" s="289" t="s">
        <v>652</v>
      </c>
      <c r="B35" s="206">
        <f t="shared" si="0"/>
        <v>2439.6</v>
      </c>
      <c r="C35" s="206"/>
      <c r="D35" s="206">
        <f t="shared" si="1"/>
        <v>159.6</v>
      </c>
      <c r="E35" s="206">
        <f t="shared" si="2"/>
        <v>91.2</v>
      </c>
      <c r="F35" s="206">
        <f t="shared" si="3"/>
        <v>68.399999999999991</v>
      </c>
      <c r="G35" s="206">
        <f t="shared" si="4"/>
        <v>2280</v>
      </c>
      <c r="H35" s="206">
        <f t="shared" si="5"/>
        <v>1463.76</v>
      </c>
      <c r="I35" s="290"/>
      <c r="J35" s="290"/>
      <c r="K35" s="290"/>
      <c r="L35" s="290"/>
      <c r="M35" s="290"/>
      <c r="N35" s="206">
        <v>4801</v>
      </c>
      <c r="O35" s="206">
        <v>4858</v>
      </c>
      <c r="P35" s="203"/>
      <c r="Q35" s="205"/>
      <c r="R35" s="291">
        <v>40</v>
      </c>
      <c r="S35" s="206">
        <f t="shared" si="6"/>
        <v>2280</v>
      </c>
      <c r="T35" s="286"/>
      <c r="U35" s="286"/>
      <c r="V35" s="286"/>
      <c r="W35" s="286"/>
      <c r="X35" s="286"/>
      <c r="Y35" s="286"/>
      <c r="Z35" s="286"/>
      <c r="AA35" s="286"/>
      <c r="AB35" s="286"/>
      <c r="AC35" s="286"/>
      <c r="AD35" s="286"/>
    </row>
    <row r="36" spans="1:30" ht="35.1" customHeight="1">
      <c r="A36" s="289" t="s">
        <v>653</v>
      </c>
      <c r="B36" s="206">
        <f t="shared" si="0"/>
        <v>15493.6</v>
      </c>
      <c r="C36" s="206"/>
      <c r="D36" s="206">
        <f t="shared" si="1"/>
        <v>1013.6</v>
      </c>
      <c r="E36" s="206">
        <f t="shared" si="2"/>
        <v>579.20000000000005</v>
      </c>
      <c r="F36" s="206">
        <f t="shared" si="3"/>
        <v>434.4</v>
      </c>
      <c r="G36" s="206">
        <f t="shared" si="4"/>
        <v>14480</v>
      </c>
      <c r="H36" s="206">
        <f t="shared" si="5"/>
        <v>9296.16</v>
      </c>
      <c r="I36" s="290"/>
      <c r="J36" s="290"/>
      <c r="K36" s="290"/>
      <c r="L36" s="290"/>
      <c r="M36" s="290"/>
      <c r="N36" s="206">
        <v>16127</v>
      </c>
      <c r="O36" s="206">
        <v>16489</v>
      </c>
      <c r="P36" s="203"/>
      <c r="Q36" s="205"/>
      <c r="R36" s="291">
        <v>40</v>
      </c>
      <c r="S36" s="206">
        <f t="shared" si="6"/>
        <v>14480</v>
      </c>
      <c r="T36" s="286"/>
      <c r="U36" s="286"/>
      <c r="V36" s="286"/>
      <c r="W36" s="286"/>
      <c r="X36" s="286"/>
      <c r="Y36" s="286"/>
      <c r="Z36" s="286"/>
      <c r="AA36" s="286"/>
      <c r="AB36" s="286"/>
      <c r="AC36" s="286"/>
      <c r="AD36" s="286"/>
    </row>
    <row r="37" spans="1:30" ht="35.1" customHeight="1">
      <c r="A37" s="289" t="s">
        <v>654</v>
      </c>
      <c r="B37" s="206">
        <f t="shared" si="0"/>
        <v>1583.6</v>
      </c>
      <c r="C37" s="206"/>
      <c r="D37" s="206">
        <f t="shared" si="1"/>
        <v>103.6</v>
      </c>
      <c r="E37" s="206">
        <f t="shared" si="2"/>
        <v>59.2</v>
      </c>
      <c r="F37" s="206">
        <f t="shared" si="3"/>
        <v>44.4</v>
      </c>
      <c r="G37" s="206">
        <f t="shared" si="4"/>
        <v>1480</v>
      </c>
      <c r="H37" s="206">
        <f t="shared" si="5"/>
        <v>950.15999999999985</v>
      </c>
      <c r="I37" s="290"/>
      <c r="J37" s="290"/>
      <c r="K37" s="290"/>
      <c r="L37" s="290"/>
      <c r="M37" s="290"/>
      <c r="N37" s="206">
        <v>6521</v>
      </c>
      <c r="O37" s="206">
        <v>6558</v>
      </c>
      <c r="P37" s="203"/>
      <c r="Q37" s="205"/>
      <c r="R37" s="291">
        <v>40</v>
      </c>
      <c r="S37" s="206">
        <f t="shared" si="6"/>
        <v>1480</v>
      </c>
      <c r="T37" s="286"/>
      <c r="U37" s="286"/>
      <c r="V37" s="286"/>
      <c r="W37" s="286"/>
      <c r="X37" s="286"/>
      <c r="Y37" s="286"/>
      <c r="Z37" s="286"/>
      <c r="AA37" s="286"/>
      <c r="AB37" s="286"/>
      <c r="AC37" s="286"/>
      <c r="AD37" s="286"/>
    </row>
    <row r="38" spans="1:30" ht="35.1" customHeight="1">
      <c r="A38" s="289" t="s">
        <v>764</v>
      </c>
      <c r="B38" s="206">
        <f t="shared" si="0"/>
        <v>577.79999999999995</v>
      </c>
      <c r="C38" s="206"/>
      <c r="D38" s="206">
        <f t="shared" si="1"/>
        <v>37.799999999999997</v>
      </c>
      <c r="E38" s="206">
        <f t="shared" si="2"/>
        <v>21.6</v>
      </c>
      <c r="F38" s="206">
        <f t="shared" si="3"/>
        <v>16.2</v>
      </c>
      <c r="G38" s="206">
        <f t="shared" si="4"/>
        <v>540</v>
      </c>
      <c r="H38" s="206">
        <f t="shared" si="5"/>
        <v>346.67999999999995</v>
      </c>
      <c r="I38" s="290"/>
      <c r="J38" s="290"/>
      <c r="K38" s="290"/>
      <c r="L38" s="290"/>
      <c r="M38" s="290"/>
      <c r="N38" s="206">
        <v>737</v>
      </c>
      <c r="O38" s="206">
        <v>755</v>
      </c>
      <c r="P38" s="203"/>
      <c r="Q38" s="205"/>
      <c r="R38" s="291">
        <v>30</v>
      </c>
      <c r="S38" s="206">
        <f t="shared" si="6"/>
        <v>540</v>
      </c>
      <c r="T38" s="286"/>
      <c r="U38" s="286"/>
      <c r="V38" s="286"/>
      <c r="W38" s="286"/>
      <c r="X38" s="286"/>
      <c r="Y38" s="286"/>
      <c r="Z38" s="286"/>
      <c r="AA38" s="286"/>
      <c r="AB38" s="286"/>
      <c r="AC38" s="286"/>
      <c r="AD38" s="286"/>
    </row>
    <row r="39" spans="1:30" ht="35.1" customHeight="1">
      <c r="A39" s="289" t="s">
        <v>655</v>
      </c>
      <c r="B39" s="206">
        <f t="shared" si="0"/>
        <v>2054.4</v>
      </c>
      <c r="C39" s="206"/>
      <c r="D39" s="206">
        <f t="shared" si="1"/>
        <v>134.39999999999998</v>
      </c>
      <c r="E39" s="206">
        <f t="shared" si="2"/>
        <v>76.8</v>
      </c>
      <c r="F39" s="206">
        <f t="shared" si="3"/>
        <v>57.599999999999994</v>
      </c>
      <c r="G39" s="206">
        <f t="shared" si="4"/>
        <v>1920</v>
      </c>
      <c r="H39" s="206">
        <f t="shared" si="5"/>
        <v>1232.6400000000001</v>
      </c>
      <c r="I39" s="290"/>
      <c r="J39" s="290"/>
      <c r="K39" s="290"/>
      <c r="L39" s="290"/>
      <c r="M39" s="290"/>
      <c r="N39" s="206">
        <v>4214</v>
      </c>
      <c r="O39" s="206">
        <v>4262</v>
      </c>
      <c r="P39" s="203"/>
      <c r="Q39" s="205"/>
      <c r="R39" s="291">
        <v>40</v>
      </c>
      <c r="S39" s="206">
        <f t="shared" si="6"/>
        <v>1920</v>
      </c>
      <c r="T39" s="286"/>
      <c r="U39" s="286"/>
      <c r="V39" s="286"/>
      <c r="W39" s="286"/>
      <c r="X39" s="286"/>
      <c r="Y39" s="286"/>
      <c r="Z39" s="286"/>
      <c r="AA39" s="286"/>
      <c r="AB39" s="286"/>
      <c r="AC39" s="286"/>
      <c r="AD39" s="286"/>
    </row>
    <row r="40" spans="1:30" ht="35.1" customHeight="1">
      <c r="A40" s="289" t="s">
        <v>765</v>
      </c>
      <c r="B40" s="206">
        <f t="shared" si="0"/>
        <v>3081.6</v>
      </c>
      <c r="C40" s="206"/>
      <c r="D40" s="206">
        <f t="shared" si="1"/>
        <v>201.6</v>
      </c>
      <c r="E40" s="206">
        <f t="shared" si="2"/>
        <v>115.2</v>
      </c>
      <c r="F40" s="206">
        <f t="shared" si="3"/>
        <v>86.399999999999991</v>
      </c>
      <c r="G40" s="206">
        <f t="shared" si="4"/>
        <v>2880</v>
      </c>
      <c r="H40" s="206">
        <f t="shared" si="5"/>
        <v>1848.9599999999998</v>
      </c>
      <c r="I40" s="290"/>
      <c r="J40" s="290"/>
      <c r="K40" s="290"/>
      <c r="L40" s="290"/>
      <c r="M40" s="290"/>
      <c r="N40" s="206">
        <v>5114</v>
      </c>
      <c r="O40" s="206">
        <v>5186</v>
      </c>
      <c r="P40" s="203"/>
      <c r="Q40" s="205"/>
      <c r="R40" s="291">
        <v>40</v>
      </c>
      <c r="S40" s="206">
        <f t="shared" si="6"/>
        <v>2880</v>
      </c>
      <c r="T40" s="286"/>
      <c r="U40" s="286"/>
      <c r="V40" s="286"/>
      <c r="W40" s="286"/>
      <c r="X40" s="286"/>
      <c r="Y40" s="286"/>
      <c r="Z40" s="286"/>
      <c r="AA40" s="286"/>
      <c r="AB40" s="286"/>
      <c r="AC40" s="286"/>
      <c r="AD40" s="286"/>
    </row>
    <row r="41" spans="1:30" ht="35.1" customHeight="1">
      <c r="A41" s="289" t="s">
        <v>656</v>
      </c>
      <c r="B41" s="206">
        <f t="shared" si="0"/>
        <v>3252.8</v>
      </c>
      <c r="C41" s="206"/>
      <c r="D41" s="206">
        <f t="shared" si="1"/>
        <v>212.8</v>
      </c>
      <c r="E41" s="206">
        <f t="shared" si="2"/>
        <v>121.60000000000001</v>
      </c>
      <c r="F41" s="206">
        <f t="shared" si="3"/>
        <v>91.2</v>
      </c>
      <c r="G41" s="206">
        <f t="shared" si="4"/>
        <v>3040</v>
      </c>
      <c r="H41" s="206">
        <f t="shared" si="5"/>
        <v>1951.68</v>
      </c>
      <c r="I41" s="290"/>
      <c r="J41" s="290"/>
      <c r="K41" s="290"/>
      <c r="L41" s="290"/>
      <c r="M41" s="290"/>
      <c r="N41" s="206">
        <v>8721</v>
      </c>
      <c r="O41" s="206">
        <v>8797</v>
      </c>
      <c r="P41" s="203"/>
      <c r="Q41" s="205"/>
      <c r="R41" s="291">
        <v>40</v>
      </c>
      <c r="S41" s="206">
        <f t="shared" si="6"/>
        <v>3040</v>
      </c>
      <c r="T41" s="286"/>
      <c r="U41" s="286"/>
      <c r="V41" s="286"/>
      <c r="W41" s="286"/>
      <c r="X41" s="286"/>
      <c r="Y41" s="286"/>
      <c r="Z41" s="286"/>
      <c r="AA41" s="286"/>
      <c r="AB41" s="286"/>
      <c r="AC41" s="286"/>
      <c r="AD41" s="286"/>
    </row>
    <row r="42" spans="1:30" ht="35.1" customHeight="1">
      <c r="A42" s="289" t="s">
        <v>657</v>
      </c>
      <c r="B42" s="206">
        <f t="shared" si="0"/>
        <v>1326.8</v>
      </c>
      <c r="C42" s="206"/>
      <c r="D42" s="206">
        <f t="shared" si="1"/>
        <v>86.8</v>
      </c>
      <c r="E42" s="206">
        <f t="shared" si="2"/>
        <v>49.6</v>
      </c>
      <c r="F42" s="206">
        <f t="shared" si="3"/>
        <v>37.199999999999996</v>
      </c>
      <c r="G42" s="206">
        <f t="shared" si="4"/>
        <v>1240</v>
      </c>
      <c r="H42" s="206">
        <f t="shared" si="5"/>
        <v>796.07999999999993</v>
      </c>
      <c r="I42" s="290"/>
      <c r="J42" s="290"/>
      <c r="K42" s="290"/>
      <c r="L42" s="290"/>
      <c r="M42" s="290"/>
      <c r="N42" s="206">
        <v>2036</v>
      </c>
      <c r="O42" s="206">
        <v>2067</v>
      </c>
      <c r="P42" s="203"/>
      <c r="Q42" s="205"/>
      <c r="R42" s="291">
        <v>40</v>
      </c>
      <c r="S42" s="206">
        <f t="shared" si="6"/>
        <v>1240</v>
      </c>
      <c r="T42" s="286"/>
      <c r="U42" s="286"/>
      <c r="V42" s="286"/>
      <c r="W42" s="286"/>
      <c r="X42" s="286"/>
      <c r="Y42" s="286"/>
      <c r="Z42" s="286"/>
      <c r="AA42" s="286"/>
      <c r="AB42" s="286"/>
      <c r="AC42" s="286"/>
      <c r="AD42" s="286"/>
    </row>
    <row r="43" spans="1:30" ht="34.5" customHeight="1">
      <c r="A43" s="289" t="s">
        <v>658</v>
      </c>
      <c r="B43" s="206">
        <f t="shared" si="0"/>
        <v>1112.8</v>
      </c>
      <c r="C43" s="206"/>
      <c r="D43" s="206">
        <f t="shared" si="1"/>
        <v>72.8</v>
      </c>
      <c r="E43" s="206">
        <f t="shared" si="2"/>
        <v>41.6</v>
      </c>
      <c r="F43" s="206">
        <f t="shared" si="3"/>
        <v>31.2</v>
      </c>
      <c r="G43" s="206">
        <f t="shared" si="4"/>
        <v>1040</v>
      </c>
      <c r="H43" s="206">
        <f t="shared" si="5"/>
        <v>667.68</v>
      </c>
      <c r="I43" s="290"/>
      <c r="J43" s="290"/>
      <c r="K43" s="290"/>
      <c r="L43" s="290"/>
      <c r="M43" s="290"/>
      <c r="N43" s="206">
        <v>1536</v>
      </c>
      <c r="O43" s="206">
        <v>1562</v>
      </c>
      <c r="P43" s="203"/>
      <c r="Q43" s="205"/>
      <c r="R43" s="291">
        <v>40</v>
      </c>
      <c r="S43" s="206">
        <f t="shared" si="6"/>
        <v>1040</v>
      </c>
      <c r="T43" s="286"/>
      <c r="U43" s="286"/>
      <c r="V43" s="286"/>
      <c r="W43" s="286"/>
      <c r="X43" s="286"/>
      <c r="Y43" s="286"/>
      <c r="Z43" s="286"/>
      <c r="AA43" s="286"/>
      <c r="AB43" s="286"/>
      <c r="AC43" s="286"/>
      <c r="AD43" s="286"/>
    </row>
    <row r="44" spans="1:30" ht="34.5" customHeight="1">
      <c r="A44" s="292" t="s">
        <v>659</v>
      </c>
      <c r="B44" s="293">
        <f>G44+D44</f>
        <v>8046.4</v>
      </c>
      <c r="C44" s="293"/>
      <c r="D44" s="293">
        <f>E44+F44</f>
        <v>526.4</v>
      </c>
      <c r="E44" s="293">
        <f>0.04*G44</f>
        <v>300.8</v>
      </c>
      <c r="F44" s="293">
        <f>0.03*G44</f>
        <v>225.6</v>
      </c>
      <c r="G44" s="293">
        <f>S44</f>
        <v>7520</v>
      </c>
      <c r="H44" s="293">
        <f>0.6*B44</f>
        <v>4827.8399999999992</v>
      </c>
      <c r="I44" s="294"/>
      <c r="J44" s="294"/>
      <c r="K44" s="294"/>
      <c r="L44" s="294"/>
      <c r="M44" s="294"/>
      <c r="N44" s="293">
        <v>28296</v>
      </c>
      <c r="O44" s="293">
        <v>28484</v>
      </c>
      <c r="P44" s="295"/>
      <c r="Q44" s="296"/>
      <c r="R44" s="297">
        <v>40</v>
      </c>
      <c r="S44" s="293">
        <f>(O44-N44)*R44</f>
        <v>7520</v>
      </c>
      <c r="T44" s="286"/>
      <c r="U44" s="286"/>
      <c r="V44" s="286"/>
      <c r="W44" s="286"/>
      <c r="X44" s="286"/>
      <c r="Y44" s="286"/>
      <c r="Z44" s="286"/>
      <c r="AA44" s="286"/>
      <c r="AB44" s="286"/>
      <c r="AC44" s="286"/>
      <c r="AD44" s="286"/>
    </row>
    <row r="45" spans="1:30" ht="35.1" customHeight="1">
      <c r="A45" s="289" t="s">
        <v>660</v>
      </c>
      <c r="B45" s="206">
        <f t="shared" si="0"/>
        <v>14637.6</v>
      </c>
      <c r="C45" s="206"/>
      <c r="D45" s="206">
        <f t="shared" si="1"/>
        <v>957.6</v>
      </c>
      <c r="E45" s="206">
        <f t="shared" si="2"/>
        <v>547.20000000000005</v>
      </c>
      <c r="F45" s="206">
        <f t="shared" si="3"/>
        <v>410.4</v>
      </c>
      <c r="G45" s="206">
        <f t="shared" si="4"/>
        <v>13680</v>
      </c>
      <c r="H45" s="206">
        <f t="shared" si="5"/>
        <v>8782.56</v>
      </c>
      <c r="I45" s="290"/>
      <c r="J45" s="290"/>
      <c r="K45" s="290"/>
      <c r="L45" s="290"/>
      <c r="M45" s="290"/>
      <c r="N45" s="206">
        <v>23925</v>
      </c>
      <c r="O45" s="206">
        <v>24267</v>
      </c>
      <c r="P45" s="203"/>
      <c r="Q45" s="205"/>
      <c r="R45" s="291">
        <v>40</v>
      </c>
      <c r="S45" s="206">
        <f t="shared" si="6"/>
        <v>13680</v>
      </c>
      <c r="T45" s="286"/>
      <c r="U45" s="286"/>
      <c r="V45" s="286"/>
      <c r="W45" s="286"/>
      <c r="X45" s="286"/>
      <c r="Y45" s="286"/>
      <c r="Z45" s="286"/>
      <c r="AA45" s="286"/>
      <c r="AB45" s="286"/>
      <c r="AC45" s="286"/>
      <c r="AD45" s="286"/>
    </row>
    <row r="46" spans="1:30" ht="35.1" customHeight="1">
      <c r="A46" s="289" t="s">
        <v>661</v>
      </c>
      <c r="B46" s="206">
        <f t="shared" si="0"/>
        <v>10143.6</v>
      </c>
      <c r="C46" s="206"/>
      <c r="D46" s="206">
        <f t="shared" si="1"/>
        <v>663.59999999999991</v>
      </c>
      <c r="E46" s="206">
        <f t="shared" si="2"/>
        <v>379.2</v>
      </c>
      <c r="F46" s="206">
        <f t="shared" si="3"/>
        <v>284.39999999999998</v>
      </c>
      <c r="G46" s="206">
        <f t="shared" si="4"/>
        <v>9480</v>
      </c>
      <c r="H46" s="206">
        <f t="shared" si="5"/>
        <v>6086.16</v>
      </c>
      <c r="I46" s="290"/>
      <c r="J46" s="290"/>
      <c r="K46" s="290"/>
      <c r="L46" s="290"/>
      <c r="M46" s="290"/>
      <c r="N46" s="206">
        <v>18145</v>
      </c>
      <c r="O46" s="206">
        <v>18382</v>
      </c>
      <c r="P46" s="203"/>
      <c r="Q46" s="205"/>
      <c r="R46" s="291">
        <v>40</v>
      </c>
      <c r="S46" s="206">
        <f t="shared" si="6"/>
        <v>9480</v>
      </c>
      <c r="T46" s="286"/>
      <c r="U46" s="286"/>
      <c r="V46" s="286"/>
      <c r="W46" s="286"/>
      <c r="X46" s="286"/>
      <c r="Y46" s="286"/>
      <c r="Z46" s="286"/>
      <c r="AA46" s="286"/>
      <c r="AB46" s="286"/>
      <c r="AC46" s="286"/>
      <c r="AD46" s="286"/>
    </row>
    <row r="47" spans="1:30" ht="35.1" customHeight="1">
      <c r="A47" s="289" t="s">
        <v>662</v>
      </c>
      <c r="B47" s="206">
        <f t="shared" si="0"/>
        <v>1112.8</v>
      </c>
      <c r="C47" s="206"/>
      <c r="D47" s="206">
        <f t="shared" si="1"/>
        <v>72.8</v>
      </c>
      <c r="E47" s="206">
        <f t="shared" si="2"/>
        <v>41.6</v>
      </c>
      <c r="F47" s="206">
        <f t="shared" si="3"/>
        <v>31.2</v>
      </c>
      <c r="G47" s="206">
        <f t="shared" si="4"/>
        <v>1040</v>
      </c>
      <c r="H47" s="206">
        <f t="shared" si="5"/>
        <v>667.68</v>
      </c>
      <c r="I47" s="290"/>
      <c r="J47" s="290"/>
      <c r="K47" s="290"/>
      <c r="L47" s="290"/>
      <c r="M47" s="290"/>
      <c r="N47" s="206">
        <v>2691</v>
      </c>
      <c r="O47" s="206">
        <v>2717</v>
      </c>
      <c r="P47" s="203"/>
      <c r="Q47" s="205"/>
      <c r="R47" s="291">
        <v>40</v>
      </c>
      <c r="S47" s="206">
        <f t="shared" si="6"/>
        <v>1040</v>
      </c>
      <c r="T47" s="286"/>
      <c r="U47" s="286"/>
      <c r="V47" s="286"/>
      <c r="W47" s="286"/>
      <c r="X47" s="286"/>
      <c r="Y47" s="286"/>
      <c r="Z47" s="286"/>
      <c r="AA47" s="286"/>
      <c r="AB47" s="286"/>
      <c r="AC47" s="286"/>
      <c r="AD47" s="286"/>
    </row>
    <row r="48" spans="1:30" ht="35.1" customHeight="1">
      <c r="A48" s="289"/>
      <c r="B48" s="206"/>
      <c r="C48" s="206"/>
      <c r="D48" s="206"/>
      <c r="E48" s="206"/>
      <c r="F48" s="206"/>
      <c r="G48" s="206"/>
      <c r="H48" s="206"/>
      <c r="I48" s="290"/>
      <c r="J48" s="290"/>
      <c r="K48" s="290"/>
      <c r="L48" s="290"/>
      <c r="M48" s="290"/>
      <c r="N48" s="206"/>
      <c r="O48" s="206"/>
      <c r="P48" s="203"/>
      <c r="Q48" s="205"/>
      <c r="R48" s="291"/>
      <c r="S48" s="206"/>
      <c r="T48" s="286"/>
      <c r="U48" s="286"/>
      <c r="V48" s="286"/>
      <c r="W48" s="286"/>
      <c r="X48" s="286"/>
      <c r="Y48" s="286"/>
      <c r="Z48" s="286"/>
      <c r="AA48" s="286"/>
      <c r="AB48" s="286"/>
      <c r="AC48" s="286"/>
      <c r="AD48" s="286"/>
    </row>
    <row r="49" spans="1:30" ht="35.1" customHeight="1">
      <c r="A49" s="289" t="s">
        <v>663</v>
      </c>
      <c r="B49" s="206">
        <f t="shared" si="0"/>
        <v>21892.2</v>
      </c>
      <c r="C49" s="206"/>
      <c r="D49" s="206">
        <f t="shared" si="1"/>
        <v>1432.1999999999998</v>
      </c>
      <c r="E49" s="206">
        <f t="shared" si="2"/>
        <v>818.4</v>
      </c>
      <c r="F49" s="206">
        <f t="shared" si="3"/>
        <v>613.79999999999995</v>
      </c>
      <c r="G49" s="206">
        <f t="shared" si="4"/>
        <v>20460</v>
      </c>
      <c r="H49" s="206">
        <f t="shared" si="5"/>
        <v>13135.32</v>
      </c>
      <c r="I49" s="290"/>
      <c r="J49" s="290"/>
      <c r="K49" s="290"/>
      <c r="L49" s="290"/>
      <c r="M49" s="290"/>
      <c r="N49" s="206">
        <v>25610</v>
      </c>
      <c r="O49" s="206">
        <v>25951</v>
      </c>
      <c r="P49" s="203"/>
      <c r="Q49" s="205"/>
      <c r="R49" s="291">
        <v>60</v>
      </c>
      <c r="S49" s="206">
        <f t="shared" ref="S49:S61" si="7">(O49-N49)*R49</f>
        <v>20460</v>
      </c>
      <c r="T49" s="286"/>
      <c r="U49" s="286"/>
      <c r="V49" s="286"/>
      <c r="W49" s="286"/>
      <c r="X49" s="286"/>
      <c r="Y49" s="286"/>
      <c r="Z49" s="286"/>
      <c r="AA49" s="286"/>
      <c r="AB49" s="286"/>
      <c r="AC49" s="286"/>
      <c r="AD49" s="286"/>
    </row>
    <row r="50" spans="1:30" ht="35.1" customHeight="1">
      <c r="A50" s="289" t="s">
        <v>664</v>
      </c>
      <c r="B50" s="206">
        <f t="shared" si="0"/>
        <v>2696.4</v>
      </c>
      <c r="C50" s="206"/>
      <c r="D50" s="206">
        <f t="shared" si="1"/>
        <v>176.39999999999998</v>
      </c>
      <c r="E50" s="206">
        <f t="shared" si="2"/>
        <v>100.8</v>
      </c>
      <c r="F50" s="206">
        <f t="shared" si="3"/>
        <v>75.599999999999994</v>
      </c>
      <c r="G50" s="206">
        <f t="shared" si="4"/>
        <v>2520</v>
      </c>
      <c r="H50" s="206">
        <f t="shared" si="5"/>
        <v>1617.84</v>
      </c>
      <c r="I50" s="290"/>
      <c r="J50" s="290"/>
      <c r="K50" s="290"/>
      <c r="L50" s="290"/>
      <c r="M50" s="290"/>
      <c r="N50" s="206">
        <v>3317</v>
      </c>
      <c r="O50" s="206">
        <v>3380</v>
      </c>
      <c r="P50" s="203"/>
      <c r="Q50" s="205"/>
      <c r="R50" s="291">
        <v>40</v>
      </c>
      <c r="S50" s="206">
        <f t="shared" si="7"/>
        <v>2520</v>
      </c>
      <c r="T50" s="286"/>
      <c r="U50" s="286"/>
      <c r="V50" s="286"/>
      <c r="W50" s="286"/>
      <c r="X50" s="286"/>
      <c r="Y50" s="286"/>
      <c r="Z50" s="286"/>
      <c r="AA50" s="286"/>
      <c r="AB50" s="286"/>
      <c r="AC50" s="286"/>
      <c r="AD50" s="286"/>
    </row>
    <row r="51" spans="1:30" ht="35.1" customHeight="1">
      <c r="A51" s="289" t="s">
        <v>665</v>
      </c>
      <c r="B51" s="206">
        <f t="shared" si="0"/>
        <v>1669.2</v>
      </c>
      <c r="C51" s="206"/>
      <c r="D51" s="206">
        <f t="shared" si="1"/>
        <v>109.19999999999999</v>
      </c>
      <c r="E51" s="206">
        <f t="shared" si="2"/>
        <v>62.4</v>
      </c>
      <c r="F51" s="206">
        <f t="shared" si="3"/>
        <v>46.8</v>
      </c>
      <c r="G51" s="206">
        <f t="shared" si="4"/>
        <v>1560</v>
      </c>
      <c r="H51" s="206">
        <f t="shared" si="5"/>
        <v>1001.52</v>
      </c>
      <c r="I51" s="290"/>
      <c r="J51" s="290"/>
      <c r="K51" s="290"/>
      <c r="L51" s="290"/>
      <c r="M51" s="290"/>
      <c r="N51" s="206">
        <v>2608</v>
      </c>
      <c r="O51" s="206">
        <v>2647</v>
      </c>
      <c r="P51" s="203"/>
      <c r="Q51" s="205"/>
      <c r="R51" s="291">
        <v>40</v>
      </c>
      <c r="S51" s="206">
        <f t="shared" si="7"/>
        <v>1560</v>
      </c>
      <c r="T51" s="286"/>
      <c r="U51" s="286"/>
      <c r="V51" s="286"/>
      <c r="W51" s="286"/>
      <c r="X51" s="286"/>
      <c r="Y51" s="286"/>
      <c r="Z51" s="286"/>
      <c r="AA51" s="286"/>
      <c r="AB51" s="286"/>
      <c r="AC51" s="286"/>
      <c r="AD51" s="286"/>
    </row>
    <row r="52" spans="1:30" ht="35.1" customHeight="1">
      <c r="A52" s="289" t="s">
        <v>666</v>
      </c>
      <c r="B52" s="206">
        <f t="shared" si="0"/>
        <v>1712</v>
      </c>
      <c r="C52" s="206"/>
      <c r="D52" s="206">
        <f t="shared" si="1"/>
        <v>112</v>
      </c>
      <c r="E52" s="206">
        <f t="shared" si="2"/>
        <v>64</v>
      </c>
      <c r="F52" s="206">
        <f t="shared" si="3"/>
        <v>48</v>
      </c>
      <c r="G52" s="206">
        <f t="shared" si="4"/>
        <v>1600</v>
      </c>
      <c r="H52" s="206">
        <f t="shared" si="5"/>
        <v>1027.2</v>
      </c>
      <c r="I52" s="290"/>
      <c r="J52" s="290"/>
      <c r="K52" s="290"/>
      <c r="L52" s="290"/>
      <c r="M52" s="290"/>
      <c r="N52" s="206">
        <v>5325</v>
      </c>
      <c r="O52" s="206">
        <v>5365</v>
      </c>
      <c r="P52" s="203"/>
      <c r="Q52" s="205"/>
      <c r="R52" s="291">
        <v>40</v>
      </c>
      <c r="S52" s="206">
        <f t="shared" si="7"/>
        <v>1600</v>
      </c>
      <c r="T52" s="286"/>
      <c r="U52" s="286"/>
      <c r="V52" s="286"/>
      <c r="W52" s="286"/>
      <c r="X52" s="286"/>
      <c r="Y52" s="286"/>
      <c r="Z52" s="286"/>
      <c r="AA52" s="286"/>
      <c r="AB52" s="286"/>
      <c r="AC52" s="286"/>
      <c r="AD52" s="286"/>
    </row>
    <row r="53" spans="1:30" ht="35.1" customHeight="1">
      <c r="A53" s="289" t="s">
        <v>667</v>
      </c>
      <c r="B53" s="206">
        <f t="shared" si="0"/>
        <v>9844</v>
      </c>
      <c r="C53" s="206"/>
      <c r="D53" s="206">
        <f t="shared" si="1"/>
        <v>644</v>
      </c>
      <c r="E53" s="206">
        <f t="shared" si="2"/>
        <v>368</v>
      </c>
      <c r="F53" s="206">
        <f t="shared" si="3"/>
        <v>276</v>
      </c>
      <c r="G53" s="206">
        <f t="shared" si="4"/>
        <v>9200</v>
      </c>
      <c r="H53" s="206">
        <f t="shared" si="5"/>
        <v>5906.4</v>
      </c>
      <c r="I53" s="290"/>
      <c r="J53" s="290"/>
      <c r="K53" s="290"/>
      <c r="L53" s="290"/>
      <c r="M53" s="290"/>
      <c r="N53" s="206">
        <v>30272</v>
      </c>
      <c r="O53" s="206">
        <v>30502</v>
      </c>
      <c r="P53" s="203"/>
      <c r="Q53" s="205"/>
      <c r="R53" s="291">
        <v>40</v>
      </c>
      <c r="S53" s="206">
        <f t="shared" si="7"/>
        <v>9200</v>
      </c>
      <c r="T53" s="286"/>
      <c r="U53" s="286"/>
      <c r="V53" s="286"/>
      <c r="W53" s="286"/>
      <c r="X53" s="286"/>
      <c r="Y53" s="286"/>
      <c r="Z53" s="286"/>
      <c r="AA53" s="286"/>
      <c r="AB53" s="286"/>
      <c r="AC53" s="286"/>
      <c r="AD53" s="286"/>
    </row>
    <row r="54" spans="1:30" ht="35.1" customHeight="1">
      <c r="A54" s="289" t="s">
        <v>668</v>
      </c>
      <c r="B54" s="206">
        <f t="shared" si="0"/>
        <v>6548.4</v>
      </c>
      <c r="C54" s="206"/>
      <c r="D54" s="206">
        <f t="shared" si="1"/>
        <v>428.4</v>
      </c>
      <c r="E54" s="206">
        <f t="shared" si="2"/>
        <v>244.8</v>
      </c>
      <c r="F54" s="206">
        <f t="shared" si="3"/>
        <v>183.6</v>
      </c>
      <c r="G54" s="206">
        <f t="shared" si="4"/>
        <v>6120</v>
      </c>
      <c r="H54" s="206">
        <f t="shared" si="5"/>
        <v>3929.0399999999995</v>
      </c>
      <c r="I54" s="290"/>
      <c r="J54" s="290"/>
      <c r="K54" s="290"/>
      <c r="L54" s="290"/>
      <c r="M54" s="290"/>
      <c r="N54" s="206">
        <v>9578</v>
      </c>
      <c r="O54" s="206">
        <v>9731</v>
      </c>
      <c r="P54" s="203"/>
      <c r="Q54" s="205"/>
      <c r="R54" s="291">
        <v>40</v>
      </c>
      <c r="S54" s="206">
        <f t="shared" si="7"/>
        <v>6120</v>
      </c>
      <c r="T54" s="286"/>
      <c r="U54" s="286"/>
      <c r="V54" s="286"/>
      <c r="W54" s="286"/>
      <c r="X54" s="286"/>
      <c r="Y54" s="286"/>
      <c r="Z54" s="286"/>
      <c r="AA54" s="286"/>
      <c r="AB54" s="286"/>
      <c r="AC54" s="286"/>
      <c r="AD54" s="286"/>
    </row>
    <row r="55" spans="1:30" ht="35.1" customHeight="1">
      <c r="A55" s="289" t="s">
        <v>669</v>
      </c>
      <c r="B55" s="206">
        <f t="shared" si="0"/>
        <v>1284</v>
      </c>
      <c r="C55" s="206"/>
      <c r="D55" s="206">
        <f t="shared" si="1"/>
        <v>84</v>
      </c>
      <c r="E55" s="206">
        <f t="shared" si="2"/>
        <v>48</v>
      </c>
      <c r="F55" s="206">
        <f t="shared" si="3"/>
        <v>36</v>
      </c>
      <c r="G55" s="206">
        <f t="shared" si="4"/>
        <v>1200</v>
      </c>
      <c r="H55" s="206">
        <f t="shared" si="5"/>
        <v>770.4</v>
      </c>
      <c r="I55" s="290"/>
      <c r="J55" s="290"/>
      <c r="K55" s="290"/>
      <c r="L55" s="290"/>
      <c r="M55" s="290"/>
      <c r="N55" s="206">
        <v>2123</v>
      </c>
      <c r="O55" s="206">
        <v>2153</v>
      </c>
      <c r="P55" s="203"/>
      <c r="Q55" s="205"/>
      <c r="R55" s="291">
        <v>40</v>
      </c>
      <c r="S55" s="206">
        <f t="shared" si="7"/>
        <v>1200</v>
      </c>
      <c r="T55" s="286"/>
      <c r="U55" s="286"/>
      <c r="V55" s="286"/>
      <c r="W55" s="286"/>
      <c r="X55" s="286"/>
      <c r="Y55" s="286"/>
      <c r="Z55" s="286"/>
      <c r="AA55" s="286"/>
      <c r="AB55" s="286"/>
      <c r="AC55" s="286"/>
      <c r="AD55" s="286"/>
    </row>
    <row r="56" spans="1:30" ht="35.1" customHeight="1">
      <c r="A56" s="289" t="s">
        <v>670</v>
      </c>
      <c r="B56" s="206">
        <f t="shared" si="0"/>
        <v>19388.400000000001</v>
      </c>
      <c r="C56" s="206"/>
      <c r="D56" s="206">
        <f t="shared" si="1"/>
        <v>1268.4000000000001</v>
      </c>
      <c r="E56" s="206">
        <f t="shared" si="2"/>
        <v>724.80000000000007</v>
      </c>
      <c r="F56" s="206">
        <f t="shared" si="3"/>
        <v>543.6</v>
      </c>
      <c r="G56" s="206">
        <f t="shared" si="4"/>
        <v>18120</v>
      </c>
      <c r="H56" s="206">
        <f t="shared" si="5"/>
        <v>11633.04</v>
      </c>
      <c r="I56" s="290"/>
      <c r="J56" s="290"/>
      <c r="K56" s="290"/>
      <c r="L56" s="290"/>
      <c r="M56" s="290"/>
      <c r="N56" s="206">
        <v>43027</v>
      </c>
      <c r="O56" s="206">
        <v>43480</v>
      </c>
      <c r="P56" s="203"/>
      <c r="Q56" s="205"/>
      <c r="R56" s="291">
        <v>40</v>
      </c>
      <c r="S56" s="206">
        <f t="shared" si="7"/>
        <v>18120</v>
      </c>
      <c r="T56" s="286"/>
      <c r="U56" s="286"/>
      <c r="V56" s="286"/>
      <c r="W56" s="286"/>
      <c r="X56" s="286"/>
      <c r="Y56" s="286"/>
      <c r="Z56" s="286"/>
      <c r="AA56" s="286"/>
      <c r="AB56" s="286"/>
      <c r="AC56" s="286"/>
      <c r="AD56" s="286"/>
    </row>
    <row r="57" spans="1:30" ht="35.1" customHeight="1">
      <c r="A57" s="289" t="s">
        <v>671</v>
      </c>
      <c r="B57" s="206">
        <f t="shared" si="0"/>
        <v>8688.4</v>
      </c>
      <c r="C57" s="206"/>
      <c r="D57" s="206">
        <f>E57+F57</f>
        <v>568.4</v>
      </c>
      <c r="E57" s="206">
        <f>0.04*G57</f>
        <v>324.8</v>
      </c>
      <c r="F57" s="206">
        <f>0.03*G57</f>
        <v>243.6</v>
      </c>
      <c r="G57" s="206">
        <f>S57</f>
        <v>8120</v>
      </c>
      <c r="H57" s="206">
        <f t="shared" si="5"/>
        <v>5213.04</v>
      </c>
      <c r="I57" s="290"/>
      <c r="J57" s="290"/>
      <c r="K57" s="290"/>
      <c r="L57" s="290"/>
      <c r="M57" s="290"/>
      <c r="N57" s="206">
        <v>12065</v>
      </c>
      <c r="O57" s="206">
        <v>12268</v>
      </c>
      <c r="P57" s="203"/>
      <c r="Q57" s="205"/>
      <c r="R57" s="291">
        <v>40</v>
      </c>
      <c r="S57" s="206">
        <f t="shared" si="7"/>
        <v>8120</v>
      </c>
      <c r="T57" s="286"/>
      <c r="U57" s="286"/>
      <c r="V57" s="286"/>
      <c r="W57" s="286"/>
      <c r="X57" s="286"/>
      <c r="Y57" s="286"/>
      <c r="Z57" s="286"/>
      <c r="AA57" s="286"/>
      <c r="AB57" s="286"/>
      <c r="AC57" s="286"/>
      <c r="AD57" s="286"/>
    </row>
    <row r="58" spans="1:30" ht="35.1" customHeight="1">
      <c r="A58" s="289" t="s">
        <v>672</v>
      </c>
      <c r="B58" s="206">
        <f t="shared" si="0"/>
        <v>0</v>
      </c>
      <c r="C58" s="206"/>
      <c r="D58" s="206">
        <f>E58+F58</f>
        <v>0</v>
      </c>
      <c r="E58" s="206">
        <f>0.04*G58</f>
        <v>0</v>
      </c>
      <c r="F58" s="206">
        <f>0.03*G58</f>
        <v>0</v>
      </c>
      <c r="G58" s="206">
        <f>S58</f>
        <v>0</v>
      </c>
      <c r="H58" s="206">
        <f t="shared" si="5"/>
        <v>0</v>
      </c>
      <c r="I58" s="290"/>
      <c r="J58" s="290"/>
      <c r="K58" s="290"/>
      <c r="L58" s="290"/>
      <c r="M58" s="290"/>
      <c r="N58" s="487">
        <v>7</v>
      </c>
      <c r="O58" s="487">
        <v>7</v>
      </c>
      <c r="P58" s="203"/>
      <c r="Q58" s="205"/>
      <c r="R58" s="291">
        <v>40</v>
      </c>
      <c r="S58" s="206">
        <f t="shared" si="7"/>
        <v>0</v>
      </c>
      <c r="T58" s="286"/>
      <c r="U58" s="286"/>
      <c r="V58" s="286"/>
      <c r="W58" s="286"/>
      <c r="X58" s="286"/>
      <c r="Y58" s="286"/>
      <c r="Z58" s="286"/>
      <c r="AA58" s="286"/>
      <c r="AB58" s="286"/>
      <c r="AC58" s="286"/>
      <c r="AD58" s="286"/>
    </row>
    <row r="59" spans="1:30" ht="35.1" customHeight="1">
      <c r="A59" s="289" t="s">
        <v>761</v>
      </c>
      <c r="B59" s="487">
        <f t="shared" si="0"/>
        <v>4280</v>
      </c>
      <c r="C59" s="487"/>
      <c r="D59" s="487">
        <f t="shared" ref="D59:D60" si="8">E59+F59</f>
        <v>280</v>
      </c>
      <c r="E59" s="487">
        <f t="shared" ref="E59:E60" si="9">0.04*G59</f>
        <v>160</v>
      </c>
      <c r="F59" s="487">
        <f t="shared" ref="F59:F60" si="10">0.03*G59</f>
        <v>120</v>
      </c>
      <c r="G59" s="487">
        <f t="shared" ref="G59:G61" si="11">S59</f>
        <v>4000</v>
      </c>
      <c r="H59" s="487">
        <f t="shared" si="5"/>
        <v>2568</v>
      </c>
      <c r="I59" s="290"/>
      <c r="J59" s="290"/>
      <c r="K59" s="290"/>
      <c r="L59" s="290"/>
      <c r="M59" s="290"/>
      <c r="N59" s="487">
        <v>1430</v>
      </c>
      <c r="O59" s="487">
        <v>1530</v>
      </c>
      <c r="P59" s="203"/>
      <c r="Q59" s="489"/>
      <c r="R59" s="490">
        <v>40</v>
      </c>
      <c r="S59" s="487">
        <f t="shared" si="7"/>
        <v>4000</v>
      </c>
      <c r="T59" s="286"/>
      <c r="U59" s="286"/>
      <c r="V59" s="286"/>
      <c r="W59" s="286"/>
      <c r="X59" s="286"/>
      <c r="Y59" s="286"/>
      <c r="Z59" s="286"/>
      <c r="AA59" s="286"/>
      <c r="AB59" s="286"/>
      <c r="AC59" s="286"/>
      <c r="AD59" s="286"/>
    </row>
    <row r="60" spans="1:30" ht="35.1" customHeight="1">
      <c r="A60" s="289" t="s">
        <v>762</v>
      </c>
      <c r="B60" s="206">
        <f t="shared" si="0"/>
        <v>3819.9</v>
      </c>
      <c r="C60" s="206"/>
      <c r="D60" s="206">
        <f t="shared" si="8"/>
        <v>249.9</v>
      </c>
      <c r="E60" s="206">
        <f t="shared" si="9"/>
        <v>142.80000000000001</v>
      </c>
      <c r="F60" s="206">
        <f t="shared" si="10"/>
        <v>107.1</v>
      </c>
      <c r="G60" s="206">
        <f t="shared" si="11"/>
        <v>3570</v>
      </c>
      <c r="H60" s="206">
        <f t="shared" si="5"/>
        <v>2291.94</v>
      </c>
      <c r="I60" s="491"/>
      <c r="J60" s="491"/>
      <c r="K60" s="491"/>
      <c r="L60" s="491"/>
      <c r="M60" s="491"/>
      <c r="N60" s="206">
        <v>1866</v>
      </c>
      <c r="O60" s="206">
        <v>1985</v>
      </c>
      <c r="P60" s="492"/>
      <c r="Q60" s="205"/>
      <c r="R60" s="291">
        <v>30</v>
      </c>
      <c r="S60" s="206">
        <f t="shared" si="7"/>
        <v>3570</v>
      </c>
      <c r="T60" s="286"/>
      <c r="U60" s="286"/>
      <c r="V60" s="286"/>
      <c r="W60" s="286"/>
      <c r="X60" s="286"/>
      <c r="Y60" s="286"/>
      <c r="Z60" s="286"/>
      <c r="AA60" s="286"/>
      <c r="AB60" s="286"/>
      <c r="AC60" s="286"/>
      <c r="AD60" s="286"/>
    </row>
    <row r="61" spans="1:30" ht="35.1" customHeight="1">
      <c r="A61" s="300" t="s">
        <v>801</v>
      </c>
      <c r="B61" s="124">
        <f>G61</f>
        <v>1745</v>
      </c>
      <c r="C61" s="125"/>
      <c r="D61" s="124">
        <f>E61+F61</f>
        <v>122.15</v>
      </c>
      <c r="E61" s="124">
        <f>0.04*G61</f>
        <v>69.8</v>
      </c>
      <c r="F61" s="124">
        <f>0.03*G61</f>
        <v>52.35</v>
      </c>
      <c r="G61" s="125">
        <f t="shared" si="11"/>
        <v>1745</v>
      </c>
      <c r="H61" s="345">
        <f>B61*0.4</f>
        <v>698</v>
      </c>
      <c r="I61" s="133"/>
      <c r="J61" s="133"/>
      <c r="K61" s="133"/>
      <c r="L61" s="133"/>
      <c r="M61" s="133"/>
      <c r="N61" s="125">
        <v>9059</v>
      </c>
      <c r="O61" s="125">
        <v>10804</v>
      </c>
      <c r="P61" s="546"/>
      <c r="Q61" s="547"/>
      <c r="R61" s="547">
        <v>1</v>
      </c>
      <c r="S61" s="125">
        <f t="shared" si="7"/>
        <v>1745</v>
      </c>
      <c r="T61" s="286"/>
      <c r="U61" s="286"/>
      <c r="V61" s="286"/>
      <c r="W61" s="286"/>
      <c r="X61" s="286"/>
      <c r="Y61" s="286"/>
      <c r="Z61" s="286"/>
      <c r="AA61" s="286"/>
      <c r="AB61" s="286"/>
      <c r="AC61" s="286"/>
      <c r="AD61" s="286"/>
    </row>
    <row r="62" spans="1:30" ht="35.1" customHeight="1">
      <c r="A62" s="548" t="s">
        <v>673</v>
      </c>
      <c r="B62" s="208">
        <f>SUM(B33:B61)-B44</f>
        <v>144579.29999999999</v>
      </c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6"/>
      <c r="N62" s="488"/>
      <c r="O62" s="488"/>
      <c r="P62" s="286"/>
      <c r="Q62" s="286"/>
      <c r="R62" s="286"/>
      <c r="S62" s="286"/>
      <c r="T62" s="651"/>
      <c r="U62" s="286"/>
      <c r="V62" s="286"/>
      <c r="W62" s="286"/>
      <c r="X62" s="286"/>
      <c r="Y62" s="286"/>
      <c r="Z62" s="286"/>
      <c r="AA62" s="286"/>
      <c r="AB62" s="286"/>
      <c r="AC62" s="286"/>
      <c r="AD62" s="286"/>
    </row>
    <row r="63" spans="1:30" ht="35.1" customHeight="1">
      <c r="A63" s="286"/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6"/>
      <c r="P63" s="286"/>
      <c r="Q63" s="286"/>
      <c r="R63" s="286"/>
      <c r="S63" s="286"/>
      <c r="T63" s="286"/>
      <c r="U63" s="286"/>
      <c r="V63" s="286"/>
      <c r="W63" s="286"/>
      <c r="X63" s="286"/>
      <c r="Y63" s="286"/>
      <c r="Z63" s="286"/>
      <c r="AA63" s="286"/>
      <c r="AB63" s="286"/>
      <c r="AC63" s="286"/>
      <c r="AD63" s="286"/>
    </row>
    <row r="64" spans="1:30" ht="35.1" customHeight="1">
      <c r="A64" s="679" t="s">
        <v>775</v>
      </c>
      <c r="B64" s="124">
        <f>G64</f>
        <v>763</v>
      </c>
      <c r="C64" s="125"/>
      <c r="D64" s="124">
        <f>E64+F64</f>
        <v>53.41</v>
      </c>
      <c r="E64" s="124">
        <f>0.04*G64</f>
        <v>30.52</v>
      </c>
      <c r="F64" s="124">
        <f>0.03*G64</f>
        <v>22.89</v>
      </c>
      <c r="G64" s="125">
        <f t="shared" ref="G64" si="12">S64</f>
        <v>763</v>
      </c>
      <c r="H64" s="345">
        <f>B64*0.4</f>
        <v>305.2</v>
      </c>
      <c r="I64" s="133"/>
      <c r="J64" s="133"/>
      <c r="K64" s="133"/>
      <c r="L64" s="133"/>
      <c r="M64" s="133"/>
      <c r="N64" s="125">
        <v>22870</v>
      </c>
      <c r="O64" s="125">
        <v>23633</v>
      </c>
      <c r="P64" s="546"/>
      <c r="Q64" s="547"/>
      <c r="R64" s="547">
        <v>1</v>
      </c>
      <c r="S64" s="125">
        <f t="shared" ref="S64" si="13">(O64-N64)*R64</f>
        <v>763</v>
      </c>
      <c r="T64" s="286"/>
      <c r="U64" s="286"/>
      <c r="V64" s="286"/>
      <c r="W64" s="286"/>
      <c r="X64" s="286"/>
      <c r="Y64" s="286"/>
      <c r="Z64" s="286"/>
      <c r="AA64" s="286"/>
      <c r="AB64" s="286"/>
      <c r="AC64" s="286"/>
      <c r="AD64" s="286"/>
    </row>
    <row r="65" spans="1:30" ht="35.1" customHeight="1">
      <c r="A65" s="298" t="s">
        <v>674</v>
      </c>
      <c r="B65" s="202">
        <f>(G65+D65)</f>
        <v>352275.02999999776</v>
      </c>
      <c r="C65" s="202"/>
      <c r="D65" s="202">
        <f>E65+F65</f>
        <v>23046.029999999853</v>
      </c>
      <c r="E65" s="202">
        <f>0.04*G65</f>
        <v>13169.159999999916</v>
      </c>
      <c r="F65" s="202">
        <f>0.03*G65</f>
        <v>9876.8699999999371</v>
      </c>
      <c r="G65" s="202">
        <f>(S65+S66)</f>
        <v>329228.9999999979</v>
      </c>
      <c r="H65" s="202">
        <f>S67</f>
        <v>0</v>
      </c>
      <c r="I65" s="203"/>
      <c r="J65" s="203"/>
      <c r="K65" s="203"/>
      <c r="L65" s="203"/>
      <c r="M65" s="203" t="s">
        <v>675</v>
      </c>
      <c r="N65" s="204">
        <v>79759.600000000006</v>
      </c>
      <c r="O65" s="204">
        <v>80327.8</v>
      </c>
      <c r="P65" s="203"/>
      <c r="Q65" s="205" t="s">
        <v>676</v>
      </c>
      <c r="R65" s="202">
        <v>300</v>
      </c>
      <c r="S65" s="206">
        <f>(O65-N65)*R65</f>
        <v>170459.99999999913</v>
      </c>
      <c r="T65" s="827"/>
      <c r="U65" s="828"/>
      <c r="V65" s="828"/>
      <c r="W65" s="828"/>
      <c r="X65" s="828"/>
      <c r="Y65" s="828"/>
      <c r="Z65" s="828"/>
      <c r="AA65" s="828"/>
      <c r="AB65" s="828"/>
      <c r="AC65" s="828"/>
      <c r="AD65" s="828"/>
    </row>
    <row r="66" spans="1:30" ht="35.1" customHeight="1">
      <c r="A66" s="299" t="s">
        <v>677</v>
      </c>
      <c r="B66" s="202"/>
      <c r="C66" s="202"/>
      <c r="D66" s="208"/>
      <c r="E66" s="202"/>
      <c r="F66" s="202"/>
      <c r="G66" s="202"/>
      <c r="H66" s="202"/>
      <c r="I66" s="203"/>
      <c r="J66" s="203"/>
      <c r="K66" s="203"/>
      <c r="L66" s="203"/>
      <c r="M66" s="203"/>
      <c r="N66" s="204">
        <v>73955.7</v>
      </c>
      <c r="O66" s="204">
        <v>74484.929999999993</v>
      </c>
      <c r="P66" s="203"/>
      <c r="Q66" s="205" t="s">
        <v>676</v>
      </c>
      <c r="R66" s="202">
        <v>300</v>
      </c>
      <c r="S66" s="206">
        <f>(O66-N66)*R66</f>
        <v>158768.99999999878</v>
      </c>
      <c r="T66" s="286"/>
      <c r="U66" s="286"/>
      <c r="V66" s="286"/>
      <c r="W66" s="286"/>
      <c r="X66" s="286"/>
      <c r="Y66" s="286"/>
      <c r="Z66" s="286"/>
      <c r="AA66" s="286"/>
      <c r="AB66" s="286"/>
      <c r="AC66" s="286"/>
      <c r="AD66" s="286"/>
    </row>
    <row r="67" spans="1:30">
      <c r="A67" s="286"/>
      <c r="B67" s="286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6"/>
      <c r="N67" s="286"/>
      <c r="O67" s="286"/>
      <c r="P67" s="286"/>
      <c r="Q67" s="286"/>
      <c r="R67" s="286"/>
      <c r="S67" s="286"/>
      <c r="T67" s="286"/>
      <c r="U67" s="286"/>
      <c r="V67" s="286"/>
      <c r="W67" s="286"/>
      <c r="X67" s="286"/>
      <c r="Y67" s="286"/>
      <c r="Z67" s="286"/>
      <c r="AA67" s="286"/>
      <c r="AB67" s="286"/>
      <c r="AC67" s="286"/>
      <c r="AD67" s="286"/>
    </row>
    <row r="68" spans="1:30">
      <c r="A68" s="286"/>
      <c r="B68" s="286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6"/>
      <c r="N68" s="286"/>
      <c r="O68" s="286"/>
      <c r="P68" s="286"/>
      <c r="Q68" s="286"/>
      <c r="R68" s="286"/>
      <c r="S68" s="286"/>
      <c r="T68" s="286"/>
      <c r="U68" s="286"/>
      <c r="V68" s="286"/>
      <c r="W68" s="286"/>
      <c r="X68" s="286"/>
      <c r="Y68" s="286"/>
      <c r="Z68" s="286"/>
      <c r="AA68" s="286"/>
      <c r="AB68" s="286"/>
      <c r="AC68" s="286"/>
      <c r="AD68" s="286"/>
    </row>
    <row r="69" spans="1:30">
      <c r="A69" s="286" t="s">
        <v>678</v>
      </c>
      <c r="B69" s="300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6"/>
      <c r="P69" s="286"/>
      <c r="Q69" s="286"/>
      <c r="R69" s="286"/>
      <c r="S69" s="286"/>
      <c r="T69" s="286"/>
      <c r="U69" s="286"/>
      <c r="V69" s="286"/>
      <c r="W69" s="286"/>
      <c r="X69" s="286"/>
      <c r="Y69" s="286"/>
      <c r="Z69" s="286"/>
      <c r="AA69" s="286"/>
      <c r="AB69" s="286"/>
      <c r="AC69" s="286"/>
      <c r="AD69" s="286"/>
    </row>
    <row r="70" spans="1:30">
      <c r="A70" s="286"/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6"/>
      <c r="P70" s="286"/>
      <c r="Q70" s="286"/>
      <c r="R70" s="286"/>
      <c r="S70" s="286"/>
      <c r="T70" s="286"/>
      <c r="U70" s="286"/>
      <c r="V70" s="286"/>
      <c r="W70" s="286"/>
      <c r="X70" s="286"/>
      <c r="Y70" s="286"/>
      <c r="Z70" s="286"/>
      <c r="AA70" s="286"/>
      <c r="AB70" s="286"/>
      <c r="AC70" s="286"/>
      <c r="AD70" s="286"/>
    </row>
    <row r="71" spans="1:30">
      <c r="A71" s="286"/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86"/>
      <c r="AB71" s="286"/>
      <c r="AC71" s="286"/>
      <c r="AD71" s="286"/>
    </row>
    <row r="72" spans="1:30">
      <c r="A72" s="286"/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86"/>
      <c r="AB72" s="286"/>
      <c r="AC72" s="286"/>
      <c r="AD72" s="286"/>
    </row>
    <row r="73" spans="1:30">
      <c r="A73" s="301" t="s">
        <v>338</v>
      </c>
      <c r="B73" s="302">
        <f>B65-(B62+B44+B86+'Апрель 2021'!C328)</f>
        <v>69064.979999997769</v>
      </c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  <c r="N73" s="286"/>
      <c r="O73" s="286"/>
      <c r="P73" s="286"/>
      <c r="Q73" s="286"/>
      <c r="R73" s="286"/>
      <c r="S73" s="286"/>
      <c r="T73" s="286"/>
      <c r="U73" s="286"/>
      <c r="V73" s="286"/>
      <c r="W73" s="286"/>
      <c r="X73" s="286"/>
      <c r="Y73" s="286"/>
      <c r="Z73" s="286"/>
      <c r="AA73" s="286"/>
      <c r="AB73" s="286"/>
      <c r="AC73" s="286"/>
      <c r="AD73" s="286"/>
    </row>
    <row r="74" spans="1:30">
      <c r="A74" s="303"/>
      <c r="B74" s="303"/>
      <c r="C74" s="303"/>
      <c r="D74" s="303"/>
      <c r="E74" s="303"/>
      <c r="F74" s="303"/>
      <c r="G74" s="303"/>
      <c r="H74" s="303"/>
      <c r="I74" s="303"/>
      <c r="J74" s="303"/>
      <c r="K74" s="303"/>
      <c r="L74" s="303"/>
      <c r="M74" s="303"/>
      <c r="N74" s="303"/>
      <c r="O74" s="303"/>
      <c r="P74" s="303"/>
      <c r="Q74" s="303"/>
      <c r="R74" s="303"/>
      <c r="S74" s="303"/>
      <c r="T74" s="303"/>
      <c r="U74" s="303"/>
      <c r="V74" s="286"/>
      <c r="W74" s="286"/>
      <c r="X74" s="286"/>
      <c r="Y74" s="286"/>
      <c r="Z74" s="286"/>
      <c r="AA74" s="286"/>
      <c r="AB74" s="286"/>
      <c r="AC74" s="286"/>
      <c r="AD74" s="286"/>
    </row>
    <row r="75" spans="1:30">
      <c r="A75" s="304"/>
      <c r="B75" s="91">
        <v>500</v>
      </c>
      <c r="C75" s="91"/>
      <c r="D75" s="91"/>
      <c r="E75" s="91"/>
      <c r="F75" s="91"/>
      <c r="G75" s="91"/>
      <c r="H75" s="91"/>
      <c r="I75" s="22"/>
      <c r="J75" s="22"/>
      <c r="K75" s="22"/>
      <c r="L75" s="22"/>
      <c r="M75" s="22"/>
      <c r="N75" s="206"/>
      <c r="O75" s="206"/>
      <c r="P75" s="22"/>
      <c r="Q75" s="142"/>
      <c r="R75" s="151"/>
      <c r="S75" s="91"/>
      <c r="T75" s="305" t="s">
        <v>679</v>
      </c>
      <c r="U75" s="306"/>
      <c r="V75" s="303"/>
      <c r="W75" s="303"/>
      <c r="X75" s="303"/>
      <c r="Y75" s="286"/>
      <c r="Z75" s="286"/>
      <c r="AA75" s="286"/>
      <c r="AB75" s="286"/>
      <c r="AC75" s="286"/>
      <c r="AD75" s="286"/>
    </row>
    <row r="76" spans="1:30">
      <c r="A76" s="304"/>
      <c r="B76" s="91"/>
      <c r="C76" s="91"/>
      <c r="D76" s="91"/>
      <c r="E76" s="91"/>
      <c r="F76" s="91"/>
      <c r="G76" s="91"/>
      <c r="H76" s="91"/>
      <c r="I76" s="22"/>
      <c r="J76" s="22"/>
      <c r="K76" s="22"/>
      <c r="L76" s="22"/>
      <c r="M76" s="22"/>
      <c r="N76" s="206"/>
      <c r="O76" s="206"/>
      <c r="P76" s="22"/>
      <c r="Q76" s="142"/>
      <c r="R76" s="151"/>
      <c r="S76" s="91"/>
      <c r="T76" s="305"/>
      <c r="U76" s="306"/>
      <c r="V76" s="303"/>
      <c r="W76" s="303"/>
      <c r="X76" s="303"/>
      <c r="Y76" s="286"/>
      <c r="Z76" s="286"/>
      <c r="AA76" s="286"/>
      <c r="AB76" s="286"/>
      <c r="AC76" s="286"/>
      <c r="AD76" s="286"/>
    </row>
    <row r="77" spans="1:30">
      <c r="A77" s="304"/>
      <c r="B77" s="124"/>
      <c r="C77" s="125"/>
      <c r="D77" s="124"/>
      <c r="E77" s="124"/>
      <c r="F77" s="124"/>
      <c r="G77" s="125"/>
      <c r="H77" s="345"/>
      <c r="I77" s="133"/>
      <c r="J77" s="133"/>
      <c r="K77" s="133"/>
      <c r="L77" s="133"/>
      <c r="M77" s="133"/>
      <c r="N77" s="125"/>
      <c r="O77" s="125"/>
      <c r="P77" s="544"/>
      <c r="Q77" s="545"/>
      <c r="R77" s="545"/>
      <c r="S77" s="85"/>
      <c r="T77" s="127"/>
      <c r="U77" s="128"/>
      <c r="V77" s="303"/>
      <c r="W77" s="303"/>
      <c r="X77" s="303"/>
      <c r="Y77" s="286"/>
      <c r="Z77" s="286"/>
      <c r="AA77" s="286"/>
      <c r="AB77" s="286"/>
      <c r="AC77" s="286"/>
      <c r="AD77" s="286"/>
    </row>
    <row r="78" spans="1:30">
      <c r="A78" s="304"/>
      <c r="B78" s="124">
        <f>G78</f>
        <v>7768</v>
      </c>
      <c r="C78" s="125"/>
      <c r="D78" s="124">
        <f>E78+F78</f>
        <v>543.76</v>
      </c>
      <c r="E78" s="124">
        <f>0.04*G78</f>
        <v>310.72000000000003</v>
      </c>
      <c r="F78" s="124">
        <f>0.03*G78</f>
        <v>233.04</v>
      </c>
      <c r="G78" s="125">
        <f t="shared" ref="G78" si="14">S78</f>
        <v>7768</v>
      </c>
      <c r="H78" s="345">
        <f>B78*0.4</f>
        <v>3107.2000000000003</v>
      </c>
      <c r="I78" s="133"/>
      <c r="J78" s="133"/>
      <c r="K78" s="133"/>
      <c r="L78" s="133"/>
      <c r="M78" s="133"/>
      <c r="N78" s="91">
        <v>112744</v>
      </c>
      <c r="O78" s="28">
        <v>120512</v>
      </c>
      <c r="P78" s="105"/>
      <c r="Q78" s="106"/>
      <c r="R78" s="106">
        <v>1</v>
      </c>
      <c r="S78" s="92">
        <f t="shared" ref="S78" si="15">(O78-N78)*R78</f>
        <v>7768</v>
      </c>
      <c r="T78" s="127">
        <v>5732</v>
      </c>
      <c r="U78" s="307" t="s">
        <v>688</v>
      </c>
      <c r="V78" s="303"/>
      <c r="W78" s="303"/>
      <c r="X78" s="303"/>
      <c r="Y78" s="286"/>
      <c r="Z78" s="286"/>
      <c r="AA78" s="286"/>
      <c r="AB78" s="286"/>
      <c r="AC78" s="286"/>
      <c r="AD78" s="286"/>
    </row>
    <row r="79" spans="1:30">
      <c r="A79" s="308"/>
      <c r="B79" s="124">
        <f>G79+D79</f>
        <v>1994.48</v>
      </c>
      <c r="C79" s="124"/>
      <c r="D79" s="124">
        <f t="shared" ref="D79:D85" si="16">E79+F79</f>
        <v>130.47999999999999</v>
      </c>
      <c r="E79" s="124">
        <f t="shared" ref="E79:E85" si="17">0.04*G79</f>
        <v>74.56</v>
      </c>
      <c r="F79" s="124">
        <f t="shared" ref="F79:F85" si="18">0.03*G79</f>
        <v>55.919999999999995</v>
      </c>
      <c r="G79" s="124">
        <f>S79</f>
        <v>1864</v>
      </c>
      <c r="H79" s="124">
        <f>0.6*B79</f>
        <v>1196.6879999999999</v>
      </c>
      <c r="I79" s="126"/>
      <c r="J79" s="126"/>
      <c r="K79" s="126"/>
      <c r="L79" s="126"/>
      <c r="M79" s="126" t="s">
        <v>146</v>
      </c>
      <c r="N79" s="91">
        <v>40097</v>
      </c>
      <c r="O79" s="28">
        <v>41961</v>
      </c>
      <c r="P79" s="122"/>
      <c r="Q79" s="173"/>
      <c r="R79" s="151">
        <v>1</v>
      </c>
      <c r="S79" s="91">
        <f>(O79-N79)*R79</f>
        <v>1864</v>
      </c>
      <c r="T79" s="95">
        <v>3275</v>
      </c>
      <c r="U79" s="710" t="s">
        <v>680</v>
      </c>
      <c r="V79" s="303"/>
      <c r="W79" s="303"/>
      <c r="X79" s="303"/>
      <c r="Y79" s="286"/>
      <c r="Z79" s="286"/>
      <c r="AA79" s="286"/>
      <c r="AB79" s="286"/>
      <c r="AC79" s="286"/>
      <c r="AD79" s="286"/>
    </row>
    <row r="80" spans="1:30">
      <c r="A80" s="304"/>
      <c r="B80" s="509">
        <f t="shared" ref="B80:B84" si="19">G80+D80</f>
        <v>1351.41</v>
      </c>
      <c r="C80" s="509"/>
      <c r="D80" s="509">
        <f t="shared" si="16"/>
        <v>88.41</v>
      </c>
      <c r="E80" s="509">
        <f t="shared" si="17"/>
        <v>50.52</v>
      </c>
      <c r="F80" s="509">
        <f t="shared" si="18"/>
        <v>37.89</v>
      </c>
      <c r="G80" s="509">
        <f t="shared" ref="G80:G85" si="20">S80</f>
        <v>1263</v>
      </c>
      <c r="H80" s="509"/>
      <c r="I80" s="126"/>
      <c r="J80" s="126"/>
      <c r="K80" s="126"/>
      <c r="L80" s="126"/>
      <c r="M80" s="126" t="s">
        <v>271</v>
      </c>
      <c r="N80" s="117">
        <v>32561</v>
      </c>
      <c r="O80" s="349">
        <v>33824</v>
      </c>
      <c r="P80" s="149"/>
      <c r="Q80" s="309"/>
      <c r="R80" s="117">
        <v>1</v>
      </c>
      <c r="S80" s="91">
        <f>(O80-N80)*R80</f>
        <v>1263</v>
      </c>
      <c r="T80" s="3"/>
      <c r="U80" s="710" t="s">
        <v>272</v>
      </c>
      <c r="V80" s="303"/>
      <c r="W80" s="303"/>
      <c r="X80" s="303"/>
      <c r="Y80" s="286"/>
      <c r="Z80" s="286"/>
      <c r="AA80" s="286"/>
      <c r="AB80" s="286"/>
      <c r="AC80" s="286"/>
      <c r="AD80" s="286"/>
    </row>
    <row r="81" spans="1:30">
      <c r="A81" s="104"/>
      <c r="B81" s="124"/>
      <c r="C81" s="124"/>
      <c r="D81" s="124"/>
      <c r="E81" s="124"/>
      <c r="F81" s="124"/>
      <c r="G81" s="124"/>
      <c r="H81" s="124"/>
      <c r="I81" s="126"/>
      <c r="J81" s="126"/>
      <c r="K81" s="126"/>
      <c r="L81" s="126"/>
      <c r="M81" s="126"/>
      <c r="N81" s="124"/>
      <c r="O81" s="124"/>
      <c r="P81" s="122"/>
      <c r="Q81" s="310"/>
      <c r="R81" s="151"/>
      <c r="S81" s="91"/>
      <c r="T81" s="305"/>
      <c r="U81" s="306"/>
      <c r="V81" s="303"/>
      <c r="W81" s="303"/>
      <c r="X81" s="303"/>
      <c r="Y81" s="286"/>
      <c r="Z81" s="286"/>
      <c r="AA81" s="286"/>
      <c r="AB81" s="286"/>
      <c r="AC81" s="286"/>
      <c r="AD81" s="286"/>
    </row>
    <row r="82" spans="1:30">
      <c r="A82" s="308"/>
      <c r="B82" s="509">
        <f t="shared" si="19"/>
        <v>231.12</v>
      </c>
      <c r="C82" s="509"/>
      <c r="D82" s="509">
        <f t="shared" si="16"/>
        <v>15.120000000000001</v>
      </c>
      <c r="E82" s="509">
        <f t="shared" si="17"/>
        <v>8.64</v>
      </c>
      <c r="F82" s="509">
        <f t="shared" si="18"/>
        <v>6.4799999999999995</v>
      </c>
      <c r="G82" s="509">
        <f t="shared" si="20"/>
        <v>216</v>
      </c>
      <c r="H82" s="509"/>
      <c r="I82" s="126"/>
      <c r="J82" s="126"/>
      <c r="K82" s="126"/>
      <c r="L82" s="126"/>
      <c r="M82" s="126" t="s">
        <v>271</v>
      </c>
      <c r="N82" s="117">
        <v>5362</v>
      </c>
      <c r="O82" s="349">
        <v>5578</v>
      </c>
      <c r="P82" s="149"/>
      <c r="Q82" s="309"/>
      <c r="R82" s="117">
        <v>1</v>
      </c>
      <c r="S82" s="117">
        <f>O82-N82</f>
        <v>216</v>
      </c>
      <c r="T82" s="95"/>
      <c r="U82" s="710" t="s">
        <v>309</v>
      </c>
      <c r="V82" s="303"/>
      <c r="W82" s="303"/>
      <c r="X82" s="303"/>
      <c r="Y82" s="286"/>
      <c r="Z82" s="286"/>
      <c r="AA82" s="286"/>
      <c r="AB82" s="286"/>
      <c r="AC82" s="286"/>
      <c r="AD82" s="286"/>
    </row>
    <row r="83" spans="1:30">
      <c r="A83" s="132" t="s">
        <v>209</v>
      </c>
      <c r="B83" s="124">
        <f t="shared" si="19"/>
        <v>1001.52</v>
      </c>
      <c r="C83" s="124"/>
      <c r="D83" s="124">
        <f t="shared" si="16"/>
        <v>65.52</v>
      </c>
      <c r="E83" s="124">
        <f t="shared" si="17"/>
        <v>37.44</v>
      </c>
      <c r="F83" s="124">
        <f t="shared" si="18"/>
        <v>28.08</v>
      </c>
      <c r="G83" s="124">
        <f>S83</f>
        <v>936</v>
      </c>
      <c r="H83" s="124">
        <f t="shared" ref="H83" si="21">0.6*B83</f>
        <v>600.91199999999992</v>
      </c>
      <c r="I83" s="126"/>
      <c r="J83" s="126"/>
      <c r="K83" s="126"/>
      <c r="L83" s="126"/>
      <c r="M83" s="126"/>
      <c r="N83" s="124">
        <v>26817</v>
      </c>
      <c r="O83" s="84">
        <v>27753</v>
      </c>
      <c r="P83" s="7"/>
      <c r="Q83" s="94"/>
      <c r="R83" s="124">
        <v>1</v>
      </c>
      <c r="S83" s="124">
        <f t="shared" ref="S83" si="22">(O83-N83)*R83</f>
        <v>936</v>
      </c>
      <c r="T83" s="127">
        <v>179316</v>
      </c>
      <c r="U83" s="128" t="s">
        <v>210</v>
      </c>
      <c r="V83" s="303"/>
      <c r="W83" s="303"/>
      <c r="X83" s="303"/>
      <c r="Y83" s="286"/>
      <c r="Z83" s="286"/>
      <c r="AA83" s="286"/>
      <c r="AB83" s="286"/>
      <c r="AC83" s="286"/>
      <c r="AD83" s="286"/>
    </row>
    <row r="84" spans="1:30" ht="27">
      <c r="A84" s="304"/>
      <c r="B84" s="509">
        <f t="shared" si="19"/>
        <v>301.74</v>
      </c>
      <c r="C84" s="509"/>
      <c r="D84" s="509">
        <f t="shared" si="16"/>
        <v>19.739999999999998</v>
      </c>
      <c r="E84" s="509">
        <f t="shared" si="17"/>
        <v>11.28</v>
      </c>
      <c r="F84" s="509">
        <f t="shared" si="18"/>
        <v>8.4599999999999991</v>
      </c>
      <c r="G84" s="509">
        <f t="shared" si="20"/>
        <v>282</v>
      </c>
      <c r="H84" s="509"/>
      <c r="I84" s="126"/>
      <c r="J84" s="126"/>
      <c r="K84" s="126"/>
      <c r="L84" s="126"/>
      <c r="M84" s="126" t="s">
        <v>271</v>
      </c>
      <c r="N84" s="117">
        <v>13606</v>
      </c>
      <c r="O84" s="349">
        <v>13888</v>
      </c>
      <c r="P84" s="149"/>
      <c r="Q84" s="309"/>
      <c r="R84" s="117">
        <v>1</v>
      </c>
      <c r="S84" s="117">
        <f>O84-N84</f>
        <v>282</v>
      </c>
      <c r="T84" s="311">
        <v>6292</v>
      </c>
      <c r="U84" s="710" t="s">
        <v>311</v>
      </c>
      <c r="V84" s="303"/>
      <c r="W84" s="303"/>
      <c r="X84" s="303"/>
      <c r="Y84" s="286"/>
      <c r="Z84" s="286"/>
      <c r="AA84" s="286"/>
      <c r="AB84" s="286"/>
      <c r="AC84" s="286"/>
      <c r="AD84" s="286"/>
    </row>
    <row r="85" spans="1:30">
      <c r="A85" s="312" t="s">
        <v>80</v>
      </c>
      <c r="B85" s="124">
        <f>G85</f>
        <v>6614</v>
      </c>
      <c r="C85" s="125"/>
      <c r="D85" s="124">
        <f t="shared" si="16"/>
        <v>462.98</v>
      </c>
      <c r="E85" s="124">
        <f t="shared" si="17"/>
        <v>264.56</v>
      </c>
      <c r="F85" s="124">
        <f t="shared" si="18"/>
        <v>198.42</v>
      </c>
      <c r="G85" s="125">
        <f t="shared" si="20"/>
        <v>6614</v>
      </c>
      <c r="H85" s="345">
        <f>B85*0.4</f>
        <v>2645.6000000000004</v>
      </c>
      <c r="I85" s="133"/>
      <c r="J85" s="133"/>
      <c r="K85" s="133"/>
      <c r="L85" s="133"/>
      <c r="M85" s="133"/>
      <c r="N85" s="92">
        <v>125093</v>
      </c>
      <c r="O85" s="77">
        <v>131707</v>
      </c>
      <c r="P85" s="105"/>
      <c r="Q85" s="106"/>
      <c r="R85" s="106">
        <v>1</v>
      </c>
      <c r="S85" s="92">
        <f>(O85-N85)*R85</f>
        <v>6614</v>
      </c>
      <c r="T85" s="95">
        <v>9148</v>
      </c>
      <c r="U85" s="710" t="s">
        <v>81</v>
      </c>
      <c r="V85" s="286"/>
      <c r="W85" s="286"/>
      <c r="X85" s="286"/>
      <c r="Y85" s="286"/>
      <c r="Z85" s="286"/>
      <c r="AA85" s="286"/>
      <c r="AB85" s="286"/>
      <c r="AC85" s="286"/>
      <c r="AD85" s="286"/>
    </row>
    <row r="86" spans="1:30" ht="24.75" customHeight="1">
      <c r="A86" s="313" t="s">
        <v>681</v>
      </c>
      <c r="B86" s="302">
        <f>SUM(B75:B85)+B64</f>
        <v>20525.27</v>
      </c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06"/>
      <c r="P86" s="286"/>
      <c r="Q86" s="286"/>
      <c r="R86" s="286"/>
      <c r="S86" s="286"/>
      <c r="T86" s="286"/>
      <c r="U86" s="286"/>
      <c r="V86" s="286"/>
      <c r="W86" s="286"/>
      <c r="X86" s="286"/>
      <c r="Y86" s="286"/>
      <c r="Z86" s="286"/>
      <c r="AA86" s="286"/>
      <c r="AB86" s="286"/>
      <c r="AC86" s="286"/>
      <c r="AD86" s="286"/>
    </row>
    <row r="87" spans="1:30">
      <c r="A87" s="286"/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6"/>
      <c r="P87" s="286"/>
      <c r="Q87" s="286"/>
      <c r="R87" s="286"/>
      <c r="S87" s="286"/>
      <c r="T87" s="286"/>
      <c r="U87" s="286"/>
      <c r="V87" s="286"/>
      <c r="W87" s="286"/>
      <c r="X87" s="286"/>
      <c r="Y87" s="286"/>
      <c r="Z87" s="286"/>
      <c r="AA87" s="286"/>
      <c r="AB87" s="286"/>
      <c r="AC87" s="286"/>
      <c r="AD87" s="286"/>
    </row>
  </sheetData>
  <mergeCells count="12">
    <mergeCell ref="O31:O32"/>
    <mergeCell ref="R31:R32"/>
    <mergeCell ref="S31:S32"/>
    <mergeCell ref="T65:AD65"/>
    <mergeCell ref="B29:N29"/>
    <mergeCell ref="H31:H32"/>
    <mergeCell ref="N31:N32"/>
    <mergeCell ref="A31:A32"/>
    <mergeCell ref="B31:B32"/>
    <mergeCell ref="C31:C32"/>
    <mergeCell ref="D31:F31"/>
    <mergeCell ref="G31:G32"/>
  </mergeCells>
  <pageMargins left="0.51181102362204722" right="0.51181102362204722" top="0.55118110236220474" bottom="0.74803149606299213" header="0.31496062992125984" footer="0.31496062992125984"/>
  <pageSetup paperSize="9" scale="2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747"/>
  <sheetViews>
    <sheetView zoomScale="55" zoomScaleNormal="55" workbookViewId="0">
      <pane xSplit="1" ySplit="6" topLeftCell="B650" activePane="bottomRight" state="frozen"/>
      <selection pane="topRight" activeCell="B1" sqref="B1"/>
      <selection pane="bottomLeft" activeCell="A7" sqref="A7"/>
      <selection pane="bottomRight" activeCell="P666" sqref="P666"/>
    </sheetView>
  </sheetViews>
  <sheetFormatPr defaultRowHeight="15"/>
  <cols>
    <col min="1" max="1" width="0.28515625" style="1" customWidth="1"/>
    <col min="2" max="2" width="70.85546875" style="2" customWidth="1"/>
    <col min="3" max="3" width="22.7109375" style="1" customWidth="1"/>
    <col min="4" max="4" width="22.5703125" style="1" customWidth="1"/>
    <col min="5" max="5" width="18" style="1" customWidth="1"/>
    <col min="6" max="6" width="18.42578125" style="1" customWidth="1"/>
    <col min="7" max="7" width="18" style="1" customWidth="1"/>
    <col min="8" max="8" width="19.85546875" style="1" customWidth="1"/>
    <col min="9" max="9" width="15.85546875" style="1" customWidth="1"/>
    <col min="10" max="10" width="0.28515625" style="1" hidden="1" customWidth="1"/>
    <col min="11" max="11" width="31.140625" style="1" hidden="1" customWidth="1"/>
    <col min="12" max="12" width="29.5703125" style="1" hidden="1" customWidth="1"/>
    <col min="13" max="13" width="29.140625" style="1" hidden="1" customWidth="1"/>
    <col min="14" max="14" width="7.28515625" style="1" hidden="1" customWidth="1"/>
    <col min="15" max="15" width="30.42578125" style="1" customWidth="1"/>
    <col min="16" max="16" width="36.85546875" style="1" customWidth="1"/>
    <col min="17" max="17" width="40.28515625" style="1" hidden="1" customWidth="1"/>
    <col min="18" max="18" width="36.42578125" style="1" hidden="1" customWidth="1"/>
    <col min="19" max="19" width="11.42578125" style="1" customWidth="1"/>
    <col min="20" max="20" width="20.28515625" style="1" customWidth="1"/>
    <col min="21" max="21" width="40.140625" style="3" customWidth="1"/>
    <col min="22" max="22" width="161.42578125" style="4" customWidth="1"/>
    <col min="23" max="23" width="26" style="1" customWidth="1"/>
    <col min="24" max="24" width="16.7109375" style="1" customWidth="1"/>
    <col min="25" max="25" width="15.42578125" style="1" customWidth="1"/>
    <col min="26" max="26" width="10.5703125" style="1" bestFit="1" customWidth="1"/>
    <col min="27" max="16384" width="9.140625" style="1"/>
  </cols>
  <sheetData>
    <row r="1" spans="1:62" ht="25.5" customHeight="1"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810"/>
      <c r="AR1" s="810"/>
      <c r="AS1" s="810"/>
      <c r="AT1" s="810"/>
      <c r="AU1" s="810"/>
      <c r="AV1" s="810"/>
      <c r="AW1" s="810"/>
      <c r="AX1" s="810"/>
      <c r="AY1" s="810"/>
      <c r="AZ1" s="810"/>
      <c r="BA1" s="810"/>
      <c r="BB1" s="810"/>
      <c r="BC1" s="810"/>
      <c r="BD1" s="810"/>
      <c r="BE1" s="810"/>
      <c r="BF1" s="810"/>
      <c r="BG1" s="810"/>
      <c r="BH1" s="810"/>
      <c r="BI1" s="810"/>
      <c r="BJ1" s="810"/>
    </row>
    <row r="2" spans="1:62" ht="25.5">
      <c r="B2" s="5" t="s">
        <v>0</v>
      </c>
    </row>
    <row r="3" spans="1:62" ht="25.5" customHeight="1">
      <c r="A3" s="811" t="s">
        <v>1106</v>
      </c>
      <c r="B3" s="811"/>
      <c r="C3" s="811"/>
      <c r="D3" s="811"/>
      <c r="E3" s="811"/>
      <c r="F3" s="811"/>
      <c r="G3" s="811"/>
      <c r="H3" s="811"/>
      <c r="I3" s="811"/>
      <c r="J3" s="811"/>
      <c r="K3" s="811"/>
      <c r="L3" s="811"/>
      <c r="M3" s="811"/>
      <c r="N3" s="811"/>
      <c r="O3" s="811"/>
      <c r="P3" s="811"/>
      <c r="Q3" s="811"/>
      <c r="R3" s="811"/>
      <c r="S3" s="811"/>
      <c r="T3" s="811"/>
      <c r="U3" s="756"/>
      <c r="V3" s="6"/>
      <c r="W3" s="7"/>
      <c r="X3" s="7"/>
      <c r="Y3" s="7"/>
      <c r="Z3" s="7"/>
      <c r="AA3" s="7"/>
      <c r="AB3" s="7"/>
      <c r="AC3" s="7"/>
    </row>
    <row r="4" spans="1:62" ht="25.5" customHeight="1">
      <c r="A4" s="812"/>
      <c r="B4" s="814" t="s">
        <v>1</v>
      </c>
      <c r="C4" s="816" t="s">
        <v>2</v>
      </c>
      <c r="D4" s="816" t="s">
        <v>3</v>
      </c>
      <c r="E4" s="818" t="s">
        <v>4</v>
      </c>
      <c r="F4" s="819"/>
      <c r="G4" s="820"/>
      <c r="H4" s="816" t="s">
        <v>5</v>
      </c>
      <c r="I4" s="816" t="s">
        <v>6</v>
      </c>
      <c r="J4" s="8"/>
      <c r="K4" s="9"/>
      <c r="L4" s="9"/>
      <c r="M4" s="9"/>
      <c r="N4" s="9"/>
      <c r="O4" s="816" t="s">
        <v>7</v>
      </c>
      <c r="P4" s="816" t="s">
        <v>8</v>
      </c>
      <c r="Q4" s="10"/>
      <c r="R4" s="11"/>
      <c r="S4" s="816" t="s">
        <v>9</v>
      </c>
      <c r="T4" s="816" t="s">
        <v>2</v>
      </c>
      <c r="U4" s="12"/>
      <c r="V4" s="13"/>
      <c r="W4" s="14"/>
      <c r="X4" s="7"/>
      <c r="Y4" s="7"/>
      <c r="Z4" s="7"/>
      <c r="AA4" s="7"/>
      <c r="AB4" s="7"/>
      <c r="AC4" s="7"/>
      <c r="AD4" s="7"/>
    </row>
    <row r="5" spans="1:62" ht="76.5" customHeight="1">
      <c r="A5" s="813"/>
      <c r="B5" s="815"/>
      <c r="C5" s="817"/>
      <c r="D5" s="817"/>
      <c r="E5" s="15" t="s">
        <v>10</v>
      </c>
      <c r="F5" s="15" t="s">
        <v>11</v>
      </c>
      <c r="G5" s="15" t="s">
        <v>12</v>
      </c>
      <c r="H5" s="817"/>
      <c r="I5" s="817"/>
      <c r="J5" s="8"/>
      <c r="K5" s="9"/>
      <c r="L5" s="9"/>
      <c r="M5" s="9"/>
      <c r="N5" s="9"/>
      <c r="O5" s="817"/>
      <c r="P5" s="817"/>
      <c r="Q5" s="10"/>
      <c r="R5" s="16"/>
      <c r="S5" s="817"/>
      <c r="T5" s="817"/>
      <c r="U5" s="17" t="s">
        <v>13</v>
      </c>
      <c r="V5" s="18" t="s">
        <v>14</v>
      </c>
      <c r="W5" s="14"/>
      <c r="X5" s="7"/>
      <c r="Y5" s="7"/>
      <c r="Z5" s="7"/>
      <c r="AA5" s="7"/>
      <c r="AB5" s="7"/>
      <c r="AC5" s="7"/>
    </row>
    <row r="6" spans="1:62" ht="25.5">
      <c r="A6" s="19" t="s">
        <v>15</v>
      </c>
      <c r="B6" s="20">
        <v>2</v>
      </c>
      <c r="C6" s="19">
        <v>3</v>
      </c>
      <c r="D6" s="19">
        <v>4</v>
      </c>
      <c r="E6" s="19">
        <v>5</v>
      </c>
      <c r="F6" s="19">
        <v>6</v>
      </c>
      <c r="G6" s="19">
        <v>7</v>
      </c>
      <c r="H6" s="19">
        <v>8</v>
      </c>
      <c r="I6" s="19">
        <v>9</v>
      </c>
      <c r="J6" s="21"/>
      <c r="K6" s="22"/>
      <c r="L6" s="22"/>
      <c r="M6" s="22"/>
      <c r="N6" s="22"/>
      <c r="O6" s="19">
        <v>10</v>
      </c>
      <c r="P6" s="19">
        <v>11</v>
      </c>
      <c r="Q6" s="7"/>
      <c r="R6" s="23">
        <v>12</v>
      </c>
      <c r="S6" s="19">
        <v>13</v>
      </c>
      <c r="T6" s="19">
        <v>14</v>
      </c>
      <c r="U6" s="24"/>
      <c r="V6" s="25"/>
      <c r="W6" s="14"/>
      <c r="X6" s="7"/>
      <c r="Y6" s="7"/>
      <c r="Z6" s="7"/>
      <c r="AA6" s="7"/>
      <c r="AB6" s="7"/>
      <c r="AC6" s="7"/>
    </row>
    <row r="7" spans="1:62" ht="26.25">
      <c r="A7" s="19"/>
      <c r="B7" s="26" t="s">
        <v>933</v>
      </c>
      <c r="C7" s="19"/>
      <c r="D7" s="758"/>
      <c r="E7" s="19"/>
      <c r="F7" s="19"/>
      <c r="G7" s="19"/>
      <c r="H7" s="19"/>
      <c r="I7" s="19"/>
      <c r="J7" s="21"/>
      <c r="K7" s="22"/>
      <c r="L7" s="22"/>
      <c r="M7" s="22"/>
      <c r="N7" s="22"/>
      <c r="O7" s="19"/>
      <c r="P7" s="19"/>
      <c r="Q7" s="7"/>
      <c r="R7" s="23"/>
      <c r="S7" s="19"/>
      <c r="T7" s="19"/>
      <c r="U7" s="711"/>
      <c r="V7" s="25"/>
      <c r="W7" s="14"/>
      <c r="X7" s="7"/>
      <c r="Y7" s="7"/>
      <c r="Z7" s="7"/>
      <c r="AA7" s="7"/>
      <c r="AB7" s="7"/>
      <c r="AC7" s="7"/>
    </row>
    <row r="8" spans="1:62" ht="25.5">
      <c r="A8" s="19"/>
      <c r="B8" s="148" t="s">
        <v>17</v>
      </c>
      <c r="C8" s="91">
        <f>H8+E8</f>
        <v>3802</v>
      </c>
      <c r="D8" s="91"/>
      <c r="E8" s="91">
        <v>0</v>
      </c>
      <c r="F8" s="91">
        <v>0</v>
      </c>
      <c r="G8" s="91">
        <v>0</v>
      </c>
      <c r="H8" s="91">
        <f>T8+T9</f>
        <v>3802</v>
      </c>
      <c r="I8" s="91">
        <f>0.4*C8</f>
        <v>1520.8000000000002</v>
      </c>
      <c r="J8" s="21"/>
      <c r="K8" s="21"/>
      <c r="L8" s="21"/>
      <c r="M8" s="575"/>
      <c r="N8" s="22"/>
      <c r="O8" s="91">
        <v>607177</v>
      </c>
      <c r="P8" s="91">
        <v>610005</v>
      </c>
      <c r="Q8" s="122"/>
      <c r="R8" s="142"/>
      <c r="S8" s="91">
        <v>1</v>
      </c>
      <c r="T8" s="91">
        <f>(P8-O8)*S8</f>
        <v>2828</v>
      </c>
      <c r="U8" s="644">
        <v>108076</v>
      </c>
      <c r="V8" s="761" t="s">
        <v>18</v>
      </c>
      <c r="W8" s="14" t="s">
        <v>19</v>
      </c>
      <c r="X8" s="7"/>
      <c r="Y8" s="7"/>
      <c r="Z8" s="7"/>
      <c r="AA8" s="7"/>
      <c r="AB8" s="7"/>
      <c r="AC8" s="7"/>
    </row>
    <row r="9" spans="1:62" ht="25.5">
      <c r="A9" s="19"/>
      <c r="B9" s="148"/>
      <c r="C9" s="91"/>
      <c r="D9" s="91"/>
      <c r="E9" s="91"/>
      <c r="F9" s="91"/>
      <c r="G9" s="91"/>
      <c r="H9" s="91"/>
      <c r="I9" s="91"/>
      <c r="J9" s="21"/>
      <c r="K9" s="21"/>
      <c r="L9" s="21"/>
      <c r="M9" s="21"/>
      <c r="N9" s="22"/>
      <c r="O9" s="117">
        <v>277812</v>
      </c>
      <c r="P9" s="117">
        <v>278786</v>
      </c>
      <c r="Q9" s="122"/>
      <c r="R9" s="576"/>
      <c r="S9" s="117">
        <v>1</v>
      </c>
      <c r="T9" s="91">
        <f>(P9-O9)*S9</f>
        <v>974</v>
      </c>
      <c r="U9" s="644">
        <v>108093</v>
      </c>
      <c r="V9" s="761"/>
      <c r="W9" s="14" t="s">
        <v>19</v>
      </c>
      <c r="X9" s="7"/>
      <c r="Y9" s="7"/>
      <c r="Z9" s="7"/>
      <c r="AA9" s="7"/>
      <c r="AB9" s="7"/>
      <c r="AC9" s="7"/>
    </row>
    <row r="10" spans="1:62" ht="25.5">
      <c r="A10" s="19"/>
      <c r="B10" s="148" t="s">
        <v>20</v>
      </c>
      <c r="C10" s="91">
        <f>H10+E10</f>
        <v>4675.5</v>
      </c>
      <c r="D10" s="91"/>
      <c r="E10" s="91">
        <f>F10+G10</f>
        <v>0</v>
      </c>
      <c r="F10" s="91">
        <v>0</v>
      </c>
      <c r="G10" s="91">
        <v>0</v>
      </c>
      <c r="H10" s="91">
        <f>T10+T11</f>
        <v>4675.5</v>
      </c>
      <c r="I10" s="91">
        <f>0.4*C10</f>
        <v>1870.2</v>
      </c>
      <c r="J10" s="21"/>
      <c r="K10" s="21"/>
      <c r="L10" s="21"/>
      <c r="M10" s="21"/>
      <c r="N10" s="22"/>
      <c r="O10" s="117">
        <v>8199.7999999999993</v>
      </c>
      <c r="P10" s="117">
        <v>8411.2999999999993</v>
      </c>
      <c r="Q10" s="122"/>
      <c r="R10" s="173"/>
      <c r="S10" s="117">
        <v>15</v>
      </c>
      <c r="T10" s="91">
        <f>(P10-O10)*S10</f>
        <v>3172.5</v>
      </c>
      <c r="U10" s="644">
        <v>798111</v>
      </c>
      <c r="V10" s="761" t="s">
        <v>21</v>
      </c>
      <c r="W10" s="14" t="s">
        <v>22</v>
      </c>
      <c r="X10" s="7"/>
      <c r="Y10" s="7"/>
      <c r="Z10" s="7"/>
      <c r="AA10" s="7"/>
      <c r="AB10" s="7"/>
      <c r="AC10" s="7"/>
    </row>
    <row r="11" spans="1:62" ht="25.5">
      <c r="A11" s="19"/>
      <c r="B11" s="148" t="s">
        <v>23</v>
      </c>
      <c r="C11" s="91"/>
      <c r="D11" s="91"/>
      <c r="E11" s="91"/>
      <c r="F11" s="91"/>
      <c r="G11" s="91"/>
      <c r="H11" s="91"/>
      <c r="I11" s="91"/>
      <c r="J11" s="21"/>
      <c r="K11" s="21"/>
      <c r="L11" s="21"/>
      <c r="M11" s="21"/>
      <c r="N11" s="22"/>
      <c r="O11" s="117">
        <v>67034</v>
      </c>
      <c r="P11" s="117">
        <v>68537</v>
      </c>
      <c r="Q11" s="122"/>
      <c r="R11" s="173"/>
      <c r="S11" s="117">
        <v>1</v>
      </c>
      <c r="T11" s="91">
        <f>(P11-O11)*S11</f>
        <v>1503</v>
      </c>
      <c r="U11" s="644" t="s">
        <v>1110</v>
      </c>
      <c r="V11" s="761" t="s">
        <v>24</v>
      </c>
      <c r="W11" s="14" t="s">
        <v>22</v>
      </c>
      <c r="X11" s="7"/>
      <c r="Y11" s="7"/>
      <c r="Z11" s="7"/>
      <c r="AA11" s="7"/>
      <c r="AB11" s="7"/>
      <c r="AC11" s="7"/>
    </row>
    <row r="12" spans="1:62" s="42" customFormat="1" ht="25.5">
      <c r="A12" s="32"/>
      <c r="B12" s="314"/>
      <c r="C12" s="315"/>
      <c r="D12" s="315"/>
      <c r="E12" s="315"/>
      <c r="F12" s="315"/>
      <c r="G12" s="315"/>
      <c r="H12" s="315"/>
      <c r="I12" s="315"/>
      <c r="J12" s="577"/>
      <c r="K12" s="578"/>
      <c r="L12" s="578"/>
      <c r="M12" s="316"/>
      <c r="N12" s="316"/>
      <c r="O12" s="315"/>
      <c r="P12" s="315"/>
      <c r="Q12" s="579"/>
      <c r="R12" s="579"/>
      <c r="S12" s="315"/>
      <c r="T12" s="315"/>
      <c r="U12" s="712"/>
      <c r="V12" s="317"/>
      <c r="W12" s="40"/>
      <c r="X12" s="41"/>
      <c r="Y12" s="41"/>
      <c r="Z12" s="41"/>
      <c r="AA12" s="41"/>
      <c r="AB12" s="41"/>
      <c r="AC12" s="41"/>
    </row>
    <row r="13" spans="1:62" s="42" customFormat="1" ht="25.5" customHeight="1">
      <c r="A13" s="32"/>
      <c r="B13" s="314" t="s">
        <v>25</v>
      </c>
      <c r="C13" s="315">
        <f>(C98-C46-C14-C95-C96)</f>
        <v>8187.5199999999131</v>
      </c>
      <c r="D13" s="315"/>
      <c r="E13" s="315"/>
      <c r="F13" s="315"/>
      <c r="G13" s="315"/>
      <c r="H13" s="315"/>
      <c r="I13" s="315"/>
      <c r="J13" s="577"/>
      <c r="K13" s="578"/>
      <c r="L13" s="578"/>
      <c r="M13" s="316"/>
      <c r="N13" s="316"/>
      <c r="O13" s="315"/>
      <c r="P13" s="315"/>
      <c r="Q13" s="579"/>
      <c r="R13" s="579"/>
      <c r="S13" s="315"/>
      <c r="T13" s="315"/>
      <c r="U13" s="713" t="s">
        <v>773</v>
      </c>
      <c r="V13" s="317"/>
      <c r="W13" s="40"/>
      <c r="X13" s="45"/>
      <c r="Y13" s="45"/>
      <c r="Z13" s="45"/>
      <c r="AA13" s="45"/>
      <c r="AB13" s="45"/>
      <c r="AC13" s="41"/>
    </row>
    <row r="14" spans="1:62" ht="25.5">
      <c r="A14" s="19"/>
      <c r="B14" s="580" t="s">
        <v>791</v>
      </c>
      <c r="C14" s="91">
        <f>H14</f>
        <v>6.000000000003638</v>
      </c>
      <c r="D14" s="91"/>
      <c r="E14" s="91">
        <v>0</v>
      </c>
      <c r="F14" s="91">
        <v>0</v>
      </c>
      <c r="G14" s="91">
        <v>0</v>
      </c>
      <c r="H14" s="91">
        <f>T14</f>
        <v>6.000000000003638</v>
      </c>
      <c r="I14" s="91">
        <f>0.4*C14</f>
        <v>2.4000000000014552</v>
      </c>
      <c r="J14" s="98" t="s">
        <v>15</v>
      </c>
      <c r="K14" s="98"/>
      <c r="L14" s="98"/>
      <c r="M14" s="22"/>
      <c r="N14" s="22"/>
      <c r="O14" s="91">
        <v>3918.6</v>
      </c>
      <c r="P14" s="91">
        <v>3918.9</v>
      </c>
      <c r="Q14" s="142" t="s">
        <v>26</v>
      </c>
      <c r="R14" s="142"/>
      <c r="S14" s="91">
        <v>20</v>
      </c>
      <c r="T14" s="91">
        <f>(P14-O14)*S14</f>
        <v>6.000000000003638</v>
      </c>
      <c r="U14" s="644">
        <v>182341</v>
      </c>
      <c r="V14" s="761" t="s">
        <v>27</v>
      </c>
      <c r="W14" s="47" t="s">
        <v>27</v>
      </c>
      <c r="X14" s="48"/>
      <c r="Y14" s="48"/>
      <c r="Z14" s="48"/>
      <c r="AA14" s="48"/>
      <c r="AB14" s="48"/>
      <c r="AC14" s="7"/>
    </row>
    <row r="15" spans="1:62" s="42" customFormat="1" ht="28.5" customHeight="1">
      <c r="A15" s="32"/>
      <c r="B15" s="580" t="s">
        <v>921</v>
      </c>
      <c r="C15" s="315">
        <f t="shared" ref="C15" si="0">H15+E15</f>
        <v>0</v>
      </c>
      <c r="D15" s="315"/>
      <c r="E15" s="315"/>
      <c r="F15" s="315"/>
      <c r="G15" s="315"/>
      <c r="H15" s="315">
        <f>T15</f>
        <v>0</v>
      </c>
      <c r="I15" s="315">
        <f>0.2*C15</f>
        <v>0</v>
      </c>
      <c r="J15" s="578"/>
      <c r="K15" s="578"/>
      <c r="L15" s="578"/>
      <c r="M15" s="316"/>
      <c r="N15" s="316"/>
      <c r="O15" s="315">
        <v>1182</v>
      </c>
      <c r="P15" s="315">
        <v>1182</v>
      </c>
      <c r="Q15" s="318" t="s">
        <v>33</v>
      </c>
      <c r="R15" s="318"/>
      <c r="S15" s="315">
        <v>1</v>
      </c>
      <c r="T15" s="315">
        <f>P15-O15</f>
        <v>0</v>
      </c>
      <c r="U15" s="712">
        <v>1152</v>
      </c>
      <c r="V15" s="580" t="s">
        <v>921</v>
      </c>
      <c r="W15" s="40"/>
      <c r="X15" s="45"/>
      <c r="Y15" s="45"/>
      <c r="Z15" s="45"/>
      <c r="AA15" s="45"/>
      <c r="AB15" s="45"/>
      <c r="AC15" s="41"/>
    </row>
    <row r="16" spans="1:62" ht="33" customHeight="1">
      <c r="A16" s="19"/>
      <c r="B16" s="148" t="s">
        <v>792</v>
      </c>
      <c r="C16" s="91">
        <f>H16</f>
        <v>1152</v>
      </c>
      <c r="D16" s="91"/>
      <c r="E16" s="91">
        <f>F16+G16</f>
        <v>80.64</v>
      </c>
      <c r="F16" s="91">
        <f>0.04*H16</f>
        <v>46.08</v>
      </c>
      <c r="G16" s="91">
        <f>0.03*H16</f>
        <v>34.56</v>
      </c>
      <c r="H16" s="91">
        <f>T16</f>
        <v>1152</v>
      </c>
      <c r="I16" s="91">
        <f>0.6*C16</f>
        <v>691.19999999999993</v>
      </c>
      <c r="J16" s="22"/>
      <c r="K16" s="22"/>
      <c r="L16" s="22"/>
      <c r="M16" s="22"/>
      <c r="N16" s="22"/>
      <c r="O16" s="91">
        <v>54748</v>
      </c>
      <c r="P16" s="91">
        <v>55900</v>
      </c>
      <c r="Q16" s="122"/>
      <c r="R16" s="310"/>
      <c r="S16" s="151">
        <v>1</v>
      </c>
      <c r="T16" s="91">
        <f>(P16-O16)*S16</f>
        <v>1152</v>
      </c>
      <c r="U16" s="644">
        <v>84036</v>
      </c>
      <c r="V16" s="761" t="s">
        <v>30</v>
      </c>
      <c r="W16" s="14" t="s">
        <v>31</v>
      </c>
      <c r="X16" s="48"/>
      <c r="Y16" s="48"/>
      <c r="Z16" s="48"/>
      <c r="AA16" s="48"/>
      <c r="AB16" s="48"/>
      <c r="AC16" s="7"/>
    </row>
    <row r="17" spans="1:29" ht="30" customHeight="1">
      <c r="A17" s="19"/>
      <c r="B17" s="314" t="s">
        <v>32</v>
      </c>
      <c r="C17" s="315">
        <f t="shared" ref="C17:C22" si="1">H17+E17</f>
        <v>0</v>
      </c>
      <c r="D17" s="315"/>
      <c r="E17" s="315"/>
      <c r="F17" s="315"/>
      <c r="G17" s="315"/>
      <c r="H17" s="315">
        <f>T17</f>
        <v>0</v>
      </c>
      <c r="I17" s="315">
        <f>0.2*C17</f>
        <v>0</v>
      </c>
      <c r="J17" s="578"/>
      <c r="K17" s="578"/>
      <c r="L17" s="578"/>
      <c r="M17" s="316"/>
      <c r="N17" s="316"/>
      <c r="O17" s="315">
        <v>626181</v>
      </c>
      <c r="P17" s="315">
        <v>626181</v>
      </c>
      <c r="Q17" s="318" t="s">
        <v>33</v>
      </c>
      <c r="R17" s="318"/>
      <c r="S17" s="315">
        <v>1</v>
      </c>
      <c r="T17" s="315">
        <f>P17-O17</f>
        <v>0</v>
      </c>
      <c r="U17" s="712">
        <v>2648</v>
      </c>
      <c r="V17" s="317" t="s">
        <v>34</v>
      </c>
      <c r="W17" s="14" t="s">
        <v>35</v>
      </c>
      <c r="X17" s="48"/>
      <c r="Y17" s="48"/>
      <c r="Z17" s="48"/>
      <c r="AA17" s="48"/>
      <c r="AB17" s="48"/>
      <c r="AC17" s="7"/>
    </row>
    <row r="18" spans="1:29" ht="28.5" customHeight="1">
      <c r="A18" s="19"/>
      <c r="B18" s="148" t="s">
        <v>36</v>
      </c>
      <c r="C18" s="91">
        <f t="shared" si="1"/>
        <v>595.52000000000135</v>
      </c>
      <c r="D18" s="91"/>
      <c r="E18" s="91">
        <f>F18+G18</f>
        <v>0</v>
      </c>
      <c r="F18" s="91">
        <v>0</v>
      </c>
      <c r="G18" s="91">
        <v>0</v>
      </c>
      <c r="H18" s="91">
        <f>T18</f>
        <v>595.52000000000135</v>
      </c>
      <c r="I18" s="91">
        <f>T20</f>
        <v>0</v>
      </c>
      <c r="J18" s="22"/>
      <c r="K18" s="98"/>
      <c r="L18" s="98"/>
      <c r="M18" s="22"/>
      <c r="N18" s="22"/>
      <c r="O18" s="250">
        <v>930.61149999999998</v>
      </c>
      <c r="P18" s="250">
        <v>945.49950000000001</v>
      </c>
      <c r="Q18" s="142" t="s">
        <v>37</v>
      </c>
      <c r="R18" s="142"/>
      <c r="S18" s="91">
        <v>40</v>
      </c>
      <c r="T18" s="91">
        <f>(P18-O18)*S18</f>
        <v>595.52000000000135</v>
      </c>
      <c r="U18" s="644">
        <v>28377662</v>
      </c>
      <c r="V18" s="761" t="s">
        <v>38</v>
      </c>
      <c r="W18" s="14"/>
      <c r="X18" s="48"/>
      <c r="Y18" s="48"/>
      <c r="Z18" s="48"/>
      <c r="AA18" s="48"/>
      <c r="AB18" s="48"/>
      <c r="AC18" s="7"/>
    </row>
    <row r="19" spans="1:29" ht="28.5" customHeight="1">
      <c r="A19" s="19"/>
      <c r="B19" s="63" t="s">
        <v>36</v>
      </c>
      <c r="C19" s="49">
        <f t="shared" si="1"/>
        <v>0</v>
      </c>
      <c r="D19" s="49"/>
      <c r="E19" s="49">
        <f>F19+G19</f>
        <v>0</v>
      </c>
      <c r="F19" s="49"/>
      <c r="G19" s="49"/>
      <c r="H19" s="49"/>
      <c r="I19" s="49"/>
      <c r="J19" s="51"/>
      <c r="K19" s="50"/>
      <c r="L19" s="50"/>
      <c r="M19" s="51"/>
      <c r="N19" s="51"/>
      <c r="O19" s="49">
        <v>0.95</v>
      </c>
      <c r="P19" s="49">
        <v>0.95</v>
      </c>
      <c r="Q19" s="52"/>
      <c r="R19" s="52"/>
      <c r="S19" s="49">
        <v>40</v>
      </c>
      <c r="T19" s="49">
        <f>(P19-O19)*S19</f>
        <v>0</v>
      </c>
      <c r="U19" s="714">
        <v>28392412</v>
      </c>
      <c r="V19" s="64" t="s">
        <v>39</v>
      </c>
      <c r="W19" s="14"/>
      <c r="X19" s="48"/>
      <c r="Y19" s="48"/>
      <c r="Z19" s="48"/>
      <c r="AA19" s="48"/>
      <c r="AB19" s="48"/>
      <c r="AC19" s="7"/>
    </row>
    <row r="20" spans="1:29" ht="31.5" customHeight="1">
      <c r="A20" s="19"/>
      <c r="B20" s="148" t="s">
        <v>40</v>
      </c>
      <c r="C20" s="91">
        <f t="shared" si="1"/>
        <v>0</v>
      </c>
      <c r="D20" s="91"/>
      <c r="E20" s="91">
        <f>F20+G20</f>
        <v>0</v>
      </c>
      <c r="F20" s="91">
        <f>0.04*H20</f>
        <v>0</v>
      </c>
      <c r="G20" s="91">
        <f>0.03*H20</f>
        <v>0</v>
      </c>
      <c r="H20" s="91">
        <f>T20</f>
        <v>0</v>
      </c>
      <c r="I20" s="91">
        <f>0.6*C20</f>
        <v>0</v>
      </c>
      <c r="J20" s="22"/>
      <c r="K20" s="22"/>
      <c r="L20" s="22"/>
      <c r="M20" s="22"/>
      <c r="N20" s="22"/>
      <c r="O20" s="91">
        <f>13159+2088+1399</f>
        <v>16646</v>
      </c>
      <c r="P20" s="91">
        <f>13159+2088+1399</f>
        <v>16646</v>
      </c>
      <c r="Q20" s="122"/>
      <c r="R20" s="310"/>
      <c r="S20" s="151">
        <v>1</v>
      </c>
      <c r="T20" s="91">
        <f>(P20-O20)*S20</f>
        <v>0</v>
      </c>
      <c r="U20" s="644" t="s">
        <v>41</v>
      </c>
      <c r="V20" s="761" t="s">
        <v>42</v>
      </c>
      <c r="W20" s="14" t="s">
        <v>43</v>
      </c>
      <c r="X20" s="48"/>
      <c r="Y20" s="48"/>
      <c r="Z20" s="48"/>
      <c r="AA20" s="48"/>
      <c r="AB20" s="48"/>
      <c r="AC20" s="7"/>
    </row>
    <row r="21" spans="1:29" ht="31.5" customHeight="1">
      <c r="A21" s="19"/>
      <c r="B21" s="148" t="s">
        <v>44</v>
      </c>
      <c r="C21" s="91">
        <f t="shared" si="1"/>
        <v>2470</v>
      </c>
      <c r="D21" s="91"/>
      <c r="E21" s="91">
        <v>0</v>
      </c>
      <c r="F21" s="91">
        <v>0</v>
      </c>
      <c r="G21" s="91">
        <v>0</v>
      </c>
      <c r="H21" s="91">
        <f>T21</f>
        <v>2470</v>
      </c>
      <c r="I21" s="91">
        <f t="shared" ref="I21:I28" si="2">0.4*C21</f>
        <v>988</v>
      </c>
      <c r="J21" s="22"/>
      <c r="K21" s="98"/>
      <c r="L21" s="98"/>
      <c r="M21" s="22"/>
      <c r="N21" s="22"/>
      <c r="O21" s="91">
        <v>5106.5</v>
      </c>
      <c r="P21" s="91">
        <v>5230</v>
      </c>
      <c r="Q21" s="161"/>
      <c r="R21" s="161"/>
      <c r="S21" s="91">
        <v>20</v>
      </c>
      <c r="T21" s="91">
        <f>(P21-O21)*S21</f>
        <v>2470</v>
      </c>
      <c r="U21" s="644">
        <v>88154</v>
      </c>
      <c r="V21" s="761" t="s">
        <v>45</v>
      </c>
      <c r="W21" s="14" t="s">
        <v>31</v>
      </c>
      <c r="X21" s="48"/>
      <c r="Y21" s="48"/>
      <c r="Z21" s="48"/>
      <c r="AA21" s="48"/>
      <c r="AB21" s="48"/>
      <c r="AC21" s="7"/>
    </row>
    <row r="22" spans="1:29" s="42" customFormat="1" ht="24" customHeight="1">
      <c r="A22" s="32"/>
      <c r="B22" s="104" t="s">
        <v>46</v>
      </c>
      <c r="C22" s="91">
        <f t="shared" si="1"/>
        <v>164.78</v>
      </c>
      <c r="D22" s="91"/>
      <c r="E22" s="91">
        <f>F22+G22</f>
        <v>10.780000000000001</v>
      </c>
      <c r="F22" s="91">
        <f>0.04*H22</f>
        <v>6.16</v>
      </c>
      <c r="G22" s="91">
        <f>0.03*H22</f>
        <v>4.62</v>
      </c>
      <c r="H22" s="91">
        <f>T22</f>
        <v>154</v>
      </c>
      <c r="I22" s="91">
        <f>0.6*C22</f>
        <v>98.867999999999995</v>
      </c>
      <c r="J22" s="22"/>
      <c r="K22" s="22"/>
      <c r="L22" s="22"/>
      <c r="M22" s="22"/>
      <c r="N22" s="22"/>
      <c r="O22" s="91">
        <v>26968</v>
      </c>
      <c r="P22" s="91">
        <v>27122</v>
      </c>
      <c r="Q22" s="122"/>
      <c r="R22" s="310"/>
      <c r="S22" s="151">
        <v>1</v>
      </c>
      <c r="T22" s="91">
        <f>(P22-O22)*S22</f>
        <v>154</v>
      </c>
      <c r="U22" s="644">
        <v>7862</v>
      </c>
      <c r="V22" s="761" t="s">
        <v>47</v>
      </c>
      <c r="W22" s="40" t="s">
        <v>48</v>
      </c>
      <c r="X22" s="45"/>
      <c r="Y22" s="45"/>
      <c r="Z22" s="45"/>
      <c r="AA22" s="45"/>
      <c r="AB22" s="45"/>
      <c r="AC22" s="41"/>
    </row>
    <row r="23" spans="1:29" s="42" customFormat="1" ht="24.75" customHeight="1">
      <c r="A23" s="32"/>
      <c r="B23" s="314"/>
      <c r="C23" s="581"/>
      <c r="D23" s="315"/>
      <c r="E23" s="315"/>
      <c r="F23" s="315"/>
      <c r="G23" s="315"/>
      <c r="H23" s="315"/>
      <c r="I23" s="581"/>
      <c r="J23" s="578"/>
      <c r="K23" s="578"/>
      <c r="L23" s="578"/>
      <c r="M23" s="316"/>
      <c r="N23" s="316"/>
      <c r="O23" s="315"/>
      <c r="P23" s="315"/>
      <c r="Q23" s="582"/>
      <c r="R23" s="582"/>
      <c r="S23" s="315"/>
      <c r="T23" s="315"/>
      <c r="U23" s="712"/>
      <c r="V23" s="317" t="s">
        <v>15</v>
      </c>
      <c r="W23" s="40"/>
      <c r="X23" s="41"/>
      <c r="Y23" s="41"/>
      <c r="Z23" s="41"/>
      <c r="AA23" s="41"/>
      <c r="AB23" s="41"/>
      <c r="AC23" s="41"/>
    </row>
    <row r="24" spans="1:29" s="42" customFormat="1" ht="26.25" customHeight="1">
      <c r="A24" s="32"/>
      <c r="B24" s="314"/>
      <c r="C24" s="581"/>
      <c r="D24" s="315"/>
      <c r="E24" s="315"/>
      <c r="F24" s="315"/>
      <c r="G24" s="315"/>
      <c r="H24" s="315"/>
      <c r="I24" s="581"/>
      <c r="J24" s="578"/>
      <c r="K24" s="578"/>
      <c r="L24" s="578"/>
      <c r="M24" s="316"/>
      <c r="N24" s="316"/>
      <c r="O24" s="315"/>
      <c r="P24" s="315"/>
      <c r="Q24" s="582"/>
      <c r="R24" s="582"/>
      <c r="S24" s="315"/>
      <c r="T24" s="315"/>
      <c r="U24" s="712"/>
      <c r="V24" s="317"/>
      <c r="W24" s="40"/>
      <c r="X24" s="41"/>
      <c r="Y24" s="41"/>
      <c r="Z24" s="41"/>
      <c r="AA24" s="41"/>
      <c r="AB24" s="41"/>
      <c r="AC24" s="41"/>
    </row>
    <row r="25" spans="1:29" ht="51">
      <c r="A25" s="19"/>
      <c r="B25" s="148" t="s">
        <v>49</v>
      </c>
      <c r="C25" s="91">
        <f t="shared" ref="C25:C30" si="3">H25+E25</f>
        <v>33029.999999999563</v>
      </c>
      <c r="D25" s="91"/>
      <c r="E25" s="91">
        <v>0</v>
      </c>
      <c r="F25" s="91">
        <v>0</v>
      </c>
      <c r="G25" s="91">
        <v>0</v>
      </c>
      <c r="H25" s="91">
        <f>T25</f>
        <v>33029.999999999563</v>
      </c>
      <c r="I25" s="91">
        <f t="shared" si="2"/>
        <v>13211.999999999825</v>
      </c>
      <c r="J25" s="98"/>
      <c r="K25" s="98"/>
      <c r="L25" s="98"/>
      <c r="M25" s="22"/>
      <c r="N25" s="22"/>
      <c r="O25" s="91">
        <v>47621.3</v>
      </c>
      <c r="P25" s="91">
        <v>47731.4</v>
      </c>
      <c r="Q25" s="142" t="s">
        <v>50</v>
      </c>
      <c r="R25" s="142"/>
      <c r="S25" s="91">
        <v>300</v>
      </c>
      <c r="T25" s="91">
        <f>(P25-O25)*S25</f>
        <v>33029.999999999563</v>
      </c>
      <c r="U25" s="644" t="s">
        <v>51</v>
      </c>
      <c r="V25" s="761" t="s">
        <v>52</v>
      </c>
      <c r="W25" s="14" t="s">
        <v>53</v>
      </c>
      <c r="X25" s="7"/>
      <c r="Y25" s="7"/>
      <c r="Z25" s="7"/>
      <c r="AA25" s="7"/>
      <c r="AB25" s="7"/>
      <c r="AC25" s="7"/>
    </row>
    <row r="26" spans="1:29" s="42" customFormat="1" ht="24" customHeight="1">
      <c r="A26" s="32"/>
      <c r="B26" s="314"/>
      <c r="C26" s="315"/>
      <c r="D26" s="315"/>
      <c r="E26" s="315"/>
      <c r="F26" s="315"/>
      <c r="G26" s="315"/>
      <c r="H26" s="315"/>
      <c r="I26" s="315"/>
      <c r="J26" s="578"/>
      <c r="K26" s="578"/>
      <c r="L26" s="578"/>
      <c r="M26" s="316"/>
      <c r="N26" s="316"/>
      <c r="O26" s="584"/>
      <c r="P26" s="584"/>
      <c r="Q26" s="344"/>
      <c r="R26" s="579"/>
      <c r="S26" s="584"/>
      <c r="T26" s="584"/>
      <c r="U26" s="712"/>
      <c r="V26" s="317"/>
      <c r="W26" s="40"/>
      <c r="X26" s="41"/>
      <c r="Y26" s="41"/>
      <c r="Z26" s="41"/>
      <c r="AA26" s="41"/>
      <c r="AB26" s="41"/>
      <c r="AC26" s="41"/>
    </row>
    <row r="27" spans="1:29" s="68" customFormat="1" ht="55.5" customHeight="1">
      <c r="A27" s="65"/>
      <c r="B27" s="314" t="s">
        <v>54</v>
      </c>
      <c r="C27" s="91">
        <f t="shared" si="3"/>
        <v>18432.000000000044</v>
      </c>
      <c r="D27" s="91"/>
      <c r="E27" s="91">
        <v>0</v>
      </c>
      <c r="F27" s="91">
        <v>0</v>
      </c>
      <c r="G27" s="91">
        <v>0</v>
      </c>
      <c r="H27" s="91">
        <f t="shared" ref="H27:H32" si="4">T27</f>
        <v>18432.000000000044</v>
      </c>
      <c r="I27" s="91">
        <f t="shared" si="2"/>
        <v>7372.8000000000175</v>
      </c>
      <c r="J27" s="98"/>
      <c r="K27" s="98"/>
      <c r="L27" s="98"/>
      <c r="M27" s="22"/>
      <c r="N27" s="22"/>
      <c r="O27" s="91">
        <v>3447.7</v>
      </c>
      <c r="P27" s="91">
        <v>3601.3</v>
      </c>
      <c r="Q27" s="122"/>
      <c r="R27" s="585"/>
      <c r="S27" s="91">
        <v>120</v>
      </c>
      <c r="T27" s="91">
        <f>(P27-O27)*S27</f>
        <v>18432.000000000044</v>
      </c>
      <c r="U27" s="715">
        <v>470</v>
      </c>
      <c r="V27" s="761" t="s">
        <v>52</v>
      </c>
      <c r="W27" s="66" t="s">
        <v>48</v>
      </c>
      <c r="X27" s="67"/>
      <c r="Y27" s="67"/>
      <c r="Z27" s="67"/>
      <c r="AA27" s="67"/>
      <c r="AB27" s="67"/>
      <c r="AC27" s="67"/>
    </row>
    <row r="28" spans="1:29" ht="50.25" customHeight="1">
      <c r="A28" s="19"/>
      <c r="B28" s="580" t="s">
        <v>55</v>
      </c>
      <c r="C28" s="91">
        <f t="shared" si="3"/>
        <v>527.99999999973807</v>
      </c>
      <c r="D28" s="91"/>
      <c r="E28" s="91">
        <v>0</v>
      </c>
      <c r="F28" s="91">
        <v>0</v>
      </c>
      <c r="G28" s="91">
        <v>0</v>
      </c>
      <c r="H28" s="91">
        <f t="shared" si="4"/>
        <v>527.99999999973807</v>
      </c>
      <c r="I28" s="91">
        <f t="shared" si="2"/>
        <v>211.19999999989523</v>
      </c>
      <c r="J28" s="98"/>
      <c r="K28" s="98"/>
      <c r="L28" s="98"/>
      <c r="M28" s="22"/>
      <c r="N28" s="22"/>
      <c r="O28" s="91">
        <v>15190.5</v>
      </c>
      <c r="P28" s="91">
        <v>15337.8</v>
      </c>
      <c r="Q28" s="122"/>
      <c r="R28" s="585"/>
      <c r="S28" s="91">
        <v>300</v>
      </c>
      <c r="T28" s="91">
        <f>(P28-O28)*S28-T32-T27</f>
        <v>527.99999999973807</v>
      </c>
      <c r="U28" s="644" t="s">
        <v>56</v>
      </c>
      <c r="V28" s="761" t="s">
        <v>52</v>
      </c>
      <c r="W28" s="14" t="s">
        <v>57</v>
      </c>
      <c r="X28" s="7"/>
      <c r="Y28" s="7"/>
      <c r="Z28" s="7"/>
      <c r="AA28" s="7"/>
      <c r="AB28" s="7"/>
      <c r="AC28" s="7"/>
    </row>
    <row r="29" spans="1:29" s="42" customFormat="1" ht="24" customHeight="1">
      <c r="A29" s="32"/>
      <c r="B29" s="523" t="s">
        <v>58</v>
      </c>
      <c r="C29" s="524">
        <f t="shared" si="3"/>
        <v>0</v>
      </c>
      <c r="D29" s="524"/>
      <c r="E29" s="524">
        <v>0</v>
      </c>
      <c r="F29" s="524">
        <v>0</v>
      </c>
      <c r="G29" s="524">
        <v>0</v>
      </c>
      <c r="H29" s="524">
        <f t="shared" si="4"/>
        <v>0</v>
      </c>
      <c r="I29" s="524">
        <f>0.4*C29</f>
        <v>0</v>
      </c>
      <c r="J29" s="525"/>
      <c r="K29" s="525"/>
      <c r="L29" s="525"/>
      <c r="M29" s="526"/>
      <c r="N29" s="526"/>
      <c r="O29" s="524">
        <v>2357</v>
      </c>
      <c r="P29" s="524">
        <v>2357</v>
      </c>
      <c r="Q29" s="527"/>
      <c r="R29" s="528"/>
      <c r="S29" s="524">
        <v>300</v>
      </c>
      <c r="T29" s="524">
        <f t="shared" ref="T29:T35" si="5">(P29-O29)*S29</f>
        <v>0</v>
      </c>
      <c r="U29" s="716" t="s">
        <v>59</v>
      </c>
      <c r="V29" s="530" t="s">
        <v>52</v>
      </c>
      <c r="W29" s="40"/>
      <c r="X29" s="41"/>
      <c r="Y29" s="41"/>
      <c r="Z29" s="41"/>
      <c r="AA29" s="41"/>
      <c r="AB29" s="41"/>
      <c r="AC29" s="41"/>
    </row>
    <row r="30" spans="1:29" ht="30" customHeight="1">
      <c r="A30" s="19"/>
      <c r="B30" s="148" t="s">
        <v>793</v>
      </c>
      <c r="C30" s="91">
        <f t="shared" si="3"/>
        <v>26095.117200000022</v>
      </c>
      <c r="D30" s="91"/>
      <c r="E30" s="91">
        <f>F30+G30</f>
        <v>1707.1572000000015</v>
      </c>
      <c r="F30" s="91">
        <f>0.04*H30</f>
        <v>975.51840000000084</v>
      </c>
      <c r="G30" s="91">
        <f>0.03*H30</f>
        <v>731.63880000000063</v>
      </c>
      <c r="H30" s="91">
        <f t="shared" si="4"/>
        <v>24387.960000000021</v>
      </c>
      <c r="I30" s="91">
        <f>T31</f>
        <v>88160</v>
      </c>
      <c r="J30" s="98"/>
      <c r="K30" s="98"/>
      <c r="L30" s="98"/>
      <c r="M30" s="22"/>
      <c r="N30" s="22"/>
      <c r="O30" s="91">
        <v>41966.54</v>
      </c>
      <c r="P30" s="91">
        <v>42373.006000000001</v>
      </c>
      <c r="Q30" s="122"/>
      <c r="R30" s="200"/>
      <c r="S30" s="91">
        <v>60</v>
      </c>
      <c r="T30" s="91">
        <f t="shared" si="5"/>
        <v>24387.960000000021</v>
      </c>
      <c r="U30" s="644" t="s">
        <v>60</v>
      </c>
      <c r="V30" s="761" t="s">
        <v>61</v>
      </c>
      <c r="W30" s="14" t="s">
        <v>57</v>
      </c>
      <c r="X30" s="7"/>
      <c r="Y30" s="7"/>
      <c r="Z30" s="7"/>
      <c r="AA30" s="7"/>
      <c r="AB30" s="7"/>
      <c r="AC30" s="7"/>
    </row>
    <row r="31" spans="1:29" ht="25.5">
      <c r="A31" s="19"/>
      <c r="B31" s="148" t="s">
        <v>62</v>
      </c>
      <c r="C31" s="91">
        <f>T31</f>
        <v>88160</v>
      </c>
      <c r="D31" s="91"/>
      <c r="E31" s="91">
        <f>F31+G31</f>
        <v>6171.2</v>
      </c>
      <c r="F31" s="91">
        <f>0.04*H31</f>
        <v>3526.4</v>
      </c>
      <c r="G31" s="91">
        <f>0.03*H31</f>
        <v>2644.7999999999997</v>
      </c>
      <c r="H31" s="91">
        <f t="shared" si="4"/>
        <v>88160</v>
      </c>
      <c r="I31" s="91">
        <f>0.6*C31</f>
        <v>52896</v>
      </c>
      <c r="J31" s="22"/>
      <c r="K31" s="22"/>
      <c r="L31" s="22"/>
      <c r="M31" s="22"/>
      <c r="N31" s="22"/>
      <c r="O31" s="91">
        <v>9495</v>
      </c>
      <c r="P31" s="91">
        <v>10046</v>
      </c>
      <c r="Q31" s="122"/>
      <c r="R31" s="310"/>
      <c r="S31" s="151">
        <v>160</v>
      </c>
      <c r="T31" s="91">
        <f t="shared" si="5"/>
        <v>88160</v>
      </c>
      <c r="U31" s="644">
        <v>4435</v>
      </c>
      <c r="V31" s="761" t="s">
        <v>63</v>
      </c>
      <c r="W31" s="14" t="s">
        <v>53</v>
      </c>
      <c r="X31" s="7"/>
      <c r="Y31" s="7"/>
      <c r="Z31" s="7"/>
      <c r="AA31" s="7"/>
      <c r="AB31" s="7"/>
      <c r="AC31" s="7"/>
    </row>
    <row r="32" spans="1:29" ht="51" customHeight="1">
      <c r="A32" s="19"/>
      <c r="B32" s="587" t="s">
        <v>954</v>
      </c>
      <c r="C32" s="91">
        <f>H32+E32</f>
        <v>26996.1</v>
      </c>
      <c r="D32" s="91"/>
      <c r="E32" s="91">
        <f>F32+G32</f>
        <v>1766.1</v>
      </c>
      <c r="F32" s="91">
        <f>0.04*H32</f>
        <v>1009.2</v>
      </c>
      <c r="G32" s="91">
        <f>0.03*H32</f>
        <v>756.9</v>
      </c>
      <c r="H32" s="91">
        <f t="shared" si="4"/>
        <v>25230</v>
      </c>
      <c r="I32" s="115">
        <f>T34</f>
        <v>1851</v>
      </c>
      <c r="J32" s="98"/>
      <c r="K32" s="98"/>
      <c r="L32" s="98"/>
      <c r="M32" s="22"/>
      <c r="N32" s="22"/>
      <c r="O32" s="91">
        <v>1186.5999999999999</v>
      </c>
      <c r="P32" s="91">
        <v>1607.1</v>
      </c>
      <c r="Q32" s="122"/>
      <c r="R32" s="200"/>
      <c r="S32" s="91">
        <v>60</v>
      </c>
      <c r="T32" s="91">
        <f t="shared" si="5"/>
        <v>25230</v>
      </c>
      <c r="U32" s="644" t="s">
        <v>1109</v>
      </c>
      <c r="V32" s="761" t="s">
        <v>795</v>
      </c>
      <c r="W32" s="73" t="s">
        <v>57</v>
      </c>
      <c r="X32" s="74"/>
      <c r="Y32" s="74"/>
      <c r="Z32" s="74"/>
      <c r="AA32" s="75"/>
      <c r="AB32" s="7"/>
      <c r="AC32" s="7"/>
    </row>
    <row r="33" spans="1:29" ht="26.25">
      <c r="A33" s="19"/>
      <c r="B33" s="363"/>
      <c r="C33" s="28"/>
      <c r="D33" s="28"/>
      <c r="E33" s="28"/>
      <c r="F33" s="28"/>
      <c r="G33" s="28"/>
      <c r="H33" s="28"/>
      <c r="I33" s="72"/>
      <c r="J33" s="46"/>
      <c r="K33" s="46"/>
      <c r="L33" s="46"/>
      <c r="M33" s="29"/>
      <c r="N33" s="29"/>
      <c r="O33" s="28"/>
      <c r="P33" s="28"/>
      <c r="Q33" s="30"/>
      <c r="R33" s="71"/>
      <c r="S33" s="28"/>
      <c r="T33" s="28"/>
      <c r="U33" s="455"/>
      <c r="V33" s="760"/>
      <c r="W33" s="14" t="s">
        <v>48</v>
      </c>
      <c r="X33" s="7"/>
      <c r="Y33" s="7"/>
      <c r="Z33" s="7"/>
      <c r="AA33" s="7"/>
      <c r="AB33" s="7"/>
      <c r="AC33" s="7"/>
    </row>
    <row r="34" spans="1:29" s="42" customFormat="1" ht="31.5" customHeight="1">
      <c r="A34" s="32"/>
      <c r="B34" s="104" t="s">
        <v>64</v>
      </c>
      <c r="C34" s="91">
        <f>H34+E34</f>
        <v>1980.57</v>
      </c>
      <c r="D34" s="91"/>
      <c r="E34" s="91">
        <f>F34+G34</f>
        <v>129.57</v>
      </c>
      <c r="F34" s="91">
        <f>0.04*H34</f>
        <v>74.040000000000006</v>
      </c>
      <c r="G34" s="91">
        <f>0.03*H34</f>
        <v>55.53</v>
      </c>
      <c r="H34" s="91">
        <f>T34</f>
        <v>1851</v>
      </c>
      <c r="I34" s="91">
        <f>0.6*C34</f>
        <v>1188.3419999999999</v>
      </c>
      <c r="J34" s="22"/>
      <c r="K34" s="22"/>
      <c r="L34" s="22"/>
      <c r="M34" s="22"/>
      <c r="N34" s="22"/>
      <c r="O34" s="91">
        <v>31051</v>
      </c>
      <c r="P34" s="91">
        <v>32902</v>
      </c>
      <c r="Q34" s="122"/>
      <c r="R34" s="310"/>
      <c r="S34" s="151">
        <v>1</v>
      </c>
      <c r="T34" s="91">
        <f t="shared" si="5"/>
        <v>1851</v>
      </c>
      <c r="U34" s="644" t="s">
        <v>1107</v>
      </c>
      <c r="V34" s="761" t="s">
        <v>65</v>
      </c>
      <c r="W34" s="40"/>
      <c r="X34" s="41"/>
      <c r="Y34" s="41"/>
      <c r="Z34" s="41"/>
      <c r="AA34" s="41"/>
      <c r="AB34" s="41"/>
      <c r="AC34" s="41"/>
    </row>
    <row r="35" spans="1:29" s="68" customFormat="1" ht="31.5" customHeight="1">
      <c r="A35" s="65"/>
      <c r="B35" s="314" t="s">
        <v>682</v>
      </c>
      <c r="C35" s="91">
        <f t="shared" ref="C35:C40" si="6">H35+E35</f>
        <v>864</v>
      </c>
      <c r="D35" s="91"/>
      <c r="E35" s="91">
        <v>0</v>
      </c>
      <c r="F35" s="91">
        <v>0</v>
      </c>
      <c r="G35" s="91">
        <v>0</v>
      </c>
      <c r="H35" s="91">
        <f>T35</f>
        <v>864</v>
      </c>
      <c r="I35" s="91">
        <f t="shared" ref="I35:I43" si="7">0.4*C35</f>
        <v>345.6</v>
      </c>
      <c r="J35" s="98"/>
      <c r="K35" s="98"/>
      <c r="L35" s="98"/>
      <c r="M35" s="22"/>
      <c r="N35" s="22"/>
      <c r="O35" s="91">
        <v>6002</v>
      </c>
      <c r="P35" s="91">
        <v>6866</v>
      </c>
      <c r="Q35" s="122"/>
      <c r="R35" s="585"/>
      <c r="S35" s="91">
        <v>1</v>
      </c>
      <c r="T35" s="91">
        <f t="shared" si="5"/>
        <v>864</v>
      </c>
      <c r="U35" s="712" t="s">
        <v>1108</v>
      </c>
      <c r="V35" s="317" t="s">
        <v>683</v>
      </c>
      <c r="W35" s="66"/>
      <c r="X35" s="67"/>
      <c r="Y35" s="67"/>
      <c r="Z35" s="67"/>
      <c r="AA35" s="67"/>
      <c r="AB35" s="67"/>
      <c r="AC35" s="67"/>
    </row>
    <row r="36" spans="1:29" ht="30" customHeight="1">
      <c r="A36" s="19"/>
      <c r="B36" s="148" t="s">
        <v>66</v>
      </c>
      <c r="C36" s="91">
        <f t="shared" si="6"/>
        <v>12863</v>
      </c>
      <c r="D36" s="91"/>
      <c r="E36" s="91">
        <v>0</v>
      </c>
      <c r="F36" s="91">
        <v>0</v>
      </c>
      <c r="G36" s="91">
        <v>0</v>
      </c>
      <c r="H36" s="91">
        <f>T36</f>
        <v>12863</v>
      </c>
      <c r="I36" s="91">
        <f t="shared" si="7"/>
        <v>5145.2000000000007</v>
      </c>
      <c r="J36" s="98"/>
      <c r="K36" s="98"/>
      <c r="L36" s="98"/>
      <c r="M36" s="22"/>
      <c r="N36" s="22"/>
      <c r="O36" s="91">
        <v>29453</v>
      </c>
      <c r="P36" s="91">
        <v>29630</v>
      </c>
      <c r="Q36" s="122"/>
      <c r="R36" s="173"/>
      <c r="S36" s="91">
        <v>80</v>
      </c>
      <c r="T36" s="91">
        <f>(P36-O36)*S36-T35-T271-T272-T270-T279-T280-T282-T284</f>
        <v>12863</v>
      </c>
      <c r="U36" s="644">
        <v>81596396</v>
      </c>
      <c r="V36" s="761" t="s">
        <v>61</v>
      </c>
      <c r="W36" s="14" t="s">
        <v>57</v>
      </c>
      <c r="X36" s="7"/>
      <c r="Y36" s="7"/>
      <c r="Z36" s="7"/>
      <c r="AA36" s="7"/>
      <c r="AB36" s="7"/>
      <c r="AC36" s="7"/>
    </row>
    <row r="37" spans="1:29" ht="30" customHeight="1">
      <c r="A37" s="19"/>
      <c r="B37" s="148" t="s">
        <v>67</v>
      </c>
      <c r="C37" s="91">
        <f t="shared" si="6"/>
        <v>232.19</v>
      </c>
      <c r="D37" s="91"/>
      <c r="E37" s="91">
        <f>F37+G37</f>
        <v>15.19</v>
      </c>
      <c r="F37" s="91">
        <f>0.04*H37</f>
        <v>8.68</v>
      </c>
      <c r="G37" s="91">
        <f>0.03*H37</f>
        <v>6.51</v>
      </c>
      <c r="H37" s="91">
        <f>T37</f>
        <v>217</v>
      </c>
      <c r="I37" s="91">
        <f>0.6*C37</f>
        <v>139.31399999999999</v>
      </c>
      <c r="J37" s="22"/>
      <c r="K37" s="22"/>
      <c r="L37" s="22"/>
      <c r="M37" s="22"/>
      <c r="N37" s="22"/>
      <c r="O37" s="91">
        <v>79143</v>
      </c>
      <c r="P37" s="91">
        <v>79360</v>
      </c>
      <c r="Q37" s="122"/>
      <c r="R37" s="310"/>
      <c r="S37" s="151">
        <v>1</v>
      </c>
      <c r="T37" s="91">
        <f>(P37-O37)*S37</f>
        <v>217</v>
      </c>
      <c r="U37" s="644">
        <v>15737.0376</v>
      </c>
      <c r="V37" s="761" t="s">
        <v>68</v>
      </c>
      <c r="W37" s="14" t="s">
        <v>57</v>
      </c>
      <c r="X37" s="7"/>
      <c r="Y37" s="7"/>
      <c r="Z37" s="7"/>
      <c r="AA37" s="7"/>
      <c r="AB37" s="7"/>
      <c r="AC37" s="7"/>
    </row>
    <row r="38" spans="1:29" ht="28.5" customHeight="1">
      <c r="A38" s="19"/>
      <c r="B38" s="148"/>
      <c r="C38" s="91"/>
      <c r="D38" s="91"/>
      <c r="E38" s="91"/>
      <c r="F38" s="91"/>
      <c r="G38" s="91"/>
      <c r="H38" s="91"/>
      <c r="I38" s="91"/>
      <c r="J38" s="98"/>
      <c r="K38" s="98"/>
      <c r="L38" s="98"/>
      <c r="M38" s="22"/>
      <c r="N38" s="22"/>
      <c r="O38" s="250"/>
      <c r="P38" s="250"/>
      <c r="Q38" s="122"/>
      <c r="R38" s="142"/>
      <c r="S38" s="91"/>
      <c r="T38" s="91"/>
      <c r="U38" s="644"/>
      <c r="V38" s="759"/>
      <c r="W38" s="14" t="s">
        <v>48</v>
      </c>
      <c r="X38" s="7"/>
      <c r="Y38" s="7"/>
      <c r="Z38" s="7"/>
      <c r="AA38" s="7"/>
      <c r="AB38" s="7"/>
      <c r="AC38" s="7"/>
    </row>
    <row r="39" spans="1:29" ht="60" customHeight="1">
      <c r="A39" s="19"/>
      <c r="B39" s="148" t="s">
        <v>69</v>
      </c>
      <c r="C39" s="91">
        <f t="shared" si="6"/>
        <v>3819.9000000000933</v>
      </c>
      <c r="D39" s="91"/>
      <c r="E39" s="91">
        <f>F39+G39</f>
        <v>249.90000000000612</v>
      </c>
      <c r="F39" s="91">
        <f>0.04*H39</f>
        <v>142.80000000000351</v>
      </c>
      <c r="G39" s="92">
        <f>0.03*H39</f>
        <v>107.10000000000261</v>
      </c>
      <c r="H39" s="91">
        <f>T39-H214-H216-H215-H213-H188-H169-H232-H233</f>
        <v>3570.0000000000873</v>
      </c>
      <c r="I39" s="91">
        <f t="shared" si="7"/>
        <v>1527.9600000000373</v>
      </c>
      <c r="J39" s="98"/>
      <c r="K39" s="98"/>
      <c r="L39" s="98"/>
      <c r="M39" s="22"/>
      <c r="N39" s="22"/>
      <c r="O39" s="589">
        <v>16254.3</v>
      </c>
      <c r="P39" s="589">
        <v>16449.400000000001</v>
      </c>
      <c r="Q39" s="122"/>
      <c r="R39" s="142"/>
      <c r="S39" s="91">
        <v>40</v>
      </c>
      <c r="T39" s="91">
        <f>(P39-O39)*S39</f>
        <v>7804.0000000000873</v>
      </c>
      <c r="U39" s="644">
        <v>81596438</v>
      </c>
      <c r="V39" s="761" t="s">
        <v>796</v>
      </c>
      <c r="W39" s="14" t="s">
        <v>48</v>
      </c>
      <c r="X39" s="7"/>
      <c r="Y39" s="7"/>
      <c r="Z39" s="7"/>
      <c r="AA39" s="7"/>
      <c r="AB39" s="7"/>
      <c r="AC39" s="7"/>
    </row>
    <row r="40" spans="1:29" ht="30" customHeight="1">
      <c r="A40" s="19"/>
      <c r="B40" s="148" t="s">
        <v>70</v>
      </c>
      <c r="C40" s="91">
        <f t="shared" si="6"/>
        <v>2811.9599999999377</v>
      </c>
      <c r="D40" s="91"/>
      <c r="E40" s="91">
        <f>F40+G40</f>
        <v>183.95999999999594</v>
      </c>
      <c r="F40" s="91">
        <f>0.04*H40</f>
        <v>105.11999999999767</v>
      </c>
      <c r="G40" s="92">
        <f>0.03*H40</f>
        <v>78.839999999998255</v>
      </c>
      <c r="H40" s="91">
        <f>T40-T232</f>
        <v>2627.9999999999418</v>
      </c>
      <c r="I40" s="91">
        <f t="shared" si="7"/>
        <v>1124.7839999999751</v>
      </c>
      <c r="J40" s="98"/>
      <c r="K40" s="98"/>
      <c r="L40" s="98"/>
      <c r="M40" s="22"/>
      <c r="N40" s="22"/>
      <c r="O40" s="91">
        <v>35131</v>
      </c>
      <c r="P40" s="91">
        <v>35224.6</v>
      </c>
      <c r="Q40" s="122"/>
      <c r="R40" s="142"/>
      <c r="S40" s="91">
        <v>40</v>
      </c>
      <c r="T40" s="91">
        <f>(P40-O40)*S40</f>
        <v>3743.9999999999418</v>
      </c>
      <c r="U40" s="644">
        <v>218822</v>
      </c>
      <c r="V40" s="761" t="s">
        <v>797</v>
      </c>
      <c r="W40" s="78" t="s">
        <v>48</v>
      </c>
      <c r="X40" s="7"/>
      <c r="Y40" s="7"/>
      <c r="Z40" s="7"/>
      <c r="AA40" s="7"/>
      <c r="AB40" s="7"/>
      <c r="AC40" s="7"/>
    </row>
    <row r="41" spans="1:29" ht="51" customHeight="1">
      <c r="A41" s="19"/>
      <c r="B41" s="128" t="s">
        <v>775</v>
      </c>
      <c r="C41" s="124">
        <f>H41</f>
        <v>926</v>
      </c>
      <c r="D41" s="125"/>
      <c r="E41" s="124">
        <f>F41+G41</f>
        <v>64.819999999999993</v>
      </c>
      <c r="F41" s="124">
        <f>0.04*H41</f>
        <v>37.04</v>
      </c>
      <c r="G41" s="124">
        <f>0.03*H41</f>
        <v>27.779999999999998</v>
      </c>
      <c r="H41" s="125">
        <f t="shared" ref="H41:H49" si="8">T41</f>
        <v>926</v>
      </c>
      <c r="I41" s="345">
        <f>C41*0.4</f>
        <v>370.40000000000003</v>
      </c>
      <c r="J41" s="133"/>
      <c r="K41" s="133"/>
      <c r="L41" s="133"/>
      <c r="M41" s="133"/>
      <c r="N41" s="133"/>
      <c r="O41" s="125">
        <v>23633</v>
      </c>
      <c r="P41" s="125">
        <v>24559</v>
      </c>
      <c r="Q41" s="546"/>
      <c r="R41" s="547"/>
      <c r="S41" s="547">
        <v>1</v>
      </c>
      <c r="T41" s="125">
        <f t="shared" ref="T41:T47" si="9">(P41-O41)*S41</f>
        <v>926</v>
      </c>
      <c r="U41" s="717">
        <v>2406</v>
      </c>
      <c r="V41" s="128" t="s">
        <v>776</v>
      </c>
      <c r="W41" s="14"/>
      <c r="X41" s="7"/>
      <c r="Y41" s="7"/>
      <c r="Z41" s="7"/>
      <c r="AA41" s="7"/>
      <c r="AB41" s="7"/>
      <c r="AC41" s="7"/>
    </row>
    <row r="42" spans="1:29" ht="24.75" customHeight="1">
      <c r="A42" s="19"/>
      <c r="B42" s="312" t="s">
        <v>71</v>
      </c>
      <c r="C42" s="91">
        <f>H42</f>
        <v>2618</v>
      </c>
      <c r="D42" s="92"/>
      <c r="E42" s="91">
        <f>F42+G42</f>
        <v>183.26</v>
      </c>
      <c r="F42" s="91">
        <f>0.04*H42</f>
        <v>104.72</v>
      </c>
      <c r="G42" s="91">
        <f>0.03*H42</f>
        <v>78.539999999999992</v>
      </c>
      <c r="H42" s="92">
        <f t="shared" si="8"/>
        <v>2618</v>
      </c>
      <c r="I42" s="589">
        <f>C42*0.4</f>
        <v>1047.2</v>
      </c>
      <c r="J42" s="98"/>
      <c r="K42" s="98"/>
      <c r="L42" s="98"/>
      <c r="M42" s="98"/>
      <c r="N42" s="98"/>
      <c r="O42" s="92">
        <v>43255</v>
      </c>
      <c r="P42" s="92">
        <v>45873</v>
      </c>
      <c r="Q42" s="105"/>
      <c r="R42" s="106"/>
      <c r="S42" s="106">
        <v>1</v>
      </c>
      <c r="T42" s="92">
        <f t="shared" si="9"/>
        <v>2618</v>
      </c>
      <c r="U42" s="644">
        <v>6249</v>
      </c>
      <c r="V42" s="761" t="s">
        <v>72</v>
      </c>
      <c r="W42" s="14" t="s">
        <v>48</v>
      </c>
      <c r="X42" s="7"/>
      <c r="Y42" s="7"/>
      <c r="Z42" s="7"/>
      <c r="AA42" s="7"/>
      <c r="AB42" s="7"/>
      <c r="AC42" s="7"/>
    </row>
    <row r="43" spans="1:29" ht="33" customHeight="1">
      <c r="A43" s="19"/>
      <c r="B43" s="148" t="s">
        <v>73</v>
      </c>
      <c r="C43" s="91">
        <f>H43</f>
        <v>320</v>
      </c>
      <c r="D43" s="91"/>
      <c r="E43" s="91"/>
      <c r="F43" s="91"/>
      <c r="G43" s="92">
        <v>0</v>
      </c>
      <c r="H43" s="91">
        <f t="shared" si="8"/>
        <v>320</v>
      </c>
      <c r="I43" s="91">
        <f t="shared" si="7"/>
        <v>128</v>
      </c>
      <c r="J43" s="91">
        <f>0.55*D43</f>
        <v>0</v>
      </c>
      <c r="K43" s="91">
        <f>0.55*E43</f>
        <v>0</v>
      </c>
      <c r="L43" s="91">
        <f>0.55*F43</f>
        <v>0</v>
      </c>
      <c r="M43" s="91">
        <f>0.55*G43</f>
        <v>0</v>
      </c>
      <c r="N43" s="91">
        <f>0.55*H43</f>
        <v>176</v>
      </c>
      <c r="O43" s="91">
        <v>47319</v>
      </c>
      <c r="P43" s="91">
        <v>47639</v>
      </c>
      <c r="Q43" s="122"/>
      <c r="R43" s="173"/>
      <c r="S43" s="91">
        <v>1</v>
      </c>
      <c r="T43" s="91">
        <f t="shared" si="9"/>
        <v>320</v>
      </c>
      <c r="U43" s="644" t="s">
        <v>74</v>
      </c>
      <c r="V43" s="761" t="s">
        <v>75</v>
      </c>
      <c r="W43" s="47" t="s">
        <v>57</v>
      </c>
      <c r="X43" s="7"/>
      <c r="Y43" s="7"/>
      <c r="Z43" s="7"/>
      <c r="AA43" s="7"/>
      <c r="AB43" s="7"/>
      <c r="AC43" s="7"/>
    </row>
    <row r="44" spans="1:29" ht="27.75" customHeight="1">
      <c r="A44" s="19"/>
      <c r="B44" s="90" t="s">
        <v>76</v>
      </c>
      <c r="C44" s="115">
        <f>H44+E44</f>
        <v>22295.375999999924</v>
      </c>
      <c r="D44" s="115"/>
      <c r="E44" s="115">
        <f>F44+G44</f>
        <v>1458.575999999995</v>
      </c>
      <c r="F44" s="115">
        <f>0.04*H44</f>
        <v>833.47199999999725</v>
      </c>
      <c r="G44" s="115">
        <f>0.03*H44</f>
        <v>625.10399999999788</v>
      </c>
      <c r="H44" s="115">
        <f t="shared" si="8"/>
        <v>20836.79999999993</v>
      </c>
      <c r="I44" s="115">
        <f>T492</f>
        <v>0</v>
      </c>
      <c r="J44" s="164"/>
      <c r="K44" s="164"/>
      <c r="L44" s="164"/>
      <c r="M44" s="164"/>
      <c r="N44" s="164"/>
      <c r="O44" s="91">
        <v>40561.324000000001</v>
      </c>
      <c r="P44" s="91">
        <v>40734.964</v>
      </c>
      <c r="Q44" s="22" t="s">
        <v>33</v>
      </c>
      <c r="R44" s="142"/>
      <c r="S44" s="151">
        <v>120</v>
      </c>
      <c r="T44" s="91">
        <f t="shared" si="9"/>
        <v>20836.79999999993</v>
      </c>
      <c r="U44" s="644">
        <v>42000</v>
      </c>
      <c r="V44" s="761" t="s">
        <v>77</v>
      </c>
      <c r="W44" s="82" t="s">
        <v>57</v>
      </c>
      <c r="X44" s="7"/>
      <c r="Y44" s="7"/>
      <c r="Z44" s="7"/>
      <c r="AA44" s="7"/>
      <c r="AB44" s="7"/>
      <c r="AC44" s="7"/>
    </row>
    <row r="45" spans="1:29" ht="27.75" customHeight="1">
      <c r="A45" s="19"/>
      <c r="B45" s="158" t="s">
        <v>78</v>
      </c>
      <c r="C45" s="124">
        <f>H45</f>
        <v>956</v>
      </c>
      <c r="D45" s="124"/>
      <c r="E45" s="124"/>
      <c r="F45" s="124"/>
      <c r="G45" s="125">
        <v>0</v>
      </c>
      <c r="H45" s="124">
        <f t="shared" si="8"/>
        <v>956</v>
      </c>
      <c r="I45" s="124">
        <f>0.4*C45</f>
        <v>382.40000000000003</v>
      </c>
      <c r="J45" s="124">
        <f>0.55*D45</f>
        <v>0</v>
      </c>
      <c r="K45" s="124">
        <f>0.55*E45</f>
        <v>0</v>
      </c>
      <c r="L45" s="124">
        <f>0.55*F45</f>
        <v>0</v>
      </c>
      <c r="M45" s="124">
        <f>0.55*G45</f>
        <v>0</v>
      </c>
      <c r="N45" s="124">
        <f>0.55*H45</f>
        <v>525.80000000000007</v>
      </c>
      <c r="O45" s="124">
        <v>291422</v>
      </c>
      <c r="P45" s="124">
        <v>292378</v>
      </c>
      <c r="Q45" s="7"/>
      <c r="R45" s="94"/>
      <c r="S45" s="124">
        <v>1</v>
      </c>
      <c r="T45" s="124">
        <f>(P45-O45)*S45</f>
        <v>956</v>
      </c>
      <c r="U45" s="717">
        <v>15695</v>
      </c>
      <c r="V45" s="128" t="s">
        <v>844</v>
      </c>
      <c r="W45" s="47" t="s">
        <v>48</v>
      </c>
      <c r="X45" s="7"/>
      <c r="Y45" s="7"/>
      <c r="Z45" s="7"/>
      <c r="AA45" s="7"/>
      <c r="AB45" s="7"/>
      <c r="AC45" s="7"/>
    </row>
    <row r="46" spans="1:29" ht="26.25" customHeight="1">
      <c r="A46" s="19"/>
      <c r="B46" s="590" t="s">
        <v>79</v>
      </c>
      <c r="C46" s="91">
        <f>H46</f>
        <v>50</v>
      </c>
      <c r="D46" s="92"/>
      <c r="E46" s="91">
        <f>F46+G46</f>
        <v>3.5</v>
      </c>
      <c r="F46" s="91">
        <f>0.04*H46</f>
        <v>2</v>
      </c>
      <c r="G46" s="91">
        <f>0.03*H46</f>
        <v>1.5</v>
      </c>
      <c r="H46" s="92">
        <f t="shared" si="8"/>
        <v>50</v>
      </c>
      <c r="I46" s="589">
        <f>C46*0.4</f>
        <v>20</v>
      </c>
      <c r="J46" s="98"/>
      <c r="K46" s="98"/>
      <c r="L46" s="98"/>
      <c r="M46" s="98"/>
      <c r="N46" s="98"/>
      <c r="O46" s="92">
        <v>2589</v>
      </c>
      <c r="P46" s="92">
        <v>2639</v>
      </c>
      <c r="Q46" s="105"/>
      <c r="R46" s="106"/>
      <c r="S46" s="106">
        <v>1</v>
      </c>
      <c r="T46" s="92">
        <f t="shared" si="9"/>
        <v>50</v>
      </c>
      <c r="U46" s="644">
        <v>364814</v>
      </c>
      <c r="V46" s="761" t="s">
        <v>27</v>
      </c>
      <c r="W46" s="47" t="s">
        <v>27</v>
      </c>
      <c r="X46" s="7"/>
      <c r="Y46" s="7"/>
      <c r="Z46" s="7"/>
      <c r="AA46" s="7"/>
      <c r="AB46" s="7"/>
      <c r="AC46" s="7"/>
    </row>
    <row r="47" spans="1:29" ht="27.75" customHeight="1">
      <c r="A47" s="19"/>
      <c r="B47" s="312" t="s">
        <v>80</v>
      </c>
      <c r="C47" s="91">
        <f>H47</f>
        <v>7568</v>
      </c>
      <c r="D47" s="92"/>
      <c r="E47" s="91">
        <f>F47+G47</f>
        <v>529.76</v>
      </c>
      <c r="F47" s="91">
        <f>0.04*H47</f>
        <v>302.72000000000003</v>
      </c>
      <c r="G47" s="91">
        <f>0.03*H47</f>
        <v>227.04</v>
      </c>
      <c r="H47" s="92">
        <f t="shared" si="8"/>
        <v>7568</v>
      </c>
      <c r="I47" s="589">
        <f>C47*0.4</f>
        <v>3027.2000000000003</v>
      </c>
      <c r="J47" s="98"/>
      <c r="K47" s="98"/>
      <c r="L47" s="98"/>
      <c r="M47" s="98"/>
      <c r="N47" s="98"/>
      <c r="O47" s="92">
        <v>131707</v>
      </c>
      <c r="P47" s="92">
        <v>139275</v>
      </c>
      <c r="Q47" s="105"/>
      <c r="R47" s="106"/>
      <c r="S47" s="106">
        <v>1</v>
      </c>
      <c r="T47" s="92">
        <f t="shared" si="9"/>
        <v>7568</v>
      </c>
      <c r="U47" s="644">
        <v>9148</v>
      </c>
      <c r="V47" s="761" t="s">
        <v>81</v>
      </c>
      <c r="W47" s="47" t="s">
        <v>82</v>
      </c>
      <c r="X47" s="7"/>
      <c r="Y47" s="7"/>
      <c r="Z47" s="7"/>
      <c r="AA47" s="7"/>
      <c r="AB47" s="7"/>
      <c r="AC47" s="7"/>
    </row>
    <row r="48" spans="1:29" ht="27.75" customHeight="1">
      <c r="A48" s="19"/>
      <c r="B48" s="314" t="s">
        <v>882</v>
      </c>
      <c r="C48" s="91">
        <f t="shared" ref="C48" si="10">H48+E48</f>
        <v>9091</v>
      </c>
      <c r="D48" s="91"/>
      <c r="E48" s="91">
        <v>0</v>
      </c>
      <c r="F48" s="91">
        <v>0</v>
      </c>
      <c r="G48" s="91">
        <v>0</v>
      </c>
      <c r="H48" s="91">
        <f>T48</f>
        <v>9091</v>
      </c>
      <c r="I48" s="91">
        <f t="shared" ref="I48" si="11">0.4*C48</f>
        <v>3636.4</v>
      </c>
      <c r="J48" s="98"/>
      <c r="K48" s="98"/>
      <c r="L48" s="98"/>
      <c r="M48" s="22"/>
      <c r="N48" s="22"/>
      <c r="O48" s="91">
        <v>120512</v>
      </c>
      <c r="P48" s="91">
        <v>129603</v>
      </c>
      <c r="Q48" s="122"/>
      <c r="R48" s="585"/>
      <c r="S48" s="91">
        <v>1</v>
      </c>
      <c r="T48" s="91">
        <f>(P48-O48)*S48</f>
        <v>9091</v>
      </c>
      <c r="U48" s="712">
        <v>5732</v>
      </c>
      <c r="V48" s="317" t="s">
        <v>685</v>
      </c>
      <c r="W48" s="47"/>
      <c r="X48" s="7"/>
      <c r="Y48" s="7"/>
      <c r="Z48" s="7"/>
      <c r="AA48" s="7"/>
      <c r="AB48" s="7"/>
      <c r="AC48" s="7"/>
    </row>
    <row r="49" spans="1:29" ht="38.25" customHeight="1">
      <c r="A49" s="19"/>
      <c r="B49" s="312" t="s">
        <v>83</v>
      </c>
      <c r="C49" s="91">
        <f>H49</f>
        <v>2954</v>
      </c>
      <c r="D49" s="92"/>
      <c r="E49" s="91">
        <f>F49+G49</f>
        <v>206.77999999999997</v>
      </c>
      <c r="F49" s="91">
        <f>0.04*H49</f>
        <v>118.16</v>
      </c>
      <c r="G49" s="91">
        <f>0.03*H49</f>
        <v>88.61999999999999</v>
      </c>
      <c r="H49" s="92">
        <f t="shared" si="8"/>
        <v>2954</v>
      </c>
      <c r="I49" s="589">
        <f>C49*0.4</f>
        <v>1181.6000000000001</v>
      </c>
      <c r="J49" s="98"/>
      <c r="K49" s="98"/>
      <c r="L49" s="98"/>
      <c r="M49" s="98"/>
      <c r="N49" s="98"/>
      <c r="O49" s="92">
        <v>78839</v>
      </c>
      <c r="P49" s="92">
        <v>83059</v>
      </c>
      <c r="Q49" s="105"/>
      <c r="R49" s="106"/>
      <c r="S49" s="106">
        <v>1</v>
      </c>
      <c r="T49" s="92">
        <f>(P49-O49)*S49-T225-T223-T227-T226-T228</f>
        <v>2954</v>
      </c>
      <c r="U49" s="644">
        <v>6252</v>
      </c>
      <c r="V49" s="761" t="s">
        <v>72</v>
      </c>
      <c r="W49" s="47" t="s">
        <v>48</v>
      </c>
      <c r="X49" s="7"/>
      <c r="Y49" s="7"/>
      <c r="Z49" s="7"/>
      <c r="AA49" s="7"/>
      <c r="AB49" s="7"/>
      <c r="AC49" s="7"/>
    </row>
    <row r="50" spans="1:29" ht="33" hidden="1" customHeight="1">
      <c r="A50" s="19"/>
      <c r="B50" s="90"/>
      <c r="C50" s="91"/>
      <c r="D50" s="91"/>
      <c r="E50" s="91"/>
      <c r="F50" s="91"/>
      <c r="G50" s="92"/>
      <c r="H50" s="91"/>
      <c r="I50" s="91"/>
      <c r="J50" s="93"/>
      <c r="K50" s="93"/>
      <c r="L50" s="93"/>
      <c r="M50" s="93"/>
      <c r="N50" s="93"/>
      <c r="O50" s="91"/>
      <c r="P50" s="91"/>
      <c r="Q50" s="7"/>
      <c r="R50" s="94"/>
      <c r="S50" s="91"/>
      <c r="T50" s="91"/>
      <c r="U50" s="644"/>
      <c r="V50" s="759"/>
      <c r="W50" s="47"/>
      <c r="X50" s="7"/>
      <c r="Y50" s="7"/>
      <c r="Z50" s="7"/>
      <c r="AA50" s="7"/>
      <c r="AB50" s="7"/>
      <c r="AC50" s="7"/>
    </row>
    <row r="51" spans="1:29" ht="33" hidden="1" customHeight="1">
      <c r="A51" s="19"/>
      <c r="B51" s="90"/>
      <c r="C51" s="91"/>
      <c r="D51" s="91"/>
      <c r="E51" s="91"/>
      <c r="F51" s="91"/>
      <c r="G51" s="92"/>
      <c r="H51" s="91"/>
      <c r="I51" s="91"/>
      <c r="J51" s="93"/>
      <c r="K51" s="93"/>
      <c r="L51" s="93"/>
      <c r="M51" s="93"/>
      <c r="N51" s="93"/>
      <c r="O51" s="91"/>
      <c r="P51" s="91"/>
      <c r="Q51" s="7"/>
      <c r="R51" s="94"/>
      <c r="S51" s="91"/>
      <c r="T51" s="91"/>
      <c r="U51" s="644"/>
      <c r="V51" s="759"/>
      <c r="W51" s="47"/>
      <c r="X51" s="7"/>
      <c r="Y51" s="7"/>
      <c r="Z51" s="7"/>
      <c r="AA51" s="7"/>
      <c r="AB51" s="7"/>
      <c r="AC51" s="7"/>
    </row>
    <row r="52" spans="1:29" ht="33" hidden="1" customHeight="1">
      <c r="A52" s="19"/>
      <c r="B52" s="90"/>
      <c r="C52" s="91"/>
      <c r="D52" s="91"/>
      <c r="E52" s="91"/>
      <c r="F52" s="91"/>
      <c r="G52" s="92"/>
      <c r="H52" s="91"/>
      <c r="I52" s="91"/>
      <c r="J52" s="93"/>
      <c r="K52" s="93"/>
      <c r="L52" s="93"/>
      <c r="M52" s="93"/>
      <c r="N52" s="93"/>
      <c r="O52" s="91"/>
      <c r="P52" s="91"/>
      <c r="Q52" s="7"/>
      <c r="R52" s="94"/>
      <c r="S52" s="91"/>
      <c r="T52" s="91"/>
      <c r="U52" s="644"/>
      <c r="V52" s="759"/>
      <c r="W52" s="47"/>
      <c r="X52" s="7"/>
      <c r="Y52" s="7"/>
      <c r="Z52" s="7"/>
      <c r="AA52" s="7"/>
      <c r="AB52" s="7"/>
      <c r="AC52" s="7"/>
    </row>
    <row r="53" spans="1:29" ht="61.5" customHeight="1">
      <c r="A53" s="19"/>
      <c r="B53" s="652" t="s">
        <v>84</v>
      </c>
      <c r="C53" s="206">
        <f>H53+E53</f>
        <v>10139.320000000062</v>
      </c>
      <c r="D53" s="206"/>
      <c r="E53" s="206">
        <f>F53+G53</f>
        <v>663.32000000000403</v>
      </c>
      <c r="F53" s="206">
        <f>0.04*H53</f>
        <v>379.04000000000235</v>
      </c>
      <c r="G53" s="206">
        <f>0.03*H53</f>
        <v>284.28000000000173</v>
      </c>
      <c r="H53" s="206">
        <f>T53</f>
        <v>9476.0000000000582</v>
      </c>
      <c r="I53" s="206">
        <f>0.6*C53</f>
        <v>6083.5920000000369</v>
      </c>
      <c r="J53" s="290"/>
      <c r="K53" s="290"/>
      <c r="L53" s="290"/>
      <c r="M53" s="290"/>
      <c r="N53" s="290"/>
      <c r="O53" s="206">
        <v>28484</v>
      </c>
      <c r="P53" s="206">
        <v>28720.9</v>
      </c>
      <c r="Q53" s="203"/>
      <c r="R53" s="205"/>
      <c r="S53" s="291">
        <v>40</v>
      </c>
      <c r="T53" s="206">
        <f>(P53-O53)*S53</f>
        <v>9476.0000000000582</v>
      </c>
      <c r="U53" s="644" t="s">
        <v>1111</v>
      </c>
      <c r="V53" s="761" t="s">
        <v>85</v>
      </c>
      <c r="W53" s="47" t="s">
        <v>82</v>
      </c>
      <c r="X53" s="7"/>
      <c r="Y53" s="7"/>
      <c r="Z53" s="7"/>
      <c r="AA53" s="7"/>
      <c r="AB53" s="7"/>
      <c r="AC53" s="7"/>
    </row>
    <row r="54" spans="1:29" ht="30.75" customHeight="1">
      <c r="A54" s="19"/>
      <c r="B54" s="96" t="s">
        <v>86</v>
      </c>
      <c r="C54" s="97">
        <f>SUM(C8:C53)-C15</f>
        <v>293783.85319999931</v>
      </c>
      <c r="D54" s="91"/>
      <c r="E54" s="91"/>
      <c r="F54" s="91"/>
      <c r="G54" s="92"/>
      <c r="H54" s="91"/>
      <c r="I54" s="91"/>
      <c r="J54" s="93"/>
      <c r="K54" s="93"/>
      <c r="L54" s="93"/>
      <c r="M54" s="93"/>
      <c r="N54" s="93"/>
      <c r="O54" s="91"/>
      <c r="P54" s="91"/>
      <c r="Q54" s="7"/>
      <c r="R54" s="94"/>
      <c r="S54" s="91"/>
      <c r="T54" s="91"/>
      <c r="U54" s="644"/>
      <c r="V54" s="759"/>
      <c r="W54" s="47"/>
      <c r="X54" s="7"/>
      <c r="Y54" s="7"/>
      <c r="Z54" s="7"/>
      <c r="AA54" s="7"/>
      <c r="AB54" s="7"/>
      <c r="AC54" s="7"/>
    </row>
    <row r="55" spans="1:29" ht="26.25">
      <c r="A55" s="19"/>
      <c r="B55" s="26" t="s">
        <v>87</v>
      </c>
      <c r="C55" s="91"/>
      <c r="D55" s="91"/>
      <c r="E55" s="91"/>
      <c r="F55" s="91"/>
      <c r="G55" s="92"/>
      <c r="H55" s="91"/>
      <c r="I55" s="91"/>
      <c r="J55" s="98"/>
      <c r="K55" s="98"/>
      <c r="L55" s="98"/>
      <c r="M55" s="22"/>
      <c r="N55" s="22"/>
      <c r="O55" s="91"/>
      <c r="P55" s="91"/>
      <c r="Q55" s="7"/>
      <c r="R55" s="94"/>
      <c r="S55" s="91"/>
      <c r="T55" s="91"/>
      <c r="U55" s="644"/>
      <c r="V55" s="759"/>
      <c r="W55" s="47"/>
      <c r="X55" s="7"/>
      <c r="Y55" s="7"/>
      <c r="Z55" s="7"/>
      <c r="AA55" s="7"/>
      <c r="AB55" s="7"/>
      <c r="AC55" s="7"/>
    </row>
    <row r="56" spans="1:29" s="42" customFormat="1" ht="25.5">
      <c r="A56" s="99"/>
      <c r="B56" s="430"/>
      <c r="C56" s="34"/>
      <c r="D56" s="370"/>
      <c r="E56" s="34"/>
      <c r="F56" s="34"/>
      <c r="G56" s="34"/>
      <c r="H56" s="370"/>
      <c r="I56" s="431"/>
      <c r="J56" s="432"/>
      <c r="K56" s="432"/>
      <c r="L56" s="432"/>
      <c r="M56" s="432"/>
      <c r="N56" s="432"/>
      <c r="O56" s="370"/>
      <c r="P56" s="370"/>
      <c r="Q56" s="370"/>
      <c r="R56" s="370"/>
      <c r="S56" s="370"/>
      <c r="T56" s="34"/>
      <c r="U56" s="718"/>
      <c r="V56" s="39"/>
      <c r="W56" s="100"/>
      <c r="X56" s="41"/>
      <c r="Y56" s="41"/>
      <c r="Z56" s="41"/>
      <c r="AA56" s="41"/>
      <c r="AB56" s="41"/>
      <c r="AC56" s="41"/>
    </row>
    <row r="57" spans="1:29" ht="25.5">
      <c r="A57" s="101"/>
      <c r="B57" s="104" t="s">
        <v>88</v>
      </c>
      <c r="C57" s="91">
        <f>H57</f>
        <v>3150</v>
      </c>
      <c r="D57" s="92"/>
      <c r="E57" s="91">
        <f>F57+G57</f>
        <v>220.5</v>
      </c>
      <c r="F57" s="91">
        <f>0.04*H57</f>
        <v>126</v>
      </c>
      <c r="G57" s="91">
        <f>0.03*H57</f>
        <v>94.5</v>
      </c>
      <c r="H57" s="92">
        <f t="shared" ref="H57:H62" si="12">T57</f>
        <v>3150</v>
      </c>
      <c r="I57" s="589">
        <f>C57*0.4</f>
        <v>1260</v>
      </c>
      <c r="J57" s="98"/>
      <c r="K57" s="98"/>
      <c r="L57" s="98"/>
      <c r="M57" s="98"/>
      <c r="N57" s="98"/>
      <c r="O57" s="92">
        <v>390764</v>
      </c>
      <c r="P57" s="92">
        <v>393914</v>
      </c>
      <c r="Q57" s="105"/>
      <c r="R57" s="106"/>
      <c r="S57" s="106">
        <v>1</v>
      </c>
      <c r="T57" s="92">
        <f>(P57-O57)*S57</f>
        <v>3150</v>
      </c>
      <c r="U57" s="644">
        <v>4786</v>
      </c>
      <c r="V57" s="107" t="s">
        <v>89</v>
      </c>
      <c r="W57" s="47" t="s">
        <v>90</v>
      </c>
      <c r="X57" s="7"/>
      <c r="Y57" s="7"/>
      <c r="Z57" s="7"/>
      <c r="AA57" s="7"/>
      <c r="AB57" s="7"/>
      <c r="AC57" s="7"/>
    </row>
    <row r="58" spans="1:29" ht="25.5">
      <c r="A58" s="101"/>
      <c r="B58" s="104" t="s">
        <v>711</v>
      </c>
      <c r="C58" s="91">
        <f>H58</f>
        <v>14827.319999999774</v>
      </c>
      <c r="D58" s="92"/>
      <c r="E58" s="91"/>
      <c r="F58" s="91"/>
      <c r="G58" s="91"/>
      <c r="H58" s="92">
        <f t="shared" si="12"/>
        <v>14827.319999999774</v>
      </c>
      <c r="I58" s="92">
        <f>T59</f>
        <v>1465</v>
      </c>
      <c r="J58" s="98"/>
      <c r="K58" s="98"/>
      <c r="L58" s="98"/>
      <c r="M58" s="98"/>
      <c r="N58" s="98"/>
      <c r="O58" s="92">
        <v>21794.899000000001</v>
      </c>
      <c r="P58" s="92">
        <v>22133.777999999998</v>
      </c>
      <c r="Q58" s="105"/>
      <c r="R58" s="106"/>
      <c r="S58" s="106">
        <v>80</v>
      </c>
      <c r="T58" s="92">
        <f>(P58-O58)*S58-T624</f>
        <v>14827.319999999774</v>
      </c>
      <c r="U58" s="644" t="s">
        <v>91</v>
      </c>
      <c r="V58" s="107" t="s">
        <v>92</v>
      </c>
      <c r="W58" s="47" t="s">
        <v>90</v>
      </c>
      <c r="X58" s="7"/>
      <c r="Y58" s="7"/>
      <c r="Z58" s="7"/>
      <c r="AA58" s="7"/>
      <c r="AB58" s="7"/>
      <c r="AC58" s="7"/>
    </row>
    <row r="59" spans="1:29" ht="25.5">
      <c r="A59" s="101"/>
      <c r="B59" s="104" t="s">
        <v>93</v>
      </c>
      <c r="C59" s="91">
        <f>H59</f>
        <v>1465</v>
      </c>
      <c r="D59" s="92"/>
      <c r="E59" s="91">
        <f>F59+G59</f>
        <v>102.55</v>
      </c>
      <c r="F59" s="91">
        <f>0.04*H59</f>
        <v>58.6</v>
      </c>
      <c r="G59" s="91">
        <f>0.03*H59</f>
        <v>43.949999999999996</v>
      </c>
      <c r="H59" s="92">
        <f t="shared" si="12"/>
        <v>1465</v>
      </c>
      <c r="I59" s="589">
        <f>C59*0.4</f>
        <v>586</v>
      </c>
      <c r="J59" s="98"/>
      <c r="K59" s="98"/>
      <c r="L59" s="98"/>
      <c r="M59" s="98"/>
      <c r="N59" s="98"/>
      <c r="O59" s="92">
        <v>15573</v>
      </c>
      <c r="P59" s="92">
        <v>17038</v>
      </c>
      <c r="Q59" s="105"/>
      <c r="R59" s="106"/>
      <c r="S59" s="106">
        <v>1</v>
      </c>
      <c r="T59" s="92">
        <f>(P59-O59)*S59</f>
        <v>1465</v>
      </c>
      <c r="U59" s="644">
        <v>6221</v>
      </c>
      <c r="V59" s="107" t="s">
        <v>94</v>
      </c>
      <c r="W59" s="47" t="s">
        <v>43</v>
      </c>
      <c r="X59" s="7"/>
      <c r="Y59" s="7"/>
      <c r="Z59" s="7"/>
      <c r="AA59" s="7"/>
      <c r="AB59" s="7"/>
      <c r="AC59" s="7"/>
    </row>
    <row r="60" spans="1:29" ht="76.5">
      <c r="A60" s="101"/>
      <c r="B60" s="148" t="s">
        <v>756</v>
      </c>
      <c r="C60" s="91">
        <f>T60</f>
        <v>4129.2000000000371</v>
      </c>
      <c r="D60" s="92"/>
      <c r="E60" s="91"/>
      <c r="F60" s="91"/>
      <c r="G60" s="91"/>
      <c r="H60" s="92">
        <f t="shared" si="12"/>
        <v>4129.2000000000371</v>
      </c>
      <c r="I60" s="92">
        <f>T61</f>
        <v>11869.999999999985</v>
      </c>
      <c r="J60" s="98"/>
      <c r="K60" s="98"/>
      <c r="L60" s="98"/>
      <c r="M60" s="98"/>
      <c r="N60" s="98"/>
      <c r="O60" s="92">
        <v>5852.65</v>
      </c>
      <c r="P60" s="92">
        <v>5921.47</v>
      </c>
      <c r="Q60" s="105"/>
      <c r="R60" s="106"/>
      <c r="S60" s="106">
        <v>60</v>
      </c>
      <c r="T60" s="92">
        <f>(P60-O60)*S60</f>
        <v>4129.2000000000371</v>
      </c>
      <c r="U60" s="644" t="s">
        <v>95</v>
      </c>
      <c r="V60" s="107" t="s">
        <v>96</v>
      </c>
      <c r="W60" s="103" t="s">
        <v>90</v>
      </c>
      <c r="X60" s="7"/>
      <c r="Y60" s="7"/>
      <c r="Z60" s="7"/>
      <c r="AA60" s="7"/>
      <c r="AB60" s="7"/>
      <c r="AC60" s="7"/>
    </row>
    <row r="61" spans="1:29" ht="52.5" customHeight="1">
      <c r="A61" s="101"/>
      <c r="B61" s="148" t="s">
        <v>757</v>
      </c>
      <c r="C61" s="91">
        <f>H61</f>
        <v>11869.999999999985</v>
      </c>
      <c r="D61" s="92"/>
      <c r="E61" s="91"/>
      <c r="F61" s="91"/>
      <c r="G61" s="91"/>
      <c r="H61" s="92">
        <f t="shared" si="12"/>
        <v>11869.999999999985</v>
      </c>
      <c r="I61" s="92">
        <f>T62</f>
        <v>542</v>
      </c>
      <c r="J61" s="98"/>
      <c r="K61" s="98"/>
      <c r="L61" s="98"/>
      <c r="M61" s="98"/>
      <c r="N61" s="98"/>
      <c r="O61" s="92">
        <v>1280.2</v>
      </c>
      <c r="P61" s="92">
        <v>1417.6</v>
      </c>
      <c r="Q61" s="105"/>
      <c r="R61" s="106"/>
      <c r="S61" s="106">
        <v>120</v>
      </c>
      <c r="T61" s="92">
        <f>(P61-O61)*S61-T636-T59-T65-T62</f>
        <v>11869.999999999985</v>
      </c>
      <c r="U61" s="644" t="s">
        <v>1112</v>
      </c>
      <c r="V61" s="830" t="s">
        <v>712</v>
      </c>
      <c r="W61" s="103"/>
      <c r="X61" s="7"/>
      <c r="Y61" s="7"/>
      <c r="Z61" s="7"/>
      <c r="AA61" s="7"/>
      <c r="AB61" s="7"/>
      <c r="AC61" s="7"/>
    </row>
    <row r="62" spans="1:29" s="42" customFormat="1" ht="30" customHeight="1">
      <c r="A62" s="99"/>
      <c r="B62" s="314" t="s">
        <v>758</v>
      </c>
      <c r="C62" s="91">
        <f>T62</f>
        <v>542</v>
      </c>
      <c r="D62" s="92"/>
      <c r="E62" s="91"/>
      <c r="F62" s="91"/>
      <c r="G62" s="91"/>
      <c r="H62" s="92">
        <f t="shared" si="12"/>
        <v>542</v>
      </c>
      <c r="I62" s="92">
        <f>T63</f>
        <v>0</v>
      </c>
      <c r="J62" s="98"/>
      <c r="K62" s="98"/>
      <c r="L62" s="98"/>
      <c r="M62" s="98"/>
      <c r="N62" s="98"/>
      <c r="O62" s="92">
        <v>21620</v>
      </c>
      <c r="P62" s="92">
        <v>22162</v>
      </c>
      <c r="Q62" s="105"/>
      <c r="R62" s="106"/>
      <c r="S62" s="106">
        <v>1</v>
      </c>
      <c r="T62" s="92">
        <f>(P62-O62)*S62</f>
        <v>542</v>
      </c>
      <c r="U62" s="712" t="s">
        <v>1113</v>
      </c>
      <c r="V62" s="830"/>
      <c r="W62" s="100"/>
      <c r="X62" s="41"/>
      <c r="Y62" s="41"/>
      <c r="Z62" s="41"/>
      <c r="AA62" s="41"/>
      <c r="AB62" s="41"/>
      <c r="AC62" s="41"/>
    </row>
    <row r="63" spans="1:29" s="42" customFormat="1" ht="25.5">
      <c r="A63" s="99"/>
      <c r="B63" s="314"/>
      <c r="C63" s="315"/>
      <c r="D63" s="512"/>
      <c r="E63" s="315"/>
      <c r="F63" s="315"/>
      <c r="G63" s="315"/>
      <c r="H63" s="512"/>
      <c r="I63" s="512"/>
      <c r="J63" s="316"/>
      <c r="K63" s="316"/>
      <c r="L63" s="316"/>
      <c r="M63" s="316"/>
      <c r="N63" s="316"/>
      <c r="O63" s="315"/>
      <c r="P63" s="315"/>
      <c r="Q63" s="591"/>
      <c r="R63" s="592"/>
      <c r="S63" s="593"/>
      <c r="T63" s="512"/>
      <c r="U63" s="712"/>
      <c r="V63" s="594"/>
      <c r="W63" s="100"/>
      <c r="X63" s="41"/>
      <c r="Y63" s="41"/>
      <c r="Z63" s="41"/>
      <c r="AA63" s="41"/>
      <c r="AB63" s="41"/>
      <c r="AC63" s="41"/>
    </row>
    <row r="64" spans="1:29" ht="25.5">
      <c r="A64" s="101"/>
      <c r="B64" s="329" t="s">
        <v>97</v>
      </c>
      <c r="C64" s="117">
        <f>H64</f>
        <v>730</v>
      </c>
      <c r="D64" s="595"/>
      <c r="E64" s="117"/>
      <c r="F64" s="117"/>
      <c r="G64" s="117"/>
      <c r="H64" s="595">
        <f>T64</f>
        <v>730</v>
      </c>
      <c r="I64" s="595">
        <f>T64*0.3</f>
        <v>219</v>
      </c>
      <c r="J64" s="98"/>
      <c r="K64" s="98"/>
      <c r="L64" s="98"/>
      <c r="M64" s="98"/>
      <c r="N64" s="98"/>
      <c r="O64" s="596">
        <v>4017</v>
      </c>
      <c r="P64" s="596">
        <v>4053.5</v>
      </c>
      <c r="Q64" s="105"/>
      <c r="R64" s="597"/>
      <c r="S64" s="330">
        <v>20</v>
      </c>
      <c r="T64" s="595">
        <f>(P64-O64)*S64</f>
        <v>730</v>
      </c>
      <c r="U64" s="644">
        <v>5621</v>
      </c>
      <c r="V64" s="107" t="s">
        <v>98</v>
      </c>
      <c r="W64" s="47" t="s">
        <v>90</v>
      </c>
      <c r="X64" s="7"/>
      <c r="Y64" s="7"/>
      <c r="Z64" s="7"/>
      <c r="AA64" s="7"/>
      <c r="AB64" s="7"/>
      <c r="AC64" s="7"/>
    </row>
    <row r="65" spans="1:29" ht="25.5">
      <c r="A65" s="101"/>
      <c r="B65" s="148" t="s">
        <v>99</v>
      </c>
      <c r="C65" s="117">
        <f>H65</f>
        <v>2611</v>
      </c>
      <c r="D65" s="92"/>
      <c r="E65" s="91"/>
      <c r="F65" s="91"/>
      <c r="G65" s="91"/>
      <c r="H65" s="92">
        <f>T65</f>
        <v>2611</v>
      </c>
      <c r="I65" s="92">
        <f>T65*0.3</f>
        <v>783.3</v>
      </c>
      <c r="J65" s="142"/>
      <c r="K65" s="142"/>
      <c r="L65" s="142"/>
      <c r="M65" s="142"/>
      <c r="N65" s="142"/>
      <c r="O65" s="91">
        <v>223849</v>
      </c>
      <c r="P65" s="91">
        <v>226460</v>
      </c>
      <c r="Q65" s="92"/>
      <c r="R65" s="92"/>
      <c r="S65" s="91">
        <v>1</v>
      </c>
      <c r="T65" s="92">
        <f>(P65-O65)*S65</f>
        <v>2611</v>
      </c>
      <c r="U65" s="644">
        <v>4785</v>
      </c>
      <c r="V65" s="107" t="s">
        <v>89</v>
      </c>
      <c r="W65" s="47" t="s">
        <v>43</v>
      </c>
      <c r="X65" s="7"/>
      <c r="Y65" s="7"/>
      <c r="Z65" s="7"/>
      <c r="AA65" s="7"/>
      <c r="AB65" s="7"/>
      <c r="AC65" s="7"/>
    </row>
    <row r="66" spans="1:29" ht="26.25">
      <c r="A66" s="108"/>
      <c r="B66" s="109" t="s">
        <v>100</v>
      </c>
      <c r="C66" s="110">
        <f>SUM(C56:C65)</f>
        <v>39324.5199999998</v>
      </c>
      <c r="D66" s="111"/>
      <c r="E66" s="112"/>
      <c r="F66" s="112"/>
      <c r="G66" s="112"/>
      <c r="H66" s="111"/>
      <c r="I66" s="113">
        <f>SUM(I56:I65)</f>
        <v>16725.299999999985</v>
      </c>
      <c r="J66" s="114"/>
      <c r="K66" s="114"/>
      <c r="L66" s="114"/>
      <c r="M66" s="114"/>
      <c r="N66" s="114"/>
      <c r="O66" s="115"/>
      <c r="P66" s="115"/>
      <c r="Q66" s="92"/>
      <c r="R66" s="92"/>
      <c r="S66" s="91"/>
      <c r="T66" s="92"/>
      <c r="U66" s="644"/>
      <c r="V66" s="107"/>
      <c r="W66" s="14"/>
      <c r="X66" s="7"/>
      <c r="Y66" s="7"/>
      <c r="Z66" s="7"/>
      <c r="AA66" s="7"/>
      <c r="AB66" s="7"/>
      <c r="AC66" s="7"/>
    </row>
    <row r="67" spans="1:29" ht="26.25">
      <c r="A67" s="757"/>
      <c r="B67" s="109" t="s">
        <v>101</v>
      </c>
      <c r="C67" s="117"/>
      <c r="D67" s="118"/>
      <c r="E67" s="113"/>
      <c r="F67" s="113"/>
      <c r="G67" s="113"/>
      <c r="H67" s="118"/>
      <c r="I67" s="118"/>
      <c r="J67" s="98"/>
      <c r="K67" s="98"/>
      <c r="L67" s="98"/>
      <c r="M67" s="98"/>
      <c r="N67" s="98"/>
      <c r="O67" s="91"/>
      <c r="P67" s="91"/>
      <c r="Q67" s="92"/>
      <c r="R67" s="92"/>
      <c r="S67" s="91"/>
      <c r="T67" s="92"/>
      <c r="U67" s="644"/>
      <c r="V67" s="107"/>
      <c r="W67" s="14"/>
      <c r="X67" s="7"/>
      <c r="Y67" s="7"/>
      <c r="Z67" s="7"/>
      <c r="AA67" s="7"/>
      <c r="AB67" s="7"/>
      <c r="AC67" s="7"/>
    </row>
    <row r="68" spans="1:29" ht="31.5" customHeight="1">
      <c r="A68" s="757"/>
      <c r="B68" s="213" t="s">
        <v>102</v>
      </c>
      <c r="C68" s="117">
        <v>1521</v>
      </c>
      <c r="D68" s="118"/>
      <c r="E68" s="113"/>
      <c r="F68" s="113"/>
      <c r="G68" s="113"/>
      <c r="H68" s="118"/>
      <c r="I68" s="118"/>
      <c r="J68" s="98"/>
      <c r="K68" s="98"/>
      <c r="L68" s="98"/>
      <c r="M68" s="98"/>
      <c r="N68" s="98"/>
      <c r="O68" s="91">
        <f>13209.58+32369.93</f>
        <v>45579.51</v>
      </c>
      <c r="P68" s="91">
        <f>13419.43+32703.61</f>
        <v>46123.040000000001</v>
      </c>
      <c r="Q68" s="92"/>
      <c r="R68" s="92"/>
      <c r="S68" s="91">
        <v>80</v>
      </c>
      <c r="T68" s="92">
        <f>(P68-O68)*S68-T72-T73</f>
        <v>39464.399999999907</v>
      </c>
      <c r="U68" s="644" t="s">
        <v>1114</v>
      </c>
      <c r="V68" s="107" t="s">
        <v>104</v>
      </c>
      <c r="W68" s="14" t="s">
        <v>48</v>
      </c>
      <c r="X68" s="48"/>
      <c r="Y68" s="7"/>
      <c r="Z68" s="7"/>
      <c r="AA68" s="7"/>
      <c r="AB68" s="7"/>
      <c r="AC68" s="7"/>
    </row>
    <row r="69" spans="1:29" ht="51.75" customHeight="1">
      <c r="A69" s="757"/>
      <c r="B69" s="598" t="s">
        <v>105</v>
      </c>
      <c r="C69" s="117">
        <f>T71</f>
        <v>7861.5999999998894</v>
      </c>
      <c r="D69" s="118"/>
      <c r="E69" s="113"/>
      <c r="F69" s="113"/>
      <c r="G69" s="113"/>
      <c r="H69" s="118"/>
      <c r="I69" s="118"/>
      <c r="J69" s="98"/>
      <c r="K69" s="98"/>
      <c r="L69" s="98"/>
      <c r="M69" s="98"/>
      <c r="N69" s="98"/>
      <c r="O69" s="91"/>
      <c r="P69" s="91"/>
      <c r="Q69" s="92"/>
      <c r="R69" s="92"/>
      <c r="S69" s="91"/>
      <c r="T69" s="92"/>
      <c r="U69" s="644"/>
      <c r="V69" s="107"/>
      <c r="W69" s="14" t="s">
        <v>48</v>
      </c>
      <c r="X69" s="48"/>
      <c r="Y69" s="7"/>
      <c r="Z69" s="7"/>
      <c r="AA69" s="7"/>
      <c r="AB69" s="7"/>
      <c r="AC69" s="7"/>
    </row>
    <row r="70" spans="1:29" ht="25.5">
      <c r="A70" s="757"/>
      <c r="B70" s="599" t="s">
        <v>106</v>
      </c>
      <c r="C70" s="91">
        <f>H70</f>
        <v>7976</v>
      </c>
      <c r="D70" s="91"/>
      <c r="E70" s="91">
        <f>F70+G70</f>
        <v>558.32000000000005</v>
      </c>
      <c r="F70" s="91">
        <f>0.04*H70</f>
        <v>319.04000000000002</v>
      </c>
      <c r="G70" s="91">
        <f>0.03*H70</f>
        <v>239.28</v>
      </c>
      <c r="H70" s="91">
        <f>T70</f>
        <v>7976</v>
      </c>
      <c r="I70" s="91">
        <f>0.6*C70</f>
        <v>4785.5999999999995</v>
      </c>
      <c r="J70" s="22"/>
      <c r="K70" s="22"/>
      <c r="L70" s="22"/>
      <c r="M70" s="22"/>
      <c r="N70" s="22"/>
      <c r="O70" s="91">
        <f>188127+16743</f>
        <v>204870</v>
      </c>
      <c r="P70" s="91">
        <f>194204+18642</f>
        <v>212846</v>
      </c>
      <c r="Q70" s="122"/>
      <c r="R70" s="173"/>
      <c r="S70" s="151">
        <v>1</v>
      </c>
      <c r="T70" s="91">
        <f>(P70-O70)*S70</f>
        <v>7976</v>
      </c>
      <c r="U70" s="644" t="s">
        <v>1115</v>
      </c>
      <c r="V70" s="761" t="s">
        <v>106</v>
      </c>
      <c r="W70" s="14" t="s">
        <v>48</v>
      </c>
      <c r="X70" s="48"/>
      <c r="Y70" s="7"/>
      <c r="Z70" s="7"/>
      <c r="AA70" s="7"/>
      <c r="AB70" s="7"/>
      <c r="AC70" s="7"/>
    </row>
    <row r="71" spans="1:29" ht="28.5" customHeight="1">
      <c r="A71" s="757"/>
      <c r="B71" s="213" t="s">
        <v>107</v>
      </c>
      <c r="C71" s="117">
        <f>T68-C706</f>
        <v>2234.8199999999051</v>
      </c>
      <c r="D71" s="118"/>
      <c r="E71" s="113"/>
      <c r="F71" s="113"/>
      <c r="G71" s="113"/>
      <c r="H71" s="118"/>
      <c r="I71" s="113">
        <f>T69-I707</f>
        <v>0</v>
      </c>
      <c r="J71" s="98"/>
      <c r="K71" s="98"/>
      <c r="L71" s="98"/>
      <c r="M71" s="98"/>
      <c r="N71" s="98"/>
      <c r="O71" s="91">
        <f>3872.98+4776.97</f>
        <v>8649.9500000000007</v>
      </c>
      <c r="P71" s="91">
        <f>4823.54+3924.68</f>
        <v>8748.2199999999993</v>
      </c>
      <c r="Q71" s="92"/>
      <c r="R71" s="92"/>
      <c r="S71" s="91">
        <v>80</v>
      </c>
      <c r="T71" s="92">
        <f>(P71-O71)*S71</f>
        <v>7861.5999999998894</v>
      </c>
      <c r="U71" s="644" t="s">
        <v>1116</v>
      </c>
      <c r="V71" s="107" t="s">
        <v>109</v>
      </c>
      <c r="W71" s="14" t="s">
        <v>48</v>
      </c>
      <c r="X71" s="48"/>
      <c r="Y71" s="7"/>
      <c r="Z71" s="7"/>
      <c r="AA71" s="7"/>
      <c r="AB71" s="7"/>
      <c r="AC71" s="7"/>
    </row>
    <row r="72" spans="1:29" ht="28.5" customHeight="1">
      <c r="A72" s="757"/>
      <c r="B72" s="314" t="s">
        <v>684</v>
      </c>
      <c r="C72" s="91">
        <f t="shared" ref="C72" si="13">H72+E72</f>
        <v>3193</v>
      </c>
      <c r="D72" s="91"/>
      <c r="E72" s="91">
        <v>0</v>
      </c>
      <c r="F72" s="91">
        <v>0</v>
      </c>
      <c r="G72" s="91">
        <v>0</v>
      </c>
      <c r="H72" s="91">
        <f>T72</f>
        <v>3193</v>
      </c>
      <c r="I72" s="91">
        <f t="shared" ref="I72" si="14">0.4*C72</f>
        <v>1277.2</v>
      </c>
      <c r="J72" s="98"/>
      <c r="K72" s="98"/>
      <c r="L72" s="98"/>
      <c r="M72" s="22"/>
      <c r="N72" s="22"/>
      <c r="O72" s="91">
        <v>64636</v>
      </c>
      <c r="P72" s="91">
        <v>67829</v>
      </c>
      <c r="Q72" s="122"/>
      <c r="R72" s="585"/>
      <c r="S72" s="91">
        <v>1</v>
      </c>
      <c r="T72" s="91">
        <f>(P72-O72)*S72</f>
        <v>3193</v>
      </c>
      <c r="U72" s="712">
        <v>5837</v>
      </c>
      <c r="V72" s="317" t="s">
        <v>713</v>
      </c>
      <c r="W72" s="14"/>
      <c r="X72" s="48"/>
      <c r="Y72" s="7"/>
      <c r="Z72" s="7"/>
      <c r="AA72" s="7"/>
      <c r="AB72" s="7"/>
      <c r="AC72" s="7"/>
    </row>
    <row r="73" spans="1:29" ht="28.5" customHeight="1">
      <c r="A73" s="757"/>
      <c r="B73" s="213" t="s">
        <v>110</v>
      </c>
      <c r="C73" s="91">
        <f>H73+E73</f>
        <v>882.75</v>
      </c>
      <c r="D73" s="91"/>
      <c r="E73" s="91">
        <f>F73+G73</f>
        <v>57.75</v>
      </c>
      <c r="F73" s="91">
        <f>0.04*H73</f>
        <v>33</v>
      </c>
      <c r="G73" s="91">
        <f>0.03*H73</f>
        <v>24.75</v>
      </c>
      <c r="H73" s="91">
        <f>T73</f>
        <v>825</v>
      </c>
      <c r="I73" s="91">
        <f>0.6*C73</f>
        <v>529.65</v>
      </c>
      <c r="J73" s="98"/>
      <c r="K73" s="98"/>
      <c r="L73" s="98"/>
      <c r="M73" s="98"/>
      <c r="N73" s="98"/>
      <c r="O73" s="91">
        <v>17706</v>
      </c>
      <c r="P73" s="91">
        <v>18531</v>
      </c>
      <c r="Q73" s="92"/>
      <c r="R73" s="92"/>
      <c r="S73" s="91">
        <v>1</v>
      </c>
      <c r="T73" s="91">
        <f>(P73-O73)*S73</f>
        <v>825</v>
      </c>
      <c r="U73" s="644" t="s">
        <v>1117</v>
      </c>
      <c r="V73" s="107" t="s">
        <v>111</v>
      </c>
      <c r="W73" s="14" t="s">
        <v>48</v>
      </c>
      <c r="X73" s="48"/>
      <c r="Y73" s="7"/>
      <c r="Z73" s="7"/>
      <c r="AA73" s="7"/>
      <c r="AB73" s="7"/>
      <c r="AC73" s="7"/>
    </row>
    <row r="74" spans="1:29" ht="26.25">
      <c r="A74" s="108"/>
      <c r="B74" s="119" t="s">
        <v>112</v>
      </c>
      <c r="C74" s="97">
        <f>SUM(C68:C73)</f>
        <v>23669.169999999795</v>
      </c>
      <c r="D74" s="120"/>
      <c r="E74" s="121"/>
      <c r="F74" s="121"/>
      <c r="G74" s="121"/>
      <c r="H74" s="120"/>
      <c r="I74" s="121"/>
      <c r="J74" s="98"/>
      <c r="K74" s="98"/>
      <c r="L74" s="98"/>
      <c r="M74" s="98"/>
      <c r="N74" s="98"/>
      <c r="O74" s="91"/>
      <c r="P74" s="91"/>
      <c r="Q74" s="92"/>
      <c r="R74" s="92"/>
      <c r="S74" s="91"/>
      <c r="T74" s="92"/>
      <c r="U74" s="644"/>
      <c r="V74" s="107"/>
      <c r="W74" s="14" t="s">
        <v>48</v>
      </c>
      <c r="X74" s="48"/>
      <c r="Y74" s="122"/>
      <c r="Z74" s="122"/>
      <c r="AA74" s="122"/>
      <c r="AB74" s="122"/>
      <c r="AC74" s="122"/>
    </row>
    <row r="75" spans="1:29" ht="25.5">
      <c r="A75" s="757"/>
      <c r="B75" s="1"/>
      <c r="U75" s="719"/>
      <c r="V75" s="1"/>
      <c r="W75" s="14"/>
      <c r="X75" s="48"/>
      <c r="Y75" s="7"/>
      <c r="Z75" s="7"/>
      <c r="AA75" s="7"/>
      <c r="AB75" s="7"/>
      <c r="AC75" s="7"/>
    </row>
    <row r="76" spans="1:29" ht="26.25">
      <c r="A76" s="757"/>
      <c r="B76" s="123" t="s">
        <v>113</v>
      </c>
      <c r="C76" s="124"/>
      <c r="D76" s="125"/>
      <c r="E76" s="124"/>
      <c r="F76" s="124"/>
      <c r="G76" s="124"/>
      <c r="H76" s="124"/>
      <c r="I76" s="124"/>
      <c r="J76" s="126"/>
      <c r="K76" s="126"/>
      <c r="L76" s="126"/>
      <c r="M76" s="126"/>
      <c r="N76" s="126"/>
      <c r="O76" s="124"/>
      <c r="P76" s="124"/>
      <c r="Q76" s="125"/>
      <c r="R76" s="125"/>
      <c r="S76" s="124"/>
      <c r="T76" s="124"/>
      <c r="U76" s="717"/>
      <c r="V76" s="128"/>
      <c r="W76" s="14"/>
      <c r="X76" s="7"/>
      <c r="Y76" s="7"/>
      <c r="Z76" s="7"/>
      <c r="AA76" s="7"/>
      <c r="AB76" s="7"/>
      <c r="AC76" s="7"/>
    </row>
    <row r="77" spans="1:29" ht="25.5">
      <c r="A77" s="19"/>
      <c r="B77" s="132" t="s">
        <v>114</v>
      </c>
      <c r="C77" s="124">
        <f>(T77+T78)</f>
        <v>24988.500000000022</v>
      </c>
      <c r="D77" s="124"/>
      <c r="E77" s="124">
        <f>F77+G77</f>
        <v>0</v>
      </c>
      <c r="F77" s="124">
        <v>0</v>
      </c>
      <c r="G77" s="124">
        <v>0</v>
      </c>
      <c r="H77" s="124">
        <f>T77</f>
        <v>0</v>
      </c>
      <c r="I77" s="124">
        <f>T79</f>
        <v>0</v>
      </c>
      <c r="J77" s="126"/>
      <c r="K77" s="133"/>
      <c r="L77" s="133"/>
      <c r="M77" s="126"/>
      <c r="N77" s="126"/>
      <c r="O77" s="124">
        <v>4067.02</v>
      </c>
      <c r="P77" s="124">
        <v>4067.02</v>
      </c>
      <c r="Q77" s="159" t="s">
        <v>37</v>
      </c>
      <c r="R77" s="159"/>
      <c r="S77" s="124">
        <v>40</v>
      </c>
      <c r="T77" s="124">
        <f>(P77-O77)*S77</f>
        <v>0</v>
      </c>
      <c r="U77" s="717">
        <v>7163</v>
      </c>
      <c r="V77" s="600" t="s">
        <v>115</v>
      </c>
      <c r="W77" s="14" t="s">
        <v>116</v>
      </c>
      <c r="X77" s="7"/>
      <c r="Y77" s="7"/>
      <c r="Z77" s="7"/>
      <c r="AA77" s="7"/>
      <c r="AB77" s="7"/>
      <c r="AC77" s="7"/>
    </row>
    <row r="78" spans="1:29" ht="26.25" customHeight="1">
      <c r="A78" s="19"/>
      <c r="B78" s="132"/>
      <c r="C78" s="124"/>
      <c r="D78" s="124"/>
      <c r="E78" s="124">
        <f>F78+G78</f>
        <v>0</v>
      </c>
      <c r="F78" s="124">
        <v>0</v>
      </c>
      <c r="G78" s="124">
        <v>0</v>
      </c>
      <c r="H78" s="124">
        <f>T78</f>
        <v>24988.500000000022</v>
      </c>
      <c r="I78" s="124">
        <f>T81</f>
        <v>0</v>
      </c>
      <c r="J78" s="126"/>
      <c r="K78" s="133"/>
      <c r="L78" s="133"/>
      <c r="M78" s="126"/>
      <c r="N78" s="126"/>
      <c r="O78" s="124">
        <v>11931.8</v>
      </c>
      <c r="P78" s="124">
        <v>12431.57</v>
      </c>
      <c r="Q78" s="159" t="s">
        <v>37</v>
      </c>
      <c r="R78" s="159"/>
      <c r="S78" s="124">
        <v>50</v>
      </c>
      <c r="T78" s="124">
        <f>(P78-O78)*S78-T98</f>
        <v>24988.500000000022</v>
      </c>
      <c r="U78" s="717">
        <v>7215</v>
      </c>
      <c r="V78" s="600" t="s">
        <v>117</v>
      </c>
      <c r="W78" s="14" t="s">
        <v>27</v>
      </c>
      <c r="X78" s="7"/>
      <c r="Y78" s="7"/>
      <c r="Z78" s="7"/>
      <c r="AA78" s="7"/>
      <c r="AB78" s="7"/>
      <c r="AC78" s="7"/>
    </row>
    <row r="79" spans="1:29" ht="25.5">
      <c r="A79" s="19"/>
      <c r="B79" s="129"/>
      <c r="C79" s="84"/>
      <c r="D79" s="84"/>
      <c r="E79" s="84"/>
      <c r="F79" s="84"/>
      <c r="G79" s="84"/>
      <c r="H79" s="84"/>
      <c r="I79" s="84"/>
      <c r="J79" s="131"/>
      <c r="K79" s="131"/>
      <c r="L79" s="131"/>
      <c r="M79" s="131"/>
      <c r="N79" s="131"/>
      <c r="O79" s="84"/>
      <c r="P79" s="84"/>
      <c r="Q79" s="85"/>
      <c r="R79" s="85"/>
      <c r="S79" s="84"/>
      <c r="T79" s="84"/>
      <c r="U79" s="722"/>
      <c r="V79" s="89"/>
      <c r="W79" s="134" t="s">
        <v>118</v>
      </c>
      <c r="X79" s="7"/>
      <c r="Y79" s="7"/>
      <c r="Z79" s="7"/>
      <c r="AA79" s="7"/>
      <c r="AB79" s="7"/>
      <c r="AC79" s="7"/>
    </row>
    <row r="80" spans="1:29" ht="25.5">
      <c r="A80" s="19"/>
      <c r="B80" s="132" t="s">
        <v>119</v>
      </c>
      <c r="C80" s="124">
        <f>H80+E80</f>
        <v>321</v>
      </c>
      <c r="D80" s="124"/>
      <c r="E80" s="124">
        <f>F80+G80</f>
        <v>21</v>
      </c>
      <c r="F80" s="124">
        <f>0.04*H80</f>
        <v>12</v>
      </c>
      <c r="G80" s="124">
        <f>0.03*H80</f>
        <v>9</v>
      </c>
      <c r="H80" s="124">
        <f>T80</f>
        <v>300</v>
      </c>
      <c r="I80" s="124">
        <f>0.6*C80</f>
        <v>192.6</v>
      </c>
      <c r="J80" s="133"/>
      <c r="K80" s="133"/>
      <c r="L80" s="133"/>
      <c r="M80" s="133"/>
      <c r="N80" s="133"/>
      <c r="O80" s="124">
        <v>5100</v>
      </c>
      <c r="P80" s="124">
        <v>5400</v>
      </c>
      <c r="Q80" s="125"/>
      <c r="R80" s="125"/>
      <c r="S80" s="124">
        <v>1</v>
      </c>
      <c r="T80" s="124">
        <f>(P80-O80)*S80</f>
        <v>300</v>
      </c>
      <c r="U80" s="717"/>
      <c r="V80" s="128" t="s">
        <v>120</v>
      </c>
      <c r="W80" s="134" t="s">
        <v>116</v>
      </c>
      <c r="X80" s="7"/>
      <c r="Y80" s="7"/>
      <c r="Z80" s="7"/>
      <c r="AA80" s="7"/>
      <c r="AB80" s="7"/>
      <c r="AC80" s="7"/>
    </row>
    <row r="81" spans="1:29" ht="26.25">
      <c r="A81" s="135"/>
      <c r="B81" s="136" t="s">
        <v>121</v>
      </c>
      <c r="C81" s="97">
        <f>C77+C79</f>
        <v>24988.500000000022</v>
      </c>
      <c r="D81" s="137"/>
      <c r="E81" s="97"/>
      <c r="F81" s="97"/>
      <c r="G81" s="97"/>
      <c r="H81" s="97"/>
      <c r="I81" s="124">
        <f>I79+I77</f>
        <v>0</v>
      </c>
      <c r="J81" s="126"/>
      <c r="K81" s="126"/>
      <c r="L81" s="126"/>
      <c r="M81" s="126"/>
      <c r="N81" s="126"/>
      <c r="O81" s="124"/>
      <c r="P81" s="124"/>
      <c r="Q81" s="138"/>
      <c r="R81" s="139"/>
      <c r="S81" s="140"/>
      <c r="T81" s="124"/>
      <c r="U81" s="717"/>
      <c r="V81" s="128"/>
      <c r="W81" s="14"/>
      <c r="X81" s="7"/>
      <c r="Y81" s="7"/>
      <c r="Z81" s="7"/>
      <c r="AA81" s="7"/>
      <c r="AB81" s="7"/>
      <c r="AC81" s="7"/>
    </row>
    <row r="82" spans="1:29" ht="26.25">
      <c r="A82" s="135"/>
      <c r="B82" s="136" t="s">
        <v>122</v>
      </c>
      <c r="C82" s="97"/>
      <c r="D82" s="137"/>
      <c r="E82" s="97"/>
      <c r="F82" s="97"/>
      <c r="G82" s="97"/>
      <c r="H82" s="97"/>
      <c r="I82" s="124"/>
      <c r="J82" s="126"/>
      <c r="K82" s="126"/>
      <c r="L82" s="126"/>
      <c r="M82" s="126"/>
      <c r="N82" s="126"/>
      <c r="O82" s="124"/>
      <c r="P82" s="124"/>
      <c r="Q82" s="138"/>
      <c r="R82" s="139"/>
      <c r="S82" s="140"/>
      <c r="T82" s="124"/>
      <c r="U82" s="717"/>
      <c r="V82" s="128"/>
      <c r="W82" s="14"/>
      <c r="X82" s="7"/>
      <c r="Y82" s="7"/>
      <c r="Z82" s="7"/>
      <c r="AA82" s="7"/>
      <c r="AB82" s="7"/>
      <c r="AC82" s="7"/>
    </row>
    <row r="83" spans="1:29" ht="26.25">
      <c r="A83" s="19"/>
      <c r="B83" s="123" t="s">
        <v>123</v>
      </c>
      <c r="C83" s="124">
        <f>H83+E83</f>
        <v>3892.0000000000073</v>
      </c>
      <c r="D83" s="124"/>
      <c r="E83" s="124">
        <f>F83+G83</f>
        <v>0</v>
      </c>
      <c r="F83" s="124">
        <v>0</v>
      </c>
      <c r="G83" s="124">
        <v>0</v>
      </c>
      <c r="H83" s="124">
        <f>T83</f>
        <v>3892.0000000000073</v>
      </c>
      <c r="I83" s="124">
        <f>T86</f>
        <v>0</v>
      </c>
      <c r="J83" s="126"/>
      <c r="K83" s="133"/>
      <c r="L83" s="133"/>
      <c r="M83" s="126"/>
      <c r="N83" s="126"/>
      <c r="O83" s="124">
        <v>3958.1</v>
      </c>
      <c r="P83" s="124">
        <v>4055.4</v>
      </c>
      <c r="Q83" s="159" t="s">
        <v>37</v>
      </c>
      <c r="R83" s="159"/>
      <c r="S83" s="124">
        <v>40</v>
      </c>
      <c r="T83" s="124">
        <f>(P83-O83)*S83</f>
        <v>3892.0000000000073</v>
      </c>
      <c r="U83" s="717">
        <v>5669</v>
      </c>
      <c r="V83" s="128" t="s">
        <v>124</v>
      </c>
      <c r="W83" s="14" t="s">
        <v>19</v>
      </c>
      <c r="X83" s="7"/>
      <c r="Y83" s="7"/>
      <c r="Z83" s="7"/>
      <c r="AA83" s="7"/>
      <c r="AB83" s="7"/>
      <c r="AC83" s="7"/>
    </row>
    <row r="84" spans="1:29" ht="30.75" customHeight="1">
      <c r="A84" s="19"/>
      <c r="B84" s="158" t="s">
        <v>125</v>
      </c>
      <c r="C84" s="124">
        <f>H84+E84</f>
        <v>9156.9999999999927</v>
      </c>
      <c r="D84" s="124"/>
      <c r="E84" s="124">
        <f>F84+G84</f>
        <v>0</v>
      </c>
      <c r="F84" s="124">
        <v>0</v>
      </c>
      <c r="G84" s="124">
        <v>0</v>
      </c>
      <c r="H84" s="124">
        <f>T84</f>
        <v>9156.9999999999927</v>
      </c>
      <c r="I84" s="124">
        <f>T87</f>
        <v>0</v>
      </c>
      <c r="J84" s="126"/>
      <c r="K84" s="133"/>
      <c r="L84" s="133"/>
      <c r="M84" s="126"/>
      <c r="N84" s="126"/>
      <c r="O84" s="124">
        <v>3591</v>
      </c>
      <c r="P84" s="124">
        <v>3775.5</v>
      </c>
      <c r="Q84" s="159" t="s">
        <v>37</v>
      </c>
      <c r="R84" s="159"/>
      <c r="S84" s="124">
        <v>120</v>
      </c>
      <c r="T84" s="124">
        <f>(P84-O84)*S84-T377-T343-T83-T362-T376-T172</f>
        <v>9156.9999999999927</v>
      </c>
      <c r="U84" s="717">
        <v>1152</v>
      </c>
      <c r="V84" s="128" t="s">
        <v>124</v>
      </c>
      <c r="W84" s="14" t="s">
        <v>19</v>
      </c>
      <c r="X84" s="7"/>
      <c r="Y84" s="7"/>
      <c r="Z84" s="7"/>
      <c r="AA84" s="7"/>
      <c r="AB84" s="7"/>
      <c r="AC84" s="7"/>
    </row>
    <row r="85" spans="1:29" ht="27.75">
      <c r="A85" s="19"/>
      <c r="B85" s="141" t="s">
        <v>932</v>
      </c>
      <c r="C85" s="115">
        <f>SUM(C54+C74+C81+C66+C83+C84)</f>
        <v>394815.04319999891</v>
      </c>
      <c r="D85" s="91"/>
      <c r="E85" s="115"/>
      <c r="F85" s="91"/>
      <c r="G85" s="91"/>
      <c r="H85" s="115"/>
      <c r="I85" s="91">
        <f>SUM(I8:I43)+I74+I81+I66</f>
        <v>196616.5679999998</v>
      </c>
      <c r="J85" s="22"/>
      <c r="K85" s="22"/>
      <c r="L85" s="22"/>
      <c r="M85" s="22"/>
      <c r="N85" s="22"/>
      <c r="O85" s="91"/>
      <c r="P85" s="91"/>
      <c r="Q85" s="22"/>
      <c r="R85" s="142"/>
      <c r="S85" s="91"/>
      <c r="T85" s="91"/>
      <c r="U85" s="644"/>
      <c r="V85" s="759"/>
      <c r="W85" s="14"/>
      <c r="X85" s="7"/>
      <c r="Y85" s="7"/>
      <c r="Z85" s="7"/>
      <c r="AA85" s="7"/>
      <c r="AB85" s="7"/>
      <c r="AC85" s="7"/>
    </row>
    <row r="86" spans="1:29" ht="26.25">
      <c r="A86" s="19"/>
      <c r="B86" s="143"/>
      <c r="C86" s="115"/>
      <c r="D86" s="91"/>
      <c r="E86" s="115"/>
      <c r="F86" s="91"/>
      <c r="G86" s="91"/>
      <c r="H86" s="91"/>
      <c r="I86" s="91"/>
      <c r="J86" s="22"/>
      <c r="K86" s="22"/>
      <c r="L86" s="22"/>
      <c r="M86" s="22"/>
      <c r="N86" s="22"/>
      <c r="O86" s="91"/>
      <c r="P86" s="91"/>
      <c r="Q86" s="22"/>
      <c r="R86" s="142"/>
      <c r="S86" s="91"/>
      <c r="T86" s="91"/>
      <c r="U86" s="644"/>
      <c r="V86" s="759"/>
      <c r="W86" s="14"/>
      <c r="X86" s="7"/>
      <c r="Y86" s="7"/>
      <c r="Z86" s="7"/>
      <c r="AA86" s="7"/>
      <c r="AB86" s="7"/>
      <c r="AC86" s="7"/>
    </row>
    <row r="87" spans="1:29" ht="25.5">
      <c r="A87" s="822"/>
      <c r="B87" s="823"/>
      <c r="C87" s="91"/>
      <c r="D87" s="91"/>
      <c r="E87" s="92"/>
      <c r="F87" s="91"/>
      <c r="G87" s="91"/>
      <c r="H87" s="91"/>
      <c r="I87" s="91"/>
      <c r="J87" s="22"/>
      <c r="K87" s="22"/>
      <c r="L87" s="22"/>
      <c r="M87" s="22"/>
      <c r="N87" s="22"/>
      <c r="O87" s="91"/>
      <c r="P87" s="91"/>
      <c r="Q87" s="22"/>
      <c r="R87" s="142"/>
      <c r="S87" s="91"/>
      <c r="T87" s="91"/>
      <c r="U87" s="644"/>
      <c r="V87" s="759"/>
      <c r="W87" s="14"/>
      <c r="X87" s="7"/>
      <c r="Y87" s="7"/>
      <c r="Z87" s="7"/>
      <c r="AA87" s="7"/>
      <c r="AB87" s="7"/>
      <c r="AC87" s="7"/>
    </row>
    <row r="88" spans="1:29" ht="25.5">
      <c r="A88" s="19"/>
      <c r="B88" s="104" t="s">
        <v>127</v>
      </c>
      <c r="C88" s="91">
        <f>H88-C89-C90-C726-D720</f>
        <v>18266.927999999956</v>
      </c>
      <c r="D88" s="91"/>
      <c r="E88" s="91"/>
      <c r="F88" s="91"/>
      <c r="G88" s="91"/>
      <c r="H88" s="91">
        <f>T88</f>
        <v>25642.927999999956</v>
      </c>
      <c r="I88" s="91">
        <v>0</v>
      </c>
      <c r="J88" s="22"/>
      <c r="K88" s="22"/>
      <c r="L88" s="22"/>
      <c r="M88" s="22"/>
      <c r="N88" s="22"/>
      <c r="O88" s="91">
        <v>41907</v>
      </c>
      <c r="P88" s="91">
        <v>42548.073199999999</v>
      </c>
      <c r="Q88" s="122"/>
      <c r="R88" s="173"/>
      <c r="S88" s="91">
        <v>40</v>
      </c>
      <c r="T88" s="91">
        <f>(P88-O88)*S88</f>
        <v>25642.927999999956</v>
      </c>
      <c r="U88" s="644">
        <v>95964307</v>
      </c>
      <c r="V88" s="761" t="s">
        <v>128</v>
      </c>
      <c r="W88" s="14"/>
      <c r="X88" s="7"/>
      <c r="Y88" s="7"/>
      <c r="Z88" s="93"/>
      <c r="AA88" s="93"/>
      <c r="AB88" s="93"/>
      <c r="AC88" s="7"/>
    </row>
    <row r="89" spans="1:29" s="42" customFormat="1" ht="25.5">
      <c r="A89" s="32"/>
      <c r="B89" s="69" t="s">
        <v>129</v>
      </c>
      <c r="C89" s="49">
        <f>H89</f>
        <v>1200</v>
      </c>
      <c r="D89" s="49"/>
      <c r="E89" s="49"/>
      <c r="F89" s="49"/>
      <c r="G89" s="49"/>
      <c r="H89" s="49">
        <v>1200</v>
      </c>
      <c r="I89" s="49">
        <v>0</v>
      </c>
      <c r="J89" s="51"/>
      <c r="K89" s="51"/>
      <c r="L89" s="51"/>
      <c r="M89" s="51"/>
      <c r="N89" s="51"/>
      <c r="O89" s="49"/>
      <c r="P89" s="49"/>
      <c r="Q89" s="70"/>
      <c r="R89" s="76"/>
      <c r="S89" s="49"/>
      <c r="T89" s="49"/>
      <c r="U89" s="714" t="s">
        <v>29</v>
      </c>
      <c r="V89" s="64"/>
      <c r="W89" s="144"/>
      <c r="X89" s="41"/>
      <c r="Y89" s="41"/>
      <c r="Z89" s="145"/>
      <c r="AA89" s="145"/>
      <c r="AB89" s="145"/>
      <c r="AC89" s="41"/>
    </row>
    <row r="90" spans="1:29" ht="26.25">
      <c r="A90" s="19"/>
      <c r="B90" s="148" t="s">
        <v>130</v>
      </c>
      <c r="C90" s="115">
        <f>H90+E90</f>
        <v>3997</v>
      </c>
      <c r="D90" s="92"/>
      <c r="E90" s="91">
        <f>247</f>
        <v>247</v>
      </c>
      <c r="F90" s="91"/>
      <c r="G90" s="91"/>
      <c r="H90" s="91">
        <f>T90</f>
        <v>3750</v>
      </c>
      <c r="I90" s="91"/>
      <c r="J90" s="22"/>
      <c r="K90" s="22"/>
      <c r="L90" s="22"/>
      <c r="M90" s="22"/>
      <c r="N90" s="22"/>
      <c r="O90" s="91">
        <v>15573</v>
      </c>
      <c r="P90" s="91">
        <v>15698</v>
      </c>
      <c r="Q90" s="149"/>
      <c r="R90" s="150"/>
      <c r="S90" s="151">
        <v>30</v>
      </c>
      <c r="T90" s="91">
        <f>(P90-O90)*S90</f>
        <v>3750</v>
      </c>
      <c r="U90" s="644"/>
      <c r="V90" s="761" t="s">
        <v>131</v>
      </c>
      <c r="W90" s="14"/>
      <c r="X90" s="7"/>
      <c r="Y90" s="7"/>
      <c r="Z90" s="93"/>
      <c r="AA90" s="93"/>
      <c r="AB90" s="93"/>
      <c r="AC90" s="7"/>
    </row>
    <row r="91" spans="1:29" ht="25.5" customHeight="1">
      <c r="A91" s="19"/>
      <c r="B91" s="148"/>
      <c r="C91" s="115"/>
      <c r="D91" s="92"/>
      <c r="E91" s="91"/>
      <c r="F91" s="91"/>
      <c r="G91" s="91"/>
      <c r="H91" s="91"/>
      <c r="I91" s="91"/>
      <c r="J91" s="22"/>
      <c r="K91" s="22"/>
      <c r="L91" s="22"/>
      <c r="M91" s="22"/>
      <c r="N91" s="22"/>
      <c r="O91" s="91"/>
      <c r="P91" s="91"/>
      <c r="Q91" s="149"/>
      <c r="R91" s="150"/>
      <c r="S91" s="151"/>
      <c r="T91" s="91"/>
      <c r="U91" s="644"/>
      <c r="V91" s="759"/>
      <c r="W91" s="14"/>
      <c r="X91" s="7"/>
      <c r="Y91" s="7"/>
      <c r="Z91" s="7"/>
      <c r="AA91" s="7"/>
      <c r="AB91" s="7"/>
      <c r="AC91" s="7"/>
    </row>
    <row r="92" spans="1:29" ht="26.25">
      <c r="A92" s="19"/>
      <c r="B92" s="96" t="s">
        <v>86</v>
      </c>
      <c r="C92" s="115">
        <f>C88+C89+C90+C726+D726</f>
        <v>25642.927999999956</v>
      </c>
      <c r="D92" s="28"/>
      <c r="E92" s="72"/>
      <c r="F92" s="28"/>
      <c r="G92" s="28"/>
      <c r="H92" s="72"/>
      <c r="I92" s="91">
        <v>0</v>
      </c>
      <c r="J92" s="22"/>
      <c r="K92" s="22"/>
      <c r="L92" s="22"/>
      <c r="M92" s="22"/>
      <c r="N92" s="22"/>
      <c r="O92" s="91"/>
      <c r="P92" s="91"/>
      <c r="Q92" s="22" t="s">
        <v>26</v>
      </c>
      <c r="R92" s="142"/>
      <c r="S92" s="91"/>
      <c r="T92" s="91">
        <v>0</v>
      </c>
      <c r="U92" s="455"/>
      <c r="V92" s="754"/>
      <c r="W92" s="14"/>
      <c r="X92" s="7"/>
      <c r="Y92" s="7"/>
      <c r="Z92" s="149"/>
      <c r="AA92" s="149"/>
      <c r="AB92" s="149"/>
      <c r="AC92" s="149"/>
    </row>
    <row r="93" spans="1:29" ht="26.25">
      <c r="A93" s="19"/>
      <c r="B93" s="143"/>
      <c r="C93" s="115"/>
      <c r="D93" s="91"/>
      <c r="E93" s="115"/>
      <c r="F93" s="91"/>
      <c r="G93" s="91"/>
      <c r="H93" s="91"/>
      <c r="I93" s="91"/>
      <c r="J93" s="22"/>
      <c r="K93" s="22"/>
      <c r="L93" s="22"/>
      <c r="M93" s="22"/>
      <c r="N93" s="22"/>
      <c r="O93" s="91"/>
      <c r="P93" s="91"/>
      <c r="Q93" s="22" t="s">
        <v>28</v>
      </c>
      <c r="R93" s="142"/>
      <c r="S93" s="91"/>
      <c r="T93" s="91"/>
      <c r="U93" s="644"/>
      <c r="V93" s="759"/>
      <c r="W93" s="14"/>
      <c r="X93" s="7"/>
      <c r="Y93" s="7"/>
      <c r="Z93" s="149"/>
      <c r="AA93" s="149"/>
      <c r="AB93" s="149"/>
      <c r="AC93" s="149"/>
    </row>
    <row r="94" spans="1:29" ht="25.5" customHeight="1">
      <c r="A94" s="808" t="s">
        <v>132</v>
      </c>
      <c r="B94" s="809"/>
      <c r="C94" s="91"/>
      <c r="D94" s="91"/>
      <c r="E94" s="92"/>
      <c r="F94" s="91"/>
      <c r="G94" s="91"/>
      <c r="H94" s="91"/>
      <c r="I94" s="91"/>
      <c r="J94" s="22"/>
      <c r="K94" s="22"/>
      <c r="L94" s="22"/>
      <c r="M94" s="22"/>
      <c r="N94" s="22"/>
      <c r="O94" s="91"/>
      <c r="P94" s="91"/>
      <c r="Q94" s="22" t="s">
        <v>33</v>
      </c>
      <c r="R94" s="142"/>
      <c r="S94" s="91"/>
      <c r="T94" s="91"/>
      <c r="U94" s="644"/>
      <c r="V94" s="759"/>
      <c r="W94" s="14"/>
      <c r="X94" s="7"/>
      <c r="Y94" s="7"/>
      <c r="Z94" s="149"/>
      <c r="AA94" s="149"/>
      <c r="AB94" s="149"/>
      <c r="AC94" s="149"/>
    </row>
    <row r="95" spans="1:29" s="42" customFormat="1" ht="25.5" customHeight="1">
      <c r="A95" s="152"/>
      <c r="B95" s="553"/>
      <c r="C95" s="554"/>
      <c r="D95" s="554"/>
      <c r="E95" s="554"/>
      <c r="F95" s="554"/>
      <c r="G95" s="554"/>
      <c r="H95" s="554"/>
      <c r="I95" s="554"/>
      <c r="J95" s="555"/>
      <c r="K95" s="555"/>
      <c r="L95" s="555"/>
      <c r="M95" s="555"/>
      <c r="N95" s="555"/>
      <c r="O95" s="554"/>
      <c r="P95" s="554"/>
      <c r="Q95" s="556"/>
      <c r="R95" s="556"/>
      <c r="S95" s="554"/>
      <c r="T95" s="554"/>
      <c r="U95" s="720"/>
      <c r="V95" s="558"/>
      <c r="W95" s="40"/>
      <c r="X95" s="41"/>
      <c r="Y95" s="41"/>
      <c r="Z95" s="153"/>
      <c r="AA95" s="153"/>
      <c r="AB95" s="153"/>
      <c r="AC95" s="153"/>
    </row>
    <row r="96" spans="1:29" ht="25.5" customHeight="1">
      <c r="A96" s="755"/>
      <c r="B96" s="123" t="s">
        <v>133</v>
      </c>
      <c r="C96" s="97">
        <f>H96+E96</f>
        <v>2988.4800000000541</v>
      </c>
      <c r="D96" s="125"/>
      <c r="E96" s="124">
        <f>F96+G96</f>
        <v>0</v>
      </c>
      <c r="F96" s="124">
        <v>0</v>
      </c>
      <c r="G96" s="124">
        <v>0</v>
      </c>
      <c r="H96" s="124">
        <f>T96</f>
        <v>2988.4800000000541</v>
      </c>
      <c r="I96" s="124">
        <f>0.5*C96</f>
        <v>1494.2400000000271</v>
      </c>
      <c r="J96" s="126"/>
      <c r="K96" s="126"/>
      <c r="L96" s="126"/>
      <c r="M96" s="126"/>
      <c r="N96" s="126"/>
      <c r="O96" s="188">
        <v>14497.361999999999</v>
      </c>
      <c r="P96" s="188">
        <v>14572.074000000001</v>
      </c>
      <c r="Q96" s="7"/>
      <c r="R96" s="228"/>
      <c r="S96" s="140">
        <v>40</v>
      </c>
      <c r="T96" s="124">
        <f>(P96-O96)*S96</f>
        <v>2988.4800000000541</v>
      </c>
      <c r="U96" s="717" t="s">
        <v>134</v>
      </c>
      <c r="V96" s="128" t="s">
        <v>135</v>
      </c>
      <c r="W96" s="14" t="s">
        <v>27</v>
      </c>
      <c r="X96" s="7"/>
      <c r="Y96" s="7"/>
      <c r="Z96" s="149"/>
      <c r="AA96" s="149"/>
      <c r="AB96" s="149"/>
      <c r="AC96" s="149"/>
    </row>
    <row r="97" spans="1:29" ht="25.5" customHeight="1">
      <c r="A97" s="755"/>
      <c r="B97" s="158"/>
      <c r="C97" s="124"/>
      <c r="D97" s="124"/>
      <c r="E97" s="124"/>
      <c r="F97" s="124"/>
      <c r="G97" s="124"/>
      <c r="H97" s="124"/>
      <c r="I97" s="124">
        <f>0.5*C97</f>
        <v>0</v>
      </c>
      <c r="J97" s="126"/>
      <c r="K97" s="126"/>
      <c r="L97" s="126"/>
      <c r="M97" s="126"/>
      <c r="N97" s="126"/>
      <c r="O97" s="124"/>
      <c r="P97" s="124"/>
      <c r="Q97" s="138"/>
      <c r="R97" s="215"/>
      <c r="S97" s="140"/>
      <c r="T97" s="124"/>
      <c r="U97" s="717"/>
      <c r="V97" s="128"/>
      <c r="W97" s="14"/>
      <c r="X97" s="7"/>
      <c r="Y97" s="7"/>
      <c r="Z97" s="149"/>
      <c r="AA97" s="149"/>
      <c r="AB97" s="149"/>
      <c r="AC97" s="149"/>
    </row>
    <row r="98" spans="1:29" ht="25.5" customHeight="1">
      <c r="A98" s="755"/>
      <c r="B98" s="833" t="s">
        <v>136</v>
      </c>
      <c r="C98" s="124">
        <f>H98+E98</f>
        <v>11231.999999999971</v>
      </c>
      <c r="D98" s="124"/>
      <c r="E98" s="124">
        <f>F98+G98</f>
        <v>0</v>
      </c>
      <c r="F98" s="124">
        <v>0</v>
      </c>
      <c r="G98" s="124">
        <v>0</v>
      </c>
      <c r="H98" s="124">
        <f>T98+T99</f>
        <v>11231.999999999971</v>
      </c>
      <c r="I98" s="124">
        <f>0.6*C98</f>
        <v>6739.1999999999825</v>
      </c>
      <c r="J98" s="126"/>
      <c r="K98" s="126"/>
      <c r="L98" s="126"/>
      <c r="M98" s="126"/>
      <c r="N98" s="126"/>
      <c r="O98" s="124">
        <v>64090.84</v>
      </c>
      <c r="P98" s="124">
        <v>64090.84</v>
      </c>
      <c r="Q98" s="138"/>
      <c r="R98" s="215"/>
      <c r="S98" s="140">
        <v>80</v>
      </c>
      <c r="T98" s="124">
        <f>(P98-O98)*S98</f>
        <v>0</v>
      </c>
      <c r="U98" s="717" t="s">
        <v>1118</v>
      </c>
      <c r="V98" s="128" t="s">
        <v>137</v>
      </c>
      <c r="W98" s="14" t="s">
        <v>27</v>
      </c>
      <c r="X98" s="7"/>
      <c r="Y98" s="7"/>
      <c r="Z98" s="149"/>
      <c r="AA98" s="149"/>
      <c r="AB98" s="149"/>
      <c r="AC98" s="149"/>
    </row>
    <row r="99" spans="1:29" ht="25.5">
      <c r="A99" s="19"/>
      <c r="B99" s="834"/>
      <c r="C99" s="124"/>
      <c r="D99" s="124"/>
      <c r="E99" s="124"/>
      <c r="F99" s="124"/>
      <c r="G99" s="124"/>
      <c r="H99" s="124"/>
      <c r="I99" s="124">
        <f>0.6*C99</f>
        <v>0</v>
      </c>
      <c r="J99" s="126"/>
      <c r="K99" s="126"/>
      <c r="L99" s="126"/>
      <c r="M99" s="126"/>
      <c r="N99" s="126"/>
      <c r="O99" s="124">
        <v>3319.4</v>
      </c>
      <c r="P99" s="124">
        <v>3389.6</v>
      </c>
      <c r="Q99" s="138"/>
      <c r="R99" s="215"/>
      <c r="S99" s="140">
        <v>80</v>
      </c>
      <c r="T99" s="124">
        <f>(P99-O99)*S99*2</f>
        <v>11231.999999999971</v>
      </c>
      <c r="U99" s="717" t="s">
        <v>1119</v>
      </c>
      <c r="V99" s="128" t="s">
        <v>138</v>
      </c>
      <c r="W99" s="14" t="s">
        <v>27</v>
      </c>
      <c r="X99" s="93"/>
      <c r="Y99" s="93"/>
      <c r="Z99" s="149"/>
      <c r="AA99" s="149"/>
      <c r="AB99" s="149"/>
      <c r="AC99" s="149"/>
    </row>
    <row r="100" spans="1:29" ht="25.5">
      <c r="A100" s="157"/>
      <c r="B100" s="158"/>
      <c r="C100" s="124"/>
      <c r="D100" s="124"/>
      <c r="E100" s="125"/>
      <c r="F100" s="125"/>
      <c r="G100" s="125"/>
      <c r="H100" s="124"/>
      <c r="I100" s="125"/>
      <c r="J100" s="126"/>
      <c r="K100" s="126"/>
      <c r="L100" s="126"/>
      <c r="M100" s="126"/>
      <c r="N100" s="126"/>
      <c r="O100" s="124"/>
      <c r="P100" s="124"/>
      <c r="Q100" s="126"/>
      <c r="R100" s="159"/>
      <c r="S100" s="124"/>
      <c r="T100" s="124"/>
      <c r="U100" s="717"/>
      <c r="V100" s="128"/>
      <c r="W100" s="47"/>
      <c r="X100" s="93"/>
      <c r="Y100" s="93"/>
      <c r="Z100" s="149"/>
      <c r="AA100" s="149"/>
      <c r="AB100" s="149"/>
      <c r="AC100" s="149"/>
    </row>
    <row r="101" spans="1:29" ht="26.25">
      <c r="A101" s="157"/>
      <c r="B101" s="123" t="s">
        <v>710</v>
      </c>
      <c r="C101" s="97">
        <f>H101+E101</f>
        <v>7860</v>
      </c>
      <c r="D101" s="124"/>
      <c r="E101" s="124">
        <f>F101+G101</f>
        <v>0</v>
      </c>
      <c r="F101" s="124">
        <f>X101</f>
        <v>0</v>
      </c>
      <c r="G101" s="124">
        <f>Y101</f>
        <v>0</v>
      </c>
      <c r="H101" s="124">
        <f>T102+T105+T108</f>
        <v>7860</v>
      </c>
      <c r="I101" s="124">
        <f>T103+0.5*(T108+T105)</f>
        <v>2040</v>
      </c>
      <c r="J101" s="126"/>
      <c r="K101" s="126"/>
      <c r="L101" s="126"/>
      <c r="M101" s="126"/>
      <c r="N101" s="126" t="s">
        <v>139</v>
      </c>
      <c r="O101" s="124"/>
      <c r="P101" s="124"/>
      <c r="Q101" s="138"/>
      <c r="R101" s="159"/>
      <c r="S101" s="124">
        <v>1</v>
      </c>
      <c r="T101" s="124">
        <f t="shared" ref="T101:T108" si="15">(P101-O101)*S101</f>
        <v>0</v>
      </c>
      <c r="U101" s="717"/>
      <c r="V101" s="128"/>
      <c r="W101" s="47" t="s">
        <v>31</v>
      </c>
      <c r="X101" s="93"/>
      <c r="Y101" s="93"/>
      <c r="Z101" s="7"/>
      <c r="AA101" s="7"/>
      <c r="AB101" s="7"/>
      <c r="AC101" s="7"/>
    </row>
    <row r="102" spans="1:29" ht="25.5">
      <c r="A102" s="157"/>
      <c r="B102" s="158" t="s">
        <v>140</v>
      </c>
      <c r="C102" s="124"/>
      <c r="D102" s="124"/>
      <c r="E102" s="124"/>
      <c r="F102" s="124"/>
      <c r="G102" s="124"/>
      <c r="H102" s="124"/>
      <c r="I102" s="125"/>
      <c r="J102" s="126"/>
      <c r="K102" s="126"/>
      <c r="L102" s="126"/>
      <c r="M102" s="126"/>
      <c r="N102" s="126"/>
      <c r="O102" s="124">
        <v>29197</v>
      </c>
      <c r="P102" s="124">
        <v>29260</v>
      </c>
      <c r="Q102" s="138"/>
      <c r="R102" s="159"/>
      <c r="S102" s="124">
        <v>60</v>
      </c>
      <c r="T102" s="124">
        <f>(P102-O102)*S102</f>
        <v>3780</v>
      </c>
      <c r="U102" s="717">
        <v>36259</v>
      </c>
      <c r="V102" s="128" t="s">
        <v>141</v>
      </c>
      <c r="W102" s="14"/>
      <c r="X102" s="7"/>
      <c r="Y102" s="7"/>
      <c r="Z102" s="7"/>
      <c r="AA102" s="7"/>
      <c r="AB102" s="7"/>
      <c r="AC102" s="7"/>
    </row>
    <row r="103" spans="1:29" ht="25.5">
      <c r="A103" s="157"/>
      <c r="B103" s="158"/>
      <c r="C103" s="124"/>
      <c r="D103" s="124"/>
      <c r="E103" s="124"/>
      <c r="F103" s="124"/>
      <c r="G103" s="124"/>
      <c r="H103" s="124"/>
      <c r="I103" s="125"/>
      <c r="J103" s="126"/>
      <c r="K103" s="126"/>
      <c r="L103" s="126"/>
      <c r="M103" s="126"/>
      <c r="N103" s="126"/>
      <c r="O103" s="124"/>
      <c r="P103" s="124"/>
      <c r="Q103" s="138"/>
      <c r="R103" s="159"/>
      <c r="S103" s="124">
        <v>60</v>
      </c>
      <c r="T103" s="124">
        <f t="shared" si="15"/>
        <v>0</v>
      </c>
      <c r="U103" s="717"/>
      <c r="V103" s="128"/>
      <c r="W103" s="134"/>
      <c r="X103" s="149"/>
      <c r="Y103" s="149"/>
      <c r="Z103" s="7"/>
      <c r="AA103" s="7"/>
      <c r="AB103" s="7"/>
      <c r="AC103" s="7"/>
    </row>
    <row r="104" spans="1:29" ht="25.5">
      <c r="A104" s="157"/>
      <c r="B104" s="158"/>
      <c r="C104" s="124"/>
      <c r="D104" s="124"/>
      <c r="E104" s="124"/>
      <c r="F104" s="124"/>
      <c r="G104" s="124"/>
      <c r="H104" s="124"/>
      <c r="I104" s="125"/>
      <c r="J104" s="126"/>
      <c r="K104" s="126"/>
      <c r="L104" s="126"/>
      <c r="M104" s="126"/>
      <c r="N104" s="126"/>
      <c r="O104" s="124"/>
      <c r="P104" s="124"/>
      <c r="Q104" s="138"/>
      <c r="R104" s="159"/>
      <c r="S104" s="124">
        <v>60</v>
      </c>
      <c r="T104" s="124">
        <f t="shared" si="15"/>
        <v>0</v>
      </c>
      <c r="U104" s="717"/>
      <c r="V104" s="128"/>
      <c r="W104" s="134"/>
      <c r="X104" s="149"/>
      <c r="Y104" s="149"/>
      <c r="Z104" s="7"/>
      <c r="AA104" s="7"/>
      <c r="AB104" s="7"/>
      <c r="AC104" s="7"/>
    </row>
    <row r="105" spans="1:29" ht="25.5">
      <c r="A105" s="157"/>
      <c r="B105" s="158" t="s">
        <v>142</v>
      </c>
      <c r="C105" s="124"/>
      <c r="D105" s="124"/>
      <c r="E105" s="124"/>
      <c r="F105" s="124"/>
      <c r="G105" s="124"/>
      <c r="H105" s="124"/>
      <c r="I105" s="125"/>
      <c r="J105" s="126"/>
      <c r="K105" s="126"/>
      <c r="L105" s="126"/>
      <c r="M105" s="126"/>
      <c r="N105" s="126"/>
      <c r="O105" s="124">
        <v>6061</v>
      </c>
      <c r="P105" s="124">
        <v>6096</v>
      </c>
      <c r="Q105" s="138"/>
      <c r="R105" s="215"/>
      <c r="S105" s="124">
        <v>40</v>
      </c>
      <c r="T105" s="124">
        <f t="shared" si="15"/>
        <v>1400</v>
      </c>
      <c r="U105" s="717">
        <v>580023</v>
      </c>
      <c r="V105" s="128"/>
      <c r="W105" s="134"/>
      <c r="X105" s="149"/>
      <c r="Y105" s="149"/>
      <c r="Z105" s="7"/>
      <c r="AA105" s="7"/>
      <c r="AB105" s="7"/>
      <c r="AC105" s="7"/>
    </row>
    <row r="106" spans="1:29" ht="25.5">
      <c r="A106" s="157"/>
      <c r="B106" s="158"/>
      <c r="C106" s="124"/>
      <c r="D106" s="124"/>
      <c r="E106" s="124"/>
      <c r="F106" s="124"/>
      <c r="G106" s="124"/>
      <c r="H106" s="124"/>
      <c r="I106" s="125"/>
      <c r="J106" s="126"/>
      <c r="K106" s="126"/>
      <c r="L106" s="126"/>
      <c r="M106" s="126"/>
      <c r="N106" s="126"/>
      <c r="O106" s="124"/>
      <c r="P106" s="124"/>
      <c r="Q106" s="138"/>
      <c r="R106" s="159"/>
      <c r="S106" s="124">
        <v>20</v>
      </c>
      <c r="T106" s="124">
        <f t="shared" si="15"/>
        <v>0</v>
      </c>
      <c r="U106" s="717"/>
      <c r="V106" s="128"/>
      <c r="W106" s="134"/>
      <c r="X106" s="149"/>
      <c r="Y106" s="149"/>
      <c r="Z106" s="7"/>
      <c r="AA106" s="7"/>
      <c r="AB106" s="7"/>
      <c r="AC106" s="7"/>
    </row>
    <row r="107" spans="1:29" ht="25.5">
      <c r="A107" s="157"/>
      <c r="B107" s="158"/>
      <c r="C107" s="124"/>
      <c r="D107" s="124"/>
      <c r="E107" s="124"/>
      <c r="F107" s="124"/>
      <c r="G107" s="124"/>
      <c r="H107" s="124"/>
      <c r="I107" s="125"/>
      <c r="J107" s="126"/>
      <c r="K107" s="126"/>
      <c r="L107" s="126"/>
      <c r="M107" s="126"/>
      <c r="N107" s="126"/>
      <c r="O107" s="124"/>
      <c r="P107" s="124"/>
      <c r="Q107" s="138"/>
      <c r="R107" s="159"/>
      <c r="S107" s="124">
        <v>40</v>
      </c>
      <c r="T107" s="124">
        <f t="shared" si="15"/>
        <v>0</v>
      </c>
      <c r="U107" s="717"/>
      <c r="V107" s="128"/>
      <c r="W107" s="134"/>
      <c r="X107" s="149"/>
      <c r="Y107" s="149"/>
      <c r="Z107" s="7"/>
      <c r="AA107" s="7"/>
      <c r="AB107" s="7"/>
      <c r="AC107" s="7"/>
    </row>
    <row r="108" spans="1:29" ht="25.5">
      <c r="A108" s="157"/>
      <c r="B108" s="158" t="s">
        <v>143</v>
      </c>
      <c r="C108" s="124"/>
      <c r="D108" s="124"/>
      <c r="E108" s="124"/>
      <c r="F108" s="124"/>
      <c r="G108" s="124"/>
      <c r="H108" s="124"/>
      <c r="I108" s="125"/>
      <c r="J108" s="126"/>
      <c r="K108" s="126"/>
      <c r="L108" s="126"/>
      <c r="M108" s="126"/>
      <c r="N108" s="126"/>
      <c r="O108" s="124">
        <v>5331</v>
      </c>
      <c r="P108" s="124">
        <v>5398</v>
      </c>
      <c r="Q108" s="138"/>
      <c r="R108" s="159"/>
      <c r="S108" s="124">
        <v>40</v>
      </c>
      <c r="T108" s="124">
        <f t="shared" si="15"/>
        <v>2680</v>
      </c>
      <c r="U108" s="717">
        <v>951989</v>
      </c>
      <c r="V108" s="128"/>
      <c r="W108" s="14"/>
      <c r="X108" s="7"/>
      <c r="Y108" s="7"/>
      <c r="Z108" s="7"/>
      <c r="AA108" s="7"/>
      <c r="AB108" s="7"/>
      <c r="AC108" s="7"/>
    </row>
    <row r="109" spans="1:29" ht="27.75">
      <c r="A109" s="19"/>
      <c r="B109" s="141" t="s">
        <v>86</v>
      </c>
      <c r="C109" s="115">
        <f>C96+C101</f>
        <v>10848.480000000054</v>
      </c>
      <c r="D109" s="115"/>
      <c r="E109" s="115"/>
      <c r="F109" s="91"/>
      <c r="G109" s="91"/>
      <c r="H109" s="115">
        <f>SUM(H99:H108)</f>
        <v>7860</v>
      </c>
      <c r="I109" s="115">
        <f>I101+I99</f>
        <v>2040</v>
      </c>
      <c r="J109" s="160">
        <f>SUM(J99:J105)</f>
        <v>0</v>
      </c>
      <c r="K109" s="160">
        <f>SUM(K99:K105)</f>
        <v>0</v>
      </c>
      <c r="L109" s="160">
        <f>SUM(L99:L105)</f>
        <v>0</v>
      </c>
      <c r="M109" s="160">
        <f>SUM(M99:M105)</f>
        <v>0</v>
      </c>
      <c r="N109" s="22"/>
      <c r="O109" s="91"/>
      <c r="P109" s="91"/>
      <c r="Q109" s="149"/>
      <c r="R109" s="161"/>
      <c r="S109" s="91"/>
      <c r="T109" s="91"/>
      <c r="U109" s="644"/>
      <c r="V109" s="759"/>
      <c r="W109" s="14"/>
      <c r="X109" s="7"/>
      <c r="Y109" s="7"/>
      <c r="Z109" s="7"/>
      <c r="AA109" s="7"/>
      <c r="AB109" s="7"/>
      <c r="AC109" s="7"/>
    </row>
    <row r="110" spans="1:29" ht="26.25">
      <c r="A110" s="19"/>
      <c r="B110" s="143"/>
      <c r="C110" s="115"/>
      <c r="D110" s="115"/>
      <c r="E110" s="115"/>
      <c r="F110" s="91"/>
      <c r="G110" s="91"/>
      <c r="H110" s="91"/>
      <c r="I110" s="115"/>
      <c r="J110" s="162"/>
      <c r="K110" s="162"/>
      <c r="L110" s="162"/>
      <c r="M110" s="162"/>
      <c r="N110" s="22"/>
      <c r="O110" s="91"/>
      <c r="P110" s="91"/>
      <c r="Q110" s="149"/>
      <c r="R110" s="161"/>
      <c r="S110" s="91"/>
      <c r="T110" s="91"/>
      <c r="U110" s="644"/>
      <c r="V110" s="759"/>
      <c r="W110" s="14"/>
      <c r="X110" s="7"/>
      <c r="Y110" s="7"/>
      <c r="Z110" s="7"/>
      <c r="AA110" s="7"/>
      <c r="AB110" s="7"/>
      <c r="AC110" s="7"/>
    </row>
    <row r="111" spans="1:29" ht="26.25">
      <c r="A111" s="19"/>
      <c r="B111" s="163" t="s">
        <v>144</v>
      </c>
      <c r="C111" s="115"/>
      <c r="D111" s="115"/>
      <c r="E111" s="115"/>
      <c r="F111" s="91"/>
      <c r="G111" s="91"/>
      <c r="H111" s="91"/>
      <c r="I111" s="91"/>
      <c r="J111" s="162"/>
      <c r="K111" s="162"/>
      <c r="L111" s="162"/>
      <c r="M111" s="162"/>
      <c r="N111" s="22"/>
      <c r="O111" s="91"/>
      <c r="P111" s="91"/>
      <c r="Q111" s="22" t="s">
        <v>50</v>
      </c>
      <c r="R111" s="142"/>
      <c r="S111" s="91"/>
      <c r="T111" s="91"/>
      <c r="U111" s="644"/>
      <c r="V111" s="759"/>
      <c r="W111" s="14"/>
      <c r="X111" s="7"/>
      <c r="Y111" s="7"/>
      <c r="Z111" s="7"/>
      <c r="AA111" s="7"/>
      <c r="AB111" s="7"/>
      <c r="AC111" s="7"/>
    </row>
    <row r="112" spans="1:29" ht="26.25">
      <c r="A112" s="19"/>
      <c r="C112" s="91"/>
      <c r="D112" s="115"/>
      <c r="E112" s="115"/>
      <c r="F112" s="91"/>
      <c r="G112" s="91"/>
      <c r="H112" s="91"/>
      <c r="I112" s="91"/>
      <c r="J112" s="164"/>
      <c r="K112" s="164"/>
      <c r="L112" s="164"/>
      <c r="M112" s="164"/>
      <c r="N112" s="164"/>
      <c r="O112" s="91"/>
      <c r="P112" s="91"/>
      <c r="Q112" s="7"/>
      <c r="R112" s="94"/>
      <c r="S112" s="91"/>
      <c r="T112" s="91"/>
      <c r="U112" s="644"/>
      <c r="V112" s="759"/>
      <c r="W112" s="14"/>
      <c r="X112" s="7"/>
      <c r="Y112" s="7"/>
      <c r="Z112" s="7"/>
      <c r="AA112" s="7"/>
      <c r="AB112" s="7"/>
      <c r="AC112" s="7"/>
    </row>
    <row r="113" spans="1:29" ht="26.25">
      <c r="A113" s="19"/>
      <c r="B113" s="163" t="s">
        <v>145</v>
      </c>
      <c r="C113" s="91"/>
      <c r="D113" s="115"/>
      <c r="E113" s="115"/>
      <c r="F113" s="91"/>
      <c r="G113" s="91"/>
      <c r="H113" s="91"/>
      <c r="I113" s="91"/>
      <c r="J113" s="164"/>
      <c r="K113" s="164"/>
      <c r="L113" s="164"/>
      <c r="M113" s="164"/>
      <c r="N113" s="164"/>
      <c r="O113" s="91"/>
      <c r="P113" s="91"/>
      <c r="Q113" s="7"/>
      <c r="R113" s="94"/>
      <c r="S113" s="91"/>
      <c r="T113" s="91"/>
      <c r="U113" s="644"/>
      <c r="V113" s="759"/>
      <c r="W113" s="14"/>
      <c r="X113" s="7"/>
      <c r="Y113" s="7"/>
      <c r="Z113" s="7"/>
      <c r="AA113" s="7"/>
      <c r="AB113" s="7"/>
      <c r="AC113" s="7"/>
    </row>
    <row r="114" spans="1:29" ht="25.5">
      <c r="A114" s="19"/>
      <c r="B114" s="148" t="s">
        <v>787</v>
      </c>
      <c r="C114" s="91">
        <f>H114+E114</f>
        <v>0</v>
      </c>
      <c r="D114" s="91"/>
      <c r="E114" s="91"/>
      <c r="F114" s="91">
        <f t="shared" ref="F114:F124" si="16">0.04*H114</f>
        <v>0</v>
      </c>
      <c r="G114" s="91">
        <f t="shared" ref="G114:G124" si="17">0.03*H114</f>
        <v>0</v>
      </c>
      <c r="H114" s="91">
        <f>T114</f>
        <v>0</v>
      </c>
      <c r="I114" s="91">
        <f>0.6*C114</f>
        <v>0</v>
      </c>
      <c r="J114" s="22"/>
      <c r="K114" s="22"/>
      <c r="L114" s="22"/>
      <c r="M114" s="22"/>
      <c r="N114" s="22" t="s">
        <v>146</v>
      </c>
      <c r="O114" s="91">
        <v>196697</v>
      </c>
      <c r="P114" s="91">
        <v>196697</v>
      </c>
      <c r="Q114" s="122"/>
      <c r="R114" s="173"/>
      <c r="S114" s="151">
        <v>1</v>
      </c>
      <c r="T114" s="91">
        <f>(P114-O114)*S114</f>
        <v>0</v>
      </c>
      <c r="U114" s="644">
        <v>42221906</v>
      </c>
      <c r="V114" s="761" t="s">
        <v>147</v>
      </c>
      <c r="W114" s="47" t="s">
        <v>31</v>
      </c>
      <c r="X114" s="7"/>
      <c r="Y114" s="7"/>
      <c r="Z114" s="7"/>
      <c r="AA114" s="7"/>
      <c r="AB114" s="7"/>
      <c r="AC114" s="7"/>
    </row>
    <row r="115" spans="1:29" ht="25.5">
      <c r="A115" s="19"/>
      <c r="B115" s="148" t="s">
        <v>148</v>
      </c>
      <c r="C115" s="91">
        <f>H115+E115</f>
        <v>7567.0400000001246</v>
      </c>
      <c r="D115" s="91"/>
      <c r="E115" s="91">
        <f t="shared" ref="E115:E130" si="18">F115+G115</f>
        <v>495.04000000000815</v>
      </c>
      <c r="F115" s="91">
        <f t="shared" si="16"/>
        <v>282.88000000000466</v>
      </c>
      <c r="G115" s="91">
        <f t="shared" si="17"/>
        <v>212.16000000000349</v>
      </c>
      <c r="H115" s="91">
        <f>T115</f>
        <v>7072.0000000001164</v>
      </c>
      <c r="I115" s="91">
        <f>0.6*C115</f>
        <v>4540.2240000000747</v>
      </c>
      <c r="J115" s="22"/>
      <c r="K115" s="22"/>
      <c r="L115" s="22"/>
      <c r="M115" s="22"/>
      <c r="N115" s="22" t="s">
        <v>149</v>
      </c>
      <c r="O115" s="91">
        <v>9421.2999999999993</v>
      </c>
      <c r="P115" s="91">
        <v>9509.7000000000007</v>
      </c>
      <c r="Q115" s="149"/>
      <c r="R115" s="211"/>
      <c r="S115" s="151">
        <v>80</v>
      </c>
      <c r="T115" s="91">
        <f>(P115-O115)*S115</f>
        <v>7072.0000000001164</v>
      </c>
      <c r="U115" s="644">
        <v>440479</v>
      </c>
      <c r="V115" s="761" t="s">
        <v>150</v>
      </c>
      <c r="W115" s="47" t="s">
        <v>31</v>
      </c>
      <c r="X115" s="7"/>
      <c r="Y115" s="7"/>
      <c r="Z115" s="7"/>
      <c r="AA115" s="7"/>
      <c r="AB115" s="7"/>
      <c r="AC115" s="7"/>
    </row>
    <row r="116" spans="1:29" ht="25.5">
      <c r="A116" s="19"/>
      <c r="W116" s="14"/>
      <c r="X116" s="7"/>
      <c r="Y116" s="7"/>
      <c r="Z116" s="7"/>
      <c r="AA116" s="7"/>
      <c r="AB116" s="7"/>
      <c r="AC116" s="7"/>
    </row>
    <row r="117" spans="1:29" ht="25.5">
      <c r="A117" s="19"/>
      <c r="B117" s="166" t="s">
        <v>153</v>
      </c>
      <c r="C117" s="56">
        <f t="shared" ref="C117:C130" si="19">H117+E117</f>
        <v>0</v>
      </c>
      <c r="D117" s="56"/>
      <c r="E117" s="56">
        <f t="shared" si="18"/>
        <v>0</v>
      </c>
      <c r="F117" s="56">
        <f t="shared" si="16"/>
        <v>0</v>
      </c>
      <c r="G117" s="56">
        <f t="shared" si="17"/>
        <v>0</v>
      </c>
      <c r="H117" s="56">
        <f t="shared" ref="H117:H130" si="20">T117</f>
        <v>0</v>
      </c>
      <c r="I117" s="56">
        <f>0.6*C117</f>
        <v>0</v>
      </c>
      <c r="J117" s="57"/>
      <c r="K117" s="57"/>
      <c r="L117" s="57"/>
      <c r="M117" s="57"/>
      <c r="N117" s="57" t="s">
        <v>154</v>
      </c>
      <c r="O117" s="56">
        <v>982</v>
      </c>
      <c r="P117" s="56">
        <v>982</v>
      </c>
      <c r="Q117" s="169"/>
      <c r="R117" s="170"/>
      <c r="S117" s="56">
        <v>1</v>
      </c>
      <c r="T117" s="56">
        <f t="shared" ref="T117:T130" si="21">(P117-O117)*S117</f>
        <v>0</v>
      </c>
      <c r="U117" s="721" t="s">
        <v>155</v>
      </c>
      <c r="V117" s="60" t="s">
        <v>156</v>
      </c>
      <c r="W117" s="14"/>
      <c r="X117" s="7"/>
      <c r="Y117" s="7"/>
      <c r="Z117" s="7"/>
      <c r="AA117" s="7"/>
      <c r="AB117" s="7"/>
      <c r="AC117" s="7"/>
    </row>
    <row r="118" spans="1:29" ht="26.25">
      <c r="A118" s="19"/>
      <c r="B118" s="90" t="s">
        <v>157</v>
      </c>
      <c r="C118" s="601">
        <f t="shared" si="19"/>
        <v>43399.199999999997</v>
      </c>
      <c r="D118" s="115"/>
      <c r="E118" s="115">
        <f t="shared" si="18"/>
        <v>2839.2</v>
      </c>
      <c r="F118" s="115">
        <f t="shared" si="16"/>
        <v>1622.4</v>
      </c>
      <c r="G118" s="115">
        <f t="shared" si="17"/>
        <v>1216.8</v>
      </c>
      <c r="H118" s="115">
        <f t="shared" si="20"/>
        <v>40560</v>
      </c>
      <c r="I118" s="115">
        <v>11490</v>
      </c>
      <c r="J118" s="164"/>
      <c r="K118" s="164"/>
      <c r="L118" s="164"/>
      <c r="M118" s="164"/>
      <c r="N118" s="164"/>
      <c r="O118" s="115">
        <v>47496</v>
      </c>
      <c r="P118" s="115">
        <v>47834</v>
      </c>
      <c r="Q118" s="149"/>
      <c r="R118" s="247"/>
      <c r="S118" s="248">
        <v>120</v>
      </c>
      <c r="T118" s="91">
        <f t="shared" si="21"/>
        <v>40560</v>
      </c>
      <c r="U118" s="644"/>
      <c r="V118" s="761" t="s">
        <v>158</v>
      </c>
      <c r="W118" s="14" t="s">
        <v>48</v>
      </c>
      <c r="X118" s="7"/>
      <c r="Y118" s="7"/>
      <c r="Z118" s="7"/>
      <c r="AA118" s="7"/>
      <c r="AB118" s="7"/>
      <c r="AC118" s="7"/>
    </row>
    <row r="119" spans="1:29" ht="25.5">
      <c r="A119" s="19"/>
      <c r="B119" s="148" t="s">
        <v>159</v>
      </c>
      <c r="C119" s="91">
        <f>H119+E119</f>
        <v>63.13</v>
      </c>
      <c r="D119" s="91"/>
      <c r="E119" s="91">
        <f>F119+G119</f>
        <v>4.13</v>
      </c>
      <c r="F119" s="91">
        <f>0.04*H119</f>
        <v>2.36</v>
      </c>
      <c r="G119" s="91">
        <f>0.03*H119</f>
        <v>1.77</v>
      </c>
      <c r="H119" s="91">
        <f>T119</f>
        <v>59</v>
      </c>
      <c r="I119" s="91">
        <f>0.6*C119</f>
        <v>37.878</v>
      </c>
      <c r="J119" s="22"/>
      <c r="K119" s="22"/>
      <c r="L119" s="22"/>
      <c r="M119" s="22"/>
      <c r="N119" s="22"/>
      <c r="O119" s="91">
        <v>59625</v>
      </c>
      <c r="P119" s="91">
        <v>59684</v>
      </c>
      <c r="Q119" s="122"/>
      <c r="R119" s="173"/>
      <c r="S119" s="151">
        <v>1</v>
      </c>
      <c r="T119" s="91">
        <f>(P119-O119)*S119</f>
        <v>59</v>
      </c>
      <c r="U119" s="644">
        <v>91423</v>
      </c>
      <c r="V119" s="761" t="s">
        <v>21</v>
      </c>
      <c r="W119" s="14" t="s">
        <v>22</v>
      </c>
      <c r="X119" s="7"/>
      <c r="Y119" s="7"/>
      <c r="Z119" s="7"/>
      <c r="AA119" s="7"/>
      <c r="AB119" s="7"/>
      <c r="AC119" s="7"/>
    </row>
    <row r="120" spans="1:29" ht="26.25">
      <c r="A120" s="19"/>
      <c r="B120" s="148"/>
      <c r="C120" s="56">
        <f>H120+E120</f>
        <v>0</v>
      </c>
      <c r="D120" s="175"/>
      <c r="E120" s="56">
        <f>F120+G120</f>
        <v>0</v>
      </c>
      <c r="F120" s="56">
        <f>0.04*H120</f>
        <v>0</v>
      </c>
      <c r="G120" s="56">
        <f>0.03*H120</f>
        <v>0</v>
      </c>
      <c r="H120" s="56">
        <f>T120</f>
        <v>0</v>
      </c>
      <c r="I120" s="176">
        <f>0.6*C120</f>
        <v>0</v>
      </c>
      <c r="J120" s="58"/>
      <c r="K120" s="58"/>
      <c r="L120" s="58"/>
      <c r="M120" s="58"/>
      <c r="N120" s="58"/>
      <c r="O120" s="175">
        <v>16982</v>
      </c>
      <c r="P120" s="175">
        <v>16982</v>
      </c>
      <c r="Q120" s="177"/>
      <c r="R120" s="178"/>
      <c r="S120" s="175">
        <v>1</v>
      </c>
      <c r="T120" s="56">
        <f>(P120-O120)*S120</f>
        <v>0</v>
      </c>
      <c r="U120" s="721">
        <v>2437131</v>
      </c>
      <c r="V120" s="60" t="s">
        <v>174</v>
      </c>
      <c r="W120" s="14"/>
      <c r="X120" s="7"/>
      <c r="Y120" s="7"/>
      <c r="Z120" s="7"/>
      <c r="AA120" s="7"/>
      <c r="AB120" s="7"/>
      <c r="AC120" s="7"/>
    </row>
    <row r="121" spans="1:29" ht="25.5">
      <c r="A121" s="19"/>
      <c r="B121" s="148" t="s">
        <v>148</v>
      </c>
      <c r="C121" s="91">
        <f t="shared" si="19"/>
        <v>515.74</v>
      </c>
      <c r="D121" s="91"/>
      <c r="E121" s="91">
        <f t="shared" si="18"/>
        <v>33.74</v>
      </c>
      <c r="F121" s="91">
        <f t="shared" si="16"/>
        <v>19.28</v>
      </c>
      <c r="G121" s="91">
        <f t="shared" si="17"/>
        <v>14.459999999999999</v>
      </c>
      <c r="H121" s="91">
        <f t="shared" si="20"/>
        <v>482</v>
      </c>
      <c r="I121" s="91">
        <f>0.6*C121</f>
        <v>309.44400000000002</v>
      </c>
      <c r="J121" s="22"/>
      <c r="K121" s="22"/>
      <c r="L121" s="22"/>
      <c r="M121" s="22"/>
      <c r="N121" s="22"/>
      <c r="O121" s="91">
        <v>7359</v>
      </c>
      <c r="P121" s="91">
        <v>7841</v>
      </c>
      <c r="Q121" s="122"/>
      <c r="R121" s="173"/>
      <c r="S121" s="151">
        <v>1</v>
      </c>
      <c r="T121" s="91">
        <f t="shared" si="21"/>
        <v>482</v>
      </c>
      <c r="U121" s="644">
        <v>9695</v>
      </c>
      <c r="V121" s="761" t="s">
        <v>160</v>
      </c>
      <c r="W121" s="134" t="s">
        <v>31</v>
      </c>
      <c r="X121" s="7"/>
      <c r="Y121" s="7"/>
      <c r="Z121" s="7"/>
      <c r="AA121" s="7"/>
      <c r="AB121" s="7"/>
      <c r="AC121" s="7"/>
    </row>
    <row r="122" spans="1:29" ht="25.5">
      <c r="A122" s="19"/>
      <c r="B122" s="148" t="s">
        <v>161</v>
      </c>
      <c r="C122" s="91">
        <f t="shared" si="19"/>
        <v>307.08999999999997</v>
      </c>
      <c r="D122" s="91"/>
      <c r="E122" s="91">
        <f t="shared" si="18"/>
        <v>20.09</v>
      </c>
      <c r="F122" s="91">
        <f t="shared" si="16"/>
        <v>11.48</v>
      </c>
      <c r="G122" s="91">
        <f t="shared" si="17"/>
        <v>8.61</v>
      </c>
      <c r="H122" s="91">
        <f t="shared" si="20"/>
        <v>287</v>
      </c>
      <c r="I122" s="91">
        <f>0.6*C122</f>
        <v>184.25399999999999</v>
      </c>
      <c r="J122" s="22"/>
      <c r="K122" s="22"/>
      <c r="L122" s="22"/>
      <c r="M122" s="22"/>
      <c r="N122" s="22"/>
      <c r="O122" s="91">
        <f>58479+31600</f>
        <v>90079</v>
      </c>
      <c r="P122" s="91">
        <f>58646+31720</f>
        <v>90366</v>
      </c>
      <c r="Q122" s="122"/>
      <c r="R122" s="173"/>
      <c r="S122" s="151">
        <v>1</v>
      </c>
      <c r="T122" s="91">
        <f t="shared" si="21"/>
        <v>287</v>
      </c>
      <c r="U122" s="644" t="s">
        <v>1121</v>
      </c>
      <c r="V122" s="761" t="s">
        <v>162</v>
      </c>
      <c r="W122" s="14" t="s">
        <v>31</v>
      </c>
      <c r="X122" s="7"/>
      <c r="Y122" s="7"/>
      <c r="Z122" s="7"/>
      <c r="AA122" s="7"/>
      <c r="AB122" s="7"/>
      <c r="AC122" s="7"/>
    </row>
    <row r="123" spans="1:29" ht="25.5">
      <c r="A123" s="19"/>
      <c r="B123" s="148" t="s">
        <v>163</v>
      </c>
      <c r="C123" s="91">
        <f>H123+E123</f>
        <v>2957.48</v>
      </c>
      <c r="D123" s="91"/>
      <c r="E123" s="91">
        <f t="shared" si="18"/>
        <v>193.48000000000002</v>
      </c>
      <c r="F123" s="91">
        <f t="shared" si="16"/>
        <v>110.56</v>
      </c>
      <c r="G123" s="91">
        <f t="shared" si="17"/>
        <v>82.92</v>
      </c>
      <c r="H123" s="91">
        <f>T123</f>
        <v>2764</v>
      </c>
      <c r="I123" s="91">
        <f>0.6*C123</f>
        <v>1774.4880000000001</v>
      </c>
      <c r="J123" s="22"/>
      <c r="K123" s="22"/>
      <c r="L123" s="22"/>
      <c r="M123" s="22"/>
      <c r="N123" s="22" t="s">
        <v>146</v>
      </c>
      <c r="O123" s="91">
        <v>41961</v>
      </c>
      <c r="P123" s="91">
        <v>44725</v>
      </c>
      <c r="Q123" s="122"/>
      <c r="R123" s="173"/>
      <c r="S123" s="151">
        <v>1</v>
      </c>
      <c r="T123" s="91">
        <f>(P123-O123)*S123</f>
        <v>2764</v>
      </c>
      <c r="U123" s="644">
        <v>3275</v>
      </c>
      <c r="V123" s="761" t="s">
        <v>164</v>
      </c>
      <c r="W123" s="14" t="s">
        <v>82</v>
      </c>
      <c r="X123" s="7"/>
      <c r="Y123" s="7"/>
      <c r="Z123" s="7"/>
      <c r="AA123" s="7"/>
      <c r="AB123" s="7"/>
      <c r="AC123" s="7"/>
    </row>
    <row r="124" spans="1:29" ht="52.5">
      <c r="A124" s="19"/>
      <c r="B124" s="90" t="s">
        <v>708</v>
      </c>
      <c r="C124" s="602">
        <f t="shared" si="19"/>
        <v>4365.6000000000004</v>
      </c>
      <c r="D124" s="115"/>
      <c r="E124" s="115">
        <f t="shared" si="18"/>
        <v>285.60000000000002</v>
      </c>
      <c r="F124" s="115">
        <f t="shared" si="16"/>
        <v>163.20000000000002</v>
      </c>
      <c r="G124" s="115">
        <f t="shared" si="17"/>
        <v>122.39999999999999</v>
      </c>
      <c r="H124" s="115">
        <f t="shared" si="20"/>
        <v>4080</v>
      </c>
      <c r="I124" s="115">
        <f>T553</f>
        <v>0</v>
      </c>
      <c r="J124" s="114"/>
      <c r="K124" s="114"/>
      <c r="L124" s="114"/>
      <c r="M124" s="114"/>
      <c r="N124" s="114"/>
      <c r="O124" s="115">
        <v>12930</v>
      </c>
      <c r="P124" s="115">
        <v>12981</v>
      </c>
      <c r="Q124" s="164"/>
      <c r="R124" s="211"/>
      <c r="S124" s="248">
        <v>80</v>
      </c>
      <c r="T124" s="115">
        <f t="shared" si="21"/>
        <v>4080</v>
      </c>
      <c r="U124" s="644"/>
      <c r="V124" s="761" t="s">
        <v>165</v>
      </c>
      <c r="W124" s="14" t="s">
        <v>166</v>
      </c>
      <c r="X124" s="7"/>
      <c r="Y124" s="7"/>
      <c r="Z124" s="7"/>
      <c r="AA124" s="7"/>
      <c r="AB124" s="7"/>
      <c r="AC124" s="7"/>
    </row>
    <row r="125" spans="1:29" ht="25.5">
      <c r="A125" s="19"/>
      <c r="B125" s="172"/>
      <c r="C125" s="91"/>
      <c r="D125" s="91"/>
      <c r="E125" s="91"/>
      <c r="F125" s="91"/>
      <c r="G125" s="91"/>
      <c r="H125" s="91"/>
      <c r="I125" s="91"/>
      <c r="J125" s="22"/>
      <c r="K125" s="22"/>
      <c r="L125" s="22"/>
      <c r="M125" s="22"/>
      <c r="N125" s="22"/>
      <c r="O125" s="91"/>
      <c r="P125" s="91"/>
      <c r="Q125" s="122"/>
      <c r="R125" s="173"/>
      <c r="S125" s="151"/>
      <c r="T125" s="91"/>
      <c r="U125" s="644"/>
      <c r="V125" s="761"/>
      <c r="W125" s="14" t="s">
        <v>82</v>
      </c>
      <c r="X125" s="7"/>
      <c r="Y125" s="7"/>
      <c r="Z125" s="7"/>
      <c r="AA125" s="7"/>
      <c r="AB125" s="7"/>
      <c r="AC125" s="7"/>
    </row>
    <row r="126" spans="1:29" ht="25.5">
      <c r="A126" s="19"/>
      <c r="B126" s="148" t="s">
        <v>167</v>
      </c>
      <c r="C126" s="91">
        <f>H126+E126</f>
        <v>408.5</v>
      </c>
      <c r="D126" s="91"/>
      <c r="E126" s="91">
        <f t="shared" si="18"/>
        <v>28.5</v>
      </c>
      <c r="F126" s="91">
        <f>0.035*H126</f>
        <v>13.3</v>
      </c>
      <c r="G126" s="91">
        <f>H126*0.04</f>
        <v>15.200000000000001</v>
      </c>
      <c r="H126" s="91">
        <f t="shared" si="20"/>
        <v>380</v>
      </c>
      <c r="I126" s="91">
        <f t="shared" ref="I126:I130" si="22">0.6*C126</f>
        <v>245.1</v>
      </c>
      <c r="J126" s="22"/>
      <c r="K126" s="22"/>
      <c r="L126" s="22"/>
      <c r="M126" s="22"/>
      <c r="N126" s="22"/>
      <c r="O126" s="91">
        <v>8379.1</v>
      </c>
      <c r="P126" s="91">
        <v>8398.1</v>
      </c>
      <c r="Q126" s="122"/>
      <c r="R126" s="173"/>
      <c r="S126" s="151">
        <v>20</v>
      </c>
      <c r="T126" s="91">
        <f t="shared" si="21"/>
        <v>380</v>
      </c>
      <c r="U126" s="644">
        <v>33780</v>
      </c>
      <c r="V126" s="761" t="s">
        <v>168</v>
      </c>
      <c r="W126" s="14" t="s">
        <v>22</v>
      </c>
      <c r="X126" s="7"/>
      <c r="Y126" s="7"/>
      <c r="Z126" s="7"/>
      <c r="AA126" s="7"/>
      <c r="AB126" s="7"/>
      <c r="AC126" s="7"/>
    </row>
    <row r="127" spans="1:29" ht="25.5">
      <c r="A127" s="19"/>
      <c r="B127" s="166" t="s">
        <v>169</v>
      </c>
      <c r="C127" s="56">
        <f t="shared" si="19"/>
        <v>0</v>
      </c>
      <c r="D127" s="56"/>
      <c r="E127" s="56">
        <f t="shared" si="18"/>
        <v>0</v>
      </c>
      <c r="F127" s="56">
        <f>0.04*H127</f>
        <v>0</v>
      </c>
      <c r="G127" s="56">
        <f>0.03*H127</f>
        <v>0</v>
      </c>
      <c r="H127" s="56">
        <f t="shared" si="20"/>
        <v>0</v>
      </c>
      <c r="I127" s="56">
        <f t="shared" si="22"/>
        <v>0</v>
      </c>
      <c r="J127" s="57"/>
      <c r="K127" s="57"/>
      <c r="L127" s="57"/>
      <c r="M127" s="57"/>
      <c r="N127" s="57" t="s">
        <v>170</v>
      </c>
      <c r="O127" s="56">
        <v>16165</v>
      </c>
      <c r="P127" s="56">
        <v>16165</v>
      </c>
      <c r="Q127" s="169"/>
      <c r="R127" s="170"/>
      <c r="S127" s="56">
        <v>1</v>
      </c>
      <c r="T127" s="56">
        <f t="shared" si="21"/>
        <v>0</v>
      </c>
      <c r="U127" s="721">
        <v>24339</v>
      </c>
      <c r="V127" s="60" t="s">
        <v>171</v>
      </c>
      <c r="W127" s="14"/>
      <c r="X127" s="7"/>
      <c r="Y127" s="7"/>
      <c r="Z127" s="7"/>
      <c r="AA127" s="7"/>
      <c r="AB127" s="7"/>
      <c r="AC127" s="7"/>
    </row>
    <row r="128" spans="1:29" ht="25.5">
      <c r="A128" s="19"/>
      <c r="B128" s="104" t="s">
        <v>945</v>
      </c>
      <c r="C128" s="91">
        <f t="shared" si="19"/>
        <v>498.62</v>
      </c>
      <c r="D128" s="91"/>
      <c r="E128" s="91">
        <f t="shared" si="18"/>
        <v>32.619999999999997</v>
      </c>
      <c r="F128" s="91">
        <f>0.04*H128</f>
        <v>18.64</v>
      </c>
      <c r="G128" s="91">
        <f>0.03*H128</f>
        <v>13.979999999999999</v>
      </c>
      <c r="H128" s="91">
        <f t="shared" si="20"/>
        <v>466</v>
      </c>
      <c r="I128" s="91">
        <f t="shared" si="22"/>
        <v>299.17199999999997</v>
      </c>
      <c r="J128" s="22"/>
      <c r="K128" s="22"/>
      <c r="L128" s="22"/>
      <c r="M128" s="22"/>
      <c r="N128" s="22"/>
      <c r="O128" s="91">
        <v>3650</v>
      </c>
      <c r="P128" s="91">
        <v>4116</v>
      </c>
      <c r="Q128" s="122"/>
      <c r="R128" s="173"/>
      <c r="S128" s="151">
        <v>1</v>
      </c>
      <c r="T128" s="91">
        <f t="shared" si="21"/>
        <v>466</v>
      </c>
      <c r="U128" s="644">
        <v>2466</v>
      </c>
      <c r="V128" s="759" t="s">
        <v>173</v>
      </c>
      <c r="W128" s="14"/>
      <c r="X128" s="7"/>
      <c r="Y128" s="7"/>
      <c r="Z128" s="7"/>
      <c r="AA128" s="7"/>
      <c r="AB128" s="7"/>
      <c r="AC128" s="7"/>
    </row>
    <row r="129" spans="1:29" ht="25.5">
      <c r="A129" s="19"/>
      <c r="B129" s="104" t="s">
        <v>945</v>
      </c>
      <c r="C129" s="91">
        <f>H129+E129</f>
        <v>1.07</v>
      </c>
      <c r="D129" s="91"/>
      <c r="E129" s="91">
        <f>F129+G129</f>
        <v>7.0000000000000007E-2</v>
      </c>
      <c r="F129" s="91">
        <f>0.04*H129</f>
        <v>0.04</v>
      </c>
      <c r="G129" s="91">
        <f>0.03*H129</f>
        <v>0.03</v>
      </c>
      <c r="H129" s="91">
        <f>T129</f>
        <v>1</v>
      </c>
      <c r="I129" s="91">
        <f>0.5*C129</f>
        <v>0.53500000000000003</v>
      </c>
      <c r="J129" s="22"/>
      <c r="K129" s="22"/>
      <c r="L129" s="22"/>
      <c r="M129" s="22"/>
      <c r="N129" s="22"/>
      <c r="O129" s="91">
        <v>7508</v>
      </c>
      <c r="P129" s="91">
        <v>7509</v>
      </c>
      <c r="Q129" s="122"/>
      <c r="R129" s="173"/>
      <c r="S129" s="91">
        <v>1</v>
      </c>
      <c r="T129" s="91">
        <f>(P129-O129)*S129</f>
        <v>1</v>
      </c>
      <c r="U129" s="644" t="s">
        <v>1120</v>
      </c>
      <c r="V129" s="761" t="s">
        <v>152</v>
      </c>
      <c r="W129" s="14"/>
      <c r="X129" s="7"/>
      <c r="Y129" s="7"/>
      <c r="Z129" s="7"/>
      <c r="AA129" s="7"/>
      <c r="AB129" s="7"/>
      <c r="AC129" s="7"/>
    </row>
    <row r="130" spans="1:29" ht="51">
      <c r="A130" s="19"/>
      <c r="B130" s="148" t="s">
        <v>175</v>
      </c>
      <c r="C130" s="91">
        <f t="shared" si="19"/>
        <v>0</v>
      </c>
      <c r="D130" s="92"/>
      <c r="E130" s="91">
        <f t="shared" si="18"/>
        <v>0</v>
      </c>
      <c r="F130" s="91">
        <f>0.04*H130</f>
        <v>0</v>
      </c>
      <c r="G130" s="91">
        <f>0.03*H130</f>
        <v>0</v>
      </c>
      <c r="H130" s="91">
        <f t="shared" si="20"/>
        <v>0</v>
      </c>
      <c r="I130" s="115">
        <f t="shared" si="22"/>
        <v>0</v>
      </c>
      <c r="J130" s="98"/>
      <c r="K130" s="98"/>
      <c r="L130" s="98"/>
      <c r="M130" s="98"/>
      <c r="N130" s="98"/>
      <c r="O130" s="92">
        <v>31237</v>
      </c>
      <c r="P130" s="92">
        <v>31237</v>
      </c>
      <c r="Q130" s="105"/>
      <c r="R130" s="106"/>
      <c r="S130" s="92">
        <v>1</v>
      </c>
      <c r="T130" s="91">
        <f t="shared" si="21"/>
        <v>0</v>
      </c>
      <c r="U130" s="644">
        <v>286946</v>
      </c>
      <c r="V130" s="759" t="s">
        <v>176</v>
      </c>
      <c r="W130" s="14" t="s">
        <v>22</v>
      </c>
      <c r="X130" s="7"/>
      <c r="Y130" s="7"/>
      <c r="Z130" s="7"/>
      <c r="AA130" s="7"/>
      <c r="AB130" s="7"/>
      <c r="AC130" s="7"/>
    </row>
    <row r="131" spans="1:29" ht="25.5">
      <c r="A131" s="19"/>
      <c r="B131" s="129"/>
      <c r="C131" s="84"/>
      <c r="D131" s="84"/>
      <c r="E131" s="84"/>
      <c r="F131" s="84"/>
      <c r="G131" s="84"/>
      <c r="H131" s="84"/>
      <c r="I131" s="84"/>
      <c r="J131" s="130"/>
      <c r="K131" s="130"/>
      <c r="L131" s="130"/>
      <c r="M131" s="130"/>
      <c r="N131" s="130"/>
      <c r="O131" s="84"/>
      <c r="P131" s="84"/>
      <c r="Q131" s="86"/>
      <c r="R131" s="179"/>
      <c r="S131" s="156"/>
      <c r="T131" s="84"/>
      <c r="U131" s="722"/>
      <c r="V131" s="89"/>
      <c r="W131" s="14"/>
      <c r="X131" s="7"/>
      <c r="Y131" s="7"/>
      <c r="Z131" s="7"/>
      <c r="AA131" s="7"/>
      <c r="AB131" s="7"/>
      <c r="AC131" s="7"/>
    </row>
    <row r="132" spans="1:29" ht="27.75">
      <c r="A132" s="19"/>
      <c r="B132" s="141" t="s">
        <v>86</v>
      </c>
      <c r="C132" s="97">
        <f>SUM(C114:C131)</f>
        <v>60083.470000000118</v>
      </c>
      <c r="D132" s="115"/>
      <c r="E132" s="115"/>
      <c r="F132" s="91"/>
      <c r="G132" s="91"/>
      <c r="H132" s="91"/>
      <c r="I132" s="124"/>
      <c r="J132" s="164"/>
      <c r="K132" s="164"/>
      <c r="L132" s="164"/>
      <c r="M132" s="164"/>
      <c r="N132" s="164"/>
      <c r="O132" s="91"/>
      <c r="P132" s="91"/>
      <c r="Q132" s="7"/>
      <c r="R132" s="94"/>
      <c r="S132" s="91"/>
      <c r="T132" s="91"/>
      <c r="U132" s="644"/>
      <c r="V132" s="759"/>
      <c r="W132" s="14"/>
      <c r="X132" s="7"/>
      <c r="Y132" s="7"/>
      <c r="Z132" s="7"/>
      <c r="AA132" s="7"/>
      <c r="AB132" s="7"/>
      <c r="AC132" s="7"/>
    </row>
    <row r="133" spans="1:29" ht="27.75">
      <c r="A133" s="19"/>
      <c r="B133" s="180" t="s">
        <v>177</v>
      </c>
      <c r="C133" s="91"/>
      <c r="D133" s="115"/>
      <c r="E133" s="115"/>
      <c r="F133" s="91"/>
      <c r="G133" s="91"/>
      <c r="H133" s="91"/>
      <c r="I133" s="124"/>
      <c r="J133" s="164"/>
      <c r="K133" s="164"/>
      <c r="L133" s="164"/>
      <c r="M133" s="164"/>
      <c r="N133" s="164"/>
      <c r="O133" s="91"/>
      <c r="P133" s="91"/>
      <c r="Q133" s="7"/>
      <c r="R133" s="94"/>
      <c r="S133" s="91"/>
      <c r="T133" s="91"/>
      <c r="U133" s="644"/>
      <c r="V133" s="759"/>
      <c r="W133" s="14"/>
      <c r="X133" s="7"/>
      <c r="Y133" s="7"/>
      <c r="Z133" s="7"/>
      <c r="AA133" s="7"/>
      <c r="AB133" s="7"/>
      <c r="AC133" s="7"/>
    </row>
    <row r="134" spans="1:29" ht="26.25">
      <c r="A134" s="19"/>
      <c r="B134" s="123" t="s">
        <v>178</v>
      </c>
      <c r="C134" s="97">
        <f>H134+E134</f>
        <v>2313.8859800000009</v>
      </c>
      <c r="D134" s="124">
        <f>D138+D139</f>
        <v>33055.51400000001</v>
      </c>
      <c r="E134" s="124">
        <f>F134+G134</f>
        <v>2313.8859800000009</v>
      </c>
      <c r="F134" s="124">
        <f>0.04*D134</f>
        <v>1322.2205600000004</v>
      </c>
      <c r="G134" s="124">
        <f>0.03*D134</f>
        <v>991.66542000000027</v>
      </c>
      <c r="H134" s="124"/>
      <c r="I134" s="124">
        <v>0</v>
      </c>
      <c r="J134" s="126"/>
      <c r="K134" s="126"/>
      <c r="L134" s="126"/>
      <c r="M134" s="126"/>
      <c r="N134" s="126"/>
      <c r="O134" s="188">
        <v>3014.84</v>
      </c>
      <c r="P134" s="188">
        <v>3093.95</v>
      </c>
      <c r="Q134" s="138"/>
      <c r="R134" s="215"/>
      <c r="S134" s="124">
        <v>60</v>
      </c>
      <c r="T134" s="124">
        <f t="shared" ref="T134:T144" si="23">(P134-O134)*S134</f>
        <v>4746.5999999999804</v>
      </c>
      <c r="U134" s="717">
        <v>1906</v>
      </c>
      <c r="V134" s="128" t="s">
        <v>179</v>
      </c>
      <c r="W134" s="14" t="s">
        <v>22</v>
      </c>
      <c r="X134" s="7"/>
      <c r="Y134" s="7"/>
      <c r="Z134" s="7"/>
      <c r="AA134" s="7"/>
      <c r="AB134" s="7"/>
      <c r="AC134" s="7"/>
    </row>
    <row r="135" spans="1:29" ht="26.25">
      <c r="A135" s="19"/>
      <c r="B135" s="158"/>
      <c r="C135" s="124"/>
      <c r="D135" s="124"/>
      <c r="E135" s="124"/>
      <c r="F135" s="124"/>
      <c r="G135" s="124"/>
      <c r="H135" s="124"/>
      <c r="I135" s="97"/>
      <c r="J135" s="126"/>
      <c r="K135" s="126"/>
      <c r="L135" s="126"/>
      <c r="M135" s="126"/>
      <c r="N135" s="126"/>
      <c r="O135" s="188">
        <v>1517.91</v>
      </c>
      <c r="P135" s="188">
        <v>1540.97</v>
      </c>
      <c r="Q135" s="138"/>
      <c r="R135" s="215"/>
      <c r="S135" s="124">
        <v>20</v>
      </c>
      <c r="T135" s="124">
        <f t="shared" si="23"/>
        <v>461.19999999999891</v>
      </c>
      <c r="U135" s="717">
        <v>1821</v>
      </c>
      <c r="V135" s="128" t="s">
        <v>180</v>
      </c>
      <c r="W135" s="14" t="s">
        <v>22</v>
      </c>
      <c r="X135" s="7"/>
      <c r="Y135" s="7"/>
      <c r="Z135" s="7"/>
      <c r="AA135" s="7"/>
      <c r="AB135" s="7"/>
      <c r="AC135" s="7"/>
    </row>
    <row r="136" spans="1:29" ht="25.5">
      <c r="A136" s="19"/>
      <c r="B136" s="158"/>
      <c r="C136" s="124"/>
      <c r="D136" s="124"/>
      <c r="E136" s="124"/>
      <c r="F136" s="124"/>
      <c r="G136" s="124"/>
      <c r="H136" s="124"/>
      <c r="I136" s="124"/>
      <c r="J136" s="126"/>
      <c r="K136" s="126"/>
      <c r="L136" s="126"/>
      <c r="M136" s="126"/>
      <c r="N136" s="126"/>
      <c r="O136" s="188">
        <v>728.22</v>
      </c>
      <c r="P136" s="188">
        <v>748.79</v>
      </c>
      <c r="Q136" s="138"/>
      <c r="R136" s="627"/>
      <c r="S136" s="124">
        <v>60</v>
      </c>
      <c r="T136" s="124">
        <f t="shared" si="23"/>
        <v>1234.1999999999962</v>
      </c>
      <c r="U136" s="717">
        <v>1903</v>
      </c>
      <c r="V136" s="128" t="s">
        <v>181</v>
      </c>
      <c r="W136" s="14" t="s">
        <v>22</v>
      </c>
      <c r="X136" s="7"/>
      <c r="Y136" s="7"/>
      <c r="Z136" s="7"/>
      <c r="AA136" s="7"/>
      <c r="AB136" s="7"/>
      <c r="AC136" s="7"/>
    </row>
    <row r="137" spans="1:29" ht="25.5">
      <c r="A137" s="19"/>
      <c r="B137" s="158" t="s">
        <v>182</v>
      </c>
      <c r="C137" s="124"/>
      <c r="D137" s="124"/>
      <c r="E137" s="124"/>
      <c r="F137" s="124"/>
      <c r="G137" s="124"/>
      <c r="H137" s="124"/>
      <c r="I137" s="124"/>
      <c r="J137" s="126"/>
      <c r="K137" s="126"/>
      <c r="L137" s="126"/>
      <c r="M137" s="126"/>
      <c r="N137" s="126"/>
      <c r="O137" s="188">
        <v>90890.67</v>
      </c>
      <c r="P137" s="188">
        <v>92426.312000000005</v>
      </c>
      <c r="Q137" s="138"/>
      <c r="R137" s="674"/>
      <c r="S137" s="124">
        <v>1</v>
      </c>
      <c r="T137" s="124">
        <f t="shared" si="23"/>
        <v>1535.6420000000071</v>
      </c>
      <c r="U137" s="717">
        <v>9454</v>
      </c>
      <c r="V137" s="128" t="s">
        <v>957</v>
      </c>
      <c r="W137" s="14" t="s">
        <v>22</v>
      </c>
      <c r="X137" s="7"/>
      <c r="Y137" s="7"/>
      <c r="Z137" s="7"/>
      <c r="AA137" s="7"/>
      <c r="AB137" s="7"/>
      <c r="AC137" s="7"/>
    </row>
    <row r="138" spans="1:29" ht="25.5">
      <c r="A138" s="19"/>
      <c r="B138" s="158" t="s">
        <v>184</v>
      </c>
      <c r="C138" s="124"/>
      <c r="D138" s="124">
        <f>T134+T135+T136+T137+T138</f>
        <v>8021.8139999999821</v>
      </c>
      <c r="E138" s="124"/>
      <c r="F138" s="124"/>
      <c r="G138" s="124"/>
      <c r="H138" s="124"/>
      <c r="I138" s="124"/>
      <c r="J138" s="126"/>
      <c r="K138" s="126"/>
      <c r="L138" s="126"/>
      <c r="M138" s="126"/>
      <c r="N138" s="126"/>
      <c r="O138" s="188">
        <v>2119.2600000000002</v>
      </c>
      <c r="P138" s="188">
        <v>2163.4319999999998</v>
      </c>
      <c r="Q138" s="138"/>
      <c r="R138" s="242"/>
      <c r="S138" s="124">
        <v>1</v>
      </c>
      <c r="T138" s="124">
        <f t="shared" si="23"/>
        <v>44.171999999999571</v>
      </c>
      <c r="U138" s="717">
        <v>9314</v>
      </c>
      <c r="V138" s="128" t="s">
        <v>180</v>
      </c>
      <c r="W138" s="14" t="s">
        <v>22</v>
      </c>
      <c r="X138" s="7"/>
      <c r="Y138" s="7"/>
      <c r="Z138" s="7"/>
      <c r="AA138" s="7"/>
      <c r="AB138" s="7"/>
      <c r="AC138" s="7"/>
    </row>
    <row r="139" spans="1:29" ht="25.5">
      <c r="A139" s="19"/>
      <c r="B139" s="158" t="s">
        <v>185</v>
      </c>
      <c r="C139" s="124"/>
      <c r="D139" s="124">
        <f>T139+T140</f>
        <v>25033.700000000026</v>
      </c>
      <c r="E139" s="124"/>
      <c r="F139" s="124"/>
      <c r="G139" s="124"/>
      <c r="H139" s="124"/>
      <c r="I139" s="124"/>
      <c r="J139" s="126"/>
      <c r="K139" s="126"/>
      <c r="L139" s="126"/>
      <c r="M139" s="126"/>
      <c r="N139" s="126"/>
      <c r="O139" s="188">
        <v>25727.759999999998</v>
      </c>
      <c r="P139" s="188">
        <v>26295.719499999999</v>
      </c>
      <c r="Q139" s="138"/>
      <c r="R139" s="242"/>
      <c r="S139" s="124">
        <v>40</v>
      </c>
      <c r="T139" s="124">
        <f t="shared" si="23"/>
        <v>22718.380000000034</v>
      </c>
      <c r="U139" s="717">
        <v>1793</v>
      </c>
      <c r="V139" s="128" t="s">
        <v>186</v>
      </c>
      <c r="W139" s="14" t="s">
        <v>22</v>
      </c>
      <c r="X139" s="7"/>
      <c r="Y139" s="7"/>
      <c r="Z139" s="7"/>
      <c r="AA139" s="7"/>
      <c r="AB139" s="7"/>
      <c r="AC139" s="7"/>
    </row>
    <row r="140" spans="1:29" ht="26.25">
      <c r="A140" s="19"/>
      <c r="B140" s="331"/>
      <c r="C140" s="124"/>
      <c r="D140" s="97"/>
      <c r="E140" s="97"/>
      <c r="F140" s="124"/>
      <c r="G140" s="124"/>
      <c r="H140" s="124"/>
      <c r="I140" s="124"/>
      <c r="J140" s="332"/>
      <c r="K140" s="332"/>
      <c r="L140" s="332"/>
      <c r="M140" s="332"/>
      <c r="N140" s="332"/>
      <c r="O140" s="188">
        <v>3225.73</v>
      </c>
      <c r="P140" s="188">
        <v>3283.6129999999998</v>
      </c>
      <c r="Q140" s="7"/>
      <c r="R140" s="94"/>
      <c r="S140" s="124">
        <v>40</v>
      </c>
      <c r="T140" s="124">
        <f t="shared" si="23"/>
        <v>2315.3199999999924</v>
      </c>
      <c r="U140" s="717">
        <v>9996</v>
      </c>
      <c r="V140" s="128" t="s">
        <v>186</v>
      </c>
      <c r="W140" s="14" t="s">
        <v>22</v>
      </c>
      <c r="X140" s="7"/>
      <c r="Y140" s="7"/>
      <c r="Z140" s="7"/>
      <c r="AA140" s="7"/>
      <c r="AB140" s="7"/>
      <c r="AC140" s="7"/>
    </row>
    <row r="141" spans="1:29" ht="26.25">
      <c r="A141" s="19"/>
      <c r="B141" s="184"/>
      <c r="C141" s="84"/>
      <c r="D141" s="154"/>
      <c r="E141" s="185"/>
      <c r="F141" s="84"/>
      <c r="G141" s="84"/>
      <c r="H141" s="84"/>
      <c r="I141" s="84"/>
      <c r="J141" s="183"/>
      <c r="K141" s="183"/>
      <c r="L141" s="183"/>
      <c r="M141" s="183"/>
      <c r="N141" s="183"/>
      <c r="O141" s="155"/>
      <c r="P141" s="155"/>
      <c r="Q141" s="86"/>
      <c r="R141" s="87"/>
      <c r="S141" s="84"/>
      <c r="T141" s="84"/>
      <c r="U141" s="722"/>
      <c r="V141" s="89"/>
      <c r="W141" s="14"/>
      <c r="X141" s="7"/>
      <c r="Y141" s="7"/>
      <c r="Z141" s="7"/>
      <c r="AA141" s="7"/>
      <c r="AB141" s="7"/>
      <c r="AC141" s="7"/>
    </row>
    <row r="142" spans="1:29" ht="26.25">
      <c r="A142" s="19"/>
      <c r="B142" s="603" t="s">
        <v>709</v>
      </c>
      <c r="C142" s="604">
        <f>H142+E142+C144</f>
        <v>5601.9600000000119</v>
      </c>
      <c r="D142" s="605">
        <f>T142</f>
        <v>70548.000000000175</v>
      </c>
      <c r="E142" s="606">
        <f>F142+G142</f>
        <v>4938.3600000000115</v>
      </c>
      <c r="F142" s="605">
        <f>0.04*D142</f>
        <v>2821.9200000000069</v>
      </c>
      <c r="G142" s="605">
        <f>0.03*D142</f>
        <v>2116.4400000000051</v>
      </c>
      <c r="H142" s="605"/>
      <c r="I142" s="124">
        <f>T143</f>
        <v>0</v>
      </c>
      <c r="J142" s="607"/>
      <c r="K142" s="607"/>
      <c r="L142" s="607"/>
      <c r="M142" s="607"/>
      <c r="N142" s="607" t="s">
        <v>187</v>
      </c>
      <c r="O142" s="124">
        <v>49414.7</v>
      </c>
      <c r="P142" s="124">
        <v>50748.5</v>
      </c>
      <c r="Q142" s="608"/>
      <c r="R142" s="609"/>
      <c r="S142" s="605">
        <v>60</v>
      </c>
      <c r="T142" s="605">
        <f>(P142-O142)*S142-T144</f>
        <v>70548.000000000175</v>
      </c>
      <c r="U142" s="717">
        <v>14314</v>
      </c>
      <c r="V142" s="611" t="s">
        <v>188</v>
      </c>
      <c r="W142" s="14" t="s">
        <v>189</v>
      </c>
      <c r="X142" s="7"/>
      <c r="Y142" s="7"/>
      <c r="Z142" s="7"/>
      <c r="AA142" s="7"/>
      <c r="AB142" s="7"/>
      <c r="AC142" s="7"/>
    </row>
    <row r="143" spans="1:29" ht="26.25">
      <c r="A143" s="19"/>
      <c r="B143" s="186"/>
      <c r="C143" s="97"/>
      <c r="D143" s="124"/>
      <c r="E143" s="187"/>
      <c r="F143" s="124"/>
      <c r="G143" s="124"/>
      <c r="H143" s="124"/>
      <c r="I143" s="124"/>
      <c r="J143" s="126"/>
      <c r="K143" s="126"/>
      <c r="L143" s="126"/>
      <c r="M143" s="126"/>
      <c r="N143" s="126"/>
      <c r="O143" s="124"/>
      <c r="P143" s="124"/>
      <c r="Q143" s="7"/>
      <c r="R143" s="159"/>
      <c r="S143" s="124"/>
      <c r="T143" s="124"/>
      <c r="U143" s="717"/>
      <c r="V143" s="128"/>
      <c r="W143" s="14"/>
      <c r="X143" s="7"/>
      <c r="Y143" s="7"/>
      <c r="Z143" s="7"/>
      <c r="AA143" s="7"/>
      <c r="AB143" s="7"/>
      <c r="AC143" s="7"/>
    </row>
    <row r="144" spans="1:29" ht="26.25">
      <c r="A144" s="19"/>
      <c r="B144" s="331" t="s">
        <v>190</v>
      </c>
      <c r="C144" s="604">
        <f>H144+E144</f>
        <v>663.59999999999991</v>
      </c>
      <c r="D144" s="605">
        <f>T144</f>
        <v>9480</v>
      </c>
      <c r="E144" s="606">
        <f>F144+G144</f>
        <v>663.59999999999991</v>
      </c>
      <c r="F144" s="605">
        <f>0.04*D144</f>
        <v>379.2</v>
      </c>
      <c r="G144" s="605">
        <f>0.03*D144</f>
        <v>284.39999999999998</v>
      </c>
      <c r="H144" s="605"/>
      <c r="I144" s="124">
        <f>T145</f>
        <v>5960</v>
      </c>
      <c r="J144" s="607"/>
      <c r="K144" s="607"/>
      <c r="L144" s="607"/>
      <c r="M144" s="607"/>
      <c r="N144" s="607" t="s">
        <v>187</v>
      </c>
      <c r="O144" s="124">
        <v>7208</v>
      </c>
      <c r="P144" s="124">
        <v>7445</v>
      </c>
      <c r="Q144" s="608"/>
      <c r="R144" s="609"/>
      <c r="S144" s="605">
        <v>40</v>
      </c>
      <c r="T144" s="605">
        <f t="shared" si="23"/>
        <v>9480</v>
      </c>
      <c r="U144" s="717"/>
      <c r="V144" s="128" t="s">
        <v>191</v>
      </c>
      <c r="W144" s="14" t="s">
        <v>189</v>
      </c>
      <c r="X144" s="7"/>
      <c r="Y144" s="7"/>
      <c r="Z144" s="7"/>
      <c r="AA144" s="7"/>
      <c r="AB144" s="7"/>
      <c r="AC144" s="7"/>
    </row>
    <row r="145" spans="1:29" ht="26.25">
      <c r="A145" s="19"/>
      <c r="B145" s="331" t="s">
        <v>192</v>
      </c>
      <c r="C145" s="612">
        <f>E145+E146</f>
        <v>611.06999999999994</v>
      </c>
      <c r="D145" s="124">
        <f>T145</f>
        <v>5960</v>
      </c>
      <c r="E145" s="124">
        <f>F145+G145</f>
        <v>554.28</v>
      </c>
      <c r="F145" s="124">
        <f>0.05*D145</f>
        <v>298</v>
      </c>
      <c r="G145" s="124">
        <f>0.043*D145</f>
        <v>256.27999999999997</v>
      </c>
      <c r="H145" s="124"/>
      <c r="I145" s="124">
        <f>0.6*D145</f>
        <v>3576</v>
      </c>
      <c r="J145" s="126"/>
      <c r="K145" s="126"/>
      <c r="L145" s="126"/>
      <c r="M145" s="126"/>
      <c r="N145" s="126"/>
      <c r="O145" s="605">
        <v>17303</v>
      </c>
      <c r="P145" s="605">
        <v>17452</v>
      </c>
      <c r="Q145" s="126" t="s">
        <v>37</v>
      </c>
      <c r="R145" s="159"/>
      <c r="S145" s="140">
        <v>40</v>
      </c>
      <c r="T145" s="124">
        <f>(P145-O145)*S145</f>
        <v>5960</v>
      </c>
      <c r="U145" s="717">
        <v>1571</v>
      </c>
      <c r="V145" s="128" t="s">
        <v>193</v>
      </c>
      <c r="W145" s="14" t="s">
        <v>43</v>
      </c>
      <c r="X145" s="7"/>
      <c r="Y145" s="7"/>
      <c r="Z145" s="7"/>
      <c r="AA145" s="7"/>
      <c r="AB145" s="7"/>
      <c r="AC145" s="7"/>
    </row>
    <row r="146" spans="1:29" ht="26.25">
      <c r="A146" s="19"/>
      <c r="B146" s="158"/>
      <c r="C146" s="97"/>
      <c r="D146" s="124">
        <f>T146</f>
        <v>1893</v>
      </c>
      <c r="E146" s="124">
        <f>F146+G146</f>
        <v>56.79</v>
      </c>
      <c r="F146" s="124">
        <f>0.02*D146</f>
        <v>37.86</v>
      </c>
      <c r="G146" s="124">
        <f>0.01*D146</f>
        <v>18.93</v>
      </c>
      <c r="H146" s="124"/>
      <c r="I146" s="124">
        <f>0.6*D146</f>
        <v>1135.8</v>
      </c>
      <c r="J146" s="126"/>
      <c r="K146" s="126"/>
      <c r="L146" s="126"/>
      <c r="M146" s="126"/>
      <c r="N146" s="126"/>
      <c r="O146" s="605">
        <v>124122</v>
      </c>
      <c r="P146" s="605">
        <v>126015</v>
      </c>
      <c r="Q146" s="126"/>
      <c r="R146" s="159"/>
      <c r="S146" s="140">
        <v>1</v>
      </c>
      <c r="T146" s="124">
        <f>(P146-O146)*S146</f>
        <v>1893</v>
      </c>
      <c r="U146" s="717">
        <v>8673</v>
      </c>
      <c r="V146" s="128" t="s">
        <v>194</v>
      </c>
      <c r="W146" s="14" t="s">
        <v>43</v>
      </c>
      <c r="X146" s="7"/>
      <c r="Y146" s="7"/>
      <c r="Z146" s="7"/>
      <c r="AA146" s="7"/>
      <c r="AB146" s="7"/>
      <c r="AC146" s="7"/>
    </row>
    <row r="147" spans="1:29" ht="26.25">
      <c r="A147" s="19"/>
      <c r="B147" s="331"/>
      <c r="C147" s="97"/>
      <c r="D147" s="124"/>
      <c r="E147" s="124"/>
      <c r="F147" s="124"/>
      <c r="G147" s="124"/>
      <c r="H147" s="124"/>
      <c r="I147" s="124"/>
      <c r="J147" s="126"/>
      <c r="K147" s="126"/>
      <c r="L147" s="126"/>
      <c r="M147" s="126"/>
      <c r="N147" s="126"/>
      <c r="O147" s="124"/>
      <c r="P147" s="124"/>
      <c r="Q147" s="7"/>
      <c r="R147" s="94"/>
      <c r="S147" s="124"/>
      <c r="T147" s="124"/>
      <c r="U147" s="717"/>
      <c r="V147" s="128" t="s">
        <v>195</v>
      </c>
      <c r="W147" s="14"/>
      <c r="X147" s="7"/>
      <c r="Y147" s="7"/>
      <c r="Z147" s="7"/>
      <c r="AA147" s="7"/>
      <c r="AB147" s="7"/>
      <c r="AC147" s="7"/>
    </row>
    <row r="148" spans="1:29" ht="26.25">
      <c r="A148" s="19"/>
      <c r="B148" s="123" t="s">
        <v>196</v>
      </c>
      <c r="C148" s="612">
        <f>F148+G148</f>
        <v>1126.8012000000003</v>
      </c>
      <c r="D148" s="124">
        <f>T148</f>
        <v>16097.160000000003</v>
      </c>
      <c r="E148" s="124">
        <f>F148+G148</f>
        <v>1126.8012000000003</v>
      </c>
      <c r="F148" s="124">
        <f>0.04*H148</f>
        <v>643.88640000000021</v>
      </c>
      <c r="G148" s="124">
        <f>0.03*H148</f>
        <v>482.91480000000007</v>
      </c>
      <c r="H148" s="124">
        <f>T148</f>
        <v>16097.160000000003</v>
      </c>
      <c r="I148" s="124">
        <f>Z525</f>
        <v>6780</v>
      </c>
      <c r="J148" s="126"/>
      <c r="K148" s="126"/>
      <c r="L148" s="126"/>
      <c r="M148" s="126"/>
      <c r="N148" s="126"/>
      <c r="O148" s="613" t="s">
        <v>1085</v>
      </c>
      <c r="P148" s="613" t="s">
        <v>1122</v>
      </c>
      <c r="Q148" s="126" t="s">
        <v>50</v>
      </c>
      <c r="R148" s="159"/>
      <c r="S148" s="140">
        <v>60</v>
      </c>
      <c r="T148" s="124">
        <f>(P148-O148)*S148</f>
        <v>16097.160000000003</v>
      </c>
      <c r="U148" s="717">
        <v>27421830</v>
      </c>
      <c r="V148" s="128" t="s">
        <v>197</v>
      </c>
      <c r="W148" s="14" t="s">
        <v>198</v>
      </c>
      <c r="X148" s="7"/>
      <c r="Y148" s="7"/>
      <c r="Z148" s="7"/>
      <c r="AA148" s="7"/>
      <c r="AB148" s="7"/>
      <c r="AC148" s="7"/>
    </row>
    <row r="149" spans="1:29" ht="26.25">
      <c r="A149" s="19"/>
      <c r="B149" s="331"/>
      <c r="C149" s="97"/>
      <c r="D149" s="97"/>
      <c r="E149" s="97"/>
      <c r="F149" s="124"/>
      <c r="G149" s="124"/>
      <c r="H149" s="124"/>
      <c r="I149" s="124"/>
      <c r="J149" s="332"/>
      <c r="K149" s="332"/>
      <c r="L149" s="332"/>
      <c r="M149" s="332"/>
      <c r="N149" s="332"/>
      <c r="O149" s="124"/>
      <c r="P149" s="124"/>
      <c r="Q149" s="7"/>
      <c r="R149" s="94"/>
      <c r="S149" s="124"/>
      <c r="T149" s="124"/>
      <c r="U149" s="717"/>
      <c r="V149" s="128"/>
      <c r="W149" s="14"/>
      <c r="X149" s="7"/>
      <c r="Y149" s="7"/>
      <c r="Z149" s="7"/>
      <c r="AA149" s="7"/>
      <c r="AB149" s="7"/>
      <c r="AC149" s="7"/>
    </row>
    <row r="150" spans="1:29" ht="26.25">
      <c r="A150" s="19"/>
      <c r="B150" s="123" t="s">
        <v>199</v>
      </c>
      <c r="C150" s="97">
        <f>H150+E150</f>
        <v>23.357600000000275</v>
      </c>
      <c r="D150" s="124">
        <f>T150+T151</f>
        <v>333.68000000000393</v>
      </c>
      <c r="E150" s="124">
        <f>F150+G150</f>
        <v>23.357600000000275</v>
      </c>
      <c r="F150" s="124">
        <f>0.04*(H150+D150)</f>
        <v>13.347200000000157</v>
      </c>
      <c r="G150" s="124">
        <f>0.03*(H150+D150)</f>
        <v>10.010400000000118</v>
      </c>
      <c r="H150" s="124">
        <f>T152</f>
        <v>0</v>
      </c>
      <c r="I150" s="124">
        <f>0.4*C150</f>
        <v>9.3430400000001104</v>
      </c>
      <c r="J150" s="126"/>
      <c r="K150" s="126"/>
      <c r="L150" s="126"/>
      <c r="M150" s="126"/>
      <c r="N150" s="126" t="s">
        <v>200</v>
      </c>
      <c r="O150" s="188">
        <v>1034.443</v>
      </c>
      <c r="P150" s="188">
        <v>1042.7850000000001</v>
      </c>
      <c r="Q150" s="7"/>
      <c r="R150" s="242"/>
      <c r="S150" s="140">
        <v>40</v>
      </c>
      <c r="T150" s="124">
        <f>(P150-O150)*S150</f>
        <v>333.68000000000393</v>
      </c>
      <c r="U150" s="717">
        <v>9834</v>
      </c>
      <c r="V150" s="128" t="s">
        <v>197</v>
      </c>
      <c r="W150" s="14" t="s">
        <v>116</v>
      </c>
      <c r="X150" s="7"/>
      <c r="Y150" s="7"/>
      <c r="Z150" s="7"/>
      <c r="AA150" s="7"/>
      <c r="AB150" s="7"/>
      <c r="AC150" s="7"/>
    </row>
    <row r="151" spans="1:29" ht="26.25">
      <c r="A151" s="19"/>
      <c r="B151" s="158"/>
      <c r="C151" s="97"/>
      <c r="D151" s="124"/>
      <c r="E151" s="124"/>
      <c r="F151" s="124"/>
      <c r="G151" s="124"/>
      <c r="H151" s="124"/>
      <c r="I151" s="124">
        <f>0.4*C151</f>
        <v>0</v>
      </c>
      <c r="J151" s="126"/>
      <c r="K151" s="126"/>
      <c r="L151" s="126"/>
      <c r="M151" s="126"/>
      <c r="N151" s="126"/>
      <c r="O151" s="188">
        <v>400.12200000000001</v>
      </c>
      <c r="P151" s="188">
        <v>400.12200000000001</v>
      </c>
      <c r="Q151" s="7"/>
      <c r="R151" s="159"/>
      <c r="S151" s="140">
        <v>30</v>
      </c>
      <c r="T151" s="124">
        <f>(P151-O151)*S151</f>
        <v>0</v>
      </c>
      <c r="U151" s="717">
        <v>9861</v>
      </c>
      <c r="V151" s="128"/>
      <c r="W151" s="14" t="s">
        <v>116</v>
      </c>
      <c r="X151" s="7"/>
      <c r="Y151" s="7"/>
      <c r="Z151" s="7"/>
      <c r="AA151" s="7"/>
      <c r="AB151" s="7"/>
      <c r="AC151" s="7"/>
    </row>
    <row r="152" spans="1:29" ht="26.25">
      <c r="A152" s="19"/>
      <c r="B152" s="83"/>
      <c r="C152" s="154"/>
      <c r="D152" s="84"/>
      <c r="E152" s="84"/>
      <c r="F152" s="84"/>
      <c r="G152" s="84"/>
      <c r="H152" s="84"/>
      <c r="I152" s="154"/>
      <c r="J152" s="130"/>
      <c r="K152" s="130"/>
      <c r="L152" s="130"/>
      <c r="M152" s="130"/>
      <c r="N152" s="130"/>
      <c r="O152" s="84"/>
      <c r="P152" s="84"/>
      <c r="Q152" s="86"/>
      <c r="R152" s="130"/>
      <c r="S152" s="85"/>
      <c r="T152" s="84"/>
      <c r="U152" s="722"/>
      <c r="V152" s="89"/>
      <c r="W152" s="14"/>
      <c r="X152" s="7"/>
      <c r="Y152" s="7"/>
      <c r="Z152" s="7"/>
      <c r="AA152" s="7"/>
      <c r="AB152" s="7"/>
      <c r="AC152" s="7"/>
    </row>
    <row r="153" spans="1:29" ht="26.25">
      <c r="A153" s="19"/>
      <c r="B153" s="158"/>
      <c r="C153" s="97"/>
      <c r="D153" s="124"/>
      <c r="E153" s="124"/>
      <c r="F153" s="124"/>
      <c r="G153" s="124"/>
      <c r="H153" s="124"/>
      <c r="I153" s="97"/>
      <c r="J153" s="126"/>
      <c r="K153" s="126"/>
      <c r="L153" s="126"/>
      <c r="M153" s="126"/>
      <c r="N153" s="126"/>
      <c r="O153" s="188"/>
      <c r="P153" s="188"/>
      <c r="Q153" s="7"/>
      <c r="R153" s="189"/>
      <c r="S153" s="140"/>
      <c r="T153" s="124"/>
      <c r="U153" s="717"/>
      <c r="V153" s="128"/>
      <c r="W153" s="14"/>
      <c r="X153" s="7"/>
      <c r="Y153" s="7"/>
      <c r="Z153" s="7"/>
      <c r="AA153" s="7"/>
      <c r="AB153" s="7"/>
      <c r="AC153" s="7"/>
    </row>
    <row r="154" spans="1:29" ht="26.25">
      <c r="A154" s="19"/>
      <c r="B154" s="387" t="s">
        <v>201</v>
      </c>
      <c r="C154" s="154">
        <f>H154+E154</f>
        <v>97.255199999999775</v>
      </c>
      <c r="D154" s="484">
        <f>T154+T156+T157+T159+T160+T161</f>
        <v>219359.75999999978</v>
      </c>
      <c r="E154" s="84">
        <f>G154+F154</f>
        <v>97.255199999999775</v>
      </c>
      <c r="F154" s="84">
        <f>0.04*(T160+T161)</f>
        <v>55.574399999999876</v>
      </c>
      <c r="G154" s="84">
        <f>0.03*(T160+T161)</f>
        <v>41.680799999999905</v>
      </c>
      <c r="H154" s="84"/>
      <c r="I154" s="84">
        <f>0.54*(T160+T161)*0</f>
        <v>0</v>
      </c>
      <c r="J154" s="130"/>
      <c r="K154" s="130"/>
      <c r="L154" s="130"/>
      <c r="M154" s="130"/>
      <c r="N154" s="130"/>
      <c r="O154" s="155"/>
      <c r="P154" s="155"/>
      <c r="Q154" s="86"/>
      <c r="R154" s="181"/>
      <c r="S154" s="156"/>
      <c r="T154" s="84"/>
      <c r="U154" s="722"/>
      <c r="V154" s="89" t="s">
        <v>197</v>
      </c>
      <c r="W154" s="14"/>
      <c r="X154" s="7"/>
      <c r="Y154" s="7"/>
      <c r="Z154" s="7"/>
      <c r="AA154" s="7"/>
      <c r="AB154" s="7"/>
      <c r="AC154" s="7"/>
    </row>
    <row r="155" spans="1:29" ht="25.5">
      <c r="A155" s="19"/>
      <c r="B155" s="83"/>
      <c r="C155" s="84"/>
      <c r="D155" s="84"/>
      <c r="E155" s="84"/>
      <c r="F155" s="84"/>
      <c r="G155" s="84"/>
      <c r="H155" s="84"/>
      <c r="I155" s="84">
        <f>0.54*C155</f>
        <v>0</v>
      </c>
      <c r="J155" s="130"/>
      <c r="K155" s="130"/>
      <c r="L155" s="130"/>
      <c r="M155" s="130"/>
      <c r="N155" s="130"/>
      <c r="O155" s="190"/>
      <c r="P155" s="190"/>
      <c r="Q155" s="86"/>
      <c r="R155" s="181"/>
      <c r="S155" s="156"/>
      <c r="T155" s="84"/>
      <c r="U155" s="722"/>
      <c r="V155" s="89"/>
      <c r="W155" s="14"/>
      <c r="X155" s="7"/>
      <c r="Y155" s="7"/>
      <c r="Z155" s="7"/>
      <c r="AA155" s="7"/>
      <c r="AB155" s="7"/>
      <c r="AC155" s="7"/>
    </row>
    <row r="156" spans="1:29" ht="25.5">
      <c r="A156" s="19"/>
      <c r="B156" s="83"/>
      <c r="C156" s="84"/>
      <c r="D156" s="84"/>
      <c r="E156" s="84"/>
      <c r="F156" s="84"/>
      <c r="G156" s="84"/>
      <c r="H156" s="84"/>
      <c r="I156" s="84">
        <f>0.54*C156</f>
        <v>0</v>
      </c>
      <c r="J156" s="130"/>
      <c r="K156" s="130"/>
      <c r="L156" s="130"/>
      <c r="M156" s="130"/>
      <c r="N156" s="130"/>
      <c r="O156" s="393" t="s">
        <v>955</v>
      </c>
      <c r="P156" s="393" t="s">
        <v>1102</v>
      </c>
      <c r="Q156" s="86"/>
      <c r="R156" s="181"/>
      <c r="S156" s="156">
        <v>300</v>
      </c>
      <c r="T156" s="84">
        <f>(P156-O156)*S156</f>
        <v>131401.20000000024</v>
      </c>
      <c r="U156" s="722">
        <v>257</v>
      </c>
      <c r="V156" s="89" t="s">
        <v>202</v>
      </c>
      <c r="W156" s="191" t="s">
        <v>203</v>
      </c>
      <c r="X156" s="7"/>
      <c r="Y156" s="7"/>
      <c r="Z156" s="7"/>
      <c r="AA156" s="7"/>
      <c r="AB156" s="7"/>
      <c r="AC156" s="7"/>
    </row>
    <row r="157" spans="1:29" ht="25.5">
      <c r="A157" s="19"/>
      <c r="B157" s="83"/>
      <c r="C157" s="84"/>
      <c r="D157" s="84"/>
      <c r="E157" s="84"/>
      <c r="F157" s="84"/>
      <c r="G157" s="84"/>
      <c r="H157" s="84"/>
      <c r="I157" s="84">
        <f>0.54*C157</f>
        <v>0</v>
      </c>
      <c r="J157" s="130"/>
      <c r="K157" s="130"/>
      <c r="L157" s="130"/>
      <c r="M157" s="130"/>
      <c r="N157" s="130"/>
      <c r="O157" s="393" t="s">
        <v>956</v>
      </c>
      <c r="P157" s="393" t="s">
        <v>1103</v>
      </c>
      <c r="Q157" s="86"/>
      <c r="R157" s="181"/>
      <c r="S157" s="156">
        <v>300</v>
      </c>
      <c r="T157" s="84">
        <f>(P157-O157)*S157</f>
        <v>86569.199999999546</v>
      </c>
      <c r="U157" s="722">
        <v>851</v>
      </c>
      <c r="V157" s="89" t="s">
        <v>202</v>
      </c>
      <c r="W157" s="14" t="s">
        <v>35</v>
      </c>
      <c r="X157" s="7"/>
      <c r="Y157" s="7"/>
      <c r="Z157" s="7"/>
      <c r="AA157" s="7"/>
      <c r="AB157" s="7"/>
      <c r="AC157" s="7"/>
    </row>
    <row r="158" spans="1:29" ht="25.5">
      <c r="A158" s="19"/>
      <c r="B158" s="83"/>
      <c r="C158" s="84"/>
      <c r="D158" s="84"/>
      <c r="E158" s="84"/>
      <c r="F158" s="84"/>
      <c r="G158" s="84"/>
      <c r="H158" s="84"/>
      <c r="I158" s="84"/>
      <c r="J158" s="130"/>
      <c r="K158" s="130"/>
      <c r="L158" s="130"/>
      <c r="M158" s="130"/>
      <c r="N158" s="130"/>
      <c r="O158" s="190"/>
      <c r="P158" s="190"/>
      <c r="Q158" s="86"/>
      <c r="R158" s="181"/>
      <c r="S158" s="156"/>
      <c r="T158" s="84"/>
      <c r="U158" s="722"/>
      <c r="V158" s="89"/>
      <c r="W158" s="14"/>
      <c r="X158" s="7"/>
      <c r="Y158" s="7"/>
      <c r="Z158" s="7"/>
      <c r="AA158" s="7"/>
      <c r="AB158" s="7"/>
      <c r="AC158" s="7"/>
    </row>
    <row r="159" spans="1:29" ht="25.5">
      <c r="A159" s="19"/>
      <c r="B159" s="83"/>
      <c r="C159" s="84"/>
      <c r="D159" s="84"/>
      <c r="E159" s="84"/>
      <c r="F159" s="84"/>
      <c r="G159" s="84"/>
      <c r="H159" s="84"/>
      <c r="I159" s="84"/>
      <c r="J159" s="130"/>
      <c r="K159" s="130"/>
      <c r="L159" s="130"/>
      <c r="M159" s="130"/>
      <c r="N159" s="130"/>
      <c r="O159" s="155"/>
      <c r="P159" s="155"/>
      <c r="Q159" s="86"/>
      <c r="R159" s="181"/>
      <c r="S159" s="156"/>
      <c r="T159" s="84"/>
      <c r="U159" s="722"/>
      <c r="V159" s="89"/>
      <c r="W159" s="14"/>
      <c r="X159" s="7"/>
      <c r="Y159" s="7"/>
      <c r="Z159" s="7"/>
      <c r="AA159" s="7"/>
      <c r="AB159" s="7"/>
      <c r="AC159" s="7"/>
    </row>
    <row r="160" spans="1:29" ht="25.5">
      <c r="A160" s="19"/>
      <c r="B160" s="83"/>
      <c r="C160" s="84"/>
      <c r="D160" s="84"/>
      <c r="E160" s="84"/>
      <c r="F160" s="84"/>
      <c r="G160" s="84"/>
      <c r="H160" s="84"/>
      <c r="I160" s="84">
        <f>0.54*C160</f>
        <v>0</v>
      </c>
      <c r="J160" s="130"/>
      <c r="K160" s="130"/>
      <c r="L160" s="130"/>
      <c r="M160" s="130"/>
      <c r="N160" s="130"/>
      <c r="O160" s="155">
        <v>2390.0619999999999</v>
      </c>
      <c r="P160" s="155">
        <v>2424.7959999999998</v>
      </c>
      <c r="Q160" s="86"/>
      <c r="R160" s="181"/>
      <c r="S160" s="156">
        <v>40</v>
      </c>
      <c r="T160" s="84">
        <f>(P160-O160)*S160</f>
        <v>1389.3599999999969</v>
      </c>
      <c r="U160" s="722">
        <v>6289</v>
      </c>
      <c r="V160" s="89" t="s">
        <v>204</v>
      </c>
      <c r="W160" s="14" t="s">
        <v>116</v>
      </c>
      <c r="X160" s="7"/>
      <c r="Y160" s="7"/>
      <c r="Z160" s="7"/>
      <c r="AA160" s="7"/>
      <c r="AB160" s="7"/>
      <c r="AC160" s="7"/>
    </row>
    <row r="161" spans="1:29" ht="25.5">
      <c r="A161" s="19"/>
      <c r="B161" s="83"/>
      <c r="C161" s="84"/>
      <c r="D161" s="84"/>
      <c r="E161" s="84"/>
      <c r="F161" s="84"/>
      <c r="G161" s="84"/>
      <c r="H161" s="84"/>
      <c r="I161" s="84">
        <f>0.54*C161</f>
        <v>0</v>
      </c>
      <c r="J161" s="130"/>
      <c r="K161" s="130"/>
      <c r="L161" s="130"/>
      <c r="M161" s="130"/>
      <c r="N161" s="130"/>
      <c r="O161" s="155">
        <v>2075.8890000000001</v>
      </c>
      <c r="P161" s="155">
        <v>2075.8890000000001</v>
      </c>
      <c r="Q161" s="86"/>
      <c r="R161" s="181"/>
      <c r="S161" s="156">
        <v>30</v>
      </c>
      <c r="T161" s="84">
        <f>(P161-O161)*S161</f>
        <v>0</v>
      </c>
      <c r="U161" s="722">
        <v>9845</v>
      </c>
      <c r="V161" s="89" t="s">
        <v>204</v>
      </c>
      <c r="W161" s="14" t="s">
        <v>116</v>
      </c>
      <c r="X161" s="7"/>
      <c r="Y161" s="7"/>
      <c r="Z161" s="7"/>
      <c r="AA161" s="7"/>
      <c r="AB161" s="7"/>
      <c r="AC161" s="7"/>
    </row>
    <row r="162" spans="1:29" ht="26.25">
      <c r="A162" s="19"/>
      <c r="B162" s="123" t="s">
        <v>205</v>
      </c>
      <c r="C162" s="612">
        <f>F162+G162</f>
        <v>244.49711999999943</v>
      </c>
      <c r="D162" s="124">
        <f>H162+E162</f>
        <v>3737.3131199999912</v>
      </c>
      <c r="E162" s="124">
        <f>F162+G162</f>
        <v>244.49711999999943</v>
      </c>
      <c r="F162" s="124">
        <f>0.04*H162</f>
        <v>139.71263999999968</v>
      </c>
      <c r="G162" s="124">
        <f>0.03*H162</f>
        <v>104.78447999999975</v>
      </c>
      <c r="H162" s="124">
        <f>T162</f>
        <v>3492.8159999999916</v>
      </c>
      <c r="I162" s="124">
        <f>(X518-W518)*40</f>
        <v>856.400000000001</v>
      </c>
      <c r="J162" s="126"/>
      <c r="K162" s="126"/>
      <c r="L162" s="126"/>
      <c r="M162" s="126"/>
      <c r="N162" s="126"/>
      <c r="O162" s="188">
        <v>9494.1610000000001</v>
      </c>
      <c r="P162" s="188">
        <v>9639.6949999999997</v>
      </c>
      <c r="Q162" s="138"/>
      <c r="R162" s="215"/>
      <c r="S162" s="140">
        <v>24</v>
      </c>
      <c r="T162" s="124">
        <f>(P162-O162)*S162</f>
        <v>3492.8159999999916</v>
      </c>
      <c r="U162" s="717">
        <v>5667</v>
      </c>
      <c r="V162" s="128" t="s">
        <v>206</v>
      </c>
      <c r="W162" s="14" t="s">
        <v>116</v>
      </c>
      <c r="X162" s="7"/>
      <c r="Y162" s="7"/>
      <c r="Z162" s="7"/>
      <c r="AA162" s="7"/>
      <c r="AB162" s="7"/>
      <c r="AC162" s="7"/>
    </row>
    <row r="163" spans="1:29" ht="26.25">
      <c r="A163" s="19"/>
      <c r="B163" s="96" t="s">
        <v>207</v>
      </c>
      <c r="C163" s="192">
        <f>SUM(C134:C162)</f>
        <v>10682.427100000012</v>
      </c>
      <c r="D163" s="124">
        <f>SUM(D138:D162)</f>
        <v>360464.42711999995</v>
      </c>
      <c r="E163" s="115"/>
      <c r="F163" s="115"/>
      <c r="G163" s="115"/>
      <c r="H163" s="115"/>
      <c r="I163" s="115"/>
      <c r="J163" s="164"/>
      <c r="K163" s="164"/>
      <c r="L163" s="164"/>
      <c r="M163" s="164"/>
      <c r="N163" s="164"/>
      <c r="O163" s="91"/>
      <c r="P163" s="91"/>
      <c r="Q163" s="7"/>
      <c r="R163" s="94"/>
      <c r="S163" s="91"/>
      <c r="T163" s="91"/>
      <c r="U163" s="644"/>
      <c r="V163" s="759"/>
      <c r="W163" s="14"/>
      <c r="X163" s="7"/>
      <c r="Y163" s="7"/>
      <c r="Z163" s="7"/>
      <c r="AA163" s="7"/>
      <c r="AB163" s="7"/>
      <c r="AC163" s="7"/>
    </row>
    <row r="164" spans="1:29" ht="56.25" customHeight="1">
      <c r="A164" s="19"/>
      <c r="B164" s="499"/>
      <c r="C164" s="500"/>
      <c r="D164" s="501"/>
      <c r="E164" s="502"/>
      <c r="F164" s="500"/>
      <c r="G164" s="500"/>
      <c r="H164" s="500"/>
      <c r="I164" s="500"/>
      <c r="J164" s="503"/>
      <c r="K164" s="503"/>
      <c r="L164" s="503"/>
      <c r="M164" s="503"/>
      <c r="N164" s="503"/>
      <c r="O164" s="500"/>
      <c r="P164" s="500"/>
      <c r="Q164" s="504"/>
      <c r="R164" s="505"/>
      <c r="S164" s="500"/>
      <c r="T164" s="500"/>
      <c r="U164" s="723"/>
      <c r="V164" s="507"/>
      <c r="W164" s="14"/>
      <c r="X164" s="7"/>
      <c r="Y164" s="7"/>
      <c r="Z164" s="7"/>
      <c r="AA164" s="7"/>
      <c r="AB164" s="7"/>
      <c r="AC164" s="7"/>
    </row>
    <row r="165" spans="1:29" ht="26.25">
      <c r="A165" s="19"/>
      <c r="B165" s="193" t="s">
        <v>208</v>
      </c>
      <c r="C165" s="91"/>
      <c r="D165" s="115"/>
      <c r="E165" s="115"/>
      <c r="F165" s="91"/>
      <c r="G165" s="91"/>
      <c r="H165" s="91"/>
      <c r="I165" s="91"/>
      <c r="J165" s="164"/>
      <c r="K165" s="164"/>
      <c r="L165" s="164"/>
      <c r="M165" s="164"/>
      <c r="N165" s="164"/>
      <c r="O165" s="91"/>
      <c r="P165" s="91"/>
      <c r="Q165" s="7"/>
      <c r="R165" s="94"/>
      <c r="S165" s="91"/>
      <c r="T165" s="91"/>
      <c r="U165" s="644"/>
      <c r="V165" s="759"/>
      <c r="W165" s="14"/>
      <c r="X165" s="7"/>
      <c r="Y165" s="7"/>
      <c r="Z165" s="7"/>
      <c r="AA165" s="7"/>
      <c r="AB165" s="7"/>
      <c r="AC165" s="7"/>
    </row>
    <row r="166" spans="1:29" ht="25.5">
      <c r="A166" s="19"/>
      <c r="B166" s="132" t="s">
        <v>209</v>
      </c>
      <c r="C166" s="124">
        <f t="shared" ref="C166:C176" si="24">H166+E166</f>
        <v>1232.6400000000001</v>
      </c>
      <c r="D166" s="124"/>
      <c r="E166" s="124">
        <f t="shared" ref="E166:E174" si="25">F166+G166</f>
        <v>80.64</v>
      </c>
      <c r="F166" s="124">
        <f t="shared" ref="F166:F174" si="26">0.04*H166</f>
        <v>46.08</v>
      </c>
      <c r="G166" s="124">
        <f t="shared" ref="G166:G174" si="27">0.03*H166</f>
        <v>34.56</v>
      </c>
      <c r="H166" s="124">
        <f>T166</f>
        <v>1152</v>
      </c>
      <c r="I166" s="124">
        <f t="shared" ref="I166:I173" si="28">0.6*C166</f>
        <v>739.58400000000006</v>
      </c>
      <c r="J166" s="126"/>
      <c r="K166" s="126"/>
      <c r="L166" s="126"/>
      <c r="M166" s="126"/>
      <c r="N166" s="126"/>
      <c r="O166" s="124">
        <v>27753</v>
      </c>
      <c r="P166" s="124">
        <v>28905</v>
      </c>
      <c r="Q166" s="7"/>
      <c r="R166" s="94"/>
      <c r="S166" s="124">
        <v>1</v>
      </c>
      <c r="T166" s="124">
        <f t="shared" ref="T166:T230" si="29">(P166-O166)*S166</f>
        <v>1152</v>
      </c>
      <c r="U166" s="717" t="s">
        <v>959</v>
      </c>
      <c r="V166" s="128" t="s">
        <v>210</v>
      </c>
      <c r="W166" s="14" t="s">
        <v>82</v>
      </c>
      <c r="X166" s="7"/>
      <c r="Y166" s="7"/>
      <c r="Z166" s="7"/>
      <c r="AA166" s="7"/>
      <c r="AB166" s="7"/>
      <c r="AC166" s="7"/>
    </row>
    <row r="167" spans="1:29" ht="25.5">
      <c r="A167" s="19"/>
      <c r="B167" s="158" t="s">
        <v>897</v>
      </c>
      <c r="C167" s="124">
        <f t="shared" si="24"/>
        <v>119.84</v>
      </c>
      <c r="D167" s="124"/>
      <c r="E167" s="124">
        <f t="shared" si="25"/>
        <v>7.84</v>
      </c>
      <c r="F167" s="124">
        <f t="shared" si="26"/>
        <v>4.4800000000000004</v>
      </c>
      <c r="G167" s="124">
        <f t="shared" si="27"/>
        <v>3.36</v>
      </c>
      <c r="H167" s="124">
        <f t="shared" ref="H167:H182" si="30">T167</f>
        <v>112</v>
      </c>
      <c r="I167" s="124">
        <f t="shared" si="28"/>
        <v>71.903999999999996</v>
      </c>
      <c r="J167" s="126"/>
      <c r="K167" s="126"/>
      <c r="L167" s="126"/>
      <c r="M167" s="126"/>
      <c r="N167" s="126"/>
      <c r="O167" s="124">
        <v>70886</v>
      </c>
      <c r="P167" s="124">
        <v>70998</v>
      </c>
      <c r="Q167" s="138"/>
      <c r="R167" s="215"/>
      <c r="S167" s="140">
        <v>1</v>
      </c>
      <c r="T167" s="124">
        <f>(P167-O167)*S167</f>
        <v>112</v>
      </c>
      <c r="U167" s="717" t="s">
        <v>960</v>
      </c>
      <c r="V167" s="128" t="s">
        <v>807</v>
      </c>
      <c r="W167" s="14" t="s">
        <v>212</v>
      </c>
      <c r="X167" s="7"/>
      <c r="Y167" s="7"/>
      <c r="Z167" s="7"/>
      <c r="AA167" s="7"/>
      <c r="AB167" s="7"/>
      <c r="AC167" s="7"/>
    </row>
    <row r="168" spans="1:29" ht="25.5">
      <c r="A168" s="19"/>
      <c r="B168" s="158" t="s">
        <v>213</v>
      </c>
      <c r="C168" s="124">
        <f t="shared" si="24"/>
        <v>162.63999999999999</v>
      </c>
      <c r="D168" s="124"/>
      <c r="E168" s="124">
        <f t="shared" si="25"/>
        <v>10.64</v>
      </c>
      <c r="F168" s="124">
        <f t="shared" si="26"/>
        <v>6.08</v>
      </c>
      <c r="G168" s="124">
        <f t="shared" si="27"/>
        <v>4.5599999999999996</v>
      </c>
      <c r="H168" s="124">
        <f t="shared" si="30"/>
        <v>152</v>
      </c>
      <c r="I168" s="124">
        <f t="shared" si="28"/>
        <v>97.583999999999989</v>
      </c>
      <c r="J168" s="126"/>
      <c r="K168" s="126"/>
      <c r="L168" s="126"/>
      <c r="M168" s="126"/>
      <c r="N168" s="126"/>
      <c r="O168" s="124">
        <v>10103</v>
      </c>
      <c r="P168" s="124">
        <v>10255</v>
      </c>
      <c r="Q168" s="126" t="s">
        <v>33</v>
      </c>
      <c r="R168" s="159"/>
      <c r="S168" s="140">
        <v>1</v>
      </c>
      <c r="T168" s="124">
        <f t="shared" si="29"/>
        <v>152</v>
      </c>
      <c r="U168" s="717" t="s">
        <v>961</v>
      </c>
      <c r="V168" s="128" t="s">
        <v>214</v>
      </c>
      <c r="W168" s="14" t="s">
        <v>212</v>
      </c>
      <c r="X168" s="7"/>
      <c r="Y168" s="7"/>
      <c r="Z168" s="7"/>
      <c r="AA168" s="7"/>
      <c r="AB168" s="7"/>
      <c r="AC168" s="7"/>
    </row>
    <row r="169" spans="1:29" ht="25.5">
      <c r="A169" s="19"/>
      <c r="B169" s="158" t="s">
        <v>215</v>
      </c>
      <c r="C169" s="625">
        <f t="shared" si="24"/>
        <v>768.26</v>
      </c>
      <c r="D169" s="625"/>
      <c r="E169" s="625">
        <f t="shared" si="25"/>
        <v>50.26</v>
      </c>
      <c r="F169" s="625">
        <f t="shared" si="26"/>
        <v>28.72</v>
      </c>
      <c r="G169" s="625">
        <f t="shared" si="27"/>
        <v>21.54</v>
      </c>
      <c r="H169" s="625">
        <f t="shared" si="30"/>
        <v>718</v>
      </c>
      <c r="I169" s="625">
        <f t="shared" si="28"/>
        <v>460.95599999999996</v>
      </c>
      <c r="J169" s="626"/>
      <c r="K169" s="626"/>
      <c r="L169" s="626"/>
      <c r="M169" s="626"/>
      <c r="N169" s="626"/>
      <c r="O169" s="625">
        <v>24750</v>
      </c>
      <c r="P169" s="625">
        <v>25468</v>
      </c>
      <c r="Q169" s="626" t="s">
        <v>33</v>
      </c>
      <c r="R169" s="627"/>
      <c r="S169" s="628">
        <v>1</v>
      </c>
      <c r="T169" s="625">
        <f t="shared" si="29"/>
        <v>718</v>
      </c>
      <c r="U169" s="717" t="s">
        <v>962</v>
      </c>
      <c r="V169" s="128" t="s">
        <v>216</v>
      </c>
      <c r="W169" s="14" t="s">
        <v>48</v>
      </c>
      <c r="X169" s="7"/>
      <c r="Y169" s="7"/>
      <c r="Z169" s="7"/>
      <c r="AA169" s="7"/>
      <c r="AB169" s="7"/>
      <c r="AC169" s="7"/>
    </row>
    <row r="170" spans="1:29" ht="25.5">
      <c r="A170" s="19"/>
      <c r="B170" s="158" t="s">
        <v>217</v>
      </c>
      <c r="C170" s="124">
        <f t="shared" si="24"/>
        <v>2074.73</v>
      </c>
      <c r="D170" s="124"/>
      <c r="E170" s="124">
        <f t="shared" si="25"/>
        <v>135.72999999999999</v>
      </c>
      <c r="F170" s="124">
        <f t="shared" si="26"/>
        <v>77.56</v>
      </c>
      <c r="G170" s="124">
        <f t="shared" si="27"/>
        <v>58.169999999999995</v>
      </c>
      <c r="H170" s="124">
        <f t="shared" si="30"/>
        <v>1939</v>
      </c>
      <c r="I170" s="124">
        <f t="shared" si="28"/>
        <v>1244.838</v>
      </c>
      <c r="J170" s="126"/>
      <c r="K170" s="126"/>
      <c r="L170" s="126"/>
      <c r="M170" s="126"/>
      <c r="N170" s="126"/>
      <c r="O170" s="124">
        <v>88928</v>
      </c>
      <c r="P170" s="124">
        <v>90867</v>
      </c>
      <c r="Q170" s="7"/>
      <c r="R170" s="94"/>
      <c r="S170" s="140">
        <v>1</v>
      </c>
      <c r="T170" s="124">
        <f t="shared" si="29"/>
        <v>1939</v>
      </c>
      <c r="U170" s="717" t="s">
        <v>963</v>
      </c>
      <c r="V170" s="128" t="s">
        <v>218</v>
      </c>
      <c r="W170" s="14" t="s">
        <v>212</v>
      </c>
      <c r="X170" s="7"/>
      <c r="Y170" s="7"/>
      <c r="Z170" s="7"/>
      <c r="AA170" s="7"/>
      <c r="AB170" s="7"/>
      <c r="AC170" s="7"/>
    </row>
    <row r="171" spans="1:29" ht="25.5">
      <c r="A171" s="19"/>
      <c r="B171" s="158" t="s">
        <v>219</v>
      </c>
      <c r="C171" s="124">
        <f t="shared" si="24"/>
        <v>4820.3500000000004</v>
      </c>
      <c r="D171" s="124"/>
      <c r="E171" s="124">
        <f t="shared" si="25"/>
        <v>315.35000000000002</v>
      </c>
      <c r="F171" s="124">
        <f t="shared" si="26"/>
        <v>180.20000000000002</v>
      </c>
      <c r="G171" s="124">
        <f t="shared" si="27"/>
        <v>135.15</v>
      </c>
      <c r="H171" s="124">
        <f t="shared" si="30"/>
        <v>4505</v>
      </c>
      <c r="I171" s="124">
        <f t="shared" si="28"/>
        <v>2892.21</v>
      </c>
      <c r="J171" s="126"/>
      <c r="K171" s="126"/>
      <c r="L171" s="126"/>
      <c r="M171" s="126"/>
      <c r="N171" s="126"/>
      <c r="O171" s="124">
        <v>218963</v>
      </c>
      <c r="P171" s="124">
        <v>223468</v>
      </c>
      <c r="Q171" s="126"/>
      <c r="R171" s="159"/>
      <c r="S171" s="140">
        <v>1</v>
      </c>
      <c r="T171" s="124">
        <f t="shared" si="29"/>
        <v>4505</v>
      </c>
      <c r="U171" s="717" t="s">
        <v>964</v>
      </c>
      <c r="V171" s="128" t="s">
        <v>220</v>
      </c>
      <c r="W171" s="14" t="s">
        <v>212</v>
      </c>
      <c r="X171" s="7"/>
      <c r="Y171" s="7"/>
      <c r="Z171" s="7"/>
      <c r="AA171" s="7"/>
      <c r="AB171" s="7"/>
      <c r="AC171" s="7"/>
    </row>
    <row r="172" spans="1:29" s="195" customFormat="1" ht="25.5">
      <c r="A172" s="194"/>
      <c r="B172" s="158" t="s">
        <v>221</v>
      </c>
      <c r="C172" s="124">
        <f t="shared" si="24"/>
        <v>861.35</v>
      </c>
      <c r="D172" s="124"/>
      <c r="E172" s="124">
        <f t="shared" si="25"/>
        <v>56.35</v>
      </c>
      <c r="F172" s="124">
        <f t="shared" si="26"/>
        <v>32.200000000000003</v>
      </c>
      <c r="G172" s="124">
        <f t="shared" si="27"/>
        <v>24.15</v>
      </c>
      <c r="H172" s="124">
        <f t="shared" si="30"/>
        <v>805</v>
      </c>
      <c r="I172" s="124">
        <f t="shared" si="28"/>
        <v>516.80999999999995</v>
      </c>
      <c r="J172" s="332"/>
      <c r="K172" s="332"/>
      <c r="L172" s="332"/>
      <c r="M172" s="332"/>
      <c r="N172" s="332"/>
      <c r="O172" s="124">
        <v>35420</v>
      </c>
      <c r="P172" s="124">
        <v>36225</v>
      </c>
      <c r="Q172" s="7"/>
      <c r="R172" s="159"/>
      <c r="S172" s="140">
        <v>1</v>
      </c>
      <c r="T172" s="124">
        <f t="shared" si="29"/>
        <v>805</v>
      </c>
      <c r="U172" s="717" t="s">
        <v>965</v>
      </c>
      <c r="V172" s="128" t="s">
        <v>222</v>
      </c>
      <c r="W172" s="14" t="s">
        <v>212</v>
      </c>
      <c r="X172" s="86"/>
      <c r="Y172" s="86"/>
      <c r="Z172" s="86"/>
      <c r="AA172" s="86"/>
      <c r="AB172" s="86"/>
      <c r="AC172" s="86"/>
    </row>
    <row r="173" spans="1:29" ht="25.5">
      <c r="A173" s="19"/>
      <c r="B173" s="132"/>
      <c r="C173" s="124">
        <f t="shared" si="24"/>
        <v>223.63</v>
      </c>
      <c r="D173" s="124"/>
      <c r="E173" s="124">
        <f t="shared" si="25"/>
        <v>14.629999999999999</v>
      </c>
      <c r="F173" s="124">
        <f t="shared" si="26"/>
        <v>8.36</v>
      </c>
      <c r="G173" s="124">
        <f t="shared" si="27"/>
        <v>6.27</v>
      </c>
      <c r="H173" s="124">
        <f t="shared" si="30"/>
        <v>209</v>
      </c>
      <c r="I173" s="124">
        <f t="shared" si="28"/>
        <v>134.178</v>
      </c>
      <c r="J173" s="126"/>
      <c r="K173" s="126"/>
      <c r="L173" s="126"/>
      <c r="M173" s="126"/>
      <c r="N173" s="126"/>
      <c r="O173" s="124">
        <v>26830</v>
      </c>
      <c r="P173" s="124">
        <v>27039</v>
      </c>
      <c r="Q173" s="7"/>
      <c r="R173" s="94"/>
      <c r="S173" s="140">
        <v>1</v>
      </c>
      <c r="T173" s="124">
        <f t="shared" si="29"/>
        <v>209</v>
      </c>
      <c r="U173" s="717">
        <v>8383</v>
      </c>
      <c r="V173" s="128" t="s">
        <v>223</v>
      </c>
      <c r="W173" s="14" t="s">
        <v>212</v>
      </c>
      <c r="X173" s="7"/>
      <c r="Y173" s="7"/>
      <c r="Z173" s="7"/>
      <c r="AA173" s="7"/>
      <c r="AB173" s="7"/>
      <c r="AC173" s="7"/>
    </row>
    <row r="174" spans="1:29" ht="40.5" customHeight="1">
      <c r="A174" s="19"/>
      <c r="B174" s="123" t="s">
        <v>224</v>
      </c>
      <c r="C174" s="97">
        <f t="shared" si="24"/>
        <v>21743.341600000193</v>
      </c>
      <c r="D174" s="97"/>
      <c r="E174" s="97">
        <f t="shared" si="25"/>
        <v>1422.4616000000124</v>
      </c>
      <c r="F174" s="97">
        <f t="shared" si="26"/>
        <v>812.83520000000715</v>
      </c>
      <c r="G174" s="97">
        <f t="shared" si="27"/>
        <v>609.62640000000533</v>
      </c>
      <c r="H174" s="97">
        <f t="shared" si="30"/>
        <v>20320.880000000179</v>
      </c>
      <c r="I174" s="97">
        <f>T175+250+750</f>
        <v>2608</v>
      </c>
      <c r="J174" s="332"/>
      <c r="K174" s="332"/>
      <c r="L174" s="332"/>
      <c r="M174" s="332"/>
      <c r="N174" s="332"/>
      <c r="O174" s="629">
        <v>65420.883999999998</v>
      </c>
      <c r="P174" s="629">
        <v>65928.906000000003</v>
      </c>
      <c r="Q174" s="138"/>
      <c r="R174" s="215"/>
      <c r="S174" s="97">
        <v>40</v>
      </c>
      <c r="T174" s="124">
        <f t="shared" si="29"/>
        <v>20320.880000000179</v>
      </c>
      <c r="U174" s="717" t="s">
        <v>966</v>
      </c>
      <c r="V174" s="128" t="s">
        <v>225</v>
      </c>
      <c r="W174" s="14" t="s">
        <v>48</v>
      </c>
      <c r="X174" s="7"/>
      <c r="Y174" s="7"/>
      <c r="Z174" s="7"/>
      <c r="AA174" s="7"/>
      <c r="AB174" s="7"/>
      <c r="AC174" s="7"/>
    </row>
    <row r="175" spans="1:29" ht="26.25">
      <c r="A175" s="19"/>
      <c r="B175" s="700" t="s">
        <v>953</v>
      </c>
      <c r="C175" s="124">
        <f t="shared" si="24"/>
        <v>1720.56</v>
      </c>
      <c r="D175" s="124"/>
      <c r="E175" s="124">
        <f>F175+G175</f>
        <v>112.56</v>
      </c>
      <c r="F175" s="124">
        <f>0.04*H175</f>
        <v>64.320000000000007</v>
      </c>
      <c r="G175" s="124">
        <f>0.03*H175</f>
        <v>48.239999999999995</v>
      </c>
      <c r="H175" s="124">
        <f t="shared" si="30"/>
        <v>1608</v>
      </c>
      <c r="I175" s="124">
        <f>0.6*C175</f>
        <v>1032.336</v>
      </c>
      <c r="J175" s="126"/>
      <c r="K175" s="126"/>
      <c r="L175" s="126"/>
      <c r="M175" s="126"/>
      <c r="N175" s="126"/>
      <c r="O175" s="124">
        <v>1920</v>
      </c>
      <c r="P175" s="124">
        <v>3528</v>
      </c>
      <c r="Q175" s="7"/>
      <c r="R175" s="94"/>
      <c r="S175" s="140">
        <v>1</v>
      </c>
      <c r="T175" s="124">
        <f t="shared" si="29"/>
        <v>1608</v>
      </c>
      <c r="U175" s="717" t="s">
        <v>967</v>
      </c>
      <c r="V175" s="128" t="s">
        <v>884</v>
      </c>
      <c r="W175" s="14"/>
      <c r="X175" s="7"/>
      <c r="Y175" s="7"/>
      <c r="Z175" s="7"/>
      <c r="AA175" s="7"/>
      <c r="AB175" s="7"/>
      <c r="AC175" s="7"/>
    </row>
    <row r="176" spans="1:29" ht="25.5">
      <c r="A176" s="19"/>
      <c r="B176" s="835" t="s">
        <v>226</v>
      </c>
      <c r="C176" s="124">
        <f t="shared" si="24"/>
        <v>607.76</v>
      </c>
      <c r="D176" s="124"/>
      <c r="E176" s="124">
        <f>F176+G176</f>
        <v>39.76</v>
      </c>
      <c r="F176" s="124">
        <f>0.04*H176</f>
        <v>22.72</v>
      </c>
      <c r="G176" s="124">
        <f>0.03*H176</f>
        <v>17.04</v>
      </c>
      <c r="H176" s="124">
        <f t="shared" si="30"/>
        <v>568</v>
      </c>
      <c r="I176" s="124">
        <f>0.6*C176</f>
        <v>364.65600000000001</v>
      </c>
      <c r="J176" s="126"/>
      <c r="K176" s="126"/>
      <c r="L176" s="126"/>
      <c r="M176" s="126"/>
      <c r="N176" s="126"/>
      <c r="O176" s="124">
        <v>33564</v>
      </c>
      <c r="P176" s="124">
        <v>34132</v>
      </c>
      <c r="Q176" s="7"/>
      <c r="R176" s="94"/>
      <c r="S176" s="140">
        <v>1</v>
      </c>
      <c r="T176" s="124">
        <f t="shared" si="29"/>
        <v>568</v>
      </c>
      <c r="U176" s="726" t="s">
        <v>968</v>
      </c>
      <c r="V176" s="761" t="s">
        <v>227</v>
      </c>
      <c r="W176" s="14" t="s">
        <v>212</v>
      </c>
      <c r="X176" s="7"/>
      <c r="Y176" s="7"/>
      <c r="Z176" s="7"/>
      <c r="AA176" s="7"/>
      <c r="AB176" s="7"/>
      <c r="AC176" s="7"/>
    </row>
    <row r="177" spans="1:29" ht="25.5">
      <c r="A177" s="19"/>
      <c r="B177" s="836"/>
      <c r="C177" s="113">
        <f>H177+E177</f>
        <v>14380.8</v>
      </c>
      <c r="D177" s="113"/>
      <c r="E177" s="113">
        <f>F177+G177</f>
        <v>940.8</v>
      </c>
      <c r="F177" s="113">
        <f>0.04*H177</f>
        <v>537.6</v>
      </c>
      <c r="G177" s="113">
        <f>0.03*H177</f>
        <v>403.2</v>
      </c>
      <c r="H177" s="113">
        <f t="shared" si="30"/>
        <v>13440</v>
      </c>
      <c r="I177" s="187">
        <f>0.6*C177</f>
        <v>8628.48</v>
      </c>
      <c r="J177" s="22"/>
      <c r="K177" s="22"/>
      <c r="L177" s="22"/>
      <c r="M177" s="22"/>
      <c r="N177" s="22"/>
      <c r="O177" s="630">
        <v>37738.5</v>
      </c>
      <c r="P177" s="630">
        <v>37962.5</v>
      </c>
      <c r="Q177" s="22" t="s">
        <v>33</v>
      </c>
      <c r="R177" s="631"/>
      <c r="S177" s="632">
        <v>60</v>
      </c>
      <c r="T177" s="113">
        <f t="shared" si="29"/>
        <v>13440</v>
      </c>
      <c r="U177" s="644" t="s">
        <v>969</v>
      </c>
      <c r="V177" s="761" t="s">
        <v>228</v>
      </c>
      <c r="W177" s="14" t="s">
        <v>212</v>
      </c>
      <c r="X177" s="7"/>
      <c r="Y177" s="7"/>
      <c r="Z177" s="7"/>
      <c r="AA177" s="7"/>
      <c r="AB177" s="7"/>
      <c r="AC177" s="7"/>
    </row>
    <row r="178" spans="1:29" ht="25.5">
      <c r="A178" s="19"/>
      <c r="B178" s="633" t="s">
        <v>229</v>
      </c>
      <c r="C178" s="229">
        <f>H178+E178</f>
        <v>3381.2</v>
      </c>
      <c r="D178" s="229"/>
      <c r="E178" s="229">
        <f>G178+F178</f>
        <v>221.2</v>
      </c>
      <c r="F178" s="229">
        <f>0.04*H178</f>
        <v>126.4</v>
      </c>
      <c r="G178" s="229">
        <f>0.03*H178</f>
        <v>94.8</v>
      </c>
      <c r="H178" s="229">
        <f t="shared" si="30"/>
        <v>3160</v>
      </c>
      <c r="I178" s="229">
        <f>0.6*C178</f>
        <v>2028.7199999999998</v>
      </c>
      <c r="J178" s="634"/>
      <c r="K178" s="634"/>
      <c r="L178" s="634"/>
      <c r="M178" s="634"/>
      <c r="N178" s="634"/>
      <c r="O178" s="229">
        <v>2933</v>
      </c>
      <c r="P178" s="229">
        <v>6093</v>
      </c>
      <c r="Q178" s="635"/>
      <c r="R178" s="636"/>
      <c r="S178" s="637">
        <v>1</v>
      </c>
      <c r="T178" s="229">
        <f t="shared" si="29"/>
        <v>3160</v>
      </c>
      <c r="U178" s="644" t="s">
        <v>970</v>
      </c>
      <c r="V178" s="761" t="s">
        <v>230</v>
      </c>
      <c r="W178" s="14" t="s">
        <v>212</v>
      </c>
      <c r="X178" s="7"/>
      <c r="Y178" s="7"/>
      <c r="Z178" s="7"/>
      <c r="AA178" s="7"/>
      <c r="AB178" s="7"/>
      <c r="AC178" s="7"/>
    </row>
    <row r="179" spans="1:29" s="195" customFormat="1" ht="25.5">
      <c r="A179" s="194"/>
      <c r="B179" s="148" t="s">
        <v>768</v>
      </c>
      <c r="C179" s="91">
        <f t="shared" ref="C179:C230" si="31">H179+E179</f>
        <v>781.1</v>
      </c>
      <c r="D179" s="91"/>
      <c r="E179" s="91">
        <f>F179+G179</f>
        <v>51.099999999999994</v>
      </c>
      <c r="F179" s="91">
        <f t="shared" ref="F179:F230" si="32">0.04*H179</f>
        <v>29.2</v>
      </c>
      <c r="G179" s="91">
        <f t="shared" ref="G179:G230" si="33">0.03*H179</f>
        <v>21.9</v>
      </c>
      <c r="H179" s="91">
        <f t="shared" si="30"/>
        <v>730</v>
      </c>
      <c r="I179" s="91">
        <f t="shared" ref="I179:I197" si="34">0.6*C179</f>
        <v>468.65999999999997</v>
      </c>
      <c r="J179" s="22"/>
      <c r="K179" s="22"/>
      <c r="L179" s="22"/>
      <c r="M179" s="22"/>
      <c r="N179" s="22"/>
      <c r="O179" s="91">
        <v>9605</v>
      </c>
      <c r="P179" s="91">
        <v>10335</v>
      </c>
      <c r="Q179" s="122"/>
      <c r="R179" s="173"/>
      <c r="S179" s="151">
        <v>1</v>
      </c>
      <c r="T179" s="91">
        <f t="shared" si="29"/>
        <v>730</v>
      </c>
      <c r="U179" s="644" t="s">
        <v>971</v>
      </c>
      <c r="V179" s="761" t="s">
        <v>686</v>
      </c>
      <c r="W179" s="191" t="s">
        <v>48</v>
      </c>
      <c r="X179" s="86"/>
      <c r="Y179" s="86"/>
      <c r="Z179" s="86"/>
      <c r="AA179" s="86"/>
      <c r="AB179" s="86"/>
      <c r="AC179" s="86"/>
    </row>
    <row r="180" spans="1:29" ht="34.5" customHeight="1">
      <c r="A180" s="19"/>
      <c r="B180" s="148" t="s">
        <v>850</v>
      </c>
      <c r="C180" s="91">
        <f t="shared" si="31"/>
        <v>747.93</v>
      </c>
      <c r="D180" s="91"/>
      <c r="E180" s="91">
        <f>F180+G180</f>
        <v>48.93</v>
      </c>
      <c r="F180" s="91">
        <f t="shared" si="32"/>
        <v>27.96</v>
      </c>
      <c r="G180" s="91">
        <f t="shared" si="33"/>
        <v>20.97</v>
      </c>
      <c r="H180" s="91">
        <f t="shared" si="30"/>
        <v>699</v>
      </c>
      <c r="I180" s="91">
        <f t="shared" si="34"/>
        <v>448.75799999999998</v>
      </c>
      <c r="J180" s="22"/>
      <c r="K180" s="22"/>
      <c r="L180" s="22"/>
      <c r="M180" s="22"/>
      <c r="N180" s="22"/>
      <c r="O180" s="91">
        <v>5714</v>
      </c>
      <c r="P180" s="91">
        <v>6413</v>
      </c>
      <c r="Q180" s="122"/>
      <c r="R180" s="173"/>
      <c r="S180" s="151">
        <v>1</v>
      </c>
      <c r="T180" s="91">
        <f t="shared" si="29"/>
        <v>699</v>
      </c>
      <c r="U180" s="644">
        <v>70373</v>
      </c>
      <c r="V180" s="761" t="s">
        <v>231</v>
      </c>
      <c r="W180" s="191" t="s">
        <v>48</v>
      </c>
      <c r="X180" s="7"/>
      <c r="Y180" s="7"/>
      <c r="Z180" s="7"/>
      <c r="AA180" s="7"/>
      <c r="AB180" s="7"/>
      <c r="AC180" s="7"/>
    </row>
    <row r="181" spans="1:29" s="198" customFormat="1" ht="33" customHeight="1">
      <c r="A181" s="196"/>
      <c r="B181" s="148" t="s">
        <v>851</v>
      </c>
      <c r="C181" s="91">
        <f t="shared" si="31"/>
        <v>919.13</v>
      </c>
      <c r="D181" s="91"/>
      <c r="E181" s="91">
        <f>F181+G181</f>
        <v>60.129999999999995</v>
      </c>
      <c r="F181" s="91">
        <f t="shared" si="32"/>
        <v>34.36</v>
      </c>
      <c r="G181" s="91">
        <f t="shared" si="33"/>
        <v>25.77</v>
      </c>
      <c r="H181" s="91">
        <f t="shared" si="30"/>
        <v>859</v>
      </c>
      <c r="I181" s="91">
        <f t="shared" si="34"/>
        <v>551.47799999999995</v>
      </c>
      <c r="J181" s="22"/>
      <c r="K181" s="22"/>
      <c r="L181" s="22"/>
      <c r="M181" s="22"/>
      <c r="N181" s="22"/>
      <c r="O181" s="91">
        <v>11255</v>
      </c>
      <c r="P181" s="91">
        <v>12114</v>
      </c>
      <c r="Q181" s="122"/>
      <c r="R181" s="173"/>
      <c r="S181" s="91">
        <v>1</v>
      </c>
      <c r="T181" s="91">
        <f t="shared" si="29"/>
        <v>859</v>
      </c>
      <c r="U181" s="644">
        <v>99648</v>
      </c>
      <c r="V181" s="761" t="s">
        <v>232</v>
      </c>
      <c r="W181" s="191" t="s">
        <v>48</v>
      </c>
      <c r="X181" s="197"/>
      <c r="Y181" s="197"/>
      <c r="Z181" s="197"/>
      <c r="AA181" s="197"/>
      <c r="AB181" s="197"/>
      <c r="AC181" s="197"/>
    </row>
    <row r="182" spans="1:29" ht="26.25">
      <c r="A182" s="19"/>
      <c r="B182" s="148" t="s">
        <v>852</v>
      </c>
      <c r="C182" s="91">
        <f t="shared" si="31"/>
        <v>782.17</v>
      </c>
      <c r="D182" s="91"/>
      <c r="E182" s="91">
        <f>F182+G182</f>
        <v>51.17</v>
      </c>
      <c r="F182" s="91">
        <f t="shared" si="32"/>
        <v>29.240000000000002</v>
      </c>
      <c r="G182" s="91">
        <f t="shared" si="33"/>
        <v>21.93</v>
      </c>
      <c r="H182" s="91">
        <f t="shared" si="30"/>
        <v>731</v>
      </c>
      <c r="I182" s="91">
        <f t="shared" si="34"/>
        <v>469.30199999999996</v>
      </c>
      <c r="J182" s="22"/>
      <c r="K182" s="22"/>
      <c r="L182" s="22"/>
      <c r="M182" s="22"/>
      <c r="N182" s="22" t="s">
        <v>233</v>
      </c>
      <c r="O182" s="91">
        <v>36624</v>
      </c>
      <c r="P182" s="91">
        <v>37355</v>
      </c>
      <c r="Q182" s="149"/>
      <c r="R182" s="161"/>
      <c r="S182" s="91">
        <v>1</v>
      </c>
      <c r="T182" s="91">
        <f t="shared" si="29"/>
        <v>731</v>
      </c>
      <c r="U182" s="644">
        <v>98600</v>
      </c>
      <c r="V182" s="761" t="s">
        <v>234</v>
      </c>
      <c r="W182" s="191" t="s">
        <v>48</v>
      </c>
      <c r="X182" s="7"/>
      <c r="Y182" s="7"/>
      <c r="Z182" s="7"/>
      <c r="AA182" s="7"/>
      <c r="AB182" s="7"/>
      <c r="AC182" s="7"/>
    </row>
    <row r="183" spans="1:29" ht="26.25">
      <c r="A183" s="19"/>
      <c r="B183" s="148" t="s">
        <v>898</v>
      </c>
      <c r="C183" s="91">
        <f t="shared" si="31"/>
        <v>521.09</v>
      </c>
      <c r="D183" s="91"/>
      <c r="E183" s="91">
        <f>F183+G183</f>
        <v>34.090000000000003</v>
      </c>
      <c r="F183" s="91">
        <f t="shared" si="32"/>
        <v>19.48</v>
      </c>
      <c r="G183" s="91">
        <f t="shared" si="33"/>
        <v>14.61</v>
      </c>
      <c r="H183" s="91">
        <f>T183</f>
        <v>487</v>
      </c>
      <c r="I183" s="91">
        <f t="shared" si="34"/>
        <v>312.654</v>
      </c>
      <c r="J183" s="22"/>
      <c r="K183" s="22"/>
      <c r="L183" s="22"/>
      <c r="M183" s="22"/>
      <c r="N183" s="22" t="s">
        <v>235</v>
      </c>
      <c r="O183" s="91">
        <v>87860</v>
      </c>
      <c r="P183" s="91">
        <v>88347</v>
      </c>
      <c r="Q183" s="122"/>
      <c r="R183" s="173"/>
      <c r="S183" s="91">
        <v>1</v>
      </c>
      <c r="T183" s="91">
        <f t="shared" si="29"/>
        <v>487</v>
      </c>
      <c r="U183" s="644">
        <v>98517</v>
      </c>
      <c r="V183" s="761" t="s">
        <v>846</v>
      </c>
      <c r="W183" s="191" t="s">
        <v>48</v>
      </c>
      <c r="X183" s="7"/>
      <c r="Y183" s="7"/>
      <c r="Z183" s="7"/>
      <c r="AA183" s="7"/>
      <c r="AB183" s="7"/>
      <c r="AC183" s="7"/>
    </row>
    <row r="184" spans="1:29" ht="26.25">
      <c r="A184" s="19"/>
      <c r="B184" s="148" t="s">
        <v>853</v>
      </c>
      <c r="C184" s="91">
        <f t="shared" si="31"/>
        <v>940.53</v>
      </c>
      <c r="D184" s="91"/>
      <c r="E184" s="91">
        <f>F184++G184</f>
        <v>61.53</v>
      </c>
      <c r="F184" s="91">
        <f t="shared" si="32"/>
        <v>35.160000000000004</v>
      </c>
      <c r="G184" s="91">
        <f t="shared" si="33"/>
        <v>26.369999999999997</v>
      </c>
      <c r="H184" s="91">
        <f t="shared" ref="H184:H199" si="35">T184</f>
        <v>879</v>
      </c>
      <c r="I184" s="91">
        <f t="shared" si="34"/>
        <v>564.31799999999998</v>
      </c>
      <c r="J184" s="22"/>
      <c r="K184" s="22"/>
      <c r="L184" s="22"/>
      <c r="M184" s="22"/>
      <c r="N184" s="22" t="s">
        <v>237</v>
      </c>
      <c r="O184" s="91">
        <v>48050</v>
      </c>
      <c r="P184" s="91">
        <v>48929</v>
      </c>
      <c r="Q184" s="22" t="s">
        <v>33</v>
      </c>
      <c r="R184" s="142"/>
      <c r="S184" s="151">
        <v>1</v>
      </c>
      <c r="T184" s="91">
        <f t="shared" si="29"/>
        <v>879</v>
      </c>
      <c r="U184" s="644">
        <v>98627</v>
      </c>
      <c r="V184" s="761" t="s">
        <v>238</v>
      </c>
      <c r="W184" s="191" t="s">
        <v>48</v>
      </c>
      <c r="X184" s="7"/>
      <c r="Y184" s="7"/>
      <c r="Z184" s="7"/>
      <c r="AA184" s="7"/>
      <c r="AB184" s="7"/>
      <c r="AC184" s="7"/>
    </row>
    <row r="185" spans="1:29" ht="26.25">
      <c r="A185" s="19"/>
      <c r="B185" s="90" t="s">
        <v>899</v>
      </c>
      <c r="C185" s="91">
        <f t="shared" si="31"/>
        <v>295.32</v>
      </c>
      <c r="D185" s="91"/>
      <c r="E185" s="91">
        <f>G185+F185</f>
        <v>19.32</v>
      </c>
      <c r="F185" s="91">
        <f t="shared" si="32"/>
        <v>11.040000000000001</v>
      </c>
      <c r="G185" s="91">
        <f t="shared" si="33"/>
        <v>8.2799999999999994</v>
      </c>
      <c r="H185" s="91">
        <f t="shared" si="35"/>
        <v>276</v>
      </c>
      <c r="I185" s="91">
        <f t="shared" si="34"/>
        <v>177.19199999999998</v>
      </c>
      <c r="J185" s="22"/>
      <c r="K185" s="22"/>
      <c r="L185" s="22"/>
      <c r="M185" s="22"/>
      <c r="N185" s="22"/>
      <c r="O185" s="91">
        <v>74711</v>
      </c>
      <c r="P185" s="91">
        <v>74987</v>
      </c>
      <c r="Q185" s="149"/>
      <c r="R185" s="161"/>
      <c r="S185" s="151">
        <v>1</v>
      </c>
      <c r="T185" s="91">
        <f t="shared" si="29"/>
        <v>276</v>
      </c>
      <c r="U185" s="644">
        <v>98556</v>
      </c>
      <c r="V185" s="761" t="s">
        <v>240</v>
      </c>
      <c r="W185" s="191" t="s">
        <v>48</v>
      </c>
      <c r="X185" s="7"/>
      <c r="Y185" s="7"/>
      <c r="Z185" s="7"/>
      <c r="AA185" s="7"/>
      <c r="AB185" s="7"/>
      <c r="AC185" s="7"/>
    </row>
    <row r="186" spans="1:29" ht="26.25">
      <c r="A186" s="19"/>
      <c r="B186" s="148" t="s">
        <v>854</v>
      </c>
      <c r="C186" s="91">
        <f t="shared" si="31"/>
        <v>460.1</v>
      </c>
      <c r="D186" s="91"/>
      <c r="E186" s="91">
        <f t="shared" ref="E186:E193" si="36">F186+G186</f>
        <v>30.1</v>
      </c>
      <c r="F186" s="91">
        <f t="shared" si="32"/>
        <v>17.2</v>
      </c>
      <c r="G186" s="91">
        <f t="shared" si="33"/>
        <v>12.9</v>
      </c>
      <c r="H186" s="91">
        <f t="shared" si="35"/>
        <v>430</v>
      </c>
      <c r="I186" s="91">
        <f t="shared" si="34"/>
        <v>276.06</v>
      </c>
      <c r="J186" s="22"/>
      <c r="K186" s="22"/>
      <c r="L186" s="22"/>
      <c r="M186" s="22"/>
      <c r="N186" s="22"/>
      <c r="O186" s="91">
        <v>72574</v>
      </c>
      <c r="P186" s="91">
        <v>73004</v>
      </c>
      <c r="Q186" s="122"/>
      <c r="R186" s="173"/>
      <c r="S186" s="151">
        <v>1</v>
      </c>
      <c r="T186" s="91">
        <f t="shared" si="29"/>
        <v>430</v>
      </c>
      <c r="U186" s="644">
        <v>98503</v>
      </c>
      <c r="V186" s="761" t="s">
        <v>241</v>
      </c>
      <c r="W186" s="191" t="s">
        <v>48</v>
      </c>
      <c r="X186" s="7"/>
      <c r="Y186" s="7"/>
      <c r="Z186" s="7"/>
      <c r="AA186" s="7"/>
      <c r="AB186" s="7"/>
      <c r="AC186" s="7"/>
    </row>
    <row r="187" spans="1:29" ht="26.25" customHeight="1">
      <c r="A187" s="19"/>
      <c r="B187" s="837" t="s">
        <v>242</v>
      </c>
      <c r="C187" s="91">
        <f t="shared" si="31"/>
        <v>870.98</v>
      </c>
      <c r="D187" s="91"/>
      <c r="E187" s="91">
        <f t="shared" si="36"/>
        <v>56.980000000000004</v>
      </c>
      <c r="F187" s="91">
        <f t="shared" si="32"/>
        <v>32.56</v>
      </c>
      <c r="G187" s="91">
        <f t="shared" si="33"/>
        <v>24.419999999999998</v>
      </c>
      <c r="H187" s="91">
        <f t="shared" si="35"/>
        <v>814</v>
      </c>
      <c r="I187" s="91">
        <f t="shared" si="34"/>
        <v>522.58799999999997</v>
      </c>
      <c r="J187" s="22"/>
      <c r="K187" s="22"/>
      <c r="L187" s="22"/>
      <c r="M187" s="22"/>
      <c r="N187" s="22"/>
      <c r="O187" s="91">
        <v>85111</v>
      </c>
      <c r="P187" s="91">
        <v>85925</v>
      </c>
      <c r="Q187" s="149"/>
      <c r="R187" s="161"/>
      <c r="S187" s="151">
        <v>1</v>
      </c>
      <c r="T187" s="91">
        <f t="shared" si="29"/>
        <v>814</v>
      </c>
      <c r="U187" s="644">
        <v>98630</v>
      </c>
      <c r="V187" s="761" t="s">
        <v>243</v>
      </c>
      <c r="W187" s="191" t="s">
        <v>48</v>
      </c>
      <c r="X187" s="7"/>
      <c r="Y187" s="7"/>
      <c r="Z187" s="7"/>
      <c r="AA187" s="7"/>
      <c r="AB187" s="7"/>
      <c r="AC187" s="7"/>
    </row>
    <row r="188" spans="1:29" ht="30" customHeight="1">
      <c r="A188" s="19"/>
      <c r="B188" s="838"/>
      <c r="C188" s="199">
        <f t="shared" si="31"/>
        <v>750.06999999999994</v>
      </c>
      <c r="D188" s="91"/>
      <c r="E188" s="91">
        <f t="shared" si="36"/>
        <v>49.069999999999993</v>
      </c>
      <c r="F188" s="91">
        <f t="shared" si="32"/>
        <v>28.04</v>
      </c>
      <c r="G188" s="91">
        <f t="shared" si="33"/>
        <v>21.029999999999998</v>
      </c>
      <c r="H188" s="91">
        <f t="shared" si="35"/>
        <v>701</v>
      </c>
      <c r="I188" s="91">
        <f t="shared" si="34"/>
        <v>450.04199999999997</v>
      </c>
      <c r="J188" s="22"/>
      <c r="K188" s="22"/>
      <c r="L188" s="22"/>
      <c r="M188" s="22"/>
      <c r="N188" s="22"/>
      <c r="O188" s="91">
        <v>77630</v>
      </c>
      <c r="P188" s="91">
        <v>78331</v>
      </c>
      <c r="Q188" s="122"/>
      <c r="R188" s="200"/>
      <c r="S188" s="151">
        <v>1</v>
      </c>
      <c r="T188" s="91">
        <f t="shared" si="29"/>
        <v>701</v>
      </c>
      <c r="U188" s="644" t="s">
        <v>972</v>
      </c>
      <c r="V188" s="761" t="s">
        <v>244</v>
      </c>
      <c r="W188" s="191" t="s">
        <v>48</v>
      </c>
      <c r="X188" s="7"/>
      <c r="Y188" s="7"/>
      <c r="Z188" s="7"/>
      <c r="AA188" s="7"/>
      <c r="AB188" s="7"/>
      <c r="AC188" s="7"/>
    </row>
    <row r="189" spans="1:29" ht="25.5">
      <c r="A189" s="19"/>
      <c r="B189" s="148" t="s">
        <v>245</v>
      </c>
      <c r="C189" s="91">
        <f>H189+E189</f>
        <v>0</v>
      </c>
      <c r="D189" s="91"/>
      <c r="E189" s="91">
        <f>F189+G189</f>
        <v>0</v>
      </c>
      <c r="F189" s="91">
        <f>0.04*H189</f>
        <v>0</v>
      </c>
      <c r="G189" s="91">
        <f>0.03*H189</f>
        <v>0</v>
      </c>
      <c r="H189" s="91">
        <f>T189</f>
        <v>0</v>
      </c>
      <c r="I189" s="91">
        <f>0.6*C189</f>
        <v>0</v>
      </c>
      <c r="J189" s="22"/>
      <c r="K189" s="22"/>
      <c r="L189" s="22"/>
      <c r="M189" s="22"/>
      <c r="N189" s="22"/>
      <c r="O189" s="91">
        <v>19403</v>
      </c>
      <c r="P189" s="91">
        <v>19403</v>
      </c>
      <c r="Q189" s="122"/>
      <c r="R189" s="92"/>
      <c r="S189" s="91">
        <v>1</v>
      </c>
      <c r="T189" s="91">
        <f>(P189-O189)*S189</f>
        <v>0</v>
      </c>
      <c r="U189" s="644">
        <v>8726</v>
      </c>
      <c r="V189" s="761" t="s">
        <v>246</v>
      </c>
      <c r="W189" s="191" t="s">
        <v>48</v>
      </c>
      <c r="X189" s="7"/>
      <c r="Y189" s="7"/>
      <c r="Z189" s="7"/>
      <c r="AA189" s="7"/>
      <c r="AB189" s="7"/>
      <c r="AC189" s="7"/>
    </row>
    <row r="190" spans="1:29" ht="26.25">
      <c r="A190" s="19"/>
      <c r="B190" s="148" t="s">
        <v>900</v>
      </c>
      <c r="C190" s="91">
        <f t="shared" si="31"/>
        <v>1558.99</v>
      </c>
      <c r="D190" s="91"/>
      <c r="E190" s="91">
        <f t="shared" si="36"/>
        <v>101.99000000000001</v>
      </c>
      <c r="F190" s="91">
        <f t="shared" si="32"/>
        <v>58.28</v>
      </c>
      <c r="G190" s="91">
        <f t="shared" si="33"/>
        <v>43.71</v>
      </c>
      <c r="H190" s="91">
        <f t="shared" si="35"/>
        <v>1457</v>
      </c>
      <c r="I190" s="91">
        <f t="shared" si="34"/>
        <v>935.39400000000001</v>
      </c>
      <c r="J190" s="22"/>
      <c r="K190" s="22"/>
      <c r="L190" s="22"/>
      <c r="M190" s="22"/>
      <c r="N190" s="22"/>
      <c r="O190" s="91">
        <v>136468</v>
      </c>
      <c r="P190" s="91">
        <v>137925</v>
      </c>
      <c r="Q190" s="122"/>
      <c r="R190" s="173"/>
      <c r="S190" s="91">
        <v>1</v>
      </c>
      <c r="T190" s="91">
        <f t="shared" si="29"/>
        <v>1457</v>
      </c>
      <c r="U190" s="644">
        <v>542003</v>
      </c>
      <c r="V190" s="761" t="s">
        <v>247</v>
      </c>
      <c r="W190" s="191" t="s">
        <v>48</v>
      </c>
      <c r="X190" s="7"/>
      <c r="Y190" s="7"/>
      <c r="Z190" s="7"/>
      <c r="AA190" s="7"/>
      <c r="AB190" s="7"/>
      <c r="AC190" s="7"/>
    </row>
    <row r="191" spans="1:29" ht="26.25">
      <c r="A191" s="19"/>
      <c r="B191" s="148" t="s">
        <v>855</v>
      </c>
      <c r="C191" s="91">
        <f t="shared" si="31"/>
        <v>393.76</v>
      </c>
      <c r="D191" s="91"/>
      <c r="E191" s="91">
        <f t="shared" si="36"/>
        <v>25.759999999999998</v>
      </c>
      <c r="F191" s="91">
        <f t="shared" si="32"/>
        <v>14.72</v>
      </c>
      <c r="G191" s="91">
        <f t="shared" si="33"/>
        <v>11.04</v>
      </c>
      <c r="H191" s="91">
        <f t="shared" si="35"/>
        <v>368</v>
      </c>
      <c r="I191" s="91">
        <f t="shared" si="34"/>
        <v>236.25599999999997</v>
      </c>
      <c r="J191" s="22"/>
      <c r="K191" s="22"/>
      <c r="L191" s="22"/>
      <c r="M191" s="22"/>
      <c r="N191" s="22" t="s">
        <v>248</v>
      </c>
      <c r="O191" s="91">
        <v>44647</v>
      </c>
      <c r="P191" s="91">
        <v>45015</v>
      </c>
      <c r="Q191" s="22" t="s">
        <v>37</v>
      </c>
      <c r="R191" s="142"/>
      <c r="S191" s="91">
        <v>1</v>
      </c>
      <c r="T191" s="91">
        <f t="shared" si="29"/>
        <v>368</v>
      </c>
      <c r="U191" s="644">
        <v>100986</v>
      </c>
      <c r="V191" s="761" t="s">
        <v>273</v>
      </c>
      <c r="W191" s="191" t="s">
        <v>48</v>
      </c>
      <c r="X191" s="7"/>
      <c r="Y191" s="7"/>
      <c r="Z191" s="7"/>
      <c r="AA191" s="7"/>
      <c r="AB191" s="7"/>
      <c r="AC191" s="7"/>
    </row>
    <row r="192" spans="1:29" ht="26.25">
      <c r="A192" s="19"/>
      <c r="B192" s="148" t="s">
        <v>856</v>
      </c>
      <c r="C192" s="91">
        <f t="shared" si="31"/>
        <v>637.72</v>
      </c>
      <c r="D192" s="91"/>
      <c r="E192" s="91">
        <f t="shared" si="36"/>
        <v>41.72</v>
      </c>
      <c r="F192" s="91">
        <f t="shared" si="32"/>
        <v>23.84</v>
      </c>
      <c r="G192" s="91">
        <f t="shared" si="33"/>
        <v>17.88</v>
      </c>
      <c r="H192" s="91">
        <f t="shared" si="35"/>
        <v>596</v>
      </c>
      <c r="I192" s="91">
        <f t="shared" si="34"/>
        <v>382.63200000000001</v>
      </c>
      <c r="J192" s="22"/>
      <c r="K192" s="22"/>
      <c r="L192" s="22"/>
      <c r="M192" s="22"/>
      <c r="N192" s="22"/>
      <c r="O192" s="91">
        <v>97510</v>
      </c>
      <c r="P192" s="91">
        <v>98106</v>
      </c>
      <c r="Q192" s="22" t="s">
        <v>28</v>
      </c>
      <c r="R192" s="142"/>
      <c r="S192" s="91">
        <v>1</v>
      </c>
      <c r="T192" s="91">
        <f t="shared" si="29"/>
        <v>596</v>
      </c>
      <c r="U192" s="644">
        <v>70386</v>
      </c>
      <c r="V192" s="761" t="s">
        <v>250</v>
      </c>
      <c r="W192" s="191" t="s">
        <v>48</v>
      </c>
      <c r="X192" s="7"/>
      <c r="Y192" s="7"/>
      <c r="Z192" s="7"/>
      <c r="AA192" s="7"/>
      <c r="AB192" s="7"/>
      <c r="AC192" s="7"/>
    </row>
    <row r="193" spans="1:29" ht="26.25">
      <c r="A193" s="19"/>
      <c r="B193" s="148" t="s">
        <v>901</v>
      </c>
      <c r="C193" s="91">
        <f t="shared" si="31"/>
        <v>546.77</v>
      </c>
      <c r="D193" s="91"/>
      <c r="E193" s="91">
        <f t="shared" si="36"/>
        <v>35.770000000000003</v>
      </c>
      <c r="F193" s="91">
        <f t="shared" si="32"/>
        <v>20.440000000000001</v>
      </c>
      <c r="G193" s="91">
        <f t="shared" si="33"/>
        <v>15.33</v>
      </c>
      <c r="H193" s="91">
        <f t="shared" si="35"/>
        <v>511</v>
      </c>
      <c r="I193" s="91">
        <f t="shared" si="34"/>
        <v>328.06199999999995</v>
      </c>
      <c r="J193" s="22"/>
      <c r="K193" s="22"/>
      <c r="L193" s="22"/>
      <c r="M193" s="22"/>
      <c r="N193" s="22"/>
      <c r="O193" s="91">
        <v>57703</v>
      </c>
      <c r="P193" s="91">
        <v>58214</v>
      </c>
      <c r="Q193" s="22" t="s">
        <v>37</v>
      </c>
      <c r="R193" s="142"/>
      <c r="S193" s="91">
        <v>1</v>
      </c>
      <c r="T193" s="91">
        <f t="shared" si="29"/>
        <v>511</v>
      </c>
      <c r="U193" s="644">
        <v>64591</v>
      </c>
      <c r="V193" s="761" t="s">
        <v>251</v>
      </c>
      <c r="W193" s="191" t="s">
        <v>48</v>
      </c>
      <c r="X193" s="7"/>
      <c r="Y193" s="7"/>
      <c r="Z193" s="7"/>
      <c r="AA193" s="7"/>
      <c r="AB193" s="7"/>
      <c r="AC193" s="7"/>
    </row>
    <row r="194" spans="1:29" ht="26.25">
      <c r="A194" s="19"/>
      <c r="B194" s="104" t="s">
        <v>902</v>
      </c>
      <c r="C194" s="91">
        <f t="shared" si="31"/>
        <v>2193.5</v>
      </c>
      <c r="D194" s="91"/>
      <c r="E194" s="91">
        <f>G194+F194</f>
        <v>143.5</v>
      </c>
      <c r="F194" s="91">
        <f t="shared" si="32"/>
        <v>82</v>
      </c>
      <c r="G194" s="91">
        <f t="shared" si="33"/>
        <v>61.5</v>
      </c>
      <c r="H194" s="91">
        <f t="shared" si="35"/>
        <v>2050</v>
      </c>
      <c r="I194" s="91">
        <f t="shared" si="34"/>
        <v>1316.1</v>
      </c>
      <c r="J194" s="22"/>
      <c r="K194" s="22"/>
      <c r="L194" s="22"/>
      <c r="M194" s="22"/>
      <c r="N194" s="22"/>
      <c r="O194" s="91">
        <v>42176</v>
      </c>
      <c r="P194" s="91">
        <v>44226</v>
      </c>
      <c r="Q194" s="149"/>
      <c r="R194" s="161"/>
      <c r="S194" s="151">
        <v>1</v>
      </c>
      <c r="T194" s="91">
        <f t="shared" si="29"/>
        <v>2050</v>
      </c>
      <c r="U194" s="644">
        <v>87125</v>
      </c>
      <c r="V194" s="761" t="s">
        <v>808</v>
      </c>
      <c r="W194" s="191" t="s">
        <v>48</v>
      </c>
      <c r="X194" s="7"/>
      <c r="Y194" s="7"/>
      <c r="Z194" s="7"/>
      <c r="AA194" s="7"/>
      <c r="AB194" s="7"/>
      <c r="AC194" s="7"/>
    </row>
    <row r="195" spans="1:29" ht="26.25">
      <c r="A195" s="19"/>
      <c r="B195" s="148" t="s">
        <v>857</v>
      </c>
      <c r="C195" s="91">
        <f t="shared" si="31"/>
        <v>1157.74</v>
      </c>
      <c r="D195" s="91"/>
      <c r="E195" s="91">
        <f>G195+F195</f>
        <v>75.740000000000009</v>
      </c>
      <c r="F195" s="91">
        <f t="shared" si="32"/>
        <v>43.28</v>
      </c>
      <c r="G195" s="91">
        <f t="shared" si="33"/>
        <v>32.46</v>
      </c>
      <c r="H195" s="91">
        <f t="shared" si="35"/>
        <v>1082</v>
      </c>
      <c r="I195" s="91">
        <f t="shared" si="34"/>
        <v>694.64400000000001</v>
      </c>
      <c r="J195" s="22"/>
      <c r="K195" s="22"/>
      <c r="L195" s="22"/>
      <c r="M195" s="22"/>
      <c r="N195" s="22"/>
      <c r="O195" s="91">
        <v>76884</v>
      </c>
      <c r="P195" s="91">
        <v>77966</v>
      </c>
      <c r="Q195" s="122"/>
      <c r="R195" s="200"/>
      <c r="S195" s="151">
        <v>1</v>
      </c>
      <c r="T195" s="91">
        <f t="shared" si="29"/>
        <v>1082</v>
      </c>
      <c r="U195" s="644">
        <v>87202</v>
      </c>
      <c r="V195" s="761" t="s">
        <v>777</v>
      </c>
      <c r="W195" s="191" t="s">
        <v>48</v>
      </c>
      <c r="X195" s="7"/>
      <c r="Y195" s="7"/>
      <c r="Z195" s="7"/>
      <c r="AA195" s="7"/>
      <c r="AB195" s="7"/>
      <c r="AC195" s="7"/>
    </row>
    <row r="196" spans="1:29" ht="26.25">
      <c r="A196" s="19"/>
      <c r="B196" s="148" t="s">
        <v>858</v>
      </c>
      <c r="C196" s="91">
        <f t="shared" si="31"/>
        <v>157.29</v>
      </c>
      <c r="D196" s="91"/>
      <c r="E196" s="91">
        <f>F196+G196</f>
        <v>10.29</v>
      </c>
      <c r="F196" s="91">
        <f t="shared" si="32"/>
        <v>5.88</v>
      </c>
      <c r="G196" s="91">
        <f t="shared" si="33"/>
        <v>4.41</v>
      </c>
      <c r="H196" s="91">
        <f t="shared" si="35"/>
        <v>147</v>
      </c>
      <c r="I196" s="91">
        <f t="shared" si="34"/>
        <v>94.373999999999995</v>
      </c>
      <c r="J196" s="22"/>
      <c r="K196" s="22"/>
      <c r="L196" s="22"/>
      <c r="M196" s="22"/>
      <c r="N196" s="22"/>
      <c r="O196" s="91">
        <v>33589</v>
      </c>
      <c r="P196" s="91">
        <v>33736</v>
      </c>
      <c r="Q196" s="122"/>
      <c r="R196" s="173"/>
      <c r="S196" s="151">
        <v>1</v>
      </c>
      <c r="T196" s="91">
        <f t="shared" si="29"/>
        <v>147</v>
      </c>
      <c r="U196" s="644">
        <v>99475</v>
      </c>
      <c r="V196" s="761" t="s">
        <v>252</v>
      </c>
      <c r="W196" s="191" t="s">
        <v>48</v>
      </c>
      <c r="X196" s="7"/>
      <c r="Y196" s="7"/>
      <c r="Z196" s="7"/>
      <c r="AA196" s="7"/>
      <c r="AB196" s="7"/>
      <c r="AC196" s="7"/>
    </row>
    <row r="197" spans="1:29" ht="26.25">
      <c r="A197" s="19"/>
      <c r="B197" s="148" t="s">
        <v>859</v>
      </c>
      <c r="C197" s="91">
        <f t="shared" si="31"/>
        <v>373.43</v>
      </c>
      <c r="D197" s="91"/>
      <c r="E197" s="91">
        <f>F197+G197</f>
        <v>24.43</v>
      </c>
      <c r="F197" s="91">
        <f t="shared" si="32"/>
        <v>13.96</v>
      </c>
      <c r="G197" s="91">
        <f t="shared" si="33"/>
        <v>10.469999999999999</v>
      </c>
      <c r="H197" s="91">
        <f t="shared" si="35"/>
        <v>349</v>
      </c>
      <c r="I197" s="91">
        <f t="shared" si="34"/>
        <v>224.05799999999999</v>
      </c>
      <c r="J197" s="22"/>
      <c r="K197" s="22"/>
      <c r="L197" s="22"/>
      <c r="M197" s="22"/>
      <c r="N197" s="22"/>
      <c r="O197" s="91">
        <v>57599</v>
      </c>
      <c r="P197" s="91">
        <v>57948</v>
      </c>
      <c r="Q197" s="22"/>
      <c r="R197" s="142"/>
      <c r="S197" s="91">
        <v>1</v>
      </c>
      <c r="T197" s="91">
        <f t="shared" si="29"/>
        <v>349</v>
      </c>
      <c r="U197" s="644">
        <v>100985</v>
      </c>
      <c r="V197" s="761" t="s">
        <v>253</v>
      </c>
      <c r="W197" s="191" t="s">
        <v>48</v>
      </c>
      <c r="X197" s="7"/>
      <c r="Y197" s="7"/>
      <c r="Z197" s="7"/>
      <c r="AA197" s="7"/>
      <c r="AB197" s="7"/>
      <c r="AC197" s="7"/>
    </row>
    <row r="198" spans="1:29" ht="26.25">
      <c r="A198" s="19"/>
      <c r="B198" s="148" t="s">
        <v>859</v>
      </c>
      <c r="C198" s="91">
        <f t="shared" si="31"/>
        <v>163.71</v>
      </c>
      <c r="D198" s="91"/>
      <c r="E198" s="91">
        <f>F198+G198</f>
        <v>10.71</v>
      </c>
      <c r="F198" s="91">
        <f t="shared" si="32"/>
        <v>6.12</v>
      </c>
      <c r="G198" s="91">
        <f t="shared" si="33"/>
        <v>4.59</v>
      </c>
      <c r="H198" s="91">
        <f t="shared" si="35"/>
        <v>153</v>
      </c>
      <c r="I198" s="91">
        <f>0.5*C198</f>
        <v>81.855000000000004</v>
      </c>
      <c r="J198" s="22"/>
      <c r="K198" s="22"/>
      <c r="L198" s="22"/>
      <c r="M198" s="22"/>
      <c r="N198" s="22"/>
      <c r="O198" s="91">
        <v>33117</v>
      </c>
      <c r="P198" s="91">
        <v>33270</v>
      </c>
      <c r="Q198" s="149"/>
      <c r="R198" s="161"/>
      <c r="S198" s="151">
        <v>1</v>
      </c>
      <c r="T198" s="91">
        <f t="shared" si="29"/>
        <v>153</v>
      </c>
      <c r="U198" s="644">
        <v>100839</v>
      </c>
      <c r="V198" s="761" t="s">
        <v>253</v>
      </c>
      <c r="W198" s="191" t="s">
        <v>48</v>
      </c>
      <c r="X198" s="7"/>
      <c r="Y198" s="7"/>
      <c r="Z198" s="7"/>
      <c r="AA198" s="7"/>
      <c r="AB198" s="7"/>
      <c r="AC198" s="7"/>
    </row>
    <row r="199" spans="1:29" ht="26.25">
      <c r="A199" s="19"/>
      <c r="B199" s="148" t="s">
        <v>860</v>
      </c>
      <c r="C199" s="91">
        <f t="shared" si="31"/>
        <v>171.2</v>
      </c>
      <c r="D199" s="91"/>
      <c r="E199" s="91">
        <f>G199+F199</f>
        <v>11.2</v>
      </c>
      <c r="F199" s="91">
        <f t="shared" si="32"/>
        <v>6.4</v>
      </c>
      <c r="G199" s="91">
        <f t="shared" si="33"/>
        <v>4.8</v>
      </c>
      <c r="H199" s="91">
        <f t="shared" si="35"/>
        <v>160</v>
      </c>
      <c r="I199" s="91">
        <f t="shared" ref="I199:I223" si="37">0.6*C199</f>
        <v>102.71999999999998</v>
      </c>
      <c r="J199" s="22"/>
      <c r="K199" s="22"/>
      <c r="L199" s="22"/>
      <c r="M199" s="22"/>
      <c r="N199" s="22"/>
      <c r="O199" s="91">
        <v>23719</v>
      </c>
      <c r="P199" s="91">
        <v>23879</v>
      </c>
      <c r="Q199" s="122"/>
      <c r="R199" s="200"/>
      <c r="S199" s="151">
        <v>1</v>
      </c>
      <c r="T199" s="91">
        <f t="shared" si="29"/>
        <v>160</v>
      </c>
      <c r="U199" s="644">
        <v>100976</v>
      </c>
      <c r="V199" s="761" t="s">
        <v>254</v>
      </c>
      <c r="W199" s="191" t="s">
        <v>48</v>
      </c>
      <c r="X199" s="7"/>
      <c r="Y199" s="7"/>
      <c r="Z199" s="7"/>
      <c r="AA199" s="7"/>
      <c r="AB199" s="7"/>
      <c r="AC199" s="7"/>
    </row>
    <row r="200" spans="1:29" ht="29.25" customHeight="1">
      <c r="A200" s="19"/>
      <c r="B200" s="148" t="s">
        <v>255</v>
      </c>
      <c r="C200" s="91">
        <f t="shared" si="31"/>
        <v>264.29000000000002</v>
      </c>
      <c r="D200" s="91"/>
      <c r="E200" s="91">
        <f t="shared" ref="E200:E207" si="38">F200+G200</f>
        <v>17.29</v>
      </c>
      <c r="F200" s="91">
        <f t="shared" si="32"/>
        <v>9.8800000000000008</v>
      </c>
      <c r="G200" s="91">
        <f t="shared" si="33"/>
        <v>7.41</v>
      </c>
      <c r="H200" s="91">
        <f>T200</f>
        <v>247</v>
      </c>
      <c r="I200" s="91">
        <f t="shared" si="37"/>
        <v>158.57400000000001</v>
      </c>
      <c r="J200" s="22"/>
      <c r="K200" s="22"/>
      <c r="L200" s="22"/>
      <c r="M200" s="22"/>
      <c r="N200" s="22"/>
      <c r="O200" s="91">
        <v>41446</v>
      </c>
      <c r="P200" s="91">
        <v>41693</v>
      </c>
      <c r="Q200" s="122"/>
      <c r="R200" s="173"/>
      <c r="S200" s="91">
        <v>1</v>
      </c>
      <c r="T200" s="91">
        <f t="shared" si="29"/>
        <v>247</v>
      </c>
      <c r="U200" s="644">
        <v>99491</v>
      </c>
      <c r="V200" s="839" t="s">
        <v>256</v>
      </c>
      <c r="W200" s="191" t="s">
        <v>48</v>
      </c>
      <c r="X200" s="7"/>
      <c r="Y200" s="7"/>
      <c r="Z200" s="7"/>
      <c r="AA200" s="7"/>
      <c r="AB200" s="7"/>
      <c r="AC200" s="7"/>
    </row>
    <row r="201" spans="1:29" ht="25.5">
      <c r="A201" s="19"/>
      <c r="B201" s="148" t="s">
        <v>255</v>
      </c>
      <c r="C201" s="91">
        <f t="shared" si="31"/>
        <v>255.73</v>
      </c>
      <c r="D201" s="91"/>
      <c r="E201" s="91">
        <f t="shared" si="38"/>
        <v>16.73</v>
      </c>
      <c r="F201" s="91">
        <f t="shared" si="32"/>
        <v>9.56</v>
      </c>
      <c r="G201" s="91">
        <f t="shared" si="33"/>
        <v>7.17</v>
      </c>
      <c r="H201" s="91">
        <f t="shared" ref="H201:H211" si="39">T201</f>
        <v>239</v>
      </c>
      <c r="I201" s="91">
        <f t="shared" si="37"/>
        <v>153.43799999999999</v>
      </c>
      <c r="J201" s="98"/>
      <c r="K201" s="98"/>
      <c r="L201" s="98"/>
      <c r="M201" s="98"/>
      <c r="N201" s="98"/>
      <c r="O201" s="91">
        <v>33428</v>
      </c>
      <c r="P201" s="91">
        <v>33667</v>
      </c>
      <c r="Q201" s="149"/>
      <c r="R201" s="161"/>
      <c r="S201" s="151">
        <v>1</v>
      </c>
      <c r="T201" s="91">
        <f t="shared" si="29"/>
        <v>239</v>
      </c>
      <c r="U201" s="644">
        <v>99470</v>
      </c>
      <c r="V201" s="839"/>
      <c r="W201" s="191" t="s">
        <v>48</v>
      </c>
      <c r="X201" s="7"/>
      <c r="Y201" s="7"/>
      <c r="Z201" s="7"/>
      <c r="AA201" s="7"/>
      <c r="AB201" s="7"/>
      <c r="AC201" s="7"/>
    </row>
    <row r="202" spans="1:29" ht="26.25">
      <c r="A202" s="19"/>
      <c r="B202" s="148" t="s">
        <v>861</v>
      </c>
      <c r="C202" s="91">
        <f t="shared" si="31"/>
        <v>236.47</v>
      </c>
      <c r="D202" s="91"/>
      <c r="E202" s="91">
        <f t="shared" si="38"/>
        <v>15.469999999999999</v>
      </c>
      <c r="F202" s="91">
        <f t="shared" si="32"/>
        <v>8.84</v>
      </c>
      <c r="G202" s="91">
        <f t="shared" si="33"/>
        <v>6.63</v>
      </c>
      <c r="H202" s="91">
        <f t="shared" si="39"/>
        <v>221</v>
      </c>
      <c r="I202" s="91">
        <f t="shared" si="37"/>
        <v>141.88200000000001</v>
      </c>
      <c r="J202" s="22"/>
      <c r="K202" s="22"/>
      <c r="L202" s="22"/>
      <c r="M202" s="22"/>
      <c r="N202" s="22"/>
      <c r="O202" s="91">
        <v>31569</v>
      </c>
      <c r="P202" s="91">
        <v>31790</v>
      </c>
      <c r="Q202" s="122"/>
      <c r="R202" s="173"/>
      <c r="S202" s="151">
        <v>1</v>
      </c>
      <c r="T202" s="91">
        <f t="shared" si="29"/>
        <v>221</v>
      </c>
      <c r="U202" s="644">
        <v>99541</v>
      </c>
      <c r="V202" s="761" t="s">
        <v>809</v>
      </c>
      <c r="W202" s="191" t="s">
        <v>48</v>
      </c>
      <c r="X202" s="7"/>
      <c r="Y202" s="7"/>
      <c r="Z202" s="7"/>
      <c r="AA202" s="7"/>
      <c r="AB202" s="7"/>
      <c r="AC202" s="7"/>
    </row>
    <row r="203" spans="1:29" ht="26.25">
      <c r="A203" s="19"/>
      <c r="B203" s="148" t="s">
        <v>903</v>
      </c>
      <c r="C203" s="91">
        <f>H203+E203</f>
        <v>186.18</v>
      </c>
      <c r="D203" s="91"/>
      <c r="E203" s="91">
        <f t="shared" si="38"/>
        <v>12.18</v>
      </c>
      <c r="F203" s="91">
        <f t="shared" si="32"/>
        <v>6.96</v>
      </c>
      <c r="G203" s="91">
        <f t="shared" si="33"/>
        <v>5.22</v>
      </c>
      <c r="H203" s="91">
        <f t="shared" si="39"/>
        <v>174</v>
      </c>
      <c r="I203" s="91">
        <f>0.6*C203</f>
        <v>111.708</v>
      </c>
      <c r="J203" s="22"/>
      <c r="K203" s="22"/>
      <c r="L203" s="22"/>
      <c r="M203" s="22"/>
      <c r="N203" s="22"/>
      <c r="O203" s="91">
        <v>30251</v>
      </c>
      <c r="P203" s="91">
        <v>30425</v>
      </c>
      <c r="Q203" s="149"/>
      <c r="R203" s="161"/>
      <c r="S203" s="151">
        <v>1</v>
      </c>
      <c r="T203" s="91">
        <f t="shared" si="29"/>
        <v>174</v>
      </c>
      <c r="U203" s="644">
        <v>99680</v>
      </c>
      <c r="V203" s="761" t="s">
        <v>810</v>
      </c>
      <c r="W203" s="191" t="s">
        <v>48</v>
      </c>
      <c r="X203" s="7"/>
      <c r="Y203" s="7"/>
      <c r="Z203" s="7"/>
      <c r="AA203" s="7"/>
      <c r="AB203" s="7"/>
      <c r="AC203" s="7"/>
    </row>
    <row r="204" spans="1:29" ht="25.5">
      <c r="A204" s="19"/>
      <c r="B204" s="148" t="s">
        <v>904</v>
      </c>
      <c r="C204" s="91">
        <f t="shared" si="31"/>
        <v>403.39</v>
      </c>
      <c r="D204" s="91"/>
      <c r="E204" s="91">
        <f t="shared" si="38"/>
        <v>26.39</v>
      </c>
      <c r="F204" s="91">
        <f t="shared" si="32"/>
        <v>15.08</v>
      </c>
      <c r="G204" s="91">
        <f t="shared" si="33"/>
        <v>11.309999999999999</v>
      </c>
      <c r="H204" s="91">
        <f t="shared" si="39"/>
        <v>377</v>
      </c>
      <c r="I204" s="91">
        <f t="shared" si="37"/>
        <v>242.03399999999999</v>
      </c>
      <c r="J204" s="22"/>
      <c r="K204" s="22"/>
      <c r="L204" s="22"/>
      <c r="M204" s="22"/>
      <c r="N204" s="22"/>
      <c r="O204" s="91">
        <v>65834</v>
      </c>
      <c r="P204" s="91">
        <v>66211</v>
      </c>
      <c r="Q204" s="22" t="s">
        <v>26</v>
      </c>
      <c r="R204" s="142"/>
      <c r="S204" s="151">
        <v>1</v>
      </c>
      <c r="T204" s="91">
        <f t="shared" si="29"/>
        <v>377</v>
      </c>
      <c r="U204" s="644">
        <v>100829</v>
      </c>
      <c r="V204" s="761" t="s">
        <v>258</v>
      </c>
      <c r="W204" s="191" t="s">
        <v>48</v>
      </c>
      <c r="X204" s="7"/>
      <c r="Y204" s="7"/>
      <c r="Z204" s="7"/>
      <c r="AA204" s="7"/>
      <c r="AB204" s="7"/>
      <c r="AC204" s="7"/>
    </row>
    <row r="205" spans="1:29" ht="25.5">
      <c r="A205" s="19"/>
      <c r="B205" s="638" t="s">
        <v>905</v>
      </c>
      <c r="C205" s="91">
        <f t="shared" si="31"/>
        <v>852.79</v>
      </c>
      <c r="D205" s="91"/>
      <c r="E205" s="91">
        <f t="shared" si="38"/>
        <v>55.79</v>
      </c>
      <c r="F205" s="91">
        <f t="shared" si="32"/>
        <v>31.88</v>
      </c>
      <c r="G205" s="91">
        <f t="shared" si="33"/>
        <v>23.91</v>
      </c>
      <c r="H205" s="91">
        <f t="shared" si="39"/>
        <v>797</v>
      </c>
      <c r="I205" s="91">
        <f t="shared" si="37"/>
        <v>511.67399999999998</v>
      </c>
      <c r="J205" s="22"/>
      <c r="K205" s="22"/>
      <c r="L205" s="22"/>
      <c r="M205" s="22"/>
      <c r="N205" s="22" t="s">
        <v>260</v>
      </c>
      <c r="O205" s="91">
        <v>58563</v>
      </c>
      <c r="P205" s="91">
        <v>59360</v>
      </c>
      <c r="Q205" s="122"/>
      <c r="R205" s="173"/>
      <c r="S205" s="151">
        <v>1</v>
      </c>
      <c r="T205" s="91">
        <f t="shared" si="29"/>
        <v>797</v>
      </c>
      <c r="U205" s="644">
        <v>100980</v>
      </c>
      <c r="V205" s="761" t="s">
        <v>276</v>
      </c>
      <c r="W205" s="191" t="s">
        <v>48</v>
      </c>
      <c r="X205" s="7"/>
      <c r="Y205" s="7"/>
      <c r="Z205" s="7"/>
      <c r="AA205" s="7"/>
      <c r="AB205" s="7"/>
      <c r="AC205" s="7"/>
    </row>
    <row r="206" spans="1:29" ht="41.25">
      <c r="A206" s="19"/>
      <c r="B206" s="148" t="s">
        <v>862</v>
      </c>
      <c r="C206" s="91">
        <f t="shared" si="31"/>
        <v>607.76</v>
      </c>
      <c r="D206" s="91"/>
      <c r="E206" s="91">
        <f t="shared" si="38"/>
        <v>39.76</v>
      </c>
      <c r="F206" s="91">
        <f t="shared" si="32"/>
        <v>22.72</v>
      </c>
      <c r="G206" s="91">
        <f t="shared" si="33"/>
        <v>17.04</v>
      </c>
      <c r="H206" s="91">
        <f t="shared" si="39"/>
        <v>568</v>
      </c>
      <c r="I206" s="91">
        <f t="shared" si="37"/>
        <v>364.65600000000001</v>
      </c>
      <c r="J206" s="22"/>
      <c r="K206" s="22"/>
      <c r="L206" s="22"/>
      <c r="M206" s="22"/>
      <c r="N206" s="22"/>
      <c r="O206" s="91">
        <v>45813</v>
      </c>
      <c r="P206" s="91">
        <v>46381</v>
      </c>
      <c r="Q206" s="122"/>
      <c r="R206" s="173"/>
      <c r="S206" s="91">
        <v>1</v>
      </c>
      <c r="T206" s="91">
        <f t="shared" si="29"/>
        <v>568</v>
      </c>
      <c r="U206" s="644" t="s">
        <v>973</v>
      </c>
      <c r="V206" s="761" t="s">
        <v>261</v>
      </c>
      <c r="W206" s="191" t="s">
        <v>48</v>
      </c>
      <c r="X206" s="7"/>
      <c r="Y206" s="7"/>
      <c r="Z206" s="7"/>
      <c r="AA206" s="7"/>
      <c r="AB206" s="7"/>
      <c r="AC206" s="7"/>
    </row>
    <row r="207" spans="1:29" ht="25.5">
      <c r="A207" s="19"/>
      <c r="B207" s="639" t="s">
        <v>863</v>
      </c>
      <c r="C207" s="91">
        <f t="shared" si="31"/>
        <v>386.27</v>
      </c>
      <c r="D207" s="91"/>
      <c r="E207" s="91">
        <f t="shared" si="38"/>
        <v>25.27</v>
      </c>
      <c r="F207" s="91">
        <f t="shared" si="32"/>
        <v>14.44</v>
      </c>
      <c r="G207" s="91">
        <f t="shared" si="33"/>
        <v>10.83</v>
      </c>
      <c r="H207" s="91">
        <f t="shared" si="39"/>
        <v>361</v>
      </c>
      <c r="I207" s="91">
        <f t="shared" si="37"/>
        <v>231.76199999999997</v>
      </c>
      <c r="J207" s="22"/>
      <c r="K207" s="22"/>
      <c r="L207" s="22"/>
      <c r="M207" s="22"/>
      <c r="N207" s="22"/>
      <c r="O207" s="91">
        <v>7741</v>
      </c>
      <c r="P207" s="91">
        <v>8102</v>
      </c>
      <c r="Q207" s="122"/>
      <c r="R207" s="173"/>
      <c r="S207" s="151">
        <v>1</v>
      </c>
      <c r="T207" s="91">
        <f>(P207-O207)*S207</f>
        <v>361</v>
      </c>
      <c r="U207" s="644" t="s">
        <v>974</v>
      </c>
      <c r="V207" s="761" t="s">
        <v>262</v>
      </c>
      <c r="W207" s="191" t="s">
        <v>48</v>
      </c>
      <c r="X207" s="7"/>
      <c r="Y207" s="7"/>
      <c r="Z207" s="7"/>
      <c r="AA207" s="7"/>
      <c r="AB207" s="7"/>
      <c r="AC207" s="7"/>
    </row>
    <row r="208" spans="1:29" ht="29.25" customHeight="1">
      <c r="A208" s="19"/>
      <c r="B208" s="148" t="s">
        <v>864</v>
      </c>
      <c r="C208" s="91">
        <f t="shared" si="31"/>
        <v>125.19</v>
      </c>
      <c r="D208" s="91"/>
      <c r="E208" s="91">
        <f>G208+F208</f>
        <v>8.19</v>
      </c>
      <c r="F208" s="91">
        <f t="shared" si="32"/>
        <v>4.68</v>
      </c>
      <c r="G208" s="91">
        <f t="shared" si="33"/>
        <v>3.51</v>
      </c>
      <c r="H208" s="91">
        <f t="shared" si="39"/>
        <v>117</v>
      </c>
      <c r="I208" s="91">
        <f t="shared" si="37"/>
        <v>75.11399999999999</v>
      </c>
      <c r="J208" s="22"/>
      <c r="K208" s="22"/>
      <c r="L208" s="22"/>
      <c r="M208" s="22"/>
      <c r="N208" s="22"/>
      <c r="O208" s="91">
        <v>68493</v>
      </c>
      <c r="P208" s="91">
        <v>68610</v>
      </c>
      <c r="Q208" s="122"/>
      <c r="R208" s="200"/>
      <c r="S208" s="151">
        <v>1</v>
      </c>
      <c r="T208" s="91">
        <f t="shared" si="29"/>
        <v>117</v>
      </c>
      <c r="U208" s="644">
        <v>492735</v>
      </c>
      <c r="V208" s="761" t="s">
        <v>1086</v>
      </c>
      <c r="W208" s="191" t="s">
        <v>48</v>
      </c>
      <c r="X208" s="7"/>
      <c r="Y208" s="7"/>
      <c r="Z208" s="7"/>
      <c r="AA208" s="7"/>
      <c r="AB208" s="7"/>
      <c r="AC208" s="7"/>
    </row>
    <row r="209" spans="1:29" ht="30" customHeight="1">
      <c r="A209" s="19"/>
      <c r="B209" s="148" t="s">
        <v>865</v>
      </c>
      <c r="C209" s="91">
        <f t="shared" si="31"/>
        <v>385.2</v>
      </c>
      <c r="D209" s="91"/>
      <c r="E209" s="91">
        <f>F209++G209</f>
        <v>25.2</v>
      </c>
      <c r="F209" s="91">
        <f t="shared" si="32"/>
        <v>14.4</v>
      </c>
      <c r="G209" s="91">
        <f t="shared" si="33"/>
        <v>10.799999999999999</v>
      </c>
      <c r="H209" s="91">
        <f t="shared" si="39"/>
        <v>360</v>
      </c>
      <c r="I209" s="91">
        <f t="shared" si="37"/>
        <v>231.11999999999998</v>
      </c>
      <c r="J209" s="22"/>
      <c r="K209" s="22"/>
      <c r="L209" s="22"/>
      <c r="M209" s="22"/>
      <c r="N209" s="22"/>
      <c r="O209" s="91">
        <v>3101</v>
      </c>
      <c r="P209" s="91">
        <v>3461</v>
      </c>
      <c r="Q209" s="22" t="s">
        <v>28</v>
      </c>
      <c r="R209" s="142"/>
      <c r="S209" s="151">
        <v>1</v>
      </c>
      <c r="T209" s="91">
        <f t="shared" si="29"/>
        <v>360</v>
      </c>
      <c r="U209" s="644">
        <v>77006572</v>
      </c>
      <c r="V209" s="761" t="s">
        <v>264</v>
      </c>
      <c r="W209" s="191" t="s">
        <v>48</v>
      </c>
      <c r="X209" s="7"/>
      <c r="Y209" s="7"/>
      <c r="Z209" s="7"/>
      <c r="AA209" s="7"/>
      <c r="AB209" s="7"/>
      <c r="AC209" s="7"/>
    </row>
    <row r="210" spans="1:29" ht="26.25">
      <c r="A210" s="19"/>
      <c r="B210" s="148" t="s">
        <v>866</v>
      </c>
      <c r="C210" s="91">
        <f t="shared" si="31"/>
        <v>539.28</v>
      </c>
      <c r="D210" s="91"/>
      <c r="E210" s="91">
        <f>F210+G210</f>
        <v>35.28</v>
      </c>
      <c r="F210" s="91">
        <f t="shared" si="32"/>
        <v>20.16</v>
      </c>
      <c r="G210" s="91">
        <f t="shared" si="33"/>
        <v>15.12</v>
      </c>
      <c r="H210" s="91">
        <f t="shared" si="39"/>
        <v>504</v>
      </c>
      <c r="I210" s="91">
        <f t="shared" si="37"/>
        <v>323.56799999999998</v>
      </c>
      <c r="J210" s="22"/>
      <c r="K210" s="22"/>
      <c r="L210" s="22"/>
      <c r="M210" s="22"/>
      <c r="N210" s="22"/>
      <c r="O210" s="91">
        <v>87385</v>
      </c>
      <c r="P210" s="91">
        <v>87889</v>
      </c>
      <c r="Q210" s="22"/>
      <c r="R210" s="142"/>
      <c r="S210" s="91">
        <v>1</v>
      </c>
      <c r="T210" s="91">
        <f t="shared" si="29"/>
        <v>504</v>
      </c>
      <c r="U210" s="644">
        <v>503440</v>
      </c>
      <c r="V210" s="761" t="s">
        <v>265</v>
      </c>
      <c r="W210" s="191" t="s">
        <v>48</v>
      </c>
      <c r="X210" s="7"/>
      <c r="Y210" s="7"/>
      <c r="Z210" s="7"/>
      <c r="AA210" s="7"/>
      <c r="AB210" s="7"/>
      <c r="AC210" s="7"/>
    </row>
    <row r="211" spans="1:29" ht="26.25">
      <c r="A211" s="19"/>
      <c r="B211" s="148" t="s">
        <v>867</v>
      </c>
      <c r="C211" s="91">
        <f t="shared" si="31"/>
        <v>243.96</v>
      </c>
      <c r="D211" s="91"/>
      <c r="E211" s="91">
        <f>F211+G211</f>
        <v>15.96</v>
      </c>
      <c r="F211" s="91">
        <f t="shared" si="32"/>
        <v>9.120000000000001</v>
      </c>
      <c r="G211" s="91">
        <f t="shared" si="33"/>
        <v>6.84</v>
      </c>
      <c r="H211" s="91">
        <f t="shared" si="39"/>
        <v>228</v>
      </c>
      <c r="I211" s="91">
        <f t="shared" si="37"/>
        <v>146.376</v>
      </c>
      <c r="J211" s="98"/>
      <c r="K211" s="98"/>
      <c r="L211" s="98"/>
      <c r="M211" s="98"/>
      <c r="N211" s="98"/>
      <c r="O211" s="91">
        <v>54278</v>
      </c>
      <c r="P211" s="91">
        <v>54506</v>
      </c>
      <c r="Q211" s="149"/>
      <c r="R211" s="161"/>
      <c r="S211" s="151">
        <v>1</v>
      </c>
      <c r="T211" s="91">
        <f t="shared" si="29"/>
        <v>228</v>
      </c>
      <c r="U211" s="644">
        <v>492892</v>
      </c>
      <c r="V211" s="840" t="s">
        <v>266</v>
      </c>
      <c r="W211" s="191" t="s">
        <v>48</v>
      </c>
      <c r="X211" s="7"/>
      <c r="Y211" s="7"/>
      <c r="Z211" s="7"/>
      <c r="AA211" s="7"/>
      <c r="AB211" s="7"/>
      <c r="AC211" s="7"/>
    </row>
    <row r="212" spans="1:29" ht="30" customHeight="1">
      <c r="A212" s="19"/>
      <c r="B212" s="148" t="s">
        <v>868</v>
      </c>
      <c r="C212" s="91">
        <f t="shared" si="31"/>
        <v>214</v>
      </c>
      <c r="D212" s="91"/>
      <c r="E212" s="91">
        <f>F212+G212</f>
        <v>14</v>
      </c>
      <c r="F212" s="91">
        <f t="shared" si="32"/>
        <v>8</v>
      </c>
      <c r="G212" s="91">
        <f t="shared" si="33"/>
        <v>6</v>
      </c>
      <c r="H212" s="91">
        <f>T212</f>
        <v>200</v>
      </c>
      <c r="I212" s="91">
        <f t="shared" si="37"/>
        <v>128.4</v>
      </c>
      <c r="J212" s="22"/>
      <c r="K212" s="22"/>
      <c r="L212" s="22"/>
      <c r="M212" s="22"/>
      <c r="N212" s="22"/>
      <c r="O212" s="91">
        <v>36310</v>
      </c>
      <c r="P212" s="91">
        <v>36510</v>
      </c>
      <c r="Q212" s="122"/>
      <c r="R212" s="173"/>
      <c r="S212" s="91">
        <v>1</v>
      </c>
      <c r="T212" s="91">
        <f t="shared" si="29"/>
        <v>200</v>
      </c>
      <c r="U212" s="644">
        <v>503014</v>
      </c>
      <c r="V212" s="840"/>
      <c r="W212" s="191" t="s">
        <v>48</v>
      </c>
      <c r="X212" s="7"/>
      <c r="Y212" s="7"/>
      <c r="Z212" s="7"/>
      <c r="AA212" s="7"/>
      <c r="AB212" s="7"/>
      <c r="AC212" s="7"/>
    </row>
    <row r="213" spans="1:29" ht="26.25">
      <c r="A213" s="19"/>
      <c r="B213" s="633" t="s">
        <v>869</v>
      </c>
      <c r="C213" s="229">
        <f t="shared" si="31"/>
        <v>361.65999999999997</v>
      </c>
      <c r="D213" s="229"/>
      <c r="E213" s="229">
        <f>G213+F213</f>
        <v>23.659999999999997</v>
      </c>
      <c r="F213" s="229">
        <f t="shared" si="32"/>
        <v>13.52</v>
      </c>
      <c r="G213" s="229">
        <f t="shared" si="33"/>
        <v>10.139999999999999</v>
      </c>
      <c r="H213" s="229">
        <f t="shared" ref="H213:H271" si="40">T213</f>
        <v>338</v>
      </c>
      <c r="I213" s="229">
        <f t="shared" si="37"/>
        <v>216.99599999999998</v>
      </c>
      <c r="J213" s="634"/>
      <c r="K213" s="634"/>
      <c r="L213" s="634"/>
      <c r="M213" s="634"/>
      <c r="N213" s="634"/>
      <c r="O213" s="229">
        <v>35310</v>
      </c>
      <c r="P213" s="229">
        <v>35648</v>
      </c>
      <c r="Q213" s="641"/>
      <c r="R213" s="642"/>
      <c r="S213" s="637">
        <v>1</v>
      </c>
      <c r="T213" s="229">
        <f t="shared" si="29"/>
        <v>338</v>
      </c>
      <c r="U213" s="644">
        <v>88031383</v>
      </c>
      <c r="V213" s="761" t="s">
        <v>267</v>
      </c>
      <c r="W213" s="191" t="s">
        <v>48</v>
      </c>
      <c r="X213" s="7"/>
      <c r="Y213" s="7"/>
      <c r="Z213" s="7"/>
      <c r="AA213" s="7"/>
      <c r="AB213" s="7"/>
      <c r="AC213" s="7"/>
    </row>
    <row r="214" spans="1:29" ht="25.5">
      <c r="A214" s="19"/>
      <c r="B214" s="148" t="s">
        <v>268</v>
      </c>
      <c r="C214" s="91">
        <f t="shared" si="31"/>
        <v>186.18</v>
      </c>
      <c r="D214" s="91"/>
      <c r="E214" s="91">
        <f>F214+G214</f>
        <v>12.18</v>
      </c>
      <c r="F214" s="91">
        <f t="shared" si="32"/>
        <v>6.96</v>
      </c>
      <c r="G214" s="91">
        <f t="shared" si="33"/>
        <v>5.22</v>
      </c>
      <c r="H214" s="91">
        <f t="shared" si="40"/>
        <v>174</v>
      </c>
      <c r="I214" s="91">
        <f t="shared" si="37"/>
        <v>111.708</v>
      </c>
      <c r="J214" s="22"/>
      <c r="K214" s="22"/>
      <c r="L214" s="22"/>
      <c r="M214" s="22"/>
      <c r="N214" s="22"/>
      <c r="O214" s="91">
        <v>28910</v>
      </c>
      <c r="P214" s="91">
        <v>29084</v>
      </c>
      <c r="Q214" s="122"/>
      <c r="R214" s="173"/>
      <c r="S214" s="91">
        <v>1</v>
      </c>
      <c r="T214" s="91">
        <f t="shared" si="29"/>
        <v>174</v>
      </c>
      <c r="U214" s="644">
        <v>16596</v>
      </c>
      <c r="V214" s="761" t="s">
        <v>563</v>
      </c>
      <c r="W214" s="191" t="s">
        <v>48</v>
      </c>
      <c r="X214" s="7"/>
      <c r="Y214" s="7"/>
      <c r="Z214" s="7"/>
      <c r="AA214" s="7"/>
      <c r="AB214" s="7"/>
      <c r="AC214" s="7"/>
    </row>
    <row r="215" spans="1:29" ht="26.25">
      <c r="A215" s="19"/>
      <c r="B215" s="148" t="s">
        <v>870</v>
      </c>
      <c r="C215" s="91">
        <f t="shared" si="31"/>
        <v>239.68</v>
      </c>
      <c r="D215" s="91"/>
      <c r="E215" s="91">
        <f>F215+G215</f>
        <v>15.68</v>
      </c>
      <c r="F215" s="91">
        <f t="shared" si="32"/>
        <v>8.9600000000000009</v>
      </c>
      <c r="G215" s="91">
        <f t="shared" si="33"/>
        <v>6.72</v>
      </c>
      <c r="H215" s="91">
        <f t="shared" si="40"/>
        <v>224</v>
      </c>
      <c r="I215" s="91">
        <f t="shared" si="37"/>
        <v>143.80799999999999</v>
      </c>
      <c r="J215" s="22"/>
      <c r="K215" s="22"/>
      <c r="L215" s="22"/>
      <c r="M215" s="22"/>
      <c r="N215" s="22"/>
      <c r="O215" s="91">
        <v>41866</v>
      </c>
      <c r="P215" s="91">
        <v>42090</v>
      </c>
      <c r="Q215" s="22"/>
      <c r="R215" s="142"/>
      <c r="S215" s="91">
        <v>1</v>
      </c>
      <c r="T215" s="91">
        <f t="shared" si="29"/>
        <v>224</v>
      </c>
      <c r="U215" s="644">
        <v>88031436</v>
      </c>
      <c r="V215" s="761" t="s">
        <v>269</v>
      </c>
      <c r="W215" s="191" t="s">
        <v>48</v>
      </c>
      <c r="X215" s="7"/>
      <c r="Y215" s="7"/>
      <c r="Z215" s="7"/>
      <c r="AA215" s="7"/>
      <c r="AB215" s="7"/>
      <c r="AC215" s="7"/>
    </row>
    <row r="216" spans="1:29" ht="35.25" customHeight="1">
      <c r="A216" s="19"/>
      <c r="B216" s="148" t="s">
        <v>871</v>
      </c>
      <c r="C216" s="91">
        <f t="shared" si="31"/>
        <v>1030.4100000000001</v>
      </c>
      <c r="D216" s="91"/>
      <c r="E216" s="91">
        <f>F216+G216</f>
        <v>67.41</v>
      </c>
      <c r="F216" s="91">
        <f t="shared" si="32"/>
        <v>38.520000000000003</v>
      </c>
      <c r="G216" s="91">
        <f t="shared" si="33"/>
        <v>28.89</v>
      </c>
      <c r="H216" s="91">
        <f t="shared" si="40"/>
        <v>963</v>
      </c>
      <c r="I216" s="91">
        <f t="shared" si="37"/>
        <v>618.24599999999998</v>
      </c>
      <c r="J216" s="22"/>
      <c r="K216" s="22"/>
      <c r="L216" s="22"/>
      <c r="M216" s="22"/>
      <c r="N216" s="22"/>
      <c r="O216" s="643">
        <v>60247</v>
      </c>
      <c r="P216" s="643">
        <v>61210</v>
      </c>
      <c r="Q216" s="122"/>
      <c r="R216" s="173"/>
      <c r="S216" s="91">
        <v>1</v>
      </c>
      <c r="T216" s="91">
        <f t="shared" si="29"/>
        <v>963</v>
      </c>
      <c r="U216" s="644">
        <v>88031413</v>
      </c>
      <c r="V216" s="761" t="s">
        <v>778</v>
      </c>
      <c r="W216" s="191" t="s">
        <v>48</v>
      </c>
      <c r="X216" s="7"/>
      <c r="Y216" s="7"/>
      <c r="Z216" s="7"/>
      <c r="AA216" s="7"/>
      <c r="AB216" s="7"/>
      <c r="AC216" s="7"/>
    </row>
    <row r="217" spans="1:29" ht="25.5">
      <c r="A217" s="19"/>
      <c r="B217" s="148" t="s">
        <v>270</v>
      </c>
      <c r="C217" s="117">
        <f t="shared" si="31"/>
        <v>1976.29</v>
      </c>
      <c r="D217" s="117"/>
      <c r="E217" s="117">
        <f>F217+G217</f>
        <v>129.29</v>
      </c>
      <c r="F217" s="117">
        <f t="shared" si="32"/>
        <v>73.88</v>
      </c>
      <c r="G217" s="117">
        <f t="shared" si="33"/>
        <v>55.41</v>
      </c>
      <c r="H217" s="117">
        <f t="shared" si="40"/>
        <v>1847</v>
      </c>
      <c r="I217" s="117"/>
      <c r="J217" s="22"/>
      <c r="K217" s="22"/>
      <c r="L217" s="22"/>
      <c r="M217" s="22"/>
      <c r="N217" s="22" t="s">
        <v>271</v>
      </c>
      <c r="O217" s="117">
        <v>33824</v>
      </c>
      <c r="P217" s="117">
        <v>35671</v>
      </c>
      <c r="Q217" s="149"/>
      <c r="R217" s="309"/>
      <c r="S217" s="117">
        <v>1</v>
      </c>
      <c r="T217" s="91">
        <f t="shared" si="29"/>
        <v>1847</v>
      </c>
      <c r="U217" s="726" t="s">
        <v>975</v>
      </c>
      <c r="V217" s="761" t="s">
        <v>272</v>
      </c>
      <c r="W217" s="14" t="s">
        <v>82</v>
      </c>
      <c r="X217" s="7"/>
      <c r="Y217" s="7"/>
      <c r="Z217" s="7"/>
      <c r="AA217" s="7"/>
      <c r="AB217" s="7"/>
      <c r="AC217" s="7"/>
    </row>
    <row r="218" spans="1:29" ht="33.75" customHeight="1">
      <c r="A218" s="19"/>
      <c r="B218" s="148" t="s">
        <v>872</v>
      </c>
      <c r="C218" s="91">
        <f t="shared" si="31"/>
        <v>0</v>
      </c>
      <c r="D218" s="91"/>
      <c r="E218" s="91">
        <f>G218+F218</f>
        <v>0</v>
      </c>
      <c r="F218" s="91">
        <f t="shared" si="32"/>
        <v>0</v>
      </c>
      <c r="G218" s="91">
        <f t="shared" si="33"/>
        <v>0</v>
      </c>
      <c r="H218" s="91">
        <f t="shared" si="40"/>
        <v>0</v>
      </c>
      <c r="I218" s="91">
        <f t="shared" si="37"/>
        <v>0</v>
      </c>
      <c r="J218" s="22"/>
      <c r="K218" s="22"/>
      <c r="L218" s="22"/>
      <c r="M218" s="22"/>
      <c r="N218" s="22"/>
      <c r="O218" s="91">
        <v>38589</v>
      </c>
      <c r="P218" s="91">
        <v>38589</v>
      </c>
      <c r="Q218" s="122"/>
      <c r="R218" s="200"/>
      <c r="S218" s="151">
        <v>1</v>
      </c>
      <c r="T218" s="91">
        <f t="shared" si="29"/>
        <v>0</v>
      </c>
      <c r="U218" s="644">
        <v>4369</v>
      </c>
      <c r="V218" s="761" t="s">
        <v>273</v>
      </c>
      <c r="W218" s="14" t="s">
        <v>48</v>
      </c>
      <c r="X218" s="7"/>
      <c r="Y218" s="7"/>
      <c r="Z218" s="7"/>
      <c r="AA218" s="7"/>
      <c r="AB218" s="7"/>
      <c r="AC218" s="7"/>
    </row>
    <row r="219" spans="1:29" s="198" customFormat="1" ht="24.75" customHeight="1">
      <c r="A219" s="196"/>
      <c r="B219" s="148" t="s">
        <v>873</v>
      </c>
      <c r="C219" s="199">
        <f t="shared" si="31"/>
        <v>0</v>
      </c>
      <c r="D219" s="91"/>
      <c r="E219" s="91">
        <f>F219+G219</f>
        <v>0</v>
      </c>
      <c r="F219" s="91">
        <f t="shared" si="32"/>
        <v>0</v>
      </c>
      <c r="G219" s="91">
        <f t="shared" si="33"/>
        <v>0</v>
      </c>
      <c r="H219" s="91">
        <f t="shared" si="40"/>
        <v>0</v>
      </c>
      <c r="I219" s="91">
        <f t="shared" si="37"/>
        <v>0</v>
      </c>
      <c r="J219" s="22"/>
      <c r="K219" s="22"/>
      <c r="L219" s="22"/>
      <c r="M219" s="22"/>
      <c r="N219" s="22"/>
      <c r="O219" s="91">
        <v>36462</v>
      </c>
      <c r="P219" s="91">
        <v>36462</v>
      </c>
      <c r="Q219" s="122"/>
      <c r="R219" s="200"/>
      <c r="S219" s="151">
        <v>1</v>
      </c>
      <c r="T219" s="91">
        <f t="shared" si="29"/>
        <v>0</v>
      </c>
      <c r="U219" s="644">
        <v>1400</v>
      </c>
      <c r="V219" s="761" t="s">
        <v>274</v>
      </c>
      <c r="W219" s="14" t="s">
        <v>48</v>
      </c>
      <c r="X219" s="197"/>
      <c r="Y219" s="197"/>
      <c r="Z219" s="197"/>
      <c r="AA219" s="197"/>
      <c r="AB219" s="197"/>
      <c r="AC219" s="197"/>
    </row>
    <row r="220" spans="1:29" ht="26.25">
      <c r="A220" s="19"/>
      <c r="B220" s="148" t="s">
        <v>874</v>
      </c>
      <c r="C220" s="91">
        <f t="shared" si="31"/>
        <v>0</v>
      </c>
      <c r="D220" s="91"/>
      <c r="E220" s="91">
        <f>G220+F220</f>
        <v>0</v>
      </c>
      <c r="F220" s="91">
        <f t="shared" si="32"/>
        <v>0</v>
      </c>
      <c r="G220" s="91">
        <f t="shared" si="33"/>
        <v>0</v>
      </c>
      <c r="H220" s="91">
        <f t="shared" si="40"/>
        <v>0</v>
      </c>
      <c r="I220" s="91">
        <f t="shared" si="37"/>
        <v>0</v>
      </c>
      <c r="J220" s="22"/>
      <c r="K220" s="22"/>
      <c r="L220" s="22"/>
      <c r="M220" s="22"/>
      <c r="N220" s="22"/>
      <c r="O220" s="91">
        <v>43342</v>
      </c>
      <c r="P220" s="91">
        <v>43342</v>
      </c>
      <c r="Q220" s="149"/>
      <c r="R220" s="161"/>
      <c r="S220" s="151">
        <v>1</v>
      </c>
      <c r="T220" s="91">
        <f t="shared" si="29"/>
        <v>0</v>
      </c>
      <c r="U220" s="644">
        <v>2328</v>
      </c>
      <c r="V220" s="761" t="s">
        <v>275</v>
      </c>
      <c r="W220" s="14" t="s">
        <v>48</v>
      </c>
      <c r="X220" s="7"/>
      <c r="Y220" s="7"/>
      <c r="Z220" s="7"/>
      <c r="AA220" s="7"/>
      <c r="AB220" s="7"/>
      <c r="AC220" s="7"/>
    </row>
    <row r="221" spans="1:29" ht="26.25">
      <c r="A221" s="19"/>
      <c r="B221" s="148" t="s">
        <v>875</v>
      </c>
      <c r="C221" s="199">
        <f t="shared" si="31"/>
        <v>0</v>
      </c>
      <c r="D221" s="91"/>
      <c r="E221" s="91">
        <f t="shared" ref="E221:E230" si="41">F221+G221</f>
        <v>0</v>
      </c>
      <c r="F221" s="91">
        <f t="shared" si="32"/>
        <v>0</v>
      </c>
      <c r="G221" s="91">
        <f t="shared" si="33"/>
        <v>0</v>
      </c>
      <c r="H221" s="91">
        <f t="shared" si="40"/>
        <v>0</v>
      </c>
      <c r="I221" s="91">
        <f t="shared" si="37"/>
        <v>0</v>
      </c>
      <c r="J221" s="22"/>
      <c r="K221" s="22"/>
      <c r="L221" s="22"/>
      <c r="M221" s="22"/>
      <c r="N221" s="22"/>
      <c r="O221" s="91">
        <v>77142</v>
      </c>
      <c r="P221" s="91">
        <v>77142</v>
      </c>
      <c r="Q221" s="122"/>
      <c r="R221" s="200"/>
      <c r="S221" s="151">
        <v>1</v>
      </c>
      <c r="T221" s="91">
        <f t="shared" si="29"/>
        <v>0</v>
      </c>
      <c r="U221" s="644">
        <v>6910</v>
      </c>
      <c r="V221" s="761" t="s">
        <v>276</v>
      </c>
      <c r="W221" s="14" t="s">
        <v>48</v>
      </c>
      <c r="X221" s="7"/>
      <c r="Y221" s="7"/>
      <c r="Z221" s="7"/>
      <c r="AA221" s="7"/>
      <c r="AB221" s="7"/>
      <c r="AC221" s="7"/>
    </row>
    <row r="222" spans="1:29" ht="25.5">
      <c r="A222" s="19"/>
      <c r="B222" s="638" t="s">
        <v>876</v>
      </c>
      <c r="C222" s="91">
        <f t="shared" si="31"/>
        <v>138.03</v>
      </c>
      <c r="D222" s="91"/>
      <c r="E222" s="91">
        <f t="shared" si="41"/>
        <v>9.0299999999999994</v>
      </c>
      <c r="F222" s="91">
        <f t="shared" si="32"/>
        <v>5.16</v>
      </c>
      <c r="G222" s="91">
        <f t="shared" si="33"/>
        <v>3.8699999999999997</v>
      </c>
      <c r="H222" s="91">
        <f t="shared" si="40"/>
        <v>129</v>
      </c>
      <c r="I222" s="91">
        <f t="shared" si="37"/>
        <v>82.817999999999998</v>
      </c>
      <c r="J222" s="22"/>
      <c r="K222" s="22"/>
      <c r="L222" s="22"/>
      <c r="M222" s="22"/>
      <c r="N222" s="22"/>
      <c r="O222" s="91">
        <v>8272</v>
      </c>
      <c r="P222" s="91">
        <v>8401</v>
      </c>
      <c r="Q222" s="122"/>
      <c r="R222" s="173"/>
      <c r="S222" s="151">
        <v>1</v>
      </c>
      <c r="T222" s="91">
        <f t="shared" si="29"/>
        <v>129</v>
      </c>
      <c r="U222" s="644" t="s">
        <v>976</v>
      </c>
      <c r="V222" s="761" t="s">
        <v>277</v>
      </c>
      <c r="W222" s="14" t="s">
        <v>48</v>
      </c>
      <c r="X222" s="7"/>
      <c r="Y222" s="7"/>
      <c r="Z222" s="7"/>
      <c r="AA222" s="7"/>
      <c r="AB222" s="7"/>
      <c r="AC222" s="7"/>
    </row>
    <row r="223" spans="1:29" ht="26.25">
      <c r="A223" s="19"/>
      <c r="B223" s="90" t="s">
        <v>278</v>
      </c>
      <c r="C223" s="91">
        <f t="shared" si="31"/>
        <v>584.22</v>
      </c>
      <c r="D223" s="91"/>
      <c r="E223" s="91">
        <f t="shared" si="41"/>
        <v>38.22</v>
      </c>
      <c r="F223" s="91">
        <f t="shared" si="32"/>
        <v>21.84</v>
      </c>
      <c r="G223" s="91">
        <f t="shared" si="33"/>
        <v>16.38</v>
      </c>
      <c r="H223" s="91">
        <f t="shared" si="40"/>
        <v>546</v>
      </c>
      <c r="I223" s="91">
        <f t="shared" si="37"/>
        <v>350.53199999999998</v>
      </c>
      <c r="J223" s="22"/>
      <c r="K223" s="22"/>
      <c r="L223" s="22"/>
      <c r="M223" s="22"/>
      <c r="N223" s="22"/>
      <c r="O223" s="91">
        <v>24251</v>
      </c>
      <c r="P223" s="91">
        <v>24797</v>
      </c>
      <c r="Q223" s="149"/>
      <c r="R223" s="161"/>
      <c r="S223" s="151">
        <v>1</v>
      </c>
      <c r="T223" s="91">
        <f t="shared" si="29"/>
        <v>546</v>
      </c>
      <c r="U223" s="644" t="s">
        <v>977</v>
      </c>
      <c r="V223" s="761" t="s">
        <v>279</v>
      </c>
      <c r="W223" s="14" t="s">
        <v>48</v>
      </c>
      <c r="X223" s="7"/>
      <c r="Y223" s="7"/>
      <c r="Z223" s="7"/>
      <c r="AA223" s="7"/>
      <c r="AB223" s="7"/>
      <c r="AC223" s="7"/>
    </row>
    <row r="224" spans="1:29" ht="26.25">
      <c r="A224" s="19"/>
      <c r="B224" s="148" t="s">
        <v>877</v>
      </c>
      <c r="C224" s="91">
        <f t="shared" si="31"/>
        <v>0</v>
      </c>
      <c r="D224" s="91"/>
      <c r="E224" s="91">
        <f t="shared" si="41"/>
        <v>0</v>
      </c>
      <c r="F224" s="91">
        <f t="shared" si="32"/>
        <v>0</v>
      </c>
      <c r="G224" s="91">
        <f t="shared" si="33"/>
        <v>0</v>
      </c>
      <c r="H224" s="91">
        <f t="shared" si="40"/>
        <v>0</v>
      </c>
      <c r="I224" s="91">
        <f>0.5*C224</f>
        <v>0</v>
      </c>
      <c r="J224" s="22"/>
      <c r="K224" s="22"/>
      <c r="L224" s="22"/>
      <c r="M224" s="22"/>
      <c r="N224" s="22"/>
      <c r="O224" s="91">
        <v>7086</v>
      </c>
      <c r="P224" s="91">
        <v>7086</v>
      </c>
      <c r="Q224" s="122"/>
      <c r="R224" s="173"/>
      <c r="S224" s="91">
        <v>1</v>
      </c>
      <c r="T224" s="91">
        <f t="shared" si="29"/>
        <v>0</v>
      </c>
      <c r="U224" s="644" t="s">
        <v>978</v>
      </c>
      <c r="V224" s="761" t="s">
        <v>280</v>
      </c>
      <c r="W224" s="14" t="s">
        <v>48</v>
      </c>
      <c r="X224" s="7"/>
      <c r="Y224" s="7"/>
      <c r="Z224" s="7"/>
      <c r="AA224" s="7"/>
      <c r="AB224" s="7"/>
      <c r="AC224" s="7"/>
    </row>
    <row r="225" spans="1:29" ht="25.5">
      <c r="A225" s="19"/>
      <c r="B225" s="148" t="s">
        <v>281</v>
      </c>
      <c r="C225" s="91">
        <f t="shared" si="31"/>
        <v>204.37</v>
      </c>
      <c r="D225" s="91"/>
      <c r="E225" s="91">
        <f t="shared" si="41"/>
        <v>13.370000000000001</v>
      </c>
      <c r="F225" s="91">
        <f t="shared" si="32"/>
        <v>7.6400000000000006</v>
      </c>
      <c r="G225" s="91">
        <f t="shared" si="33"/>
        <v>5.7299999999999995</v>
      </c>
      <c r="H225" s="91">
        <f t="shared" si="40"/>
        <v>191</v>
      </c>
      <c r="I225" s="91">
        <f>0.5*C225</f>
        <v>102.185</v>
      </c>
      <c r="J225" s="22"/>
      <c r="K225" s="22"/>
      <c r="L225" s="22"/>
      <c r="M225" s="22"/>
      <c r="N225" s="22"/>
      <c r="O225" s="91">
        <v>38041</v>
      </c>
      <c r="P225" s="91">
        <v>38232</v>
      </c>
      <c r="Q225" s="122"/>
      <c r="R225" s="173"/>
      <c r="S225" s="91">
        <v>1</v>
      </c>
      <c r="T225" s="91">
        <f t="shared" si="29"/>
        <v>191</v>
      </c>
      <c r="U225" s="644" t="s">
        <v>979</v>
      </c>
      <c r="V225" s="761" t="s">
        <v>282</v>
      </c>
      <c r="W225" s="14" t="s">
        <v>48</v>
      </c>
      <c r="X225" s="7"/>
      <c r="Y225" s="7"/>
      <c r="Z225" s="7"/>
      <c r="AA225" s="7"/>
      <c r="AB225" s="7"/>
      <c r="AC225" s="7"/>
    </row>
    <row r="226" spans="1:29" ht="26.25">
      <c r="A226" s="19"/>
      <c r="B226" s="148" t="s">
        <v>283</v>
      </c>
      <c r="C226" s="91">
        <f t="shared" si="31"/>
        <v>211.86</v>
      </c>
      <c r="D226" s="91"/>
      <c r="E226" s="91">
        <f t="shared" si="41"/>
        <v>13.86</v>
      </c>
      <c r="F226" s="91">
        <f t="shared" si="32"/>
        <v>7.92</v>
      </c>
      <c r="G226" s="91">
        <f t="shared" si="33"/>
        <v>5.9399999999999995</v>
      </c>
      <c r="H226" s="91">
        <f t="shared" si="40"/>
        <v>198</v>
      </c>
      <c r="I226" s="115">
        <f>0.6*C226</f>
        <v>127.116</v>
      </c>
      <c r="J226" s="22"/>
      <c r="K226" s="22"/>
      <c r="L226" s="22"/>
      <c r="M226" s="22"/>
      <c r="N226" s="22"/>
      <c r="O226" s="91">
        <v>4478</v>
      </c>
      <c r="P226" s="91">
        <v>4676</v>
      </c>
      <c r="Q226" s="122"/>
      <c r="R226" s="173"/>
      <c r="S226" s="151">
        <v>1</v>
      </c>
      <c r="T226" s="91">
        <f t="shared" si="29"/>
        <v>198</v>
      </c>
      <c r="U226" s="644" t="s">
        <v>980</v>
      </c>
      <c r="V226" s="761" t="s">
        <v>284</v>
      </c>
      <c r="W226" s="14" t="s">
        <v>48</v>
      </c>
      <c r="X226" s="7"/>
      <c r="Y226" s="7"/>
      <c r="Z226" s="7"/>
      <c r="AA226" s="7"/>
      <c r="AB226" s="7"/>
      <c r="AC226" s="7"/>
    </row>
    <row r="227" spans="1:29" ht="26.25">
      <c r="A227" s="19"/>
      <c r="B227" s="148" t="s">
        <v>878</v>
      </c>
      <c r="C227" s="91">
        <f t="shared" si="31"/>
        <v>69.55</v>
      </c>
      <c r="D227" s="91"/>
      <c r="E227" s="91">
        <f t="shared" si="41"/>
        <v>4.55</v>
      </c>
      <c r="F227" s="91">
        <f t="shared" si="32"/>
        <v>2.6</v>
      </c>
      <c r="G227" s="91">
        <f t="shared" si="33"/>
        <v>1.95</v>
      </c>
      <c r="H227" s="91">
        <f t="shared" si="40"/>
        <v>65</v>
      </c>
      <c r="I227" s="115">
        <f>0.6*C227</f>
        <v>41.73</v>
      </c>
      <c r="J227" s="22"/>
      <c r="K227" s="22"/>
      <c r="L227" s="22"/>
      <c r="M227" s="22"/>
      <c r="N227" s="22"/>
      <c r="O227" s="91">
        <v>22299</v>
      </c>
      <c r="P227" s="91">
        <v>22364</v>
      </c>
      <c r="Q227" s="122"/>
      <c r="R227" s="173"/>
      <c r="S227" s="151">
        <v>1</v>
      </c>
      <c r="T227" s="91">
        <f t="shared" si="29"/>
        <v>65</v>
      </c>
      <c r="U227" s="644">
        <v>530958</v>
      </c>
      <c r="V227" s="761" t="s">
        <v>285</v>
      </c>
      <c r="W227" s="14" t="s">
        <v>48</v>
      </c>
      <c r="X227" s="7"/>
      <c r="Y227" s="7"/>
      <c r="Z227" s="7"/>
      <c r="AA227" s="7"/>
      <c r="AB227" s="7"/>
      <c r="AC227" s="7"/>
    </row>
    <row r="228" spans="1:29" ht="26.25">
      <c r="A228" s="19"/>
      <c r="B228" s="148" t="s">
        <v>879</v>
      </c>
      <c r="C228" s="91">
        <f t="shared" si="31"/>
        <v>284.62</v>
      </c>
      <c r="D228" s="91"/>
      <c r="E228" s="91">
        <f t="shared" si="41"/>
        <v>18.62</v>
      </c>
      <c r="F228" s="91">
        <f t="shared" si="32"/>
        <v>10.64</v>
      </c>
      <c r="G228" s="91">
        <f t="shared" si="33"/>
        <v>7.9799999999999995</v>
      </c>
      <c r="H228" s="91">
        <f t="shared" si="40"/>
        <v>266</v>
      </c>
      <c r="I228" s="91">
        <f>0.6*C228</f>
        <v>170.77199999999999</v>
      </c>
      <c r="J228" s="22"/>
      <c r="K228" s="22"/>
      <c r="L228" s="22"/>
      <c r="M228" s="22"/>
      <c r="N228" s="22"/>
      <c r="O228" s="91">
        <v>18702</v>
      </c>
      <c r="P228" s="91">
        <v>18968</v>
      </c>
      <c r="Q228" s="122"/>
      <c r="R228" s="173"/>
      <c r="S228" s="91">
        <v>1</v>
      </c>
      <c r="T228" s="91">
        <f t="shared" si="29"/>
        <v>266</v>
      </c>
      <c r="U228" s="644">
        <v>607637</v>
      </c>
      <c r="V228" s="761" t="s">
        <v>286</v>
      </c>
      <c r="W228" s="14" t="s">
        <v>48</v>
      </c>
      <c r="X228" s="7"/>
      <c r="Y228" s="7"/>
      <c r="Z228" s="7"/>
      <c r="AA228" s="7"/>
      <c r="AB228" s="7"/>
      <c r="AC228" s="7"/>
    </row>
    <row r="229" spans="1:29" ht="26.25">
      <c r="A229" s="19"/>
      <c r="B229" s="148" t="s">
        <v>287</v>
      </c>
      <c r="C229" s="91">
        <f t="shared" si="31"/>
        <v>289.97000000000003</v>
      </c>
      <c r="D229" s="91"/>
      <c r="E229" s="91">
        <f t="shared" si="41"/>
        <v>18.97</v>
      </c>
      <c r="F229" s="91">
        <f t="shared" si="32"/>
        <v>10.84</v>
      </c>
      <c r="G229" s="91">
        <f t="shared" si="33"/>
        <v>8.129999999999999</v>
      </c>
      <c r="H229" s="91">
        <f t="shared" si="40"/>
        <v>271</v>
      </c>
      <c r="I229" s="115">
        <f>0.6*C229</f>
        <v>173.982</v>
      </c>
      <c r="J229" s="22"/>
      <c r="K229" s="22"/>
      <c r="L229" s="22"/>
      <c r="M229" s="22"/>
      <c r="N229" s="22"/>
      <c r="O229" s="91">
        <v>13999</v>
      </c>
      <c r="P229" s="91">
        <v>14270</v>
      </c>
      <c r="Q229" s="149"/>
      <c r="R229" s="247"/>
      <c r="S229" s="151">
        <v>1</v>
      </c>
      <c r="T229" s="91">
        <f t="shared" si="29"/>
        <v>271</v>
      </c>
      <c r="U229" s="644">
        <v>56067</v>
      </c>
      <c r="V229" s="761" t="s">
        <v>288</v>
      </c>
      <c r="W229" s="14" t="s">
        <v>48</v>
      </c>
      <c r="X229" s="7"/>
      <c r="Y229" s="7"/>
      <c r="Z229" s="7"/>
      <c r="AA229" s="7"/>
      <c r="AB229" s="7"/>
      <c r="AC229" s="7"/>
    </row>
    <row r="230" spans="1:29" ht="26.25">
      <c r="A230" s="19"/>
      <c r="B230" s="143" t="s">
        <v>766</v>
      </c>
      <c r="C230" s="115">
        <f t="shared" si="31"/>
        <v>7935.1199999997507</v>
      </c>
      <c r="D230" s="115"/>
      <c r="E230" s="115">
        <f t="shared" si="41"/>
        <v>519.11999999998375</v>
      </c>
      <c r="F230" s="115">
        <f t="shared" si="32"/>
        <v>296.63999999999072</v>
      </c>
      <c r="G230" s="115">
        <f t="shared" si="33"/>
        <v>222.479999999993</v>
      </c>
      <c r="H230" s="115">
        <f t="shared" si="40"/>
        <v>7415.9999999997672</v>
      </c>
      <c r="I230" s="115"/>
      <c r="J230" s="22"/>
      <c r="K230" s="22"/>
      <c r="L230" s="22"/>
      <c r="M230" s="22"/>
      <c r="N230" s="22"/>
      <c r="O230" s="653">
        <v>35460.300000000003</v>
      </c>
      <c r="P230" s="653">
        <v>35645.699999999997</v>
      </c>
      <c r="Q230" s="122"/>
      <c r="R230" s="142"/>
      <c r="S230" s="151">
        <v>40</v>
      </c>
      <c r="T230" s="91">
        <f t="shared" si="29"/>
        <v>7415.9999999997672</v>
      </c>
      <c r="U230" s="644">
        <v>1535390</v>
      </c>
      <c r="V230" s="761" t="s">
        <v>789</v>
      </c>
      <c r="W230" s="14" t="s">
        <v>53</v>
      </c>
      <c r="X230" s="7"/>
      <c r="Y230" s="7"/>
      <c r="Z230" s="7"/>
      <c r="AA230" s="7"/>
      <c r="AB230" s="7"/>
      <c r="AC230" s="7"/>
    </row>
    <row r="231" spans="1:29" ht="28.5" customHeight="1">
      <c r="A231" s="252"/>
      <c r="B231" s="104" t="s">
        <v>610</v>
      </c>
      <c r="C231" s="91">
        <f>H231+E231</f>
        <v>9833.3000000000029</v>
      </c>
      <c r="D231" s="92"/>
      <c r="E231" s="91">
        <f>F231+G231</f>
        <v>643.30000000000018</v>
      </c>
      <c r="F231" s="91">
        <f>0.04*T231</f>
        <v>367.60000000000014</v>
      </c>
      <c r="G231" s="91">
        <f>0.03*T231</f>
        <v>275.7000000000001</v>
      </c>
      <c r="H231" s="91">
        <f>T231</f>
        <v>9190.0000000000036</v>
      </c>
      <c r="I231" s="91">
        <f>H231*0.5</f>
        <v>4595.0000000000018</v>
      </c>
      <c r="J231" s="98"/>
      <c r="K231" s="98"/>
      <c r="L231" s="98"/>
      <c r="M231" s="98"/>
      <c r="N231" s="98"/>
      <c r="O231" s="92">
        <v>1009.9</v>
      </c>
      <c r="P231" s="92">
        <v>1193.7</v>
      </c>
      <c r="Q231" s="105"/>
      <c r="R231" s="106"/>
      <c r="S231" s="92">
        <v>50</v>
      </c>
      <c r="T231" s="91">
        <f>(P231-O231)*S231</f>
        <v>9190.0000000000036</v>
      </c>
      <c r="U231" s="644" t="s">
        <v>981</v>
      </c>
      <c r="V231" s="761" t="s">
        <v>752</v>
      </c>
      <c r="W231" s="14" t="s">
        <v>48</v>
      </c>
      <c r="X231" s="7"/>
      <c r="Y231" s="7"/>
      <c r="Z231" s="7"/>
      <c r="AA231" s="7"/>
      <c r="AB231" s="7"/>
      <c r="AC231" s="7"/>
    </row>
    <row r="232" spans="1:29" ht="26.25">
      <c r="A232" s="19"/>
      <c r="B232" s="104" t="s">
        <v>906</v>
      </c>
      <c r="C232" s="91">
        <f t="shared" ref="C232" si="42">H232+E232</f>
        <v>1194.1199999999999</v>
      </c>
      <c r="D232" s="91"/>
      <c r="E232" s="91">
        <f>G232+F232</f>
        <v>78.12</v>
      </c>
      <c r="F232" s="91">
        <f>H232*0.04</f>
        <v>44.64</v>
      </c>
      <c r="G232" s="91">
        <f>H232*0.03</f>
        <v>33.479999999999997</v>
      </c>
      <c r="H232" s="91">
        <f t="shared" ref="H232" si="43">T232</f>
        <v>1116</v>
      </c>
      <c r="I232" s="91">
        <f>0.6*C232</f>
        <v>716.47199999999987</v>
      </c>
      <c r="J232" s="22"/>
      <c r="K232" s="22"/>
      <c r="L232" s="22"/>
      <c r="M232" s="22"/>
      <c r="N232" s="22"/>
      <c r="O232" s="115">
        <v>820411</v>
      </c>
      <c r="P232" s="115">
        <v>821527</v>
      </c>
      <c r="Q232" s="122"/>
      <c r="R232" s="614"/>
      <c r="S232" s="151">
        <v>1</v>
      </c>
      <c r="T232" s="91">
        <f t="shared" ref="T232" si="44">(P232-O232)*S232</f>
        <v>1116</v>
      </c>
      <c r="U232" s="644">
        <v>399479</v>
      </c>
      <c r="V232" s="761" t="s">
        <v>788</v>
      </c>
      <c r="W232" s="14" t="s">
        <v>48</v>
      </c>
      <c r="X232" s="7"/>
      <c r="Y232" s="7"/>
      <c r="Z232" s="7"/>
      <c r="AA232" s="7"/>
      <c r="AB232" s="7"/>
      <c r="AC232" s="7"/>
    </row>
    <row r="233" spans="1:29" ht="25.5">
      <c r="A233" s="19"/>
      <c r="B233" s="429"/>
      <c r="C233" s="28"/>
      <c r="D233" s="28"/>
      <c r="E233" s="28"/>
      <c r="F233" s="28"/>
      <c r="G233" s="28"/>
      <c r="H233" s="28"/>
      <c r="I233" s="28"/>
      <c r="J233" s="29"/>
      <c r="K233" s="29"/>
      <c r="L233" s="29"/>
      <c r="M233" s="29"/>
      <c r="N233" s="29"/>
      <c r="O233" s="28"/>
      <c r="P233" s="28"/>
      <c r="Q233" s="30"/>
      <c r="R233" s="351"/>
      <c r="S233" s="28"/>
      <c r="T233" s="28"/>
      <c r="U233" s="455"/>
      <c r="V233" s="754"/>
      <c r="W233" s="14" t="s">
        <v>48</v>
      </c>
      <c r="X233" s="7"/>
      <c r="Y233" s="7"/>
      <c r="Z233" s="7"/>
      <c r="AA233" s="7"/>
      <c r="AB233" s="7"/>
      <c r="AC233" s="7"/>
    </row>
    <row r="234" spans="1:29" ht="26.25" hidden="1">
      <c r="A234" s="19"/>
      <c r="B234" s="739"/>
      <c r="C234" s="28"/>
      <c r="D234" s="28"/>
      <c r="E234" s="28"/>
      <c r="F234" s="28"/>
      <c r="G234" s="28"/>
      <c r="H234" s="28"/>
      <c r="I234" s="28"/>
      <c r="J234" s="29"/>
      <c r="K234" s="29"/>
      <c r="L234" s="29"/>
      <c r="M234" s="29"/>
      <c r="N234" s="29"/>
      <c r="O234" s="28"/>
      <c r="P234" s="28"/>
      <c r="Q234" s="30"/>
      <c r="R234" s="351"/>
      <c r="S234" s="28"/>
      <c r="T234" s="28"/>
      <c r="U234" s="455"/>
      <c r="V234" s="754"/>
      <c r="W234" s="14" t="s">
        <v>48</v>
      </c>
      <c r="X234" s="7"/>
      <c r="Y234" s="7"/>
      <c r="Z234" s="7"/>
      <c r="AA234" s="7"/>
      <c r="AB234" s="7"/>
      <c r="AC234" s="7"/>
    </row>
    <row r="235" spans="1:29" ht="25.5" hidden="1">
      <c r="A235" s="19"/>
      <c r="B235" s="27"/>
      <c r="C235" s="28"/>
      <c r="D235" s="28"/>
      <c r="E235" s="28"/>
      <c r="F235" s="28"/>
      <c r="G235" s="28"/>
      <c r="H235" s="28"/>
      <c r="I235" s="28"/>
      <c r="J235" s="29"/>
      <c r="K235" s="29"/>
      <c r="L235" s="29"/>
      <c r="M235" s="29"/>
      <c r="N235" s="29"/>
      <c r="O235" s="28"/>
      <c r="P235" s="28"/>
      <c r="Q235" s="30"/>
      <c r="R235" s="351"/>
      <c r="S235" s="28"/>
      <c r="T235" s="28"/>
      <c r="U235" s="455"/>
      <c r="V235" s="754"/>
      <c r="W235" s="14" t="s">
        <v>48</v>
      </c>
      <c r="X235" s="7"/>
      <c r="Y235" s="7"/>
      <c r="Z235" s="7"/>
      <c r="AA235" s="7"/>
      <c r="AB235" s="7"/>
      <c r="AC235" s="7"/>
    </row>
    <row r="236" spans="1:29" ht="25.5" hidden="1">
      <c r="A236" s="19"/>
      <c r="B236" s="27"/>
      <c r="C236" s="28"/>
      <c r="D236" s="28"/>
      <c r="E236" s="28"/>
      <c r="F236" s="28"/>
      <c r="G236" s="28"/>
      <c r="H236" s="28"/>
      <c r="I236" s="28"/>
      <c r="J236" s="29"/>
      <c r="K236" s="29"/>
      <c r="L236" s="29"/>
      <c r="M236" s="29"/>
      <c r="N236" s="29"/>
      <c r="O236" s="28"/>
      <c r="P236" s="28"/>
      <c r="Q236" s="30"/>
      <c r="R236" s="351"/>
      <c r="S236" s="28"/>
      <c r="T236" s="28"/>
      <c r="U236" s="455"/>
      <c r="V236" s="754"/>
      <c r="W236" s="14" t="s">
        <v>48</v>
      </c>
      <c r="X236" s="7"/>
      <c r="Y236" s="7"/>
      <c r="Z236" s="7"/>
      <c r="AA236" s="7"/>
      <c r="AB236" s="7"/>
      <c r="AC236" s="7"/>
    </row>
    <row r="237" spans="1:29" ht="25.5" hidden="1">
      <c r="A237" s="19"/>
      <c r="B237" s="27"/>
      <c r="C237" s="28"/>
      <c r="D237" s="28"/>
      <c r="E237" s="28"/>
      <c r="F237" s="28"/>
      <c r="G237" s="28"/>
      <c r="H237" s="28"/>
      <c r="I237" s="28"/>
      <c r="J237" s="29"/>
      <c r="K237" s="29"/>
      <c r="L237" s="29"/>
      <c r="M237" s="29"/>
      <c r="N237" s="29"/>
      <c r="O237" s="28"/>
      <c r="P237" s="28"/>
      <c r="Q237" s="146"/>
      <c r="R237" s="348"/>
      <c r="S237" s="28"/>
      <c r="T237" s="28"/>
      <c r="U237" s="455"/>
      <c r="V237" s="754"/>
      <c r="W237" s="14" t="s">
        <v>48</v>
      </c>
      <c r="X237" s="7"/>
      <c r="Y237" s="7"/>
      <c r="Z237" s="7"/>
      <c r="AA237" s="7"/>
      <c r="AB237" s="7"/>
      <c r="AC237" s="7"/>
    </row>
    <row r="238" spans="1:29" ht="25.5" hidden="1">
      <c r="A238" s="19"/>
      <c r="B238" s="27"/>
      <c r="C238" s="28"/>
      <c r="D238" s="28"/>
      <c r="E238" s="28"/>
      <c r="F238" s="28"/>
      <c r="G238" s="28"/>
      <c r="H238" s="28"/>
      <c r="I238" s="28"/>
      <c r="J238" s="29"/>
      <c r="K238" s="29"/>
      <c r="L238" s="29"/>
      <c r="M238" s="29"/>
      <c r="N238" s="29"/>
      <c r="O238" s="28"/>
      <c r="P238" s="28"/>
      <c r="Q238" s="30"/>
      <c r="R238" s="71"/>
      <c r="S238" s="54"/>
      <c r="T238" s="28"/>
      <c r="U238" s="455"/>
      <c r="V238" s="754"/>
      <c r="W238" s="14" t="s">
        <v>48</v>
      </c>
      <c r="X238" s="7"/>
      <c r="Y238" s="7"/>
      <c r="Z238" s="7"/>
      <c r="AA238" s="7"/>
      <c r="AB238" s="7"/>
      <c r="AC238" s="7"/>
    </row>
    <row r="239" spans="1:29" ht="25.5" hidden="1">
      <c r="A239" s="19"/>
      <c r="B239" s="27"/>
      <c r="C239" s="28"/>
      <c r="D239" s="28"/>
      <c r="E239" s="28"/>
      <c r="F239" s="28"/>
      <c r="G239" s="28"/>
      <c r="H239" s="28"/>
      <c r="I239" s="28"/>
      <c r="J239" s="29"/>
      <c r="K239" s="29"/>
      <c r="L239" s="29"/>
      <c r="M239" s="29"/>
      <c r="N239" s="29"/>
      <c r="O239" s="28"/>
      <c r="P239" s="28"/>
      <c r="Q239" s="30"/>
      <c r="R239" s="71"/>
      <c r="S239" s="54"/>
      <c r="T239" s="28"/>
      <c r="U239" s="455"/>
      <c r="V239" s="754"/>
      <c r="W239" s="14" t="s">
        <v>48</v>
      </c>
      <c r="X239" s="7"/>
      <c r="Y239" s="7"/>
      <c r="Z239" s="7"/>
      <c r="AA239" s="7"/>
      <c r="AB239" s="7"/>
      <c r="AC239" s="7"/>
    </row>
    <row r="240" spans="1:29" ht="25.5" hidden="1">
      <c r="A240" s="19"/>
      <c r="B240" s="27"/>
      <c r="C240" s="28"/>
      <c r="D240" s="28"/>
      <c r="E240" s="28"/>
      <c r="F240" s="28"/>
      <c r="G240" s="28"/>
      <c r="H240" s="28"/>
      <c r="I240" s="28"/>
      <c r="J240" s="29"/>
      <c r="K240" s="29"/>
      <c r="L240" s="29"/>
      <c r="M240" s="29"/>
      <c r="N240" s="29"/>
      <c r="O240" s="349"/>
      <c r="P240" s="349"/>
      <c r="Q240" s="30"/>
      <c r="R240" s="740"/>
      <c r="S240" s="379"/>
      <c r="T240" s="349"/>
      <c r="U240" s="455"/>
      <c r="V240" s="754"/>
      <c r="W240" s="14" t="s">
        <v>48</v>
      </c>
      <c r="X240" s="7"/>
      <c r="Y240" s="7"/>
      <c r="Z240" s="7"/>
      <c r="AA240" s="7"/>
      <c r="AB240" s="7"/>
      <c r="AC240" s="7"/>
    </row>
    <row r="241" spans="1:29" ht="25.5" hidden="1">
      <c r="A241" s="19"/>
      <c r="B241" s="27"/>
      <c r="C241" s="28"/>
      <c r="D241" s="28"/>
      <c r="E241" s="28"/>
      <c r="F241" s="28"/>
      <c r="G241" s="28"/>
      <c r="H241" s="28"/>
      <c r="I241" s="28"/>
      <c r="J241" s="29"/>
      <c r="K241" s="29"/>
      <c r="L241" s="29"/>
      <c r="M241" s="29"/>
      <c r="N241" s="29"/>
      <c r="O241" s="349"/>
      <c r="P241" s="349"/>
      <c r="Q241" s="30"/>
      <c r="R241" s="740"/>
      <c r="S241" s="379"/>
      <c r="T241" s="349"/>
      <c r="U241" s="455"/>
      <c r="V241" s="754"/>
      <c r="W241" s="14" t="s">
        <v>48</v>
      </c>
      <c r="X241" s="7"/>
      <c r="Y241" s="7"/>
      <c r="Z241" s="7"/>
      <c r="AA241" s="7"/>
      <c r="AB241" s="7"/>
      <c r="AC241" s="7"/>
    </row>
    <row r="242" spans="1:29" ht="25.5" hidden="1">
      <c r="A242" s="19"/>
      <c r="B242" s="375"/>
      <c r="C242" s="349"/>
      <c r="D242" s="349"/>
      <c r="E242" s="349"/>
      <c r="F242" s="349"/>
      <c r="G242" s="349"/>
      <c r="H242" s="349"/>
      <c r="I242" s="349"/>
      <c r="J242" s="29"/>
      <c r="K242" s="29"/>
      <c r="L242" s="29"/>
      <c r="M242" s="29"/>
      <c r="N242" s="29"/>
      <c r="O242" s="28"/>
      <c r="P242" s="28"/>
      <c r="Q242" s="351"/>
      <c r="R242" s="71"/>
      <c r="S242" s="28"/>
      <c r="T242" s="28"/>
      <c r="U242" s="455"/>
      <c r="V242" s="754"/>
      <c r="W242" s="14" t="s">
        <v>48</v>
      </c>
      <c r="X242" s="7"/>
      <c r="Y242" s="7"/>
      <c r="Z242" s="7"/>
      <c r="AA242" s="7"/>
      <c r="AB242" s="7"/>
      <c r="AC242" s="7"/>
    </row>
    <row r="243" spans="1:29" ht="25.5">
      <c r="A243" s="19"/>
      <c r="B243" s="148" t="s">
        <v>290</v>
      </c>
      <c r="C243" s="91">
        <f t="shared" ref="C243:C268" si="45">H243+E243</f>
        <v>616.32000000000005</v>
      </c>
      <c r="D243" s="91"/>
      <c r="E243" s="91">
        <f t="shared" ref="E243:E273" si="46">F243+G243</f>
        <v>40.32</v>
      </c>
      <c r="F243" s="91">
        <f t="shared" ref="F243:F273" si="47">0.04*H243</f>
        <v>23.04</v>
      </c>
      <c r="G243" s="91">
        <f t="shared" ref="G243:G273" si="48">0.03*H243</f>
        <v>17.28</v>
      </c>
      <c r="H243" s="91">
        <f t="shared" si="40"/>
        <v>576</v>
      </c>
      <c r="I243" s="91"/>
      <c r="J243" s="142"/>
      <c r="K243" s="142"/>
      <c r="L243" s="142"/>
      <c r="M243" s="142"/>
      <c r="N243" s="142"/>
      <c r="O243" s="113">
        <v>52135</v>
      </c>
      <c r="P243" s="113">
        <v>52711</v>
      </c>
      <c r="Q243" s="149"/>
      <c r="R243" s="616"/>
      <c r="S243" s="113">
        <v>1</v>
      </c>
      <c r="T243" s="113">
        <f>P243-O243</f>
        <v>576</v>
      </c>
      <c r="U243" s="644" t="s">
        <v>982</v>
      </c>
      <c r="V243" s="761" t="s">
        <v>291</v>
      </c>
      <c r="W243" s="14" t="s">
        <v>48</v>
      </c>
      <c r="X243" s="7"/>
      <c r="Y243" s="7"/>
      <c r="Z243" s="7"/>
      <c r="AA243" s="7"/>
      <c r="AB243" s="7"/>
      <c r="AC243" s="7"/>
    </row>
    <row r="244" spans="1:29" ht="25.5">
      <c r="A244" s="19"/>
      <c r="B244" s="213" t="s">
        <v>292</v>
      </c>
      <c r="C244" s="113">
        <f t="shared" si="45"/>
        <v>1270.0899999999999</v>
      </c>
      <c r="D244" s="113"/>
      <c r="E244" s="113">
        <f t="shared" si="46"/>
        <v>83.09</v>
      </c>
      <c r="F244" s="113">
        <f t="shared" si="47"/>
        <v>47.480000000000004</v>
      </c>
      <c r="G244" s="113">
        <f t="shared" si="48"/>
        <v>35.61</v>
      </c>
      <c r="H244" s="113">
        <f t="shared" si="40"/>
        <v>1187</v>
      </c>
      <c r="I244" s="113"/>
      <c r="J244" s="22"/>
      <c r="K244" s="22"/>
      <c r="L244" s="22"/>
      <c r="M244" s="22"/>
      <c r="N244" s="22"/>
      <c r="O244" s="91">
        <v>72885</v>
      </c>
      <c r="P244" s="91">
        <v>74072</v>
      </c>
      <c r="Q244" s="149"/>
      <c r="R244" s="232"/>
      <c r="S244" s="91">
        <v>1</v>
      </c>
      <c r="T244" s="91">
        <f>P244-O244</f>
        <v>1187</v>
      </c>
      <c r="U244" s="644" t="s">
        <v>983</v>
      </c>
      <c r="V244" s="761" t="s">
        <v>293</v>
      </c>
      <c r="W244" s="14" t="s">
        <v>48</v>
      </c>
      <c r="X244" s="7"/>
      <c r="Y244" s="7"/>
      <c r="Z244" s="7"/>
      <c r="AA244" s="7"/>
      <c r="AB244" s="7"/>
      <c r="AC244" s="7"/>
    </row>
    <row r="245" spans="1:29" ht="25.5">
      <c r="A245" s="19"/>
      <c r="B245" s="148" t="s">
        <v>294</v>
      </c>
      <c r="C245" s="91">
        <f t="shared" si="45"/>
        <v>357.38</v>
      </c>
      <c r="D245" s="91"/>
      <c r="E245" s="91">
        <f t="shared" si="46"/>
        <v>23.38</v>
      </c>
      <c r="F245" s="91">
        <f t="shared" si="47"/>
        <v>13.36</v>
      </c>
      <c r="G245" s="91">
        <f t="shared" si="48"/>
        <v>10.02</v>
      </c>
      <c r="H245" s="91">
        <f t="shared" si="40"/>
        <v>334</v>
      </c>
      <c r="I245" s="91"/>
      <c r="J245" s="22"/>
      <c r="K245" s="22"/>
      <c r="L245" s="22"/>
      <c r="M245" s="22"/>
      <c r="N245" s="22"/>
      <c r="O245" s="91">
        <v>24278</v>
      </c>
      <c r="P245" s="91">
        <v>24612</v>
      </c>
      <c r="Q245" s="149"/>
      <c r="R245" s="232"/>
      <c r="S245" s="91">
        <v>1</v>
      </c>
      <c r="T245" s="91">
        <f>P245-O245</f>
        <v>334</v>
      </c>
      <c r="U245" s="644" t="s">
        <v>984</v>
      </c>
      <c r="V245" s="761" t="s">
        <v>296</v>
      </c>
      <c r="W245" s="14" t="s">
        <v>48</v>
      </c>
      <c r="X245" s="7"/>
      <c r="Y245" s="7"/>
      <c r="Z245" s="7"/>
      <c r="AA245" s="7"/>
      <c r="AB245" s="7"/>
      <c r="AC245" s="7"/>
    </row>
    <row r="246" spans="1:29" ht="25.5">
      <c r="A246" s="19"/>
      <c r="B246" s="148" t="s">
        <v>848</v>
      </c>
      <c r="C246" s="91">
        <f t="shared" si="45"/>
        <v>1707.72</v>
      </c>
      <c r="D246" s="91"/>
      <c r="E246" s="91">
        <f t="shared" si="46"/>
        <v>111.72</v>
      </c>
      <c r="F246" s="91">
        <f t="shared" si="47"/>
        <v>63.84</v>
      </c>
      <c r="G246" s="91">
        <f t="shared" si="48"/>
        <v>47.879999999999995</v>
      </c>
      <c r="H246" s="91">
        <f t="shared" si="40"/>
        <v>1596</v>
      </c>
      <c r="I246" s="91"/>
      <c r="J246" s="22"/>
      <c r="K246" s="22"/>
      <c r="L246" s="22"/>
      <c r="M246" s="22"/>
      <c r="N246" s="22"/>
      <c r="O246" s="91">
        <v>1794</v>
      </c>
      <c r="P246" s="91">
        <v>3390</v>
      </c>
      <c r="Q246" s="149"/>
      <c r="R246" s="232"/>
      <c r="S246" s="91">
        <v>1</v>
      </c>
      <c r="T246" s="91">
        <f>P246-O246</f>
        <v>1596</v>
      </c>
      <c r="U246" s="644" t="s">
        <v>985</v>
      </c>
      <c r="V246" s="761" t="s">
        <v>1087</v>
      </c>
      <c r="W246" s="14" t="s">
        <v>48</v>
      </c>
      <c r="X246" s="7"/>
      <c r="Y246" s="7"/>
      <c r="Z246" s="7"/>
      <c r="AA246" s="7"/>
      <c r="AB246" s="7"/>
      <c r="AC246" s="7"/>
    </row>
    <row r="247" spans="1:29" ht="26.25">
      <c r="A247" s="19"/>
      <c r="B247" s="812" t="s">
        <v>298</v>
      </c>
      <c r="C247" s="115">
        <f t="shared" si="45"/>
        <v>12047.129999999977</v>
      </c>
      <c r="D247" s="91"/>
      <c r="E247" s="91">
        <f t="shared" si="46"/>
        <v>788.12999999999852</v>
      </c>
      <c r="F247" s="91">
        <f t="shared" si="47"/>
        <v>450.35999999999916</v>
      </c>
      <c r="G247" s="91">
        <f t="shared" si="48"/>
        <v>337.76999999999936</v>
      </c>
      <c r="H247" s="91">
        <f t="shared" si="40"/>
        <v>11258.999999999978</v>
      </c>
      <c r="I247" s="91"/>
      <c r="J247" s="22"/>
      <c r="K247" s="22"/>
      <c r="L247" s="22"/>
      <c r="M247" s="22"/>
      <c r="N247" s="22"/>
      <c r="O247" s="589">
        <v>26708</v>
      </c>
      <c r="P247" s="589">
        <v>27083.3</v>
      </c>
      <c r="Q247" s="149"/>
      <c r="R247" s="232"/>
      <c r="S247" s="91">
        <v>30</v>
      </c>
      <c r="T247" s="91">
        <f>(P247-O247)*S247</f>
        <v>11258.999999999978</v>
      </c>
      <c r="U247" s="644" t="s">
        <v>1157</v>
      </c>
      <c r="V247" s="839" t="s">
        <v>300</v>
      </c>
      <c r="W247" s="14" t="s">
        <v>48</v>
      </c>
      <c r="X247" s="7"/>
      <c r="Y247" s="7"/>
      <c r="Z247" s="7"/>
      <c r="AA247" s="7"/>
      <c r="AB247" s="7"/>
      <c r="AC247" s="7"/>
    </row>
    <row r="248" spans="1:29" ht="26.25">
      <c r="A248" s="19"/>
      <c r="B248" s="813"/>
      <c r="C248" s="115">
        <f t="shared" si="45"/>
        <v>4852.45</v>
      </c>
      <c r="D248" s="91"/>
      <c r="E248" s="91">
        <f t="shared" si="46"/>
        <v>317.45</v>
      </c>
      <c r="F248" s="91">
        <f t="shared" si="47"/>
        <v>181.4</v>
      </c>
      <c r="G248" s="91">
        <f t="shared" si="48"/>
        <v>136.04999999999998</v>
      </c>
      <c r="H248" s="91">
        <f t="shared" si="40"/>
        <v>4535</v>
      </c>
      <c r="I248" s="91"/>
      <c r="J248" s="22"/>
      <c r="K248" s="22"/>
      <c r="L248" s="22"/>
      <c r="M248" s="22"/>
      <c r="N248" s="22"/>
      <c r="O248" s="91">
        <v>92675</v>
      </c>
      <c r="P248" s="91">
        <v>97210</v>
      </c>
      <c r="Q248" s="149"/>
      <c r="R248" s="232"/>
      <c r="S248" s="91">
        <v>1</v>
      </c>
      <c r="T248" s="91">
        <f t="shared" ref="T248:T254" si="49">P248-O248</f>
        <v>4535</v>
      </c>
      <c r="U248" s="644" t="s">
        <v>987</v>
      </c>
      <c r="V248" s="839"/>
      <c r="W248" s="14" t="s">
        <v>48</v>
      </c>
      <c r="X248" s="7"/>
      <c r="Y248" s="7"/>
      <c r="Z248" s="7"/>
      <c r="AA248" s="7"/>
      <c r="AB248" s="7"/>
      <c r="AC248" s="7"/>
    </row>
    <row r="249" spans="1:29" ht="25.5">
      <c r="A249" s="19"/>
      <c r="B249" s="148" t="s">
        <v>907</v>
      </c>
      <c r="C249" s="91">
        <f t="shared" si="45"/>
        <v>1948.47</v>
      </c>
      <c r="D249" s="91"/>
      <c r="E249" s="91">
        <f t="shared" si="46"/>
        <v>127.47</v>
      </c>
      <c r="F249" s="91">
        <f t="shared" si="47"/>
        <v>72.84</v>
      </c>
      <c r="G249" s="91">
        <f t="shared" si="48"/>
        <v>54.629999999999995</v>
      </c>
      <c r="H249" s="91">
        <f t="shared" si="40"/>
        <v>1821</v>
      </c>
      <c r="I249" s="91"/>
      <c r="J249" s="22"/>
      <c r="K249" s="22"/>
      <c r="L249" s="22"/>
      <c r="M249" s="22"/>
      <c r="N249" s="22"/>
      <c r="O249" s="91">
        <v>85556</v>
      </c>
      <c r="P249" s="91">
        <v>87377</v>
      </c>
      <c r="Q249" s="149"/>
      <c r="R249" s="232"/>
      <c r="S249" s="91">
        <v>1</v>
      </c>
      <c r="T249" s="91">
        <f t="shared" si="49"/>
        <v>1821</v>
      </c>
      <c r="U249" s="644" t="s">
        <v>988</v>
      </c>
      <c r="V249" s="761" t="s">
        <v>779</v>
      </c>
      <c r="W249" s="14" t="s">
        <v>48</v>
      </c>
      <c r="X249" s="7"/>
      <c r="Y249" s="7"/>
      <c r="Z249" s="7"/>
      <c r="AA249" s="7"/>
      <c r="AB249" s="7"/>
      <c r="AC249" s="7"/>
    </row>
    <row r="250" spans="1:29" ht="30.75" customHeight="1">
      <c r="A250" s="19"/>
      <c r="B250" s="148" t="s">
        <v>303</v>
      </c>
      <c r="C250" s="91">
        <f t="shared" si="45"/>
        <v>2846.2</v>
      </c>
      <c r="D250" s="91"/>
      <c r="E250" s="91">
        <f t="shared" si="46"/>
        <v>186.2</v>
      </c>
      <c r="F250" s="91">
        <f t="shared" si="47"/>
        <v>106.4</v>
      </c>
      <c r="G250" s="91">
        <f t="shared" si="48"/>
        <v>79.8</v>
      </c>
      <c r="H250" s="91">
        <f t="shared" si="40"/>
        <v>2660</v>
      </c>
      <c r="I250" s="91"/>
      <c r="J250" s="22"/>
      <c r="K250" s="22"/>
      <c r="L250" s="22"/>
      <c r="M250" s="22"/>
      <c r="N250" s="22"/>
      <c r="O250" s="91">
        <v>94848</v>
      </c>
      <c r="P250" s="91">
        <v>97508</v>
      </c>
      <c r="Q250" s="149"/>
      <c r="R250" s="232"/>
      <c r="S250" s="91">
        <v>1</v>
      </c>
      <c r="T250" s="91">
        <f t="shared" si="49"/>
        <v>2660</v>
      </c>
      <c r="U250" s="644" t="s">
        <v>989</v>
      </c>
      <c r="V250" s="761" t="s">
        <v>304</v>
      </c>
      <c r="W250" s="14" t="s">
        <v>48</v>
      </c>
      <c r="X250" s="7"/>
      <c r="Y250" s="7"/>
      <c r="Z250" s="7"/>
      <c r="AA250" s="7"/>
      <c r="AB250" s="7"/>
      <c r="AC250" s="7"/>
    </row>
    <row r="251" spans="1:29" ht="26.25">
      <c r="A251" s="19"/>
      <c r="B251" s="618"/>
      <c r="C251" s="199">
        <f t="shared" si="45"/>
        <v>0</v>
      </c>
      <c r="D251" s="199"/>
      <c r="E251" s="199">
        <f t="shared" si="46"/>
        <v>0</v>
      </c>
      <c r="F251" s="199">
        <f t="shared" si="47"/>
        <v>0</v>
      </c>
      <c r="G251" s="199">
        <f t="shared" si="48"/>
        <v>0</v>
      </c>
      <c r="H251" s="199">
        <f t="shared" si="40"/>
        <v>0</v>
      </c>
      <c r="I251" s="199"/>
      <c r="J251" s="333"/>
      <c r="K251" s="333"/>
      <c r="L251" s="333"/>
      <c r="M251" s="333"/>
      <c r="N251" s="333"/>
      <c r="O251" s="199">
        <v>0</v>
      </c>
      <c r="P251" s="199">
        <v>0</v>
      </c>
      <c r="Q251" s="334"/>
      <c r="R251" s="335"/>
      <c r="S251" s="199">
        <v>1</v>
      </c>
      <c r="T251" s="199">
        <f t="shared" si="49"/>
        <v>0</v>
      </c>
      <c r="U251" s="644"/>
      <c r="V251" s="761"/>
      <c r="W251" s="14" t="s">
        <v>48</v>
      </c>
      <c r="X251" s="7"/>
      <c r="Y251" s="7"/>
      <c r="Z251" s="7"/>
      <c r="AA251" s="7"/>
      <c r="AB251" s="7"/>
      <c r="AC251" s="7"/>
    </row>
    <row r="252" spans="1:29" ht="27.75" customHeight="1">
      <c r="A252" s="19"/>
      <c r="B252" s="329" t="s">
        <v>305</v>
      </c>
      <c r="C252" s="117">
        <f t="shared" si="45"/>
        <v>380.92</v>
      </c>
      <c r="D252" s="117"/>
      <c r="E252" s="117">
        <f t="shared" si="46"/>
        <v>24.92</v>
      </c>
      <c r="F252" s="117">
        <f t="shared" si="47"/>
        <v>14.24</v>
      </c>
      <c r="G252" s="117">
        <f t="shared" si="48"/>
        <v>10.68</v>
      </c>
      <c r="H252" s="117">
        <f t="shared" si="40"/>
        <v>356</v>
      </c>
      <c r="I252" s="117"/>
      <c r="J252" s="22"/>
      <c r="K252" s="22"/>
      <c r="L252" s="22"/>
      <c r="M252" s="22"/>
      <c r="N252" s="22" t="s">
        <v>271</v>
      </c>
      <c r="O252" s="117">
        <v>23114</v>
      </c>
      <c r="P252" s="117">
        <v>23470</v>
      </c>
      <c r="Q252" s="149"/>
      <c r="R252" s="309"/>
      <c r="S252" s="117">
        <v>1</v>
      </c>
      <c r="T252" s="117">
        <f t="shared" si="49"/>
        <v>356</v>
      </c>
      <c r="U252" s="644" t="s">
        <v>990</v>
      </c>
      <c r="V252" s="761" t="s">
        <v>307</v>
      </c>
      <c r="W252" s="14" t="s">
        <v>48</v>
      </c>
      <c r="X252" s="7"/>
      <c r="Y252" s="7"/>
      <c r="Z252" s="7"/>
      <c r="AA252" s="7"/>
      <c r="AB252" s="7"/>
      <c r="AC252" s="7"/>
    </row>
    <row r="253" spans="1:29" ht="27.75" customHeight="1">
      <c r="A253" s="19"/>
      <c r="B253" s="329" t="s">
        <v>308</v>
      </c>
      <c r="C253" s="117">
        <f t="shared" si="45"/>
        <v>278.2</v>
      </c>
      <c r="D253" s="117"/>
      <c r="E253" s="117">
        <f t="shared" si="46"/>
        <v>18.2</v>
      </c>
      <c r="F253" s="117">
        <f t="shared" si="47"/>
        <v>10.4</v>
      </c>
      <c r="G253" s="117">
        <f t="shared" si="48"/>
        <v>7.8</v>
      </c>
      <c r="H253" s="117">
        <f t="shared" si="40"/>
        <v>260</v>
      </c>
      <c r="I253" s="117"/>
      <c r="J253" s="22"/>
      <c r="K253" s="22"/>
      <c r="L253" s="22"/>
      <c r="M253" s="22"/>
      <c r="N253" s="22" t="s">
        <v>271</v>
      </c>
      <c r="O253" s="117">
        <v>5578</v>
      </c>
      <c r="P253" s="117">
        <v>5838</v>
      </c>
      <c r="Q253" s="149"/>
      <c r="R253" s="309"/>
      <c r="S253" s="117">
        <v>1</v>
      </c>
      <c r="T253" s="117">
        <f t="shared" si="49"/>
        <v>260</v>
      </c>
      <c r="U253" s="644" t="s">
        <v>991</v>
      </c>
      <c r="V253" s="761" t="s">
        <v>309</v>
      </c>
      <c r="W253" s="14" t="s">
        <v>82</v>
      </c>
      <c r="X253" s="7"/>
      <c r="Y253" s="7"/>
      <c r="Z253" s="7"/>
      <c r="AA253" s="7"/>
      <c r="AB253" s="7"/>
      <c r="AC253" s="7"/>
    </row>
    <row r="254" spans="1:29" ht="27">
      <c r="A254" s="19"/>
      <c r="B254" s="619" t="s">
        <v>310</v>
      </c>
      <c r="C254" s="117">
        <f t="shared" si="45"/>
        <v>356.31</v>
      </c>
      <c r="D254" s="117"/>
      <c r="E254" s="117">
        <f t="shared" si="46"/>
        <v>23.310000000000002</v>
      </c>
      <c r="F254" s="117">
        <f t="shared" si="47"/>
        <v>13.32</v>
      </c>
      <c r="G254" s="117">
        <f t="shared" si="48"/>
        <v>9.99</v>
      </c>
      <c r="H254" s="117">
        <f t="shared" si="40"/>
        <v>333</v>
      </c>
      <c r="I254" s="117"/>
      <c r="J254" s="22"/>
      <c r="K254" s="22"/>
      <c r="L254" s="22"/>
      <c r="M254" s="22"/>
      <c r="N254" s="22" t="s">
        <v>271</v>
      </c>
      <c r="O254" s="117">
        <v>13888</v>
      </c>
      <c r="P254" s="117">
        <v>14221</v>
      </c>
      <c r="Q254" s="149"/>
      <c r="R254" s="309"/>
      <c r="S254" s="117">
        <v>1</v>
      </c>
      <c r="T254" s="117">
        <f t="shared" si="49"/>
        <v>333</v>
      </c>
      <c r="U254" s="725" t="s">
        <v>992</v>
      </c>
      <c r="V254" s="761" t="s">
        <v>311</v>
      </c>
      <c r="W254" s="14" t="s">
        <v>82</v>
      </c>
      <c r="X254" s="7"/>
      <c r="Y254" s="7"/>
      <c r="Z254" s="7"/>
      <c r="AA254" s="7"/>
      <c r="AB254" s="7"/>
      <c r="AC254" s="7"/>
    </row>
    <row r="255" spans="1:29" ht="25.5">
      <c r="A255" s="19"/>
      <c r="B255" s="620" t="s">
        <v>312</v>
      </c>
      <c r="C255" s="91">
        <f t="shared" si="45"/>
        <v>1367.46</v>
      </c>
      <c r="D255" s="91"/>
      <c r="E255" s="91">
        <f t="shared" si="46"/>
        <v>89.460000000000008</v>
      </c>
      <c r="F255" s="91">
        <f t="shared" si="47"/>
        <v>51.120000000000005</v>
      </c>
      <c r="G255" s="91">
        <f t="shared" si="48"/>
        <v>38.339999999999996</v>
      </c>
      <c r="H255" s="91">
        <f t="shared" si="40"/>
        <v>1278</v>
      </c>
      <c r="I255" s="91"/>
      <c r="J255" s="142"/>
      <c r="K255" s="142"/>
      <c r="L255" s="142"/>
      <c r="M255" s="142"/>
      <c r="N255" s="142"/>
      <c r="O255" s="91">
        <v>79504</v>
      </c>
      <c r="P255" s="91">
        <v>80782</v>
      </c>
      <c r="Q255" s="161"/>
      <c r="R255" s="200"/>
      <c r="S255" s="91">
        <v>1</v>
      </c>
      <c r="T255" s="91">
        <f>P255-O255</f>
        <v>1278</v>
      </c>
      <c r="U255" s="644" t="s">
        <v>993</v>
      </c>
      <c r="V255" s="761" t="s">
        <v>313</v>
      </c>
      <c r="W255" s="14" t="s">
        <v>48</v>
      </c>
      <c r="X255" s="7"/>
      <c r="Y255" s="7"/>
      <c r="Z255" s="7"/>
      <c r="AA255" s="7"/>
      <c r="AB255" s="7"/>
      <c r="AC255" s="7"/>
    </row>
    <row r="256" spans="1:29" ht="25.5">
      <c r="A256" s="19"/>
      <c r="B256" s="148" t="s">
        <v>314</v>
      </c>
      <c r="C256" s="113">
        <f t="shared" si="45"/>
        <v>1178.07</v>
      </c>
      <c r="D256" s="113"/>
      <c r="E256" s="113">
        <f t="shared" si="46"/>
        <v>77.069999999999993</v>
      </c>
      <c r="F256" s="113">
        <f t="shared" si="47"/>
        <v>44.04</v>
      </c>
      <c r="G256" s="113">
        <f t="shared" si="48"/>
        <v>33.03</v>
      </c>
      <c r="H256" s="113">
        <f t="shared" si="40"/>
        <v>1101</v>
      </c>
      <c r="I256" s="113"/>
      <c r="J256" s="22"/>
      <c r="K256" s="22"/>
      <c r="L256" s="22"/>
      <c r="M256" s="22"/>
      <c r="N256" s="22"/>
      <c r="O256" s="113">
        <v>58288</v>
      </c>
      <c r="P256" s="113">
        <v>59389</v>
      </c>
      <c r="Q256" s="149"/>
      <c r="R256" s="621"/>
      <c r="S256" s="113">
        <v>1</v>
      </c>
      <c r="T256" s="113">
        <f>P256-O256</f>
        <v>1101</v>
      </c>
      <c r="U256" s="644" t="s">
        <v>994</v>
      </c>
      <c r="V256" s="761" t="s">
        <v>315</v>
      </c>
      <c r="W256" s="14" t="s">
        <v>48</v>
      </c>
      <c r="X256" s="7"/>
      <c r="Y256" s="7"/>
      <c r="Z256" s="7"/>
      <c r="AA256" s="7"/>
      <c r="AB256" s="7"/>
      <c r="AC256" s="7"/>
    </row>
    <row r="257" spans="1:29" ht="25.5">
      <c r="A257" s="19"/>
      <c r="B257" s="148" t="s">
        <v>316</v>
      </c>
      <c r="C257" s="91">
        <f t="shared" si="45"/>
        <v>297.45999999999998</v>
      </c>
      <c r="D257" s="91"/>
      <c r="E257" s="91">
        <f>F257+G257</f>
        <v>19.46</v>
      </c>
      <c r="F257" s="91">
        <f t="shared" si="47"/>
        <v>11.120000000000001</v>
      </c>
      <c r="G257" s="91">
        <f>0.03*H257</f>
        <v>8.34</v>
      </c>
      <c r="H257" s="91">
        <f>T257</f>
        <v>278</v>
      </c>
      <c r="I257" s="91"/>
      <c r="J257" s="22"/>
      <c r="K257" s="22"/>
      <c r="L257" s="22"/>
      <c r="M257" s="22"/>
      <c r="N257" s="22"/>
      <c r="O257" s="91">
        <v>27820</v>
      </c>
      <c r="P257" s="91">
        <v>28098</v>
      </c>
      <c r="Q257" s="149"/>
      <c r="R257" s="200"/>
      <c r="S257" s="91">
        <v>1</v>
      </c>
      <c r="T257" s="91">
        <f>P257-O257</f>
        <v>278</v>
      </c>
      <c r="U257" s="644" t="s">
        <v>995</v>
      </c>
      <c r="V257" s="761" t="s">
        <v>317</v>
      </c>
      <c r="W257" s="14" t="s">
        <v>48</v>
      </c>
      <c r="X257" s="7"/>
      <c r="Y257" s="7"/>
      <c r="Z257" s="7"/>
      <c r="AA257" s="7"/>
      <c r="AB257" s="7"/>
      <c r="AC257" s="7"/>
    </row>
    <row r="258" spans="1:29" ht="25.5">
      <c r="A258" s="19"/>
      <c r="B258" s="148" t="s">
        <v>318</v>
      </c>
      <c r="C258" s="91">
        <f t="shared" si="45"/>
        <v>1244.4100000000001</v>
      </c>
      <c r="D258" s="91"/>
      <c r="E258" s="91">
        <f>F258+G258</f>
        <v>81.41</v>
      </c>
      <c r="F258" s="91">
        <f>0.04*H258</f>
        <v>46.52</v>
      </c>
      <c r="G258" s="91">
        <f>0.03*H258</f>
        <v>34.89</v>
      </c>
      <c r="H258" s="91">
        <f>T258</f>
        <v>1163</v>
      </c>
      <c r="I258" s="91"/>
      <c r="J258" s="22"/>
      <c r="K258" s="22"/>
      <c r="L258" s="22"/>
      <c r="M258" s="22"/>
      <c r="N258" s="22"/>
      <c r="O258" s="91">
        <v>83087</v>
      </c>
      <c r="P258" s="91">
        <v>84250</v>
      </c>
      <c r="Q258" s="149"/>
      <c r="R258" s="200"/>
      <c r="S258" s="91">
        <v>1</v>
      </c>
      <c r="T258" s="91">
        <f>P258-O258</f>
        <v>1163</v>
      </c>
      <c r="U258" s="644" t="s">
        <v>996</v>
      </c>
      <c r="V258" s="761" t="s">
        <v>317</v>
      </c>
      <c r="W258" s="14" t="s">
        <v>48</v>
      </c>
      <c r="X258" s="7"/>
      <c r="Y258" s="7"/>
      <c r="Z258" s="7"/>
      <c r="AA258" s="7"/>
      <c r="AB258" s="7"/>
      <c r="AC258" s="7"/>
    </row>
    <row r="259" spans="1:29" ht="25.5">
      <c r="A259" s="19"/>
      <c r="B259" s="148" t="s">
        <v>319</v>
      </c>
      <c r="C259" s="91">
        <f t="shared" si="45"/>
        <v>1484.09</v>
      </c>
      <c r="D259" s="91"/>
      <c r="E259" s="91">
        <f>F259+G259</f>
        <v>97.09</v>
      </c>
      <c r="F259" s="91">
        <f t="shared" si="47"/>
        <v>55.480000000000004</v>
      </c>
      <c r="G259" s="91">
        <f t="shared" si="48"/>
        <v>41.61</v>
      </c>
      <c r="H259" s="91">
        <f t="shared" si="40"/>
        <v>1387</v>
      </c>
      <c r="I259" s="91"/>
      <c r="J259" s="22"/>
      <c r="K259" s="22"/>
      <c r="L259" s="22"/>
      <c r="M259" s="22"/>
      <c r="N259" s="22"/>
      <c r="O259" s="91">
        <v>114418</v>
      </c>
      <c r="P259" s="91">
        <v>115805</v>
      </c>
      <c r="Q259" s="149"/>
      <c r="R259" s="200"/>
      <c r="S259" s="91">
        <v>1</v>
      </c>
      <c r="T259" s="91">
        <f>P259-O259</f>
        <v>1387</v>
      </c>
      <c r="U259" s="644" t="s">
        <v>997</v>
      </c>
      <c r="V259" s="761" t="s">
        <v>320</v>
      </c>
      <c r="W259" s="14" t="s">
        <v>82</v>
      </c>
      <c r="X259" s="7"/>
      <c r="Y259" s="7"/>
      <c r="Z259" s="7"/>
      <c r="AA259" s="7"/>
      <c r="AB259" s="7"/>
      <c r="AC259" s="7"/>
    </row>
    <row r="260" spans="1:29" ht="51">
      <c r="A260" s="19"/>
      <c r="B260" s="148" t="s">
        <v>321</v>
      </c>
      <c r="C260" s="91">
        <f t="shared" si="45"/>
        <v>1147.04</v>
      </c>
      <c r="D260" s="91"/>
      <c r="E260" s="91">
        <f t="shared" si="46"/>
        <v>75.039999999999992</v>
      </c>
      <c r="F260" s="91">
        <f t="shared" si="47"/>
        <v>42.88</v>
      </c>
      <c r="G260" s="91">
        <f t="shared" si="48"/>
        <v>32.159999999999997</v>
      </c>
      <c r="H260" s="91">
        <f t="shared" si="40"/>
        <v>1072</v>
      </c>
      <c r="I260" s="91">
        <f t="shared" ref="I260:I273" si="50">0.6*C260</f>
        <v>688.22399999999993</v>
      </c>
      <c r="J260" s="22"/>
      <c r="K260" s="22"/>
      <c r="L260" s="22"/>
      <c r="M260" s="22"/>
      <c r="N260" s="22"/>
      <c r="O260" s="206">
        <v>21274</v>
      </c>
      <c r="P260" s="206">
        <v>22346</v>
      </c>
      <c r="Q260" s="22"/>
      <c r="R260" s="142"/>
      <c r="S260" s="151">
        <v>1</v>
      </c>
      <c r="T260" s="91">
        <f t="shared" ref="T260:T273" si="51">(P260-O260)*S260</f>
        <v>1072</v>
      </c>
      <c r="U260" s="644">
        <v>34431</v>
      </c>
      <c r="V260" s="761" t="s">
        <v>322</v>
      </c>
      <c r="W260" s="14" t="s">
        <v>82</v>
      </c>
      <c r="X260" s="7"/>
      <c r="Y260" s="7"/>
      <c r="Z260" s="7"/>
      <c r="AA260" s="7"/>
      <c r="AB260" s="7"/>
      <c r="AC260" s="7"/>
    </row>
    <row r="261" spans="1:29" ht="25.5">
      <c r="A261" s="19"/>
      <c r="B261" s="622" t="s">
        <v>323</v>
      </c>
      <c r="C261" s="91">
        <f t="shared" si="45"/>
        <v>1498</v>
      </c>
      <c r="D261" s="91"/>
      <c r="E261" s="91">
        <f t="shared" si="46"/>
        <v>98</v>
      </c>
      <c r="F261" s="91">
        <f t="shared" si="47"/>
        <v>56</v>
      </c>
      <c r="G261" s="91">
        <f t="shared" si="48"/>
        <v>42</v>
      </c>
      <c r="H261" s="91">
        <f t="shared" si="40"/>
        <v>1400</v>
      </c>
      <c r="I261" s="91">
        <f t="shared" si="50"/>
        <v>898.8</v>
      </c>
      <c r="J261" s="22"/>
      <c r="K261" s="22"/>
      <c r="L261" s="22"/>
      <c r="M261" s="22"/>
      <c r="N261" s="22"/>
      <c r="O261" s="206">
        <v>68311</v>
      </c>
      <c r="P261" s="206">
        <v>69711</v>
      </c>
      <c r="Q261" s="22"/>
      <c r="R261" s="142"/>
      <c r="S261" s="151">
        <v>1</v>
      </c>
      <c r="T261" s="91">
        <f>(P261-O261)*S261</f>
        <v>1400</v>
      </c>
      <c r="U261" s="644" t="s">
        <v>998</v>
      </c>
      <c r="V261" s="761" t="s">
        <v>324</v>
      </c>
      <c r="W261" s="14" t="s">
        <v>82</v>
      </c>
      <c r="X261" s="7"/>
      <c r="Y261" s="7"/>
      <c r="Z261" s="7"/>
      <c r="AA261" s="7"/>
      <c r="AB261" s="7"/>
      <c r="AC261" s="7"/>
    </row>
    <row r="262" spans="1:29" ht="54.75" customHeight="1">
      <c r="A262" s="19"/>
      <c r="B262" s="148" t="s">
        <v>292</v>
      </c>
      <c r="C262" s="91">
        <f t="shared" si="45"/>
        <v>797.15</v>
      </c>
      <c r="D262" s="91"/>
      <c r="E262" s="91">
        <f t="shared" si="46"/>
        <v>52.15</v>
      </c>
      <c r="F262" s="91">
        <f t="shared" si="47"/>
        <v>29.8</v>
      </c>
      <c r="G262" s="91">
        <f t="shared" si="48"/>
        <v>22.349999999999998</v>
      </c>
      <c r="H262" s="91">
        <f t="shared" si="40"/>
        <v>745</v>
      </c>
      <c r="I262" s="91">
        <f t="shared" si="50"/>
        <v>478.28999999999996</v>
      </c>
      <c r="J262" s="22"/>
      <c r="K262" s="22"/>
      <c r="L262" s="22"/>
      <c r="M262" s="22"/>
      <c r="N262" s="22"/>
      <c r="O262" s="206">
        <v>33569</v>
      </c>
      <c r="P262" s="206">
        <v>34314</v>
      </c>
      <c r="Q262" s="22"/>
      <c r="R262" s="142"/>
      <c r="S262" s="151">
        <v>1</v>
      </c>
      <c r="T262" s="91">
        <f>(P262-O262)*S262</f>
        <v>745</v>
      </c>
      <c r="U262" s="726" t="s">
        <v>999</v>
      </c>
      <c r="V262" s="761" t="s">
        <v>325</v>
      </c>
      <c r="W262" s="14" t="s">
        <v>82</v>
      </c>
      <c r="X262" s="7"/>
      <c r="Y262" s="7"/>
      <c r="Z262" s="7"/>
      <c r="AA262" s="7"/>
      <c r="AB262" s="7"/>
      <c r="AC262" s="7"/>
    </row>
    <row r="263" spans="1:29" ht="25.5">
      <c r="A263" s="19"/>
      <c r="B263" s="158" t="s">
        <v>849</v>
      </c>
      <c r="C263" s="91">
        <f t="shared" si="45"/>
        <v>1006.87</v>
      </c>
      <c r="D263" s="91"/>
      <c r="E263" s="91">
        <f t="shared" si="46"/>
        <v>65.87</v>
      </c>
      <c r="F263" s="91">
        <f t="shared" si="47"/>
        <v>37.64</v>
      </c>
      <c r="G263" s="91">
        <f t="shared" si="48"/>
        <v>28.23</v>
      </c>
      <c r="H263" s="91">
        <f t="shared" si="40"/>
        <v>941</v>
      </c>
      <c r="I263" s="91">
        <f t="shared" si="50"/>
        <v>604.12199999999996</v>
      </c>
      <c r="J263" s="22"/>
      <c r="K263" s="22"/>
      <c r="L263" s="22"/>
      <c r="M263" s="22"/>
      <c r="N263" s="22"/>
      <c r="O263" s="206">
        <v>39220</v>
      </c>
      <c r="P263" s="206">
        <v>40161</v>
      </c>
      <c r="Q263" s="22"/>
      <c r="R263" s="142"/>
      <c r="S263" s="151">
        <v>1</v>
      </c>
      <c r="T263" s="91">
        <f t="shared" si="51"/>
        <v>941</v>
      </c>
      <c r="U263" s="644" t="s">
        <v>1000</v>
      </c>
      <c r="V263" s="761" t="s">
        <v>326</v>
      </c>
      <c r="W263" s="14" t="s">
        <v>82</v>
      </c>
      <c r="X263" s="7"/>
      <c r="Y263" s="7"/>
      <c r="Z263" s="7"/>
      <c r="AA263" s="7"/>
      <c r="AB263" s="7"/>
      <c r="AC263" s="7"/>
    </row>
    <row r="264" spans="1:29" ht="25.5">
      <c r="A264" s="19"/>
      <c r="B264" s="622" t="s">
        <v>693</v>
      </c>
      <c r="C264" s="124">
        <f t="shared" si="45"/>
        <v>1267.95</v>
      </c>
      <c r="D264" s="124"/>
      <c r="E264" s="124">
        <f t="shared" si="46"/>
        <v>82.949999999999989</v>
      </c>
      <c r="F264" s="124">
        <f t="shared" si="47"/>
        <v>47.4</v>
      </c>
      <c r="G264" s="124">
        <f t="shared" si="48"/>
        <v>35.549999999999997</v>
      </c>
      <c r="H264" s="124">
        <f t="shared" si="40"/>
        <v>1185</v>
      </c>
      <c r="I264" s="124">
        <f t="shared" si="50"/>
        <v>760.77</v>
      </c>
      <c r="J264" s="126"/>
      <c r="K264" s="126"/>
      <c r="L264" s="126"/>
      <c r="M264" s="126"/>
      <c r="N264" s="126"/>
      <c r="O264" s="124">
        <v>64381</v>
      </c>
      <c r="P264" s="124">
        <v>65566</v>
      </c>
      <c r="Q264" s="126"/>
      <c r="R264" s="159"/>
      <c r="S264" s="140">
        <v>1</v>
      </c>
      <c r="T264" s="124">
        <f t="shared" si="51"/>
        <v>1185</v>
      </c>
      <c r="U264" s="717" t="s">
        <v>1001</v>
      </c>
      <c r="V264" s="128" t="s">
        <v>327</v>
      </c>
      <c r="W264" s="14" t="s">
        <v>82</v>
      </c>
      <c r="X264" s="7"/>
      <c r="Y264" s="7"/>
      <c r="Z264" s="7"/>
      <c r="AA264" s="7"/>
      <c r="AB264" s="7"/>
      <c r="AC264" s="7"/>
    </row>
    <row r="265" spans="1:29" ht="25.5">
      <c r="A265" s="194"/>
      <c r="B265" s="587" t="s">
        <v>908</v>
      </c>
      <c r="C265" s="91">
        <f t="shared" si="45"/>
        <v>1751.59</v>
      </c>
      <c r="D265" s="91"/>
      <c r="E265" s="91">
        <f t="shared" si="46"/>
        <v>114.59</v>
      </c>
      <c r="F265" s="91">
        <f t="shared" si="47"/>
        <v>65.48</v>
      </c>
      <c r="G265" s="91">
        <f t="shared" si="48"/>
        <v>49.11</v>
      </c>
      <c r="H265" s="91">
        <f t="shared" si="40"/>
        <v>1637</v>
      </c>
      <c r="I265" s="91">
        <f t="shared" si="50"/>
        <v>1050.954</v>
      </c>
      <c r="J265" s="22"/>
      <c r="K265" s="22"/>
      <c r="L265" s="22"/>
      <c r="M265" s="22"/>
      <c r="N265" s="22"/>
      <c r="O265" s="206">
        <v>77822</v>
      </c>
      <c r="P265" s="206">
        <v>79459</v>
      </c>
      <c r="Q265" s="22"/>
      <c r="R265" s="142"/>
      <c r="S265" s="151">
        <v>1</v>
      </c>
      <c r="T265" s="91">
        <f t="shared" si="51"/>
        <v>1637</v>
      </c>
      <c r="U265" s="644" t="s">
        <v>1002</v>
      </c>
      <c r="V265" s="761" t="s">
        <v>811</v>
      </c>
      <c r="W265" s="14" t="s">
        <v>82</v>
      </c>
      <c r="X265" s="7"/>
      <c r="Y265" s="7"/>
      <c r="Z265" s="7"/>
      <c r="AA265" s="7"/>
      <c r="AB265" s="7"/>
      <c r="AC265" s="7"/>
    </row>
    <row r="266" spans="1:29" ht="25.5">
      <c r="A266" s="19"/>
      <c r="B266" s="148" t="s">
        <v>909</v>
      </c>
      <c r="C266" s="91">
        <f t="shared" si="45"/>
        <v>1015.4300000000001</v>
      </c>
      <c r="D266" s="91"/>
      <c r="E266" s="91">
        <f>F266+G266</f>
        <v>66.430000000000007</v>
      </c>
      <c r="F266" s="91">
        <f>0.04*H266</f>
        <v>37.96</v>
      </c>
      <c r="G266" s="91">
        <f>0.03*H266</f>
        <v>28.47</v>
      </c>
      <c r="H266" s="91">
        <f>T266</f>
        <v>949</v>
      </c>
      <c r="I266" s="91">
        <f>0.5*C266</f>
        <v>507.71500000000003</v>
      </c>
      <c r="J266" s="22"/>
      <c r="K266" s="22"/>
      <c r="L266" s="22"/>
      <c r="M266" s="22"/>
      <c r="N266" s="22"/>
      <c r="O266" s="229">
        <v>19126</v>
      </c>
      <c r="P266" s="229">
        <v>20075</v>
      </c>
      <c r="Q266" s="149"/>
      <c r="R266" s="150"/>
      <c r="S266" s="151">
        <v>1</v>
      </c>
      <c r="T266" s="91">
        <f>(P266-O266)*S266</f>
        <v>949</v>
      </c>
      <c r="U266" s="644" t="s">
        <v>1003</v>
      </c>
      <c r="V266" s="761" t="s">
        <v>381</v>
      </c>
      <c r="W266" s="14" t="s">
        <v>82</v>
      </c>
      <c r="X266" s="7"/>
      <c r="Y266" s="7"/>
      <c r="Z266" s="7"/>
      <c r="AA266" s="7"/>
      <c r="AB266" s="7"/>
      <c r="AC266" s="7"/>
    </row>
    <row r="267" spans="1:29" ht="25.5">
      <c r="A267" s="19"/>
      <c r="B267" s="148" t="s">
        <v>329</v>
      </c>
      <c r="C267" s="91">
        <f t="shared" si="45"/>
        <v>1378.16</v>
      </c>
      <c r="D267" s="91"/>
      <c r="E267" s="91">
        <f t="shared" si="46"/>
        <v>90.16</v>
      </c>
      <c r="F267" s="91">
        <f t="shared" si="47"/>
        <v>51.52</v>
      </c>
      <c r="G267" s="91">
        <f t="shared" si="48"/>
        <v>38.64</v>
      </c>
      <c r="H267" s="91">
        <f t="shared" si="40"/>
        <v>1288</v>
      </c>
      <c r="I267" s="91">
        <f t="shared" si="50"/>
        <v>826.89600000000007</v>
      </c>
      <c r="J267" s="22"/>
      <c r="K267" s="22"/>
      <c r="L267" s="22"/>
      <c r="M267" s="22"/>
      <c r="N267" s="22"/>
      <c r="O267" s="206">
        <v>66869</v>
      </c>
      <c r="P267" s="206">
        <v>68157</v>
      </c>
      <c r="Q267" s="22"/>
      <c r="R267" s="142"/>
      <c r="S267" s="151">
        <v>1</v>
      </c>
      <c r="T267" s="91">
        <f t="shared" si="51"/>
        <v>1288</v>
      </c>
      <c r="U267" s="644" t="s">
        <v>1004</v>
      </c>
      <c r="V267" s="761" t="s">
        <v>330</v>
      </c>
      <c r="W267" s="14" t="s">
        <v>82</v>
      </c>
      <c r="X267" s="7"/>
      <c r="Y267" s="7"/>
      <c r="Z267" s="7"/>
      <c r="AA267" s="7"/>
      <c r="AB267" s="7"/>
      <c r="AC267" s="7"/>
    </row>
    <row r="268" spans="1:29" ht="25.5">
      <c r="A268" s="19"/>
      <c r="B268" s="148" t="s">
        <v>331</v>
      </c>
      <c r="C268" s="91">
        <f t="shared" si="45"/>
        <v>946.95</v>
      </c>
      <c r="D268" s="91"/>
      <c r="E268" s="91">
        <f t="shared" si="46"/>
        <v>61.95</v>
      </c>
      <c r="F268" s="91">
        <f t="shared" si="47"/>
        <v>35.4</v>
      </c>
      <c r="G268" s="91">
        <f t="shared" si="48"/>
        <v>26.55</v>
      </c>
      <c r="H268" s="91">
        <f t="shared" si="40"/>
        <v>885</v>
      </c>
      <c r="I268" s="91">
        <f t="shared" si="50"/>
        <v>568.16999999999996</v>
      </c>
      <c r="J268" s="22"/>
      <c r="K268" s="22"/>
      <c r="L268" s="22"/>
      <c r="M268" s="22"/>
      <c r="N268" s="22"/>
      <c r="O268" s="206">
        <v>39896</v>
      </c>
      <c r="P268" s="206">
        <v>40781</v>
      </c>
      <c r="Q268" s="22"/>
      <c r="R268" s="142"/>
      <c r="S268" s="151">
        <v>1</v>
      </c>
      <c r="T268" s="91">
        <f t="shared" si="51"/>
        <v>885</v>
      </c>
      <c r="U268" s="644" t="s">
        <v>1005</v>
      </c>
      <c r="V268" s="761" t="s">
        <v>332</v>
      </c>
      <c r="W268" s="14" t="s">
        <v>82</v>
      </c>
      <c r="X268" s="7"/>
      <c r="Y268" s="7"/>
      <c r="Z268" s="7"/>
      <c r="AA268" s="7"/>
      <c r="AB268" s="7"/>
      <c r="AC268" s="7"/>
    </row>
    <row r="269" spans="1:29" ht="25.5">
      <c r="A269" s="19"/>
      <c r="B269" s="148"/>
      <c r="C269" s="91"/>
      <c r="D269" s="91"/>
      <c r="E269" s="91"/>
      <c r="F269" s="91"/>
      <c r="G269" s="91"/>
      <c r="H269" s="91"/>
      <c r="I269" s="91"/>
      <c r="J269" s="22"/>
      <c r="K269" s="22"/>
      <c r="L269" s="22"/>
      <c r="M269" s="22"/>
      <c r="N269" s="22"/>
      <c r="O269" s="91"/>
      <c r="P269" s="91"/>
      <c r="Q269" s="22"/>
      <c r="R269" s="142"/>
      <c r="S269" s="151"/>
      <c r="T269" s="91"/>
      <c r="U269" s="644"/>
      <c r="V269" s="761"/>
      <c r="W269" s="14"/>
      <c r="X269" s="7"/>
      <c r="Y269" s="7"/>
      <c r="Z269" s="7"/>
      <c r="AA269" s="7"/>
      <c r="AB269" s="7"/>
      <c r="AC269" s="7"/>
    </row>
    <row r="270" spans="1:29" ht="25.5">
      <c r="A270" s="19"/>
      <c r="B270" s="587" t="s">
        <v>910</v>
      </c>
      <c r="C270" s="91">
        <f>H270+E270</f>
        <v>35.31</v>
      </c>
      <c r="D270" s="91"/>
      <c r="E270" s="91">
        <f t="shared" si="46"/>
        <v>2.31</v>
      </c>
      <c r="F270" s="91">
        <f t="shared" si="47"/>
        <v>1.32</v>
      </c>
      <c r="G270" s="91">
        <f t="shared" si="48"/>
        <v>0.99</v>
      </c>
      <c r="H270" s="91">
        <f t="shared" si="40"/>
        <v>33</v>
      </c>
      <c r="I270" s="91">
        <f t="shared" si="50"/>
        <v>21.186</v>
      </c>
      <c r="J270" s="22"/>
      <c r="K270" s="22"/>
      <c r="L270" s="22"/>
      <c r="M270" s="22"/>
      <c r="N270" s="22"/>
      <c r="O270" s="91">
        <v>376844</v>
      </c>
      <c r="P270" s="91">
        <v>376877</v>
      </c>
      <c r="Q270" s="22" t="s">
        <v>33</v>
      </c>
      <c r="R270" s="142"/>
      <c r="S270" s="91">
        <v>1</v>
      </c>
      <c r="T270" s="91">
        <f t="shared" si="51"/>
        <v>33</v>
      </c>
      <c r="U270" s="644" t="s">
        <v>1079</v>
      </c>
      <c r="V270" s="761" t="s">
        <v>812</v>
      </c>
      <c r="W270" s="14" t="s">
        <v>57</v>
      </c>
      <c r="X270" s="7"/>
      <c r="Y270" s="7"/>
      <c r="Z270" s="7"/>
      <c r="AA270" s="7"/>
      <c r="AB270" s="7"/>
      <c r="AC270" s="7"/>
    </row>
    <row r="271" spans="1:29" ht="25.5">
      <c r="A271" s="19"/>
      <c r="B271" s="624" t="s">
        <v>399</v>
      </c>
      <c r="C271" s="124">
        <f t="shared" ref="C271" si="52">H271+E271</f>
        <v>0</v>
      </c>
      <c r="D271" s="124"/>
      <c r="E271" s="124">
        <f t="shared" si="46"/>
        <v>0</v>
      </c>
      <c r="F271" s="124">
        <f t="shared" si="47"/>
        <v>0</v>
      </c>
      <c r="G271" s="124">
        <f t="shared" si="48"/>
        <v>0</v>
      </c>
      <c r="H271" s="124">
        <f t="shared" si="40"/>
        <v>0</v>
      </c>
      <c r="I271" s="124">
        <f t="shared" si="50"/>
        <v>0</v>
      </c>
      <c r="J271" s="126"/>
      <c r="K271" s="126"/>
      <c r="L271" s="126"/>
      <c r="M271" s="126"/>
      <c r="N271" s="126"/>
      <c r="O271" s="124">
        <v>38296</v>
      </c>
      <c r="P271" s="124">
        <v>38296</v>
      </c>
      <c r="Q271" s="138"/>
      <c r="R271" s="215"/>
      <c r="S271" s="140">
        <v>1</v>
      </c>
      <c r="T271" s="124">
        <f>(P271-O271)*S271</f>
        <v>0</v>
      </c>
      <c r="U271" s="717"/>
      <c r="V271" s="128" t="s">
        <v>400</v>
      </c>
      <c r="W271" s="14"/>
      <c r="X271" s="7"/>
      <c r="Y271" s="7"/>
      <c r="Z271" s="7"/>
      <c r="AA271" s="7"/>
      <c r="AB271" s="7"/>
      <c r="AC271" s="7"/>
    </row>
    <row r="272" spans="1:29" ht="27.75" customHeight="1">
      <c r="A272" s="19"/>
      <c r="B272" s="148"/>
      <c r="C272" s="91"/>
      <c r="D272" s="91"/>
      <c r="E272" s="91"/>
      <c r="F272" s="91"/>
      <c r="G272" s="91"/>
      <c r="H272" s="91"/>
      <c r="I272" s="91"/>
      <c r="J272" s="22"/>
      <c r="K272" s="22"/>
      <c r="L272" s="22"/>
      <c r="M272" s="22"/>
      <c r="N272" s="22"/>
      <c r="O272" s="91"/>
      <c r="P272" s="91"/>
      <c r="Q272" s="122"/>
      <c r="R272" s="173"/>
      <c r="S272" s="91"/>
      <c r="T272" s="91"/>
      <c r="U272" s="644"/>
      <c r="V272" s="759"/>
      <c r="W272" s="14" t="s">
        <v>57</v>
      </c>
      <c r="X272" s="7"/>
      <c r="Y272" s="7"/>
      <c r="Z272" s="7"/>
      <c r="AA272" s="7"/>
      <c r="AB272" s="7"/>
      <c r="AC272" s="7"/>
    </row>
    <row r="273" spans="1:29" ht="51" customHeight="1">
      <c r="A273" s="19"/>
      <c r="B273" s="494" t="s">
        <v>911</v>
      </c>
      <c r="C273" s="219">
        <v>50</v>
      </c>
      <c r="D273" s="219"/>
      <c r="E273" s="219">
        <f t="shared" si="46"/>
        <v>0</v>
      </c>
      <c r="F273" s="219">
        <f t="shared" si="47"/>
        <v>0</v>
      </c>
      <c r="G273" s="219">
        <f t="shared" si="48"/>
        <v>0</v>
      </c>
      <c r="H273" s="219">
        <v>0</v>
      </c>
      <c r="I273" s="219">
        <f t="shared" si="50"/>
        <v>30</v>
      </c>
      <c r="J273" s="220"/>
      <c r="K273" s="220"/>
      <c r="L273" s="220"/>
      <c r="M273" s="220"/>
      <c r="N273" s="220"/>
      <c r="O273" s="514"/>
      <c r="P273" s="514"/>
      <c r="Q273" s="515"/>
      <c r="R273" s="516"/>
      <c r="S273" s="514"/>
      <c r="T273" s="219">
        <f t="shared" si="51"/>
        <v>0</v>
      </c>
      <c r="U273" s="727" t="s">
        <v>336</v>
      </c>
      <c r="V273" s="222" t="s">
        <v>337</v>
      </c>
      <c r="W273" s="14"/>
      <c r="X273" s="7"/>
      <c r="Y273" s="7"/>
      <c r="Z273" s="7"/>
      <c r="AA273" s="7"/>
      <c r="AB273" s="7"/>
      <c r="AC273" s="7"/>
    </row>
    <row r="274" spans="1:29" ht="26.25">
      <c r="A274" s="19"/>
      <c r="B274" s="201"/>
      <c r="C274" s="202"/>
      <c r="D274" s="202"/>
      <c r="E274" s="202"/>
      <c r="F274" s="202"/>
      <c r="G274" s="202"/>
      <c r="H274" s="202"/>
      <c r="I274" s="202"/>
      <c r="J274" s="203"/>
      <c r="K274" s="203"/>
      <c r="L274" s="203"/>
      <c r="M274" s="203"/>
      <c r="N274" s="203"/>
      <c r="O274" s="204"/>
      <c r="P274" s="204"/>
      <c r="Q274" s="203"/>
      <c r="R274" s="205"/>
      <c r="S274" s="202"/>
      <c r="T274" s="206"/>
      <c r="U274" s="644"/>
      <c r="V274" s="759"/>
      <c r="W274" s="14"/>
      <c r="X274" s="7"/>
      <c r="Y274" s="7"/>
      <c r="Z274" s="7"/>
      <c r="AA274" s="7"/>
      <c r="AB274" s="7"/>
      <c r="AC274" s="7"/>
    </row>
    <row r="275" spans="1:29" ht="26.25">
      <c r="A275" s="19"/>
      <c r="B275" s="207"/>
      <c r="C275" s="202"/>
      <c r="D275" s="202"/>
      <c r="E275" s="208"/>
      <c r="F275" s="202"/>
      <c r="G275" s="202"/>
      <c r="H275" s="202"/>
      <c r="I275" s="202"/>
      <c r="J275" s="203"/>
      <c r="K275" s="203"/>
      <c r="L275" s="203"/>
      <c r="M275" s="203"/>
      <c r="N275" s="203"/>
      <c r="O275" s="204"/>
      <c r="P275" s="204"/>
      <c r="Q275" s="203"/>
      <c r="R275" s="205"/>
      <c r="S275" s="202"/>
      <c r="T275" s="206"/>
      <c r="U275" s="644"/>
      <c r="V275" s="759"/>
      <c r="W275" s="14"/>
      <c r="X275" s="7"/>
      <c r="Y275" s="7"/>
      <c r="Z275" s="7"/>
      <c r="AA275" s="7"/>
      <c r="AB275" s="7"/>
      <c r="AC275" s="7"/>
    </row>
    <row r="276" spans="1:29" ht="26.25">
      <c r="A276" s="19"/>
      <c r="B276" s="209"/>
      <c r="C276" s="115"/>
      <c r="D276" s="115"/>
      <c r="E276" s="112"/>
      <c r="F276" s="115"/>
      <c r="G276" s="115"/>
      <c r="H276" s="115"/>
      <c r="I276" s="115"/>
      <c r="J276" s="164"/>
      <c r="K276" s="164"/>
      <c r="L276" s="164"/>
      <c r="M276" s="164"/>
      <c r="N276" s="164"/>
      <c r="O276" s="210"/>
      <c r="P276" s="210"/>
      <c r="Q276" s="149"/>
      <c r="R276" s="211"/>
      <c r="S276" s="115"/>
      <c r="T276" s="91"/>
      <c r="U276" s="644"/>
      <c r="V276" s="761"/>
      <c r="W276" s="14"/>
      <c r="X276" s="7"/>
      <c r="Y276" s="7"/>
      <c r="Z276" s="7"/>
      <c r="AA276" s="7"/>
      <c r="AB276" s="7"/>
      <c r="AC276" s="7"/>
    </row>
    <row r="277" spans="1:29" ht="26.25">
      <c r="A277" s="19"/>
      <c r="B277" s="217" t="s">
        <v>338</v>
      </c>
      <c r="C277" s="212">
        <f>'Яблоко и ТП-7май'!B73</f>
        <v>146185.3340000037</v>
      </c>
      <c r="D277" s="115"/>
      <c r="E277" s="112"/>
      <c r="F277" s="115"/>
      <c r="G277" s="115"/>
      <c r="H277" s="115"/>
      <c r="I277" s="115"/>
      <c r="J277" s="164"/>
      <c r="K277" s="164"/>
      <c r="L277" s="164"/>
      <c r="M277" s="164"/>
      <c r="N277" s="164"/>
      <c r="O277" s="210"/>
      <c r="P277" s="210"/>
      <c r="Q277" s="149"/>
      <c r="R277" s="211"/>
      <c r="S277" s="248"/>
      <c r="T277" s="91"/>
      <c r="U277" s="644"/>
      <c r="V277" s="761"/>
      <c r="W277" s="14" t="s">
        <v>82</v>
      </c>
      <c r="X277" s="7"/>
      <c r="Y277" s="7"/>
      <c r="Z277" s="7"/>
      <c r="AA277" s="7"/>
      <c r="AB277" s="7"/>
      <c r="AC277" s="7"/>
    </row>
    <row r="278" spans="1:29" ht="26.25">
      <c r="A278" s="19"/>
      <c r="B278" s="90" t="s">
        <v>339</v>
      </c>
      <c r="C278" s="212">
        <f>'Яблоко и ТП-7май'!B62</f>
        <v>196262.10000000003</v>
      </c>
      <c r="D278" s="91"/>
      <c r="E278" s="91"/>
      <c r="F278" s="91"/>
      <c r="G278" s="91"/>
      <c r="H278" s="91"/>
      <c r="I278" s="91"/>
      <c r="J278" s="22"/>
      <c r="K278" s="22"/>
      <c r="L278" s="22"/>
      <c r="M278" s="22"/>
      <c r="N278" s="22"/>
      <c r="O278" s="91"/>
      <c r="P278" s="91"/>
      <c r="Q278" s="122"/>
      <c r="R278" s="200"/>
      <c r="S278" s="151"/>
      <c r="T278" s="91"/>
      <c r="U278" s="644"/>
      <c r="V278" s="761" t="s">
        <v>82</v>
      </c>
      <c r="W278" s="14" t="s">
        <v>82</v>
      </c>
      <c r="X278" s="7"/>
      <c r="Y278" s="7"/>
      <c r="Z278" s="7"/>
      <c r="AA278" s="7"/>
      <c r="AB278" s="7"/>
      <c r="AC278" s="7"/>
    </row>
    <row r="279" spans="1:29" ht="46.5">
      <c r="A279" s="19"/>
      <c r="B279" s="587" t="s">
        <v>340</v>
      </c>
      <c r="C279" s="91">
        <f t="shared" ref="C279:C284" si="53">H279+E279</f>
        <v>395.9</v>
      </c>
      <c r="D279" s="91"/>
      <c r="E279" s="91">
        <f>G279+F279</f>
        <v>25.9</v>
      </c>
      <c r="F279" s="91">
        <f t="shared" ref="F279:F284" si="54">0.04*H279</f>
        <v>14.8</v>
      </c>
      <c r="G279" s="91">
        <f t="shared" ref="G279:G284" si="55">0.03*H279</f>
        <v>11.1</v>
      </c>
      <c r="H279" s="91">
        <f t="shared" ref="H279:H284" si="56">T279</f>
        <v>370</v>
      </c>
      <c r="I279" s="91">
        <f t="shared" ref="I279:I284" si="57">0.6*C279</f>
        <v>237.53999999999996</v>
      </c>
      <c r="J279" s="22"/>
      <c r="K279" s="22"/>
      <c r="L279" s="22"/>
      <c r="M279" s="22"/>
      <c r="N279" s="22"/>
      <c r="O279" s="91">
        <v>51478</v>
      </c>
      <c r="P279" s="91">
        <v>51848</v>
      </c>
      <c r="Q279" s="122"/>
      <c r="R279" s="200"/>
      <c r="S279" s="151">
        <v>1</v>
      </c>
      <c r="T279" s="91">
        <f>(P279-O279)*S279</f>
        <v>370</v>
      </c>
      <c r="U279" s="644" t="s">
        <v>1006</v>
      </c>
      <c r="V279" s="761" t="s">
        <v>342</v>
      </c>
      <c r="W279" s="14" t="s">
        <v>57</v>
      </c>
      <c r="X279" s="7"/>
      <c r="Y279" s="7"/>
      <c r="Z279" s="7"/>
      <c r="AA279" s="7"/>
      <c r="AB279" s="7"/>
      <c r="AC279" s="7"/>
    </row>
    <row r="280" spans="1:29" ht="25.5">
      <c r="A280" s="19"/>
      <c r="B280" s="148" t="s">
        <v>343</v>
      </c>
      <c r="C280" s="91">
        <f t="shared" si="53"/>
        <v>0</v>
      </c>
      <c r="D280" s="91"/>
      <c r="E280" s="91">
        <f t="shared" ref="E280:E326" si="58">F280+G280</f>
        <v>0</v>
      </c>
      <c r="F280" s="91">
        <f t="shared" si="54"/>
        <v>0</v>
      </c>
      <c r="G280" s="91">
        <f t="shared" si="55"/>
        <v>0</v>
      </c>
      <c r="H280" s="91">
        <f t="shared" si="56"/>
        <v>0</v>
      </c>
      <c r="I280" s="91">
        <f t="shared" si="57"/>
        <v>0</v>
      </c>
      <c r="J280" s="22"/>
      <c r="K280" s="22"/>
      <c r="L280" s="22"/>
      <c r="M280" s="22"/>
      <c r="N280" s="22"/>
      <c r="O280" s="91">
        <v>19323</v>
      </c>
      <c r="P280" s="91">
        <v>19323</v>
      </c>
      <c r="Q280" s="149"/>
      <c r="R280" s="161"/>
      <c r="S280" s="151">
        <v>1</v>
      </c>
      <c r="T280" s="91">
        <f>(P280-O280)*S280</f>
        <v>0</v>
      </c>
      <c r="U280" s="644">
        <v>282335</v>
      </c>
      <c r="V280" s="761" t="s">
        <v>344</v>
      </c>
      <c r="W280" s="14" t="s">
        <v>57</v>
      </c>
      <c r="X280" s="7"/>
      <c r="Y280" s="7"/>
      <c r="Z280" s="7"/>
      <c r="AA280" s="7"/>
      <c r="AB280" s="7"/>
      <c r="AC280" s="7"/>
    </row>
    <row r="281" spans="1:29" ht="24.75" customHeight="1">
      <c r="A281" s="19"/>
      <c r="B281" s="213"/>
      <c r="C281" s="91"/>
      <c r="D281" s="91"/>
      <c r="E281" s="91"/>
      <c r="F281" s="91"/>
      <c r="G281" s="91"/>
      <c r="H281" s="91"/>
      <c r="I281" s="91"/>
      <c r="J281" s="22"/>
      <c r="K281" s="22"/>
      <c r="L281" s="22"/>
      <c r="M281" s="22"/>
      <c r="N281" s="22"/>
      <c r="O281" s="91"/>
      <c r="P281" s="91"/>
      <c r="Q281" s="149"/>
      <c r="R281" s="161"/>
      <c r="S281" s="151"/>
      <c r="T281" s="91"/>
      <c r="U281" s="644"/>
      <c r="V281" s="761"/>
      <c r="W281" s="14"/>
      <c r="X281" s="7"/>
      <c r="Y281" s="7"/>
      <c r="Z281" s="7"/>
      <c r="AA281" s="7"/>
      <c r="AB281" s="7"/>
      <c r="AC281" s="7"/>
    </row>
    <row r="282" spans="1:29" ht="25.5">
      <c r="A282" s="19"/>
      <c r="B282" s="213"/>
      <c r="C282" s="91"/>
      <c r="D282" s="91"/>
      <c r="E282" s="91"/>
      <c r="F282" s="91"/>
      <c r="G282" s="91"/>
      <c r="H282" s="91"/>
      <c r="I282" s="91"/>
      <c r="J282" s="22"/>
      <c r="K282" s="22"/>
      <c r="L282" s="22"/>
      <c r="M282" s="22"/>
      <c r="N282" s="22"/>
      <c r="O282" s="91"/>
      <c r="P282" s="91"/>
      <c r="Q282" s="149"/>
      <c r="R282" s="161"/>
      <c r="S282" s="151"/>
      <c r="T282" s="91"/>
      <c r="U282" s="644"/>
      <c r="V282" s="761"/>
      <c r="W282" s="14" t="s">
        <v>48</v>
      </c>
      <c r="X282" s="7"/>
      <c r="Y282" s="7"/>
      <c r="Z282" s="7"/>
      <c r="AA282" s="7"/>
      <c r="AB282" s="7"/>
      <c r="AC282" s="7"/>
    </row>
    <row r="283" spans="1:29" ht="25.5">
      <c r="A283" s="19"/>
      <c r="B283" s="213"/>
      <c r="C283" s="91">
        <f t="shared" ref="C283" si="59">H283+E283</f>
        <v>98.44</v>
      </c>
      <c r="D283" s="91"/>
      <c r="E283" s="91">
        <f t="shared" ref="E283" si="60">F283+G283</f>
        <v>6.4399999999999995</v>
      </c>
      <c r="F283" s="91">
        <f t="shared" ref="F283" si="61">0.04*H283</f>
        <v>3.68</v>
      </c>
      <c r="G283" s="91">
        <f t="shared" ref="G283" si="62">0.03*H283</f>
        <v>2.76</v>
      </c>
      <c r="H283" s="91">
        <f t="shared" ref="H283" si="63">T283</f>
        <v>92</v>
      </c>
      <c r="I283" s="91">
        <f t="shared" ref="I283" si="64">0.6*C283</f>
        <v>59.063999999999993</v>
      </c>
      <c r="J283" s="22"/>
      <c r="K283" s="22"/>
      <c r="L283" s="22"/>
      <c r="M283" s="22"/>
      <c r="N283" s="22"/>
      <c r="O283" s="91">
        <v>0</v>
      </c>
      <c r="P283" s="91">
        <v>92</v>
      </c>
      <c r="Q283" s="149"/>
      <c r="R283" s="161"/>
      <c r="S283" s="151">
        <v>1</v>
      </c>
      <c r="T283" s="91">
        <f>(P283-O283)*S283</f>
        <v>92</v>
      </c>
      <c r="U283" s="644" t="s">
        <v>1104</v>
      </c>
      <c r="V283" s="854" t="s">
        <v>345</v>
      </c>
      <c r="W283" s="14"/>
      <c r="X283" s="7"/>
      <c r="Y283" s="7"/>
      <c r="Z283" s="7"/>
      <c r="AA283" s="7"/>
      <c r="AB283" s="7"/>
      <c r="AC283" s="7"/>
    </row>
    <row r="284" spans="1:29" ht="25.5">
      <c r="A284" s="19"/>
      <c r="B284" s="213" t="s">
        <v>696</v>
      </c>
      <c r="C284" s="91">
        <f t="shared" si="53"/>
        <v>32.1</v>
      </c>
      <c r="D284" s="91"/>
      <c r="E284" s="91">
        <f t="shared" si="58"/>
        <v>2.0999999999999996</v>
      </c>
      <c r="F284" s="91">
        <f t="shared" si="54"/>
        <v>1.2</v>
      </c>
      <c r="G284" s="91">
        <f t="shared" si="55"/>
        <v>0.89999999999999991</v>
      </c>
      <c r="H284" s="91">
        <f t="shared" si="56"/>
        <v>30</v>
      </c>
      <c r="I284" s="91">
        <f t="shared" si="57"/>
        <v>19.260000000000002</v>
      </c>
      <c r="J284" s="22"/>
      <c r="K284" s="22"/>
      <c r="L284" s="22"/>
      <c r="M284" s="22"/>
      <c r="N284" s="22"/>
      <c r="O284" s="91">
        <v>14095</v>
      </c>
      <c r="P284" s="91">
        <v>14125</v>
      </c>
      <c r="Q284" s="149"/>
      <c r="R284" s="161"/>
      <c r="S284" s="151">
        <v>1</v>
      </c>
      <c r="T284" s="91">
        <f>(P284-O284)*S284</f>
        <v>30</v>
      </c>
      <c r="U284" s="644" t="s">
        <v>1007</v>
      </c>
      <c r="V284" s="854"/>
      <c r="W284" s="14" t="s">
        <v>57</v>
      </c>
      <c r="X284" s="7"/>
      <c r="Y284" s="7"/>
      <c r="Z284" s="7"/>
      <c r="AA284" s="7"/>
      <c r="AB284" s="7"/>
      <c r="AC284" s="7"/>
    </row>
    <row r="285" spans="1:29" ht="26.25">
      <c r="A285" s="19"/>
      <c r="B285" s="214" t="s">
        <v>346</v>
      </c>
      <c r="C285" s="124"/>
      <c r="D285" s="124"/>
      <c r="E285" s="124"/>
      <c r="F285" s="124"/>
      <c r="G285" s="124"/>
      <c r="H285" s="124"/>
      <c r="I285" s="97"/>
      <c r="J285" s="126"/>
      <c r="K285" s="126"/>
      <c r="L285" s="126"/>
      <c r="M285" s="126"/>
      <c r="N285" s="126"/>
      <c r="O285" s="124"/>
      <c r="P285" s="124"/>
      <c r="Q285" s="138"/>
      <c r="R285" s="215"/>
      <c r="S285" s="140"/>
      <c r="T285" s="124"/>
      <c r="U285" s="717"/>
      <c r="V285" s="128"/>
      <c r="W285" s="14"/>
      <c r="X285" s="7"/>
      <c r="Y285" s="7"/>
      <c r="Z285" s="7"/>
      <c r="AA285" s="7"/>
      <c r="AB285" s="7"/>
      <c r="AC285" s="7"/>
    </row>
    <row r="286" spans="1:29" ht="26.25">
      <c r="A286" s="19"/>
      <c r="B286" s="654"/>
      <c r="C286" s="124">
        <f>H286+E286</f>
        <v>2433.1799999999998</v>
      </c>
      <c r="D286" s="124"/>
      <c r="E286" s="124">
        <f>F286+G286</f>
        <v>159.18</v>
      </c>
      <c r="F286" s="124">
        <f>0.04*H286</f>
        <v>90.960000000000008</v>
      </c>
      <c r="G286" s="124">
        <f>0.03*H286</f>
        <v>68.22</v>
      </c>
      <c r="H286" s="124">
        <f>T286</f>
        <v>2274</v>
      </c>
      <c r="I286" s="124">
        <f>0.6*C286</f>
        <v>1459.9079999999999</v>
      </c>
      <c r="J286" s="126"/>
      <c r="K286" s="126"/>
      <c r="L286" s="126"/>
      <c r="M286" s="126"/>
      <c r="N286" s="126"/>
      <c r="O286" s="124">
        <v>99925</v>
      </c>
      <c r="P286" s="124">
        <v>102199</v>
      </c>
      <c r="Q286" s="138"/>
      <c r="R286" s="215"/>
      <c r="S286" s="140">
        <v>1</v>
      </c>
      <c r="T286" s="124">
        <f t="shared" ref="T286:T322" si="65">(P286-O286)*S286</f>
        <v>2274</v>
      </c>
      <c r="U286" s="717" t="s">
        <v>1008</v>
      </c>
      <c r="V286" s="128" t="s">
        <v>347</v>
      </c>
      <c r="W286" s="14" t="s">
        <v>82</v>
      </c>
      <c r="X286" s="7"/>
      <c r="Y286" s="7"/>
      <c r="Z286" s="7"/>
      <c r="AA286" s="7"/>
      <c r="AB286" s="7"/>
      <c r="AC286" s="7"/>
    </row>
    <row r="287" spans="1:29" ht="25.5">
      <c r="A287" s="19"/>
      <c r="B287" s="336" t="s">
        <v>348</v>
      </c>
      <c r="C287" s="124">
        <f>H287+E287</f>
        <v>1216.5899999999999</v>
      </c>
      <c r="D287" s="124"/>
      <c r="E287" s="124">
        <f>F287+G287</f>
        <v>79.59</v>
      </c>
      <c r="F287" s="124">
        <f>0.04*H287</f>
        <v>45.480000000000004</v>
      </c>
      <c r="G287" s="124">
        <f>0.03*H287</f>
        <v>34.11</v>
      </c>
      <c r="H287" s="124">
        <f>T287</f>
        <v>1137</v>
      </c>
      <c r="I287" s="124">
        <f>0.6*C287</f>
        <v>729.95399999999995</v>
      </c>
      <c r="J287" s="126"/>
      <c r="K287" s="126"/>
      <c r="L287" s="126"/>
      <c r="M287" s="126"/>
      <c r="N287" s="126"/>
      <c r="O287" s="124">
        <v>322887</v>
      </c>
      <c r="P287" s="124">
        <v>324024</v>
      </c>
      <c r="Q287" s="138"/>
      <c r="R287" s="215"/>
      <c r="S287" s="140">
        <v>1</v>
      </c>
      <c r="T287" s="124">
        <f t="shared" si="65"/>
        <v>1137</v>
      </c>
      <c r="U287" s="717" t="s">
        <v>1009</v>
      </c>
      <c r="V287" s="307" t="s">
        <v>349</v>
      </c>
      <c r="W287" s="14" t="s">
        <v>82</v>
      </c>
      <c r="X287" s="7"/>
      <c r="Y287" s="7"/>
      <c r="Z287" s="7"/>
      <c r="AA287" s="7"/>
      <c r="AB287" s="7"/>
      <c r="AC287" s="7"/>
    </row>
    <row r="288" spans="1:29" ht="25.5">
      <c r="A288" s="19"/>
      <c r="B288" s="655" t="s">
        <v>350</v>
      </c>
      <c r="C288" s="124">
        <f>H288+E288</f>
        <v>9943.51</v>
      </c>
      <c r="D288" s="124"/>
      <c r="E288" s="124">
        <f t="shared" si="58"/>
        <v>650.51</v>
      </c>
      <c r="F288" s="124">
        <f>0.04*H288</f>
        <v>371.72</v>
      </c>
      <c r="G288" s="124">
        <f>0.03*H288</f>
        <v>278.78999999999996</v>
      </c>
      <c r="H288" s="124">
        <f>T288</f>
        <v>9293</v>
      </c>
      <c r="I288" s="124">
        <f>0.6*C288</f>
        <v>5966.1059999999998</v>
      </c>
      <c r="J288" s="126"/>
      <c r="K288" s="126"/>
      <c r="L288" s="126"/>
      <c r="M288" s="126"/>
      <c r="N288" s="126"/>
      <c r="O288" s="124">
        <v>371482</v>
      </c>
      <c r="P288" s="124">
        <v>380775</v>
      </c>
      <c r="Q288" s="138"/>
      <c r="R288" s="215"/>
      <c r="S288" s="140">
        <v>1</v>
      </c>
      <c r="T288" s="124">
        <f t="shared" si="65"/>
        <v>9293</v>
      </c>
      <c r="U288" s="717" t="s">
        <v>1010</v>
      </c>
      <c r="V288" s="307" t="s">
        <v>351</v>
      </c>
      <c r="W288" s="14" t="s">
        <v>82</v>
      </c>
      <c r="X288" s="7"/>
      <c r="Y288" s="7"/>
      <c r="Z288" s="7"/>
      <c r="AA288" s="7"/>
      <c r="AB288" s="7"/>
      <c r="AC288" s="7"/>
    </row>
    <row r="289" spans="1:29" ht="25.5">
      <c r="A289" s="19"/>
      <c r="B289" s="336" t="s">
        <v>352</v>
      </c>
      <c r="C289" s="124">
        <f t="shared" ref="C289:C326" si="66">H289+E289</f>
        <v>23189.040000000001</v>
      </c>
      <c r="D289" s="124"/>
      <c r="E289" s="124">
        <f t="shared" si="58"/>
        <v>1517.04</v>
      </c>
      <c r="F289" s="124">
        <f t="shared" ref="F289:F326" si="67">0.04*H289</f>
        <v>866.88</v>
      </c>
      <c r="G289" s="124">
        <f t="shared" ref="G289:G326" si="68">0.03*H289</f>
        <v>650.16</v>
      </c>
      <c r="H289" s="124">
        <f t="shared" ref="H289:H326" si="69">T289</f>
        <v>21672</v>
      </c>
      <c r="I289" s="124">
        <f t="shared" ref="I289:I328" si="70">0.6*C289</f>
        <v>13913.424000000001</v>
      </c>
      <c r="J289" s="126"/>
      <c r="K289" s="126"/>
      <c r="L289" s="126"/>
      <c r="M289" s="126"/>
      <c r="N289" s="126"/>
      <c r="O289" s="124">
        <v>13282</v>
      </c>
      <c r="P289" s="124">
        <v>13642</v>
      </c>
      <c r="Q289" s="138"/>
      <c r="R289" s="215"/>
      <c r="S289" s="140">
        <v>60</v>
      </c>
      <c r="T289" s="124">
        <f>(P289-O289)*S289+72</f>
        <v>21672</v>
      </c>
      <c r="U289" s="717" t="s">
        <v>1011</v>
      </c>
      <c r="V289" s="307" t="s">
        <v>353</v>
      </c>
      <c r="W289" s="14" t="s">
        <v>82</v>
      </c>
      <c r="X289" s="7"/>
      <c r="Y289" s="7"/>
      <c r="Z289" s="7"/>
      <c r="AA289" s="7"/>
      <c r="AB289" s="7"/>
      <c r="AC289" s="7"/>
    </row>
    <row r="290" spans="1:29" ht="25.5">
      <c r="A290" s="19"/>
      <c r="B290" s="336" t="s">
        <v>354</v>
      </c>
      <c r="C290" s="124">
        <f t="shared" si="66"/>
        <v>356.31</v>
      </c>
      <c r="D290" s="124"/>
      <c r="E290" s="124">
        <f t="shared" si="58"/>
        <v>23.310000000000002</v>
      </c>
      <c r="F290" s="124">
        <f t="shared" si="67"/>
        <v>13.32</v>
      </c>
      <c r="G290" s="124">
        <f t="shared" si="68"/>
        <v>9.99</v>
      </c>
      <c r="H290" s="124">
        <f t="shared" si="69"/>
        <v>333</v>
      </c>
      <c r="I290" s="124">
        <f t="shared" si="70"/>
        <v>213.786</v>
      </c>
      <c r="J290" s="126"/>
      <c r="K290" s="126"/>
      <c r="L290" s="126"/>
      <c r="M290" s="126"/>
      <c r="N290" s="126"/>
      <c r="O290" s="124">
        <v>125160</v>
      </c>
      <c r="P290" s="124">
        <v>125493</v>
      </c>
      <c r="Q290" s="138"/>
      <c r="R290" s="215"/>
      <c r="S290" s="140">
        <v>1</v>
      </c>
      <c r="T290" s="124">
        <f t="shared" si="65"/>
        <v>333</v>
      </c>
      <c r="U290" s="717" t="s">
        <v>1012</v>
      </c>
      <c r="V290" s="762" t="s">
        <v>355</v>
      </c>
      <c r="W290" s="14" t="s">
        <v>82</v>
      </c>
      <c r="X290" s="7"/>
      <c r="Y290" s="7"/>
      <c r="Z290" s="7"/>
      <c r="AA290" s="7"/>
      <c r="AB290" s="7"/>
      <c r="AC290" s="7"/>
    </row>
    <row r="291" spans="1:29" ht="25.5">
      <c r="A291" s="19"/>
      <c r="B291" s="336" t="s">
        <v>356</v>
      </c>
      <c r="C291" s="124">
        <f t="shared" si="66"/>
        <v>766.12</v>
      </c>
      <c r="D291" s="124"/>
      <c r="E291" s="124">
        <f t="shared" si="58"/>
        <v>50.120000000000005</v>
      </c>
      <c r="F291" s="124">
        <f t="shared" si="67"/>
        <v>28.64</v>
      </c>
      <c r="G291" s="124">
        <f t="shared" si="68"/>
        <v>21.48</v>
      </c>
      <c r="H291" s="124">
        <f t="shared" si="69"/>
        <v>716</v>
      </c>
      <c r="I291" s="124">
        <f t="shared" si="70"/>
        <v>459.67199999999997</v>
      </c>
      <c r="J291" s="126"/>
      <c r="K291" s="126"/>
      <c r="L291" s="126"/>
      <c r="M291" s="126"/>
      <c r="N291" s="126"/>
      <c r="O291" s="124">
        <v>43423</v>
      </c>
      <c r="P291" s="124">
        <v>44139</v>
      </c>
      <c r="Q291" s="138"/>
      <c r="R291" s="215"/>
      <c r="S291" s="140">
        <v>1</v>
      </c>
      <c r="T291" s="124">
        <f t="shared" si="65"/>
        <v>716</v>
      </c>
      <c r="U291" s="717" t="s">
        <v>1013</v>
      </c>
      <c r="V291" s="307" t="s">
        <v>357</v>
      </c>
      <c r="W291" s="14" t="s">
        <v>82</v>
      </c>
      <c r="X291" s="7"/>
      <c r="Y291" s="7"/>
      <c r="Z291" s="7"/>
      <c r="AA291" s="7"/>
      <c r="AB291" s="7"/>
      <c r="AC291" s="7"/>
    </row>
    <row r="292" spans="1:29" ht="28.5" customHeight="1">
      <c r="A292" s="19"/>
      <c r="B292" s="656" t="s">
        <v>358</v>
      </c>
      <c r="C292" s="124">
        <f t="shared" si="66"/>
        <v>0</v>
      </c>
      <c r="D292" s="124"/>
      <c r="E292" s="124">
        <f t="shared" si="58"/>
        <v>0</v>
      </c>
      <c r="F292" s="124">
        <f t="shared" si="67"/>
        <v>0</v>
      </c>
      <c r="G292" s="124">
        <f t="shared" si="68"/>
        <v>0</v>
      </c>
      <c r="H292" s="124">
        <f t="shared" si="69"/>
        <v>0</v>
      </c>
      <c r="I292" s="124">
        <f t="shared" si="70"/>
        <v>0</v>
      </c>
      <c r="J292" s="126"/>
      <c r="K292" s="126"/>
      <c r="L292" s="126"/>
      <c r="M292" s="126"/>
      <c r="N292" s="126"/>
      <c r="O292" s="124">
        <v>153727</v>
      </c>
      <c r="P292" s="124">
        <v>153727</v>
      </c>
      <c r="Q292" s="138"/>
      <c r="R292" s="215"/>
      <c r="S292" s="140">
        <v>1</v>
      </c>
      <c r="T292" s="124">
        <f t="shared" si="65"/>
        <v>0</v>
      </c>
      <c r="U292" s="717">
        <v>5006</v>
      </c>
      <c r="V292" s="307" t="s">
        <v>928</v>
      </c>
      <c r="W292" s="14" t="s">
        <v>82</v>
      </c>
      <c r="X292" s="7"/>
      <c r="Y292" s="7"/>
      <c r="Z292" s="7"/>
      <c r="AA292" s="7"/>
      <c r="AB292" s="7"/>
      <c r="AC292" s="7"/>
    </row>
    <row r="293" spans="1:29" ht="25.5">
      <c r="A293" s="19"/>
      <c r="B293" s="336"/>
      <c r="C293" s="124">
        <f t="shared" si="66"/>
        <v>1656.36</v>
      </c>
      <c r="D293" s="124"/>
      <c r="E293" s="124">
        <f t="shared" si="58"/>
        <v>108.36</v>
      </c>
      <c r="F293" s="124">
        <f t="shared" si="67"/>
        <v>61.92</v>
      </c>
      <c r="G293" s="124">
        <f t="shared" si="68"/>
        <v>46.44</v>
      </c>
      <c r="H293" s="124">
        <f t="shared" si="69"/>
        <v>1548</v>
      </c>
      <c r="I293" s="124">
        <f t="shared" si="70"/>
        <v>993.81599999999992</v>
      </c>
      <c r="J293" s="126"/>
      <c r="K293" s="126"/>
      <c r="L293" s="126"/>
      <c r="M293" s="126"/>
      <c r="N293" s="126"/>
      <c r="O293" s="124">
        <v>258740</v>
      </c>
      <c r="P293" s="124">
        <v>260288</v>
      </c>
      <c r="Q293" s="138"/>
      <c r="R293" s="215"/>
      <c r="S293" s="140">
        <v>1</v>
      </c>
      <c r="T293" s="124">
        <f t="shared" si="65"/>
        <v>1548</v>
      </c>
      <c r="U293" s="717" t="s">
        <v>1027</v>
      </c>
      <c r="V293" s="307" t="s">
        <v>1101</v>
      </c>
      <c r="W293" s="14" t="s">
        <v>82</v>
      </c>
      <c r="X293" s="7"/>
      <c r="Y293" s="7"/>
      <c r="Z293" s="7"/>
      <c r="AA293" s="7"/>
      <c r="AB293" s="7"/>
      <c r="AC293" s="7"/>
    </row>
    <row r="294" spans="1:29" ht="24.75" customHeight="1">
      <c r="A294" s="19"/>
      <c r="B294" s="336" t="s">
        <v>912</v>
      </c>
      <c r="C294" s="124">
        <f t="shared" si="66"/>
        <v>471.87</v>
      </c>
      <c r="D294" s="124"/>
      <c r="E294" s="124">
        <f t="shared" si="58"/>
        <v>30.869999999999997</v>
      </c>
      <c r="F294" s="124">
        <f t="shared" si="67"/>
        <v>17.64</v>
      </c>
      <c r="G294" s="124">
        <f t="shared" si="68"/>
        <v>13.229999999999999</v>
      </c>
      <c r="H294" s="124">
        <f t="shared" si="69"/>
        <v>441</v>
      </c>
      <c r="I294" s="124">
        <f t="shared" si="70"/>
        <v>283.12200000000001</v>
      </c>
      <c r="J294" s="126"/>
      <c r="K294" s="126"/>
      <c r="L294" s="126"/>
      <c r="M294" s="126"/>
      <c r="N294" s="126"/>
      <c r="O294" s="124">
        <v>3629</v>
      </c>
      <c r="P294" s="124">
        <v>4070</v>
      </c>
      <c r="Q294" s="138"/>
      <c r="R294" s="215"/>
      <c r="S294" s="140">
        <v>1</v>
      </c>
      <c r="T294" s="124">
        <f t="shared" si="65"/>
        <v>441</v>
      </c>
      <c r="U294" s="717" t="s">
        <v>1014</v>
      </c>
      <c r="V294" s="307" t="s">
        <v>802</v>
      </c>
      <c r="W294" s="14" t="s">
        <v>82</v>
      </c>
      <c r="X294" s="7"/>
      <c r="Y294" s="7"/>
      <c r="Z294" s="7"/>
      <c r="AA294" s="7"/>
      <c r="AB294" s="7"/>
      <c r="AC294" s="7"/>
    </row>
    <row r="295" spans="1:29" ht="25.5">
      <c r="A295" s="19"/>
      <c r="B295" s="336" t="s">
        <v>361</v>
      </c>
      <c r="C295" s="124">
        <f t="shared" si="66"/>
        <v>3892.66</v>
      </c>
      <c r="D295" s="124"/>
      <c r="E295" s="124">
        <f t="shared" si="58"/>
        <v>254.66000000000003</v>
      </c>
      <c r="F295" s="124">
        <f t="shared" si="67"/>
        <v>145.52000000000001</v>
      </c>
      <c r="G295" s="124">
        <f t="shared" si="68"/>
        <v>109.14</v>
      </c>
      <c r="H295" s="124">
        <f t="shared" si="69"/>
        <v>3638</v>
      </c>
      <c r="I295" s="124">
        <f t="shared" si="70"/>
        <v>2335.596</v>
      </c>
      <c r="J295" s="126"/>
      <c r="K295" s="126"/>
      <c r="L295" s="126"/>
      <c r="M295" s="126"/>
      <c r="N295" s="126"/>
      <c r="O295" s="124">
        <v>459553</v>
      </c>
      <c r="P295" s="124">
        <v>463191</v>
      </c>
      <c r="Q295" s="138"/>
      <c r="R295" s="215"/>
      <c r="S295" s="140">
        <v>1</v>
      </c>
      <c r="T295" s="124">
        <f t="shared" si="65"/>
        <v>3638</v>
      </c>
      <c r="U295" s="717" t="s">
        <v>1015</v>
      </c>
      <c r="V295" s="307" t="s">
        <v>362</v>
      </c>
      <c r="W295" s="14" t="s">
        <v>82</v>
      </c>
      <c r="X295" s="7"/>
      <c r="Y295" s="7"/>
      <c r="Z295" s="7"/>
      <c r="AA295" s="7"/>
      <c r="AB295" s="7"/>
      <c r="AC295" s="7"/>
    </row>
    <row r="296" spans="1:29" ht="25.5">
      <c r="A296" s="19"/>
      <c r="B296" s="336" t="s">
        <v>363</v>
      </c>
      <c r="C296" s="124">
        <f t="shared" si="66"/>
        <v>8078.5</v>
      </c>
      <c r="D296" s="124"/>
      <c r="E296" s="124">
        <f t="shared" si="58"/>
        <v>528.5</v>
      </c>
      <c r="F296" s="124">
        <f t="shared" si="67"/>
        <v>302</v>
      </c>
      <c r="G296" s="124">
        <f t="shared" si="68"/>
        <v>226.5</v>
      </c>
      <c r="H296" s="124">
        <f t="shared" si="69"/>
        <v>7550</v>
      </c>
      <c r="I296" s="124">
        <f t="shared" si="70"/>
        <v>4847.0999999999995</v>
      </c>
      <c r="J296" s="126"/>
      <c r="K296" s="126"/>
      <c r="L296" s="126"/>
      <c r="M296" s="126"/>
      <c r="N296" s="126"/>
      <c r="O296" s="124">
        <v>541184</v>
      </c>
      <c r="P296" s="124">
        <v>548734</v>
      </c>
      <c r="Q296" s="138"/>
      <c r="R296" s="215"/>
      <c r="S296" s="140">
        <v>1</v>
      </c>
      <c r="T296" s="124">
        <f t="shared" si="65"/>
        <v>7550</v>
      </c>
      <c r="U296" s="717" t="s">
        <v>1016</v>
      </c>
      <c r="V296" s="307" t="s">
        <v>364</v>
      </c>
      <c r="W296" s="14" t="s">
        <v>82</v>
      </c>
      <c r="X296" s="7"/>
      <c r="Y296" s="7"/>
      <c r="Z296" s="7"/>
      <c r="AA296" s="7"/>
      <c r="AB296" s="7"/>
      <c r="AC296" s="7"/>
    </row>
    <row r="297" spans="1:29" ht="25.5">
      <c r="A297" s="19"/>
      <c r="B297" s="855" t="s">
        <v>913</v>
      </c>
      <c r="C297" s="769">
        <f t="shared" si="66"/>
        <v>7267.44</v>
      </c>
      <c r="D297" s="509"/>
      <c r="E297" s="509">
        <f t="shared" si="58"/>
        <v>475.44</v>
      </c>
      <c r="F297" s="509">
        <f t="shared" si="67"/>
        <v>271.68</v>
      </c>
      <c r="G297" s="509">
        <f t="shared" si="68"/>
        <v>203.76</v>
      </c>
      <c r="H297" s="509">
        <f t="shared" si="69"/>
        <v>6792</v>
      </c>
      <c r="I297" s="509">
        <f t="shared" si="70"/>
        <v>4360.4639999999999</v>
      </c>
      <c r="J297" s="126"/>
      <c r="K297" s="126"/>
      <c r="L297" s="126"/>
      <c r="M297" s="126"/>
      <c r="N297" s="126"/>
      <c r="O297" s="509">
        <v>44762</v>
      </c>
      <c r="P297" s="509">
        <v>51554</v>
      </c>
      <c r="Q297" s="138"/>
      <c r="R297" s="770"/>
      <c r="S297" s="771">
        <v>1</v>
      </c>
      <c r="T297" s="509">
        <f t="shared" si="65"/>
        <v>6792</v>
      </c>
      <c r="U297" s="717" t="s">
        <v>1088</v>
      </c>
      <c r="V297" s="307" t="s">
        <v>1090</v>
      </c>
      <c r="W297" s="14" t="s">
        <v>82</v>
      </c>
      <c r="X297" s="7"/>
      <c r="Y297" s="7"/>
      <c r="Z297" s="7"/>
      <c r="AA297" s="7"/>
      <c r="AB297" s="7"/>
      <c r="AC297" s="7"/>
    </row>
    <row r="298" spans="1:29" ht="25.5">
      <c r="A298" s="19"/>
      <c r="B298" s="856"/>
      <c r="C298" s="337">
        <f t="shared" si="66"/>
        <v>187.25</v>
      </c>
      <c r="D298" s="124"/>
      <c r="E298" s="124">
        <f t="shared" si="58"/>
        <v>12.25</v>
      </c>
      <c r="F298" s="124">
        <f t="shared" si="67"/>
        <v>7</v>
      </c>
      <c r="G298" s="124">
        <f t="shared" si="68"/>
        <v>5.25</v>
      </c>
      <c r="H298" s="124">
        <f t="shared" si="69"/>
        <v>175</v>
      </c>
      <c r="I298" s="124">
        <f t="shared" si="70"/>
        <v>112.35</v>
      </c>
      <c r="J298" s="159"/>
      <c r="K298" s="159"/>
      <c r="L298" s="159"/>
      <c r="M298" s="159"/>
      <c r="N298" s="159"/>
      <c r="O298" s="124">
        <v>3160</v>
      </c>
      <c r="P298" s="124">
        <v>3335</v>
      </c>
      <c r="Q298" s="215"/>
      <c r="R298" s="215"/>
      <c r="S298" s="124">
        <v>1</v>
      </c>
      <c r="T298" s="124">
        <f t="shared" si="65"/>
        <v>175</v>
      </c>
      <c r="U298" s="623">
        <v>27372</v>
      </c>
      <c r="V298" s="762" t="s">
        <v>1089</v>
      </c>
      <c r="W298" s="14" t="s">
        <v>82</v>
      </c>
      <c r="X298" s="7"/>
      <c r="Y298" s="7"/>
      <c r="Z298" s="7"/>
      <c r="AA298" s="7"/>
      <c r="AB298" s="7"/>
      <c r="AC298" s="7"/>
    </row>
    <row r="299" spans="1:29" ht="25.5">
      <c r="A299" s="19"/>
      <c r="B299" s="772" t="s">
        <v>695</v>
      </c>
      <c r="C299" s="187">
        <f t="shared" si="66"/>
        <v>2087.5700000000002</v>
      </c>
      <c r="D299" s="187"/>
      <c r="E299" s="187">
        <f t="shared" si="58"/>
        <v>136.57</v>
      </c>
      <c r="F299" s="187">
        <f t="shared" si="67"/>
        <v>78.040000000000006</v>
      </c>
      <c r="G299" s="187">
        <f t="shared" si="68"/>
        <v>58.53</v>
      </c>
      <c r="H299" s="187">
        <f t="shared" si="69"/>
        <v>1951</v>
      </c>
      <c r="I299" s="187">
        <f t="shared" si="70"/>
        <v>1252.5420000000001</v>
      </c>
      <c r="J299" s="126"/>
      <c r="K299" s="126"/>
      <c r="L299" s="126"/>
      <c r="M299" s="126"/>
      <c r="N299" s="126"/>
      <c r="O299" s="187">
        <v>91108</v>
      </c>
      <c r="P299" s="187">
        <v>93059</v>
      </c>
      <c r="Q299" s="138"/>
      <c r="R299" s="773"/>
      <c r="S299" s="774">
        <v>1</v>
      </c>
      <c r="T299" s="187">
        <f t="shared" si="65"/>
        <v>1951</v>
      </c>
      <c r="U299" s="717" t="s">
        <v>1018</v>
      </c>
      <c r="V299" s="307" t="s">
        <v>367</v>
      </c>
      <c r="W299" s="14" t="s">
        <v>82</v>
      </c>
      <c r="X299" s="7"/>
      <c r="Y299" s="7"/>
      <c r="Z299" s="7"/>
      <c r="AA299" s="7"/>
      <c r="AB299" s="7"/>
      <c r="AC299" s="7"/>
    </row>
    <row r="300" spans="1:29" ht="25.5">
      <c r="A300" s="19"/>
      <c r="B300" s="336" t="s">
        <v>368</v>
      </c>
      <c r="C300" s="124">
        <f t="shared" si="66"/>
        <v>1018.64</v>
      </c>
      <c r="D300" s="124"/>
      <c r="E300" s="124">
        <f t="shared" si="58"/>
        <v>66.64</v>
      </c>
      <c r="F300" s="124">
        <f t="shared" si="67"/>
        <v>38.08</v>
      </c>
      <c r="G300" s="124">
        <f t="shared" si="68"/>
        <v>28.56</v>
      </c>
      <c r="H300" s="124">
        <f t="shared" si="69"/>
        <v>952</v>
      </c>
      <c r="I300" s="124">
        <f t="shared" si="70"/>
        <v>611.18399999999997</v>
      </c>
      <c r="J300" s="126"/>
      <c r="K300" s="126"/>
      <c r="L300" s="126"/>
      <c r="M300" s="126"/>
      <c r="N300" s="126"/>
      <c r="O300" s="124">
        <v>39152</v>
      </c>
      <c r="P300" s="124">
        <v>40104</v>
      </c>
      <c r="Q300" s="138"/>
      <c r="R300" s="215"/>
      <c r="S300" s="140">
        <v>1</v>
      </c>
      <c r="T300" s="124">
        <f t="shared" si="65"/>
        <v>952</v>
      </c>
      <c r="U300" s="717">
        <v>101522115</v>
      </c>
      <c r="V300" s="307" t="s">
        <v>369</v>
      </c>
      <c r="W300" s="14" t="s">
        <v>82</v>
      </c>
      <c r="X300" s="7"/>
      <c r="Y300" s="7"/>
      <c r="Z300" s="7"/>
      <c r="AA300" s="7"/>
      <c r="AB300" s="7"/>
      <c r="AC300" s="7"/>
    </row>
    <row r="301" spans="1:29" ht="25.5">
      <c r="A301" s="19"/>
      <c r="B301" s="336" t="s">
        <v>697</v>
      </c>
      <c r="C301" s="124">
        <f t="shared" si="66"/>
        <v>471.87</v>
      </c>
      <c r="D301" s="124"/>
      <c r="E301" s="124">
        <f t="shared" si="58"/>
        <v>30.869999999999997</v>
      </c>
      <c r="F301" s="124">
        <f t="shared" si="67"/>
        <v>17.64</v>
      </c>
      <c r="G301" s="124">
        <f t="shared" si="68"/>
        <v>13.229999999999999</v>
      </c>
      <c r="H301" s="124">
        <f t="shared" si="69"/>
        <v>441</v>
      </c>
      <c r="I301" s="124">
        <f t="shared" si="70"/>
        <v>283.12200000000001</v>
      </c>
      <c r="J301" s="126"/>
      <c r="K301" s="126"/>
      <c r="L301" s="126"/>
      <c r="M301" s="126"/>
      <c r="N301" s="126"/>
      <c r="O301" s="124">
        <v>19406</v>
      </c>
      <c r="P301" s="124">
        <v>19847</v>
      </c>
      <c r="Q301" s="138"/>
      <c r="R301" s="215"/>
      <c r="S301" s="140">
        <v>1</v>
      </c>
      <c r="T301" s="124">
        <f t="shared" si="65"/>
        <v>441</v>
      </c>
      <c r="U301" s="717" t="s">
        <v>1019</v>
      </c>
      <c r="V301" s="307" t="s">
        <v>370</v>
      </c>
      <c r="W301" s="14" t="s">
        <v>82</v>
      </c>
      <c r="X301" s="7"/>
      <c r="Y301" s="7"/>
      <c r="Z301" s="7"/>
      <c r="AA301" s="7"/>
      <c r="AB301" s="7"/>
      <c r="AC301" s="7"/>
    </row>
    <row r="302" spans="1:29" ht="25.5">
      <c r="A302" s="19"/>
      <c r="B302" s="336" t="s">
        <v>371</v>
      </c>
      <c r="C302" s="124">
        <f t="shared" si="66"/>
        <v>406.6</v>
      </c>
      <c r="D302" s="124"/>
      <c r="E302" s="124">
        <f t="shared" si="58"/>
        <v>26.6</v>
      </c>
      <c r="F302" s="124">
        <f t="shared" si="67"/>
        <v>15.200000000000001</v>
      </c>
      <c r="G302" s="124">
        <f t="shared" si="68"/>
        <v>11.4</v>
      </c>
      <c r="H302" s="124">
        <f t="shared" si="69"/>
        <v>380</v>
      </c>
      <c r="I302" s="124">
        <f t="shared" si="70"/>
        <v>243.96</v>
      </c>
      <c r="J302" s="126"/>
      <c r="K302" s="126"/>
      <c r="L302" s="126"/>
      <c r="M302" s="126"/>
      <c r="N302" s="126"/>
      <c r="O302" s="124">
        <v>26824</v>
      </c>
      <c r="P302" s="124">
        <v>27204</v>
      </c>
      <c r="Q302" s="138"/>
      <c r="R302" s="215"/>
      <c r="S302" s="140">
        <v>1</v>
      </c>
      <c r="T302" s="124">
        <f t="shared" si="65"/>
        <v>380</v>
      </c>
      <c r="U302" s="717" t="s">
        <v>1020</v>
      </c>
      <c r="V302" s="307" t="s">
        <v>771</v>
      </c>
      <c r="W302" s="14" t="s">
        <v>82</v>
      </c>
      <c r="X302" s="7"/>
      <c r="Y302" s="7"/>
      <c r="Z302" s="7"/>
      <c r="AA302" s="7"/>
      <c r="AB302" s="7"/>
      <c r="AC302" s="7"/>
    </row>
    <row r="303" spans="1:29" ht="25.5">
      <c r="A303" s="19"/>
      <c r="B303" s="336" t="s">
        <v>372</v>
      </c>
      <c r="C303" s="124">
        <f t="shared" si="66"/>
        <v>1733.4</v>
      </c>
      <c r="D303" s="124"/>
      <c r="E303" s="124">
        <f t="shared" si="58"/>
        <v>113.4</v>
      </c>
      <c r="F303" s="124">
        <f t="shared" si="67"/>
        <v>64.8</v>
      </c>
      <c r="G303" s="124">
        <f t="shared" si="68"/>
        <v>48.6</v>
      </c>
      <c r="H303" s="124">
        <f t="shared" si="69"/>
        <v>1620</v>
      </c>
      <c r="I303" s="124">
        <f t="shared" si="70"/>
        <v>1040.04</v>
      </c>
      <c r="J303" s="126"/>
      <c r="K303" s="126"/>
      <c r="L303" s="126"/>
      <c r="M303" s="126"/>
      <c r="N303" s="126"/>
      <c r="O303" s="124">
        <v>248225</v>
      </c>
      <c r="P303" s="124">
        <v>249845</v>
      </c>
      <c r="Q303" s="138"/>
      <c r="R303" s="215"/>
      <c r="S303" s="140">
        <v>1</v>
      </c>
      <c r="T303" s="124">
        <f t="shared" si="65"/>
        <v>1620</v>
      </c>
      <c r="U303" s="717" t="s">
        <v>1021</v>
      </c>
      <c r="V303" s="307" t="s">
        <v>373</v>
      </c>
      <c r="W303" s="14" t="s">
        <v>82</v>
      </c>
      <c r="X303" s="7"/>
      <c r="Y303" s="7"/>
      <c r="Z303" s="7"/>
      <c r="AA303" s="7"/>
      <c r="AB303" s="7"/>
      <c r="AC303" s="7"/>
    </row>
    <row r="304" spans="1:29" ht="25.5">
      <c r="A304" s="19"/>
      <c r="B304" s="336" t="s">
        <v>374</v>
      </c>
      <c r="C304" s="124">
        <f t="shared" si="66"/>
        <v>0</v>
      </c>
      <c r="D304" s="124"/>
      <c r="E304" s="124">
        <f t="shared" si="58"/>
        <v>0</v>
      </c>
      <c r="F304" s="124">
        <f t="shared" si="67"/>
        <v>0</v>
      </c>
      <c r="G304" s="124">
        <f t="shared" si="68"/>
        <v>0</v>
      </c>
      <c r="H304" s="124">
        <f t="shared" si="69"/>
        <v>0</v>
      </c>
      <c r="I304" s="124">
        <f t="shared" si="70"/>
        <v>0</v>
      </c>
      <c r="J304" s="126"/>
      <c r="K304" s="126"/>
      <c r="L304" s="126"/>
      <c r="M304" s="126"/>
      <c r="N304" s="126"/>
      <c r="O304" s="124">
        <v>399994</v>
      </c>
      <c r="P304" s="124">
        <v>399994</v>
      </c>
      <c r="Q304" s="138"/>
      <c r="R304" s="215"/>
      <c r="S304" s="140">
        <v>1</v>
      </c>
      <c r="T304" s="124">
        <f t="shared" si="65"/>
        <v>0</v>
      </c>
      <c r="U304" s="717" t="s">
        <v>1081</v>
      </c>
      <c r="V304" s="307" t="s">
        <v>375</v>
      </c>
      <c r="W304" s="14" t="s">
        <v>82</v>
      </c>
      <c r="X304" s="7"/>
      <c r="Y304" s="7"/>
      <c r="Z304" s="7"/>
      <c r="AA304" s="7"/>
      <c r="AB304" s="7"/>
      <c r="AC304" s="7"/>
    </row>
    <row r="305" spans="1:29" ht="25.5">
      <c r="A305" s="19"/>
      <c r="B305" s="336" t="s">
        <v>914</v>
      </c>
      <c r="C305" s="124">
        <f t="shared" si="66"/>
        <v>247.17000000000002</v>
      </c>
      <c r="D305" s="124"/>
      <c r="E305" s="124">
        <f t="shared" si="58"/>
        <v>16.170000000000002</v>
      </c>
      <c r="F305" s="124">
        <f t="shared" si="67"/>
        <v>9.24</v>
      </c>
      <c r="G305" s="124">
        <f t="shared" si="68"/>
        <v>6.93</v>
      </c>
      <c r="H305" s="124">
        <f t="shared" si="69"/>
        <v>231</v>
      </c>
      <c r="I305" s="124">
        <f t="shared" si="70"/>
        <v>148.30199999999999</v>
      </c>
      <c r="J305" s="126"/>
      <c r="K305" s="126"/>
      <c r="L305" s="126"/>
      <c r="M305" s="126"/>
      <c r="N305" s="126"/>
      <c r="O305" s="124">
        <v>80564</v>
      </c>
      <c r="P305" s="124">
        <v>80795</v>
      </c>
      <c r="Q305" s="138"/>
      <c r="R305" s="215"/>
      <c r="S305" s="140">
        <v>1</v>
      </c>
      <c r="T305" s="124">
        <f t="shared" si="65"/>
        <v>231</v>
      </c>
      <c r="U305" s="717" t="s">
        <v>1022</v>
      </c>
      <c r="V305" s="307" t="s">
        <v>804</v>
      </c>
      <c r="W305" s="14" t="s">
        <v>82</v>
      </c>
      <c r="X305" s="7"/>
      <c r="Y305" s="7"/>
      <c r="Z305" s="7"/>
      <c r="AA305" s="7"/>
      <c r="AB305" s="7"/>
      <c r="AC305" s="7"/>
    </row>
    <row r="306" spans="1:29" ht="25.5">
      <c r="A306" s="19"/>
      <c r="B306" s="336" t="s">
        <v>376</v>
      </c>
      <c r="C306" s="124">
        <f t="shared" si="66"/>
        <v>637.72</v>
      </c>
      <c r="D306" s="124"/>
      <c r="E306" s="124">
        <f t="shared" si="58"/>
        <v>41.72</v>
      </c>
      <c r="F306" s="124">
        <f t="shared" si="67"/>
        <v>23.84</v>
      </c>
      <c r="G306" s="124">
        <f t="shared" si="68"/>
        <v>17.88</v>
      </c>
      <c r="H306" s="124">
        <f t="shared" si="69"/>
        <v>596</v>
      </c>
      <c r="I306" s="124">
        <f t="shared" si="70"/>
        <v>382.63200000000001</v>
      </c>
      <c r="J306" s="126"/>
      <c r="K306" s="126"/>
      <c r="L306" s="126"/>
      <c r="M306" s="126"/>
      <c r="N306" s="126"/>
      <c r="O306" s="124">
        <v>200409</v>
      </c>
      <c r="P306" s="124">
        <v>201005</v>
      </c>
      <c r="Q306" s="138"/>
      <c r="R306" s="215"/>
      <c r="S306" s="140">
        <v>1</v>
      </c>
      <c r="T306" s="124">
        <f t="shared" si="65"/>
        <v>596</v>
      </c>
      <c r="U306" s="717" t="s">
        <v>1023</v>
      </c>
      <c r="V306" s="307" t="s">
        <v>377</v>
      </c>
      <c r="W306" s="14" t="s">
        <v>82</v>
      </c>
      <c r="X306" s="7"/>
      <c r="Y306" s="7"/>
      <c r="Z306" s="7"/>
      <c r="AA306" s="7"/>
      <c r="AB306" s="7"/>
      <c r="AC306" s="7"/>
    </row>
    <row r="307" spans="1:29" ht="25.5">
      <c r="A307" s="19"/>
      <c r="B307" s="336" t="s">
        <v>378</v>
      </c>
      <c r="C307" s="124">
        <f t="shared" si="66"/>
        <v>1141.69</v>
      </c>
      <c r="D307" s="124"/>
      <c r="E307" s="124">
        <f t="shared" si="58"/>
        <v>74.69</v>
      </c>
      <c r="F307" s="124">
        <f t="shared" si="67"/>
        <v>42.68</v>
      </c>
      <c r="G307" s="124">
        <f t="shared" si="68"/>
        <v>32.01</v>
      </c>
      <c r="H307" s="124">
        <f t="shared" si="69"/>
        <v>1067</v>
      </c>
      <c r="I307" s="124">
        <f t="shared" si="70"/>
        <v>685.01400000000001</v>
      </c>
      <c r="J307" s="126"/>
      <c r="K307" s="126"/>
      <c r="L307" s="126"/>
      <c r="M307" s="126"/>
      <c r="N307" s="126"/>
      <c r="O307" s="124">
        <v>346494</v>
      </c>
      <c r="P307" s="124">
        <v>347561</v>
      </c>
      <c r="Q307" s="138"/>
      <c r="R307" s="215"/>
      <c r="S307" s="140">
        <v>1</v>
      </c>
      <c r="T307" s="124">
        <f t="shared" si="65"/>
        <v>1067</v>
      </c>
      <c r="U307" s="717" t="s">
        <v>1024</v>
      </c>
      <c r="V307" s="307" t="s">
        <v>379</v>
      </c>
      <c r="W307" s="14" t="s">
        <v>82</v>
      </c>
      <c r="X307" s="7"/>
      <c r="Y307" s="7"/>
      <c r="Z307" s="7"/>
      <c r="AA307" s="7"/>
      <c r="AB307" s="7"/>
      <c r="AC307" s="7"/>
    </row>
    <row r="308" spans="1:29" ht="25.5">
      <c r="A308" s="19"/>
      <c r="B308" s="336" t="s">
        <v>365</v>
      </c>
      <c r="C308" s="124">
        <f>H308+E308</f>
        <v>2289.8000000000002</v>
      </c>
      <c r="D308" s="124"/>
      <c r="E308" s="124">
        <f>F308+G308</f>
        <v>149.80000000000001</v>
      </c>
      <c r="F308" s="124">
        <f>0.04*H308</f>
        <v>85.600000000000009</v>
      </c>
      <c r="G308" s="124">
        <f>0.03*H308</f>
        <v>64.2</v>
      </c>
      <c r="H308" s="124">
        <f>T308</f>
        <v>2140</v>
      </c>
      <c r="I308" s="124">
        <f>0.6*C308</f>
        <v>1373.88</v>
      </c>
      <c r="J308" s="126"/>
      <c r="K308" s="126"/>
      <c r="L308" s="126"/>
      <c r="M308" s="126"/>
      <c r="N308" s="126"/>
      <c r="O308" s="124">
        <v>285966</v>
      </c>
      <c r="P308" s="124">
        <v>288106</v>
      </c>
      <c r="Q308" s="138"/>
      <c r="R308" s="215"/>
      <c r="S308" s="140">
        <v>1</v>
      </c>
      <c r="T308" s="124">
        <f>(P308-O308)*S308</f>
        <v>2140</v>
      </c>
      <c r="U308" s="717" t="s">
        <v>1155</v>
      </c>
      <c r="V308" s="307" t="s">
        <v>366</v>
      </c>
      <c r="W308" s="14" t="s">
        <v>82</v>
      </c>
      <c r="X308" s="7"/>
      <c r="Y308" s="7"/>
      <c r="Z308" s="7"/>
      <c r="AA308" s="7"/>
      <c r="AB308" s="7"/>
      <c r="AC308" s="7"/>
    </row>
    <row r="309" spans="1:29" ht="25.5">
      <c r="A309" s="19"/>
      <c r="B309" s="336" t="s">
        <v>380</v>
      </c>
      <c r="C309" s="124">
        <f t="shared" si="66"/>
        <v>0</v>
      </c>
      <c r="D309" s="124"/>
      <c r="E309" s="124">
        <f t="shared" si="58"/>
        <v>0</v>
      </c>
      <c r="F309" s="124">
        <f t="shared" si="67"/>
        <v>0</v>
      </c>
      <c r="G309" s="124">
        <f t="shared" si="68"/>
        <v>0</v>
      </c>
      <c r="H309" s="124">
        <f t="shared" si="69"/>
        <v>0</v>
      </c>
      <c r="I309" s="124">
        <f t="shared" si="70"/>
        <v>0</v>
      </c>
      <c r="J309" s="126"/>
      <c r="K309" s="126"/>
      <c r="L309" s="126"/>
      <c r="M309" s="126"/>
      <c r="N309" s="126"/>
      <c r="O309" s="124">
        <v>392079</v>
      </c>
      <c r="P309" s="124">
        <v>392079</v>
      </c>
      <c r="Q309" s="138"/>
      <c r="R309" s="215"/>
      <c r="S309" s="140">
        <v>1</v>
      </c>
      <c r="T309" s="124">
        <f t="shared" si="65"/>
        <v>0</v>
      </c>
      <c r="U309" s="717">
        <v>806</v>
      </c>
      <c r="V309" s="307" t="s">
        <v>929</v>
      </c>
      <c r="W309" s="14" t="s">
        <v>82</v>
      </c>
      <c r="X309" s="7"/>
      <c r="Y309" s="7"/>
      <c r="Z309" s="7"/>
      <c r="AA309" s="7"/>
      <c r="AB309" s="7"/>
      <c r="AC309" s="7"/>
    </row>
    <row r="310" spans="1:29" ht="26.25" customHeight="1">
      <c r="A310" s="19"/>
      <c r="B310" s="336" t="s">
        <v>382</v>
      </c>
      <c r="C310" s="124">
        <f t="shared" si="66"/>
        <v>3366.22</v>
      </c>
      <c r="D310" s="124"/>
      <c r="E310" s="124">
        <f t="shared" si="58"/>
        <v>220.22</v>
      </c>
      <c r="F310" s="124">
        <f t="shared" si="67"/>
        <v>125.84</v>
      </c>
      <c r="G310" s="124">
        <f t="shared" si="68"/>
        <v>94.38</v>
      </c>
      <c r="H310" s="124">
        <f t="shared" si="69"/>
        <v>3146</v>
      </c>
      <c r="I310" s="124">
        <f t="shared" si="70"/>
        <v>2019.7319999999997</v>
      </c>
      <c r="J310" s="126"/>
      <c r="K310" s="126"/>
      <c r="L310" s="126"/>
      <c r="M310" s="126"/>
      <c r="N310" s="126"/>
      <c r="O310" s="124">
        <v>128587</v>
      </c>
      <c r="P310" s="124">
        <v>131733</v>
      </c>
      <c r="Q310" s="138"/>
      <c r="R310" s="215"/>
      <c r="S310" s="140">
        <v>1</v>
      </c>
      <c r="T310" s="124">
        <f t="shared" si="65"/>
        <v>3146</v>
      </c>
      <c r="U310" s="717" t="s">
        <v>1025</v>
      </c>
      <c r="V310" s="307" t="s">
        <v>383</v>
      </c>
      <c r="W310" s="14" t="s">
        <v>82</v>
      </c>
      <c r="X310" s="7"/>
      <c r="Y310" s="7"/>
      <c r="Z310" s="7"/>
      <c r="AA310" s="7"/>
      <c r="AB310" s="7"/>
      <c r="AC310" s="7"/>
    </row>
    <row r="311" spans="1:29" ht="25.5">
      <c r="A311" s="19"/>
      <c r="B311" s="336" t="s">
        <v>384</v>
      </c>
      <c r="C311" s="124">
        <f t="shared" si="66"/>
        <v>0</v>
      </c>
      <c r="D311" s="124"/>
      <c r="E311" s="124">
        <f t="shared" si="58"/>
        <v>0</v>
      </c>
      <c r="F311" s="124">
        <f t="shared" si="67"/>
        <v>0</v>
      </c>
      <c r="G311" s="124">
        <f t="shared" si="68"/>
        <v>0</v>
      </c>
      <c r="H311" s="124">
        <f t="shared" si="69"/>
        <v>0</v>
      </c>
      <c r="I311" s="124">
        <f t="shared" si="70"/>
        <v>0</v>
      </c>
      <c r="J311" s="126"/>
      <c r="K311" s="126"/>
      <c r="L311" s="126"/>
      <c r="M311" s="126"/>
      <c r="N311" s="126"/>
      <c r="O311" s="124">
        <v>29110</v>
      </c>
      <c r="P311" s="124">
        <v>29110</v>
      </c>
      <c r="Q311" s="138"/>
      <c r="R311" s="215"/>
      <c r="S311" s="140">
        <v>1</v>
      </c>
      <c r="T311" s="124">
        <f t="shared" si="65"/>
        <v>0</v>
      </c>
      <c r="U311" s="717">
        <v>2125</v>
      </c>
      <c r="V311" s="307" t="s">
        <v>772</v>
      </c>
      <c r="W311" s="14" t="s">
        <v>82</v>
      </c>
      <c r="X311" s="7"/>
      <c r="Y311" s="7"/>
      <c r="Z311" s="7"/>
      <c r="AA311" s="7"/>
      <c r="AB311" s="7"/>
      <c r="AC311" s="7"/>
    </row>
    <row r="312" spans="1:29" ht="25.5">
      <c r="A312" s="19"/>
      <c r="B312" s="336"/>
      <c r="C312" s="337"/>
      <c r="D312" s="124"/>
      <c r="E312" s="124"/>
      <c r="F312" s="124"/>
      <c r="G312" s="124"/>
      <c r="H312" s="124"/>
      <c r="I312" s="124"/>
      <c r="J312" s="126"/>
      <c r="K312" s="126"/>
      <c r="L312" s="126"/>
      <c r="M312" s="126"/>
      <c r="N312" s="126"/>
      <c r="O312" s="124"/>
      <c r="P312" s="124"/>
      <c r="Q312" s="138"/>
      <c r="R312" s="215"/>
      <c r="S312" s="140"/>
      <c r="T312" s="124"/>
      <c r="U312" s="717"/>
      <c r="V312" s="307"/>
      <c r="W312" s="14" t="s">
        <v>82</v>
      </c>
      <c r="X312" s="7"/>
      <c r="Y312" s="7"/>
      <c r="Z312" s="7"/>
      <c r="AA312" s="7"/>
      <c r="AB312" s="7"/>
      <c r="AC312" s="7"/>
    </row>
    <row r="313" spans="1:29" ht="25.5">
      <c r="A313" s="19"/>
      <c r="B313" s="657" t="s">
        <v>915</v>
      </c>
      <c r="C313" s="124">
        <f t="shared" si="66"/>
        <v>342.4</v>
      </c>
      <c r="D313" s="124"/>
      <c r="E313" s="124">
        <f t="shared" si="58"/>
        <v>22.4</v>
      </c>
      <c r="F313" s="124">
        <f t="shared" si="67"/>
        <v>12.8</v>
      </c>
      <c r="G313" s="124">
        <f t="shared" si="68"/>
        <v>9.6</v>
      </c>
      <c r="H313" s="124">
        <f t="shared" si="69"/>
        <v>320</v>
      </c>
      <c r="I313" s="124">
        <f t="shared" si="70"/>
        <v>205.43999999999997</v>
      </c>
      <c r="J313" s="126"/>
      <c r="K313" s="126"/>
      <c r="L313" s="126"/>
      <c r="M313" s="126"/>
      <c r="N313" s="126"/>
      <c r="O313" s="124">
        <v>86232</v>
      </c>
      <c r="P313" s="124">
        <v>86552</v>
      </c>
      <c r="Q313" s="138"/>
      <c r="R313" s="215"/>
      <c r="S313" s="140">
        <v>1</v>
      </c>
      <c r="T313" s="124">
        <f t="shared" si="65"/>
        <v>320</v>
      </c>
      <c r="U313" s="717" t="s">
        <v>1028</v>
      </c>
      <c r="V313" s="307" t="s">
        <v>805</v>
      </c>
      <c r="W313" s="14" t="s">
        <v>82</v>
      </c>
      <c r="X313" s="7"/>
      <c r="Y313" s="7"/>
      <c r="Z313" s="7"/>
      <c r="AA313" s="7"/>
      <c r="AB313" s="7"/>
      <c r="AC313" s="7"/>
    </row>
    <row r="314" spans="1:29" ht="25.5">
      <c r="A314" s="19"/>
      <c r="B314" s="336" t="s">
        <v>699</v>
      </c>
      <c r="C314" s="124">
        <f t="shared" si="66"/>
        <v>1087.1199999999999</v>
      </c>
      <c r="D314" s="124"/>
      <c r="E314" s="124">
        <f t="shared" si="58"/>
        <v>71.12</v>
      </c>
      <c r="F314" s="124">
        <f t="shared" si="67"/>
        <v>40.64</v>
      </c>
      <c r="G314" s="124">
        <f t="shared" si="68"/>
        <v>30.48</v>
      </c>
      <c r="H314" s="124">
        <f t="shared" si="69"/>
        <v>1016</v>
      </c>
      <c r="I314" s="124">
        <f t="shared" si="70"/>
        <v>652.27199999999993</v>
      </c>
      <c r="J314" s="126"/>
      <c r="K314" s="126"/>
      <c r="L314" s="126"/>
      <c r="M314" s="126"/>
      <c r="N314" s="126"/>
      <c r="O314" s="124">
        <v>292491</v>
      </c>
      <c r="P314" s="124">
        <v>293507</v>
      </c>
      <c r="Q314" s="138"/>
      <c r="R314" s="215"/>
      <c r="S314" s="140">
        <v>1</v>
      </c>
      <c r="T314" s="124">
        <f t="shared" si="65"/>
        <v>1016</v>
      </c>
      <c r="U314" s="717" t="s">
        <v>1029</v>
      </c>
      <c r="V314" s="307" t="s">
        <v>387</v>
      </c>
      <c r="W314" s="14" t="s">
        <v>82</v>
      </c>
      <c r="X314" s="7"/>
      <c r="Y314" s="7"/>
      <c r="Z314" s="7"/>
      <c r="AA314" s="7"/>
      <c r="AB314" s="7"/>
      <c r="AC314" s="7"/>
    </row>
    <row r="315" spans="1:29" ht="25.5">
      <c r="A315" s="19"/>
      <c r="B315" s="336"/>
      <c r="C315" s="124"/>
      <c r="D315" s="124"/>
      <c r="E315" s="124"/>
      <c r="F315" s="124"/>
      <c r="G315" s="124"/>
      <c r="H315" s="124"/>
      <c r="I315" s="124"/>
      <c r="J315" s="126"/>
      <c r="K315" s="126"/>
      <c r="L315" s="126"/>
      <c r="M315" s="126"/>
      <c r="N315" s="126"/>
      <c r="O315" s="124"/>
      <c r="P315" s="124"/>
      <c r="Q315" s="138"/>
      <c r="R315" s="215"/>
      <c r="S315" s="140"/>
      <c r="T315" s="124"/>
      <c r="U315" s="717"/>
      <c r="V315" s="307"/>
      <c r="W315" s="14" t="s">
        <v>82</v>
      </c>
      <c r="X315" s="7"/>
      <c r="Y315" s="7"/>
      <c r="Z315" s="7"/>
      <c r="AA315" s="7"/>
      <c r="AB315" s="7"/>
      <c r="AC315" s="7"/>
    </row>
    <row r="316" spans="1:29" ht="25.5">
      <c r="A316" s="19"/>
      <c r="B316" s="336" t="s">
        <v>388</v>
      </c>
      <c r="C316" s="124">
        <f t="shared" si="66"/>
        <v>17869</v>
      </c>
      <c r="D316" s="124"/>
      <c r="E316" s="124">
        <f t="shared" si="58"/>
        <v>1169</v>
      </c>
      <c r="F316" s="124">
        <f t="shared" si="67"/>
        <v>668</v>
      </c>
      <c r="G316" s="124">
        <f t="shared" si="68"/>
        <v>501</v>
      </c>
      <c r="H316" s="124">
        <f t="shared" si="69"/>
        <v>16700</v>
      </c>
      <c r="I316" s="124">
        <f t="shared" si="70"/>
        <v>10721.4</v>
      </c>
      <c r="J316" s="126"/>
      <c r="K316" s="126"/>
      <c r="L316" s="126"/>
      <c r="M316" s="126"/>
      <c r="N316" s="126"/>
      <c r="O316" s="124">
        <v>21197</v>
      </c>
      <c r="P316" s="124">
        <v>22032</v>
      </c>
      <c r="Q316" s="138"/>
      <c r="R316" s="215"/>
      <c r="S316" s="140">
        <v>20</v>
      </c>
      <c r="T316" s="124">
        <f t="shared" si="65"/>
        <v>16700</v>
      </c>
      <c r="U316" s="717" t="s">
        <v>1030</v>
      </c>
      <c r="V316" s="307" t="s">
        <v>389</v>
      </c>
      <c r="W316" s="14" t="s">
        <v>82</v>
      </c>
      <c r="X316" s="7"/>
      <c r="Y316" s="7"/>
      <c r="Z316" s="7"/>
      <c r="AA316" s="7"/>
      <c r="AB316" s="7"/>
      <c r="AC316" s="7"/>
    </row>
    <row r="317" spans="1:29" ht="25.5">
      <c r="A317" s="19"/>
      <c r="B317" s="336" t="s">
        <v>390</v>
      </c>
      <c r="C317" s="124">
        <f>H317+E317</f>
        <v>10331.92</v>
      </c>
      <c r="D317" s="124"/>
      <c r="E317" s="124">
        <f t="shared" si="58"/>
        <v>675.92000000000007</v>
      </c>
      <c r="F317" s="124">
        <f t="shared" si="67"/>
        <v>386.24</v>
      </c>
      <c r="G317" s="124">
        <f t="shared" si="68"/>
        <v>289.68</v>
      </c>
      <c r="H317" s="124">
        <f t="shared" si="69"/>
        <v>9656</v>
      </c>
      <c r="I317" s="124">
        <f t="shared" si="70"/>
        <v>6199.152</v>
      </c>
      <c r="J317" s="126"/>
      <c r="K317" s="126"/>
      <c r="L317" s="126"/>
      <c r="M317" s="126"/>
      <c r="N317" s="126"/>
      <c r="O317" s="124">
        <v>255740</v>
      </c>
      <c r="P317" s="124">
        <v>265396</v>
      </c>
      <c r="Q317" s="138"/>
      <c r="R317" s="215"/>
      <c r="S317" s="140">
        <v>1</v>
      </c>
      <c r="T317" s="124">
        <f t="shared" si="65"/>
        <v>9656</v>
      </c>
      <c r="U317" s="717" t="s">
        <v>1031</v>
      </c>
      <c r="V317" s="307" t="s">
        <v>391</v>
      </c>
      <c r="W317" s="14" t="s">
        <v>82</v>
      </c>
      <c r="X317" s="7"/>
      <c r="Y317" s="7"/>
      <c r="Z317" s="7"/>
      <c r="AA317" s="7"/>
      <c r="AB317" s="7"/>
      <c r="AC317" s="7"/>
    </row>
    <row r="318" spans="1:29" ht="25.5">
      <c r="A318" s="19"/>
      <c r="B318" s="655" t="s">
        <v>916</v>
      </c>
      <c r="C318" s="124">
        <f t="shared" si="66"/>
        <v>4342.0600000000004</v>
      </c>
      <c r="D318" s="124"/>
      <c r="E318" s="124">
        <f t="shared" si="58"/>
        <v>284.06</v>
      </c>
      <c r="F318" s="124">
        <f t="shared" si="67"/>
        <v>162.32</v>
      </c>
      <c r="G318" s="124">
        <f t="shared" si="68"/>
        <v>121.74</v>
      </c>
      <c r="H318" s="124">
        <f t="shared" si="69"/>
        <v>4058</v>
      </c>
      <c r="I318" s="124">
        <f t="shared" si="70"/>
        <v>2605.2360000000003</v>
      </c>
      <c r="J318" s="126"/>
      <c r="K318" s="126"/>
      <c r="L318" s="126"/>
      <c r="M318" s="126"/>
      <c r="N318" s="126"/>
      <c r="O318" s="124">
        <v>570260</v>
      </c>
      <c r="P318" s="124">
        <v>574318</v>
      </c>
      <c r="Q318" s="138"/>
      <c r="R318" s="215"/>
      <c r="S318" s="140">
        <v>1</v>
      </c>
      <c r="T318" s="124">
        <f t="shared" si="65"/>
        <v>4058</v>
      </c>
      <c r="U318" s="717">
        <v>35821</v>
      </c>
      <c r="V318" s="128" t="s">
        <v>759</v>
      </c>
      <c r="W318" s="14" t="s">
        <v>82</v>
      </c>
      <c r="X318" s="7"/>
      <c r="Y318" s="7"/>
      <c r="Z318" s="7"/>
      <c r="AA318" s="7"/>
      <c r="AB318" s="7"/>
      <c r="AC318" s="7"/>
    </row>
    <row r="319" spans="1:29" ht="25.5">
      <c r="A319" s="19"/>
      <c r="B319" s="158" t="s">
        <v>314</v>
      </c>
      <c r="C319" s="124">
        <f t="shared" si="66"/>
        <v>1037.9000000000001</v>
      </c>
      <c r="D319" s="124"/>
      <c r="E319" s="124">
        <f t="shared" si="58"/>
        <v>67.900000000000006</v>
      </c>
      <c r="F319" s="124">
        <f t="shared" si="67"/>
        <v>38.800000000000004</v>
      </c>
      <c r="G319" s="124">
        <f t="shared" si="68"/>
        <v>29.099999999999998</v>
      </c>
      <c r="H319" s="124">
        <f t="shared" si="69"/>
        <v>970</v>
      </c>
      <c r="I319" s="124">
        <f t="shared" si="70"/>
        <v>622.74</v>
      </c>
      <c r="J319" s="126"/>
      <c r="K319" s="126"/>
      <c r="L319" s="126"/>
      <c r="M319" s="126"/>
      <c r="N319" s="126"/>
      <c r="O319" s="124">
        <v>29360</v>
      </c>
      <c r="P319" s="124">
        <v>30330</v>
      </c>
      <c r="Q319" s="138"/>
      <c r="R319" s="215"/>
      <c r="S319" s="140">
        <v>1</v>
      </c>
      <c r="T319" s="124">
        <f t="shared" si="65"/>
        <v>970</v>
      </c>
      <c r="U319" s="717">
        <v>103473542</v>
      </c>
      <c r="V319" s="128" t="s">
        <v>393</v>
      </c>
      <c r="W319" s="14" t="s">
        <v>82</v>
      </c>
      <c r="X319" s="7"/>
      <c r="Y319" s="7"/>
      <c r="Z319" s="7"/>
      <c r="AA319" s="7"/>
      <c r="AB319" s="7"/>
      <c r="AC319" s="7"/>
    </row>
    <row r="320" spans="1:29" ht="25.5">
      <c r="A320" s="19"/>
      <c r="B320" s="655" t="s">
        <v>365</v>
      </c>
      <c r="C320" s="124">
        <f t="shared" si="66"/>
        <v>823.9</v>
      </c>
      <c r="D320" s="124"/>
      <c r="E320" s="124">
        <f t="shared" si="58"/>
        <v>53.9</v>
      </c>
      <c r="F320" s="124">
        <f t="shared" si="67"/>
        <v>30.8</v>
      </c>
      <c r="G320" s="124">
        <f t="shared" si="68"/>
        <v>23.099999999999998</v>
      </c>
      <c r="H320" s="124">
        <f t="shared" si="69"/>
        <v>770</v>
      </c>
      <c r="I320" s="124">
        <f t="shared" si="70"/>
        <v>494.34</v>
      </c>
      <c r="J320" s="126"/>
      <c r="K320" s="126"/>
      <c r="L320" s="126"/>
      <c r="M320" s="126"/>
      <c r="N320" s="126"/>
      <c r="O320" s="124">
        <v>25329</v>
      </c>
      <c r="P320" s="124">
        <v>26099</v>
      </c>
      <c r="Q320" s="138"/>
      <c r="R320" s="215"/>
      <c r="S320" s="140">
        <v>1</v>
      </c>
      <c r="T320" s="124">
        <f t="shared" si="65"/>
        <v>770</v>
      </c>
      <c r="U320" s="717" t="s">
        <v>1156</v>
      </c>
      <c r="V320" s="128" t="s">
        <v>1154</v>
      </c>
      <c r="W320" s="14" t="s">
        <v>82</v>
      </c>
      <c r="X320" s="7"/>
      <c r="Y320" s="7"/>
      <c r="Z320" s="7"/>
      <c r="AA320" s="7"/>
      <c r="AB320" s="7"/>
      <c r="AC320" s="7"/>
    </row>
    <row r="321" spans="1:29" ht="25.5">
      <c r="A321" s="19"/>
      <c r="B321" s="655" t="s">
        <v>831</v>
      </c>
      <c r="C321" s="124">
        <f t="shared" si="66"/>
        <v>1224.08</v>
      </c>
      <c r="D321" s="124"/>
      <c r="E321" s="124">
        <f t="shared" si="58"/>
        <v>80.08</v>
      </c>
      <c r="F321" s="124">
        <f t="shared" si="67"/>
        <v>45.76</v>
      </c>
      <c r="G321" s="124">
        <f t="shared" si="68"/>
        <v>34.32</v>
      </c>
      <c r="H321" s="124">
        <f t="shared" si="69"/>
        <v>1144</v>
      </c>
      <c r="I321" s="124">
        <f t="shared" si="70"/>
        <v>734.44799999999998</v>
      </c>
      <c r="J321" s="126"/>
      <c r="K321" s="126"/>
      <c r="L321" s="126"/>
      <c r="M321" s="126"/>
      <c r="N321" s="126"/>
      <c r="O321" s="124">
        <v>43899</v>
      </c>
      <c r="P321" s="124">
        <v>45043</v>
      </c>
      <c r="Q321" s="138"/>
      <c r="R321" s="215"/>
      <c r="S321" s="140">
        <v>1</v>
      </c>
      <c r="T321" s="124">
        <f t="shared" si="65"/>
        <v>1144</v>
      </c>
      <c r="U321" s="717" t="s">
        <v>1032</v>
      </c>
      <c r="V321" s="128" t="s">
        <v>395</v>
      </c>
      <c r="W321" s="14" t="s">
        <v>82</v>
      </c>
      <c r="X321" s="7"/>
      <c r="Y321" s="7"/>
      <c r="Z321" s="7"/>
      <c r="AA321" s="7"/>
      <c r="AB321" s="7"/>
      <c r="AC321" s="7"/>
    </row>
    <row r="322" spans="1:29" ht="25.5">
      <c r="A322" s="19"/>
      <c r="B322" s="624" t="s">
        <v>396</v>
      </c>
      <c r="C322" s="124">
        <f t="shared" si="66"/>
        <v>0</v>
      </c>
      <c r="D322" s="124"/>
      <c r="E322" s="124">
        <f t="shared" si="58"/>
        <v>0</v>
      </c>
      <c r="F322" s="124">
        <f t="shared" si="67"/>
        <v>0</v>
      </c>
      <c r="G322" s="124">
        <f t="shared" si="68"/>
        <v>0</v>
      </c>
      <c r="H322" s="124">
        <f t="shared" si="69"/>
        <v>0</v>
      </c>
      <c r="I322" s="124">
        <f t="shared" si="70"/>
        <v>0</v>
      </c>
      <c r="J322" s="126"/>
      <c r="K322" s="126"/>
      <c r="L322" s="126"/>
      <c r="M322" s="126"/>
      <c r="N322" s="126"/>
      <c r="O322" s="124">
        <v>59424</v>
      </c>
      <c r="P322" s="124">
        <v>59424</v>
      </c>
      <c r="Q322" s="138"/>
      <c r="R322" s="215"/>
      <c r="S322" s="140">
        <v>1</v>
      </c>
      <c r="T322" s="124">
        <f t="shared" si="65"/>
        <v>0</v>
      </c>
      <c r="U322" s="717">
        <v>4616</v>
      </c>
      <c r="V322" s="128" t="s">
        <v>397</v>
      </c>
      <c r="W322" s="14" t="s">
        <v>82</v>
      </c>
      <c r="X322" s="7"/>
      <c r="Y322" s="7"/>
      <c r="Z322" s="7"/>
      <c r="AA322" s="7"/>
      <c r="AB322" s="7"/>
      <c r="AC322" s="7"/>
    </row>
    <row r="323" spans="1:29" ht="25.5">
      <c r="A323" s="19"/>
      <c r="B323" s="624" t="s">
        <v>806</v>
      </c>
      <c r="C323" s="124">
        <f>H323+E323</f>
        <v>17116.575999999863</v>
      </c>
      <c r="D323" s="124"/>
      <c r="E323" s="124">
        <f t="shared" si="58"/>
        <v>1119.775999999991</v>
      </c>
      <c r="F323" s="124">
        <f t="shared" si="67"/>
        <v>639.87199999999484</v>
      </c>
      <c r="G323" s="124">
        <f t="shared" si="68"/>
        <v>479.90399999999613</v>
      </c>
      <c r="H323" s="124">
        <f t="shared" si="69"/>
        <v>15996.799999999872</v>
      </c>
      <c r="I323" s="124">
        <f t="shared" si="70"/>
        <v>10269.945599999917</v>
      </c>
      <c r="J323" s="126"/>
      <c r="K323" s="126"/>
      <c r="L323" s="126"/>
      <c r="M323" s="126"/>
      <c r="N323" s="126"/>
      <c r="O323" s="124">
        <v>67625</v>
      </c>
      <c r="P323" s="124">
        <v>69465.539999999994</v>
      </c>
      <c r="Q323" s="138"/>
      <c r="R323" s="215"/>
      <c r="S323" s="140">
        <v>20</v>
      </c>
      <c r="T323" s="124">
        <f>(P323-O323)*S323-T326-C327-T286-T317-T324-T325-T167-T168-T173</f>
        <v>15996.799999999872</v>
      </c>
      <c r="U323" s="717" t="s">
        <v>1033</v>
      </c>
      <c r="V323" s="128" t="s">
        <v>806</v>
      </c>
      <c r="W323" s="14" t="s">
        <v>82</v>
      </c>
      <c r="X323" s="7"/>
      <c r="Y323" s="7"/>
      <c r="Z323" s="7"/>
      <c r="AA323" s="7"/>
      <c r="AB323" s="7"/>
      <c r="AC323" s="7"/>
    </row>
    <row r="324" spans="1:29" ht="25.5">
      <c r="A324" s="19"/>
      <c r="B324" s="624" t="s">
        <v>763</v>
      </c>
      <c r="C324" s="124">
        <f>H324+E324</f>
        <v>6752.77</v>
      </c>
      <c r="D324" s="124"/>
      <c r="E324" s="124">
        <f t="shared" si="58"/>
        <v>441.77</v>
      </c>
      <c r="F324" s="124">
        <f t="shared" si="67"/>
        <v>252.44</v>
      </c>
      <c r="G324" s="124">
        <f t="shared" si="68"/>
        <v>189.32999999999998</v>
      </c>
      <c r="H324" s="124">
        <f t="shared" si="69"/>
        <v>6311</v>
      </c>
      <c r="I324" s="124">
        <f t="shared" si="70"/>
        <v>4051.6620000000003</v>
      </c>
      <c r="J324" s="126"/>
      <c r="K324" s="126"/>
      <c r="L324" s="126"/>
      <c r="M324" s="126"/>
      <c r="N324" s="126"/>
      <c r="O324" s="124">
        <v>61334</v>
      </c>
      <c r="P324" s="124">
        <v>67645</v>
      </c>
      <c r="Q324" s="138"/>
      <c r="R324" s="215"/>
      <c r="S324" s="140">
        <v>1</v>
      </c>
      <c r="T324" s="124">
        <f>(P324-O324)*S324</f>
        <v>6311</v>
      </c>
      <c r="U324" s="717" t="s">
        <v>1034</v>
      </c>
      <c r="V324" s="128" t="s">
        <v>769</v>
      </c>
      <c r="W324" s="14" t="s">
        <v>82</v>
      </c>
      <c r="X324" s="7"/>
      <c r="Y324" s="7"/>
      <c r="Z324" s="7"/>
      <c r="AA324" s="7"/>
      <c r="AB324" s="7"/>
      <c r="AC324" s="7"/>
    </row>
    <row r="325" spans="1:29" ht="25.5">
      <c r="A325" s="19"/>
      <c r="B325" s="624"/>
      <c r="C325" s="124">
        <f>H325+E325</f>
        <v>727.6</v>
      </c>
      <c r="D325" s="124"/>
      <c r="E325" s="124">
        <f t="shared" si="58"/>
        <v>47.599999999999994</v>
      </c>
      <c r="F325" s="124">
        <f t="shared" si="67"/>
        <v>27.2</v>
      </c>
      <c r="G325" s="124">
        <f t="shared" si="68"/>
        <v>20.399999999999999</v>
      </c>
      <c r="H325" s="124">
        <f t="shared" si="69"/>
        <v>680</v>
      </c>
      <c r="I325" s="124">
        <f t="shared" si="70"/>
        <v>436.56</v>
      </c>
      <c r="J325" s="126"/>
      <c r="K325" s="126"/>
      <c r="L325" s="126"/>
      <c r="M325" s="126"/>
      <c r="N325" s="126"/>
      <c r="O325" s="124">
        <v>16572</v>
      </c>
      <c r="P325" s="124">
        <v>17252</v>
      </c>
      <c r="Q325" s="138"/>
      <c r="R325" s="215"/>
      <c r="S325" s="140">
        <v>1</v>
      </c>
      <c r="T325" s="124">
        <f>(P325-O325)*S325</f>
        <v>680</v>
      </c>
      <c r="U325" s="717" t="s">
        <v>1035</v>
      </c>
      <c r="V325" s="128" t="s">
        <v>398</v>
      </c>
      <c r="W325" s="14" t="s">
        <v>82</v>
      </c>
      <c r="X325" s="7"/>
      <c r="Y325" s="7"/>
      <c r="Z325" s="7"/>
      <c r="AA325" s="7"/>
      <c r="AB325" s="7"/>
      <c r="AC325" s="7"/>
    </row>
    <row r="326" spans="1:29" ht="25.5">
      <c r="A326" s="19"/>
      <c r="B326" s="624" t="s">
        <v>763</v>
      </c>
      <c r="C326" s="124">
        <f t="shared" si="66"/>
        <v>1519.4</v>
      </c>
      <c r="D326" s="124"/>
      <c r="E326" s="124">
        <f t="shared" si="58"/>
        <v>99.4</v>
      </c>
      <c r="F326" s="124">
        <f t="shared" si="67"/>
        <v>56.800000000000004</v>
      </c>
      <c r="G326" s="124">
        <f t="shared" si="68"/>
        <v>42.6</v>
      </c>
      <c r="H326" s="124">
        <f t="shared" si="69"/>
        <v>1420</v>
      </c>
      <c r="I326" s="124">
        <f t="shared" si="70"/>
        <v>911.64</v>
      </c>
      <c r="J326" s="126"/>
      <c r="K326" s="126"/>
      <c r="L326" s="126"/>
      <c r="M326" s="126"/>
      <c r="N326" s="126"/>
      <c r="O326" s="124">
        <v>11994</v>
      </c>
      <c r="P326" s="124">
        <v>13414</v>
      </c>
      <c r="Q326" s="138"/>
      <c r="R326" s="215"/>
      <c r="S326" s="140">
        <v>1</v>
      </c>
      <c r="T326" s="124">
        <f>(P326-O326)*S326</f>
        <v>1420</v>
      </c>
      <c r="U326" s="717" t="s">
        <v>1036</v>
      </c>
      <c r="V326" s="128" t="s">
        <v>770</v>
      </c>
      <c r="W326" s="14" t="s">
        <v>82</v>
      </c>
      <c r="X326" s="7"/>
      <c r="Y326" s="7"/>
      <c r="Z326" s="7"/>
      <c r="AA326" s="7"/>
      <c r="AB326" s="7"/>
      <c r="AC326" s="7"/>
    </row>
    <row r="327" spans="1:29" ht="25.5">
      <c r="A327" s="19"/>
      <c r="B327" s="655"/>
      <c r="C327" s="124">
        <v>0</v>
      </c>
      <c r="D327" s="124"/>
      <c r="E327" s="124"/>
      <c r="F327" s="124"/>
      <c r="G327" s="124"/>
      <c r="H327" s="124"/>
      <c r="I327" s="124"/>
      <c r="J327" s="126"/>
      <c r="K327" s="126"/>
      <c r="L327" s="126"/>
      <c r="M327" s="126"/>
      <c r="N327" s="126"/>
      <c r="O327" s="124"/>
      <c r="P327" s="124"/>
      <c r="Q327" s="138"/>
      <c r="R327" s="215"/>
      <c r="S327" s="140"/>
      <c r="T327" s="124">
        <v>0</v>
      </c>
      <c r="U327" s="717"/>
      <c r="V327" s="128" t="s">
        <v>401</v>
      </c>
      <c r="W327" s="14" t="s">
        <v>82</v>
      </c>
      <c r="X327" s="7"/>
      <c r="Y327" s="7"/>
      <c r="Z327" s="7"/>
      <c r="AA327" s="7"/>
      <c r="AB327" s="7"/>
      <c r="AC327" s="7"/>
    </row>
    <row r="328" spans="1:29" ht="26.25">
      <c r="A328" s="19"/>
      <c r="B328" s="213" t="s">
        <v>402</v>
      </c>
      <c r="C328" s="97">
        <f>SUM(C286:C327)</f>
        <v>136034.23599999983</v>
      </c>
      <c r="D328" s="91"/>
      <c r="E328" s="91"/>
      <c r="F328" s="91"/>
      <c r="G328" s="91"/>
      <c r="H328" s="91"/>
      <c r="I328" s="124">
        <f t="shared" si="70"/>
        <v>81620.541599999895</v>
      </c>
      <c r="J328" s="22"/>
      <c r="K328" s="22"/>
      <c r="L328" s="22"/>
      <c r="M328" s="22"/>
      <c r="N328" s="22"/>
      <c r="O328" s="91"/>
      <c r="P328" s="91"/>
      <c r="Q328" s="149"/>
      <c r="R328" s="161"/>
      <c r="S328" s="151"/>
      <c r="T328" s="91"/>
      <c r="U328" s="644"/>
      <c r="V328" s="759"/>
      <c r="W328" s="14"/>
      <c r="X328" s="7"/>
      <c r="Y328" s="7"/>
      <c r="Z328" s="7"/>
      <c r="AA328" s="7"/>
      <c r="AB328" s="7"/>
      <c r="AC328" s="7"/>
    </row>
    <row r="329" spans="1:29" ht="27.75">
      <c r="A329" s="19"/>
      <c r="B329" s="216" t="s">
        <v>403</v>
      </c>
      <c r="C329" s="97">
        <f>SUM(C166:C327)</f>
        <v>617894.76160000346</v>
      </c>
      <c r="D329" s="91"/>
      <c r="E329" s="113"/>
      <c r="F329" s="91"/>
      <c r="G329" s="91"/>
      <c r="H329" s="91"/>
      <c r="I329" s="115"/>
      <c r="J329" s="22"/>
      <c r="K329" s="22"/>
      <c r="L329" s="22"/>
      <c r="M329" s="22"/>
      <c r="N329" s="22"/>
      <c r="O329" s="91"/>
      <c r="P329" s="91"/>
      <c r="Q329" s="149"/>
      <c r="R329" s="161"/>
      <c r="S329" s="151"/>
      <c r="T329" s="91"/>
      <c r="U329" s="644"/>
      <c r="V329" s="759"/>
      <c r="W329" s="14"/>
      <c r="X329" s="7"/>
      <c r="Y329" s="7"/>
      <c r="Z329" s="7"/>
      <c r="AA329" s="7"/>
      <c r="AB329" s="7"/>
      <c r="AC329" s="7"/>
    </row>
    <row r="330" spans="1:29" ht="26.25">
      <c r="A330" s="19"/>
      <c r="B330" s="217"/>
      <c r="C330" s="115"/>
      <c r="D330" s="115"/>
      <c r="E330" s="112"/>
      <c r="F330" s="115"/>
      <c r="G330" s="115"/>
      <c r="H330" s="115"/>
      <c r="I330" s="115"/>
      <c r="J330" s="164"/>
      <c r="K330" s="164"/>
      <c r="L330" s="164"/>
      <c r="M330" s="164"/>
      <c r="N330" s="164"/>
      <c r="O330" s="210"/>
      <c r="P330" s="210"/>
      <c r="Q330" s="149"/>
      <c r="R330" s="211"/>
      <c r="S330" s="115"/>
      <c r="T330" s="91"/>
      <c r="U330" s="644"/>
      <c r="V330" s="759"/>
      <c r="W330" s="14"/>
      <c r="X330" s="7"/>
      <c r="Y330" s="7"/>
      <c r="Z330" s="7"/>
      <c r="AA330" s="7"/>
      <c r="AB330" s="7"/>
      <c r="AC330" s="7"/>
    </row>
    <row r="331" spans="1:29" ht="26.25">
      <c r="A331" s="19"/>
      <c r="B331" s="193" t="s">
        <v>404</v>
      </c>
      <c r="C331" s="91"/>
      <c r="D331" s="115"/>
      <c r="E331" s="115"/>
      <c r="F331" s="91"/>
      <c r="G331" s="91"/>
      <c r="H331" s="91"/>
      <c r="I331" s="91"/>
      <c r="J331" s="164"/>
      <c r="K331" s="164"/>
      <c r="L331" s="164"/>
      <c r="M331" s="164"/>
      <c r="N331" s="164"/>
      <c r="O331" s="91"/>
      <c r="P331" s="91"/>
      <c r="Q331" s="7"/>
      <c r="R331" s="94"/>
      <c r="S331" s="91"/>
      <c r="T331" s="91"/>
      <c r="U331" s="644"/>
      <c r="V331" s="759"/>
      <c r="W331" s="14"/>
      <c r="X331" s="7"/>
      <c r="Y331" s="7"/>
      <c r="Z331" s="7"/>
      <c r="AA331" s="7"/>
      <c r="AB331" s="7"/>
      <c r="AC331" s="7"/>
    </row>
    <row r="332" spans="1:29" ht="25.5">
      <c r="A332" s="19"/>
      <c r="B332" s="1"/>
      <c r="U332" s="724"/>
      <c r="V332" s="759"/>
      <c r="W332" s="14"/>
      <c r="X332" s="7"/>
      <c r="Y332" s="7"/>
      <c r="Z332" s="7"/>
      <c r="AA332" s="7"/>
      <c r="AB332" s="7"/>
      <c r="AC332" s="7"/>
    </row>
    <row r="333" spans="1:29" ht="25.5">
      <c r="A333" s="19"/>
      <c r="B333" s="148" t="s">
        <v>405</v>
      </c>
      <c r="C333" s="91">
        <f t="shared" ref="C333:C354" si="71">H333+E333</f>
        <v>0</v>
      </c>
      <c r="D333" s="91"/>
      <c r="E333" s="91">
        <f t="shared" ref="E333:E355" si="72">F333+G333</f>
        <v>0</v>
      </c>
      <c r="F333" s="91">
        <f t="shared" ref="F333:F376" si="73">0.04*H333</f>
        <v>0</v>
      </c>
      <c r="G333" s="91">
        <f t="shared" ref="G333:G376" si="74">0.03*H333</f>
        <v>0</v>
      </c>
      <c r="H333" s="91">
        <f t="shared" ref="H333:H367" si="75">T333</f>
        <v>0</v>
      </c>
      <c r="I333" s="91">
        <f t="shared" ref="I333:I342" si="76">0.6*C333</f>
        <v>0</v>
      </c>
      <c r="J333" s="22"/>
      <c r="K333" s="22"/>
      <c r="L333" s="22"/>
      <c r="M333" s="22"/>
      <c r="N333" s="22"/>
      <c r="O333" s="91">
        <v>12350</v>
      </c>
      <c r="P333" s="91">
        <v>12350</v>
      </c>
      <c r="Q333" s="22"/>
      <c r="R333" s="142"/>
      <c r="S333" s="151">
        <v>1</v>
      </c>
      <c r="T333" s="91">
        <f t="shared" ref="T333:T348" si="77">(P333-O333)*S333</f>
        <v>0</v>
      </c>
      <c r="U333" s="644">
        <v>55953</v>
      </c>
      <c r="V333" s="761" t="s">
        <v>406</v>
      </c>
      <c r="W333" s="14" t="s">
        <v>212</v>
      </c>
      <c r="X333" s="7"/>
      <c r="Y333" s="7"/>
      <c r="Z333" s="7"/>
      <c r="AA333" s="7"/>
      <c r="AB333" s="7"/>
      <c r="AC333" s="7"/>
    </row>
    <row r="334" spans="1:29" ht="25.5">
      <c r="A334" s="19"/>
      <c r="B334" s="148" t="s">
        <v>407</v>
      </c>
      <c r="C334" s="91">
        <f t="shared" si="71"/>
        <v>138.03</v>
      </c>
      <c r="D334" s="91"/>
      <c r="E334" s="91">
        <f t="shared" si="72"/>
        <v>9.0299999999999994</v>
      </c>
      <c r="F334" s="91">
        <f t="shared" si="73"/>
        <v>5.16</v>
      </c>
      <c r="G334" s="91">
        <f t="shared" si="74"/>
        <v>3.8699999999999997</v>
      </c>
      <c r="H334" s="91">
        <f t="shared" si="75"/>
        <v>129</v>
      </c>
      <c r="I334" s="91">
        <f t="shared" si="76"/>
        <v>82.817999999999998</v>
      </c>
      <c r="J334" s="22"/>
      <c r="K334" s="22"/>
      <c r="L334" s="22"/>
      <c r="M334" s="22"/>
      <c r="N334" s="22"/>
      <c r="O334" s="91">
        <v>17791</v>
      </c>
      <c r="P334" s="91">
        <v>17920</v>
      </c>
      <c r="Q334" s="22"/>
      <c r="R334" s="142"/>
      <c r="S334" s="151">
        <v>1</v>
      </c>
      <c r="T334" s="91">
        <f t="shared" si="77"/>
        <v>129</v>
      </c>
      <c r="U334" s="644">
        <v>1485</v>
      </c>
      <c r="V334" s="761" t="s">
        <v>408</v>
      </c>
      <c r="W334" s="14" t="s">
        <v>212</v>
      </c>
      <c r="X334" s="7"/>
      <c r="Y334" s="7"/>
      <c r="Z334" s="7"/>
      <c r="AA334" s="7"/>
      <c r="AB334" s="7"/>
      <c r="AC334" s="7"/>
    </row>
    <row r="335" spans="1:29" ht="25.5">
      <c r="A335" s="19"/>
      <c r="B335" s="258" t="s">
        <v>826</v>
      </c>
      <c r="C335" s="91">
        <f t="shared" si="71"/>
        <v>17.12</v>
      </c>
      <c r="D335" s="91"/>
      <c r="E335" s="91">
        <f t="shared" si="72"/>
        <v>1.1200000000000001</v>
      </c>
      <c r="F335" s="91">
        <f t="shared" si="73"/>
        <v>0.64</v>
      </c>
      <c r="G335" s="91">
        <f t="shared" si="74"/>
        <v>0.48</v>
      </c>
      <c r="H335" s="91">
        <f t="shared" si="75"/>
        <v>16</v>
      </c>
      <c r="I335" s="91">
        <f t="shared" si="76"/>
        <v>10.272</v>
      </c>
      <c r="J335" s="22"/>
      <c r="K335" s="22"/>
      <c r="L335" s="22"/>
      <c r="M335" s="22"/>
      <c r="N335" s="22"/>
      <c r="O335" s="91">
        <v>15701</v>
      </c>
      <c r="P335" s="91">
        <v>15717</v>
      </c>
      <c r="Q335" s="22"/>
      <c r="R335" s="142"/>
      <c r="S335" s="151">
        <v>1</v>
      </c>
      <c r="T335" s="91">
        <f t="shared" si="77"/>
        <v>16</v>
      </c>
      <c r="U335" s="644"/>
      <c r="V335" s="761" t="s">
        <v>931</v>
      </c>
      <c r="W335" s="14" t="s">
        <v>212</v>
      </c>
      <c r="X335" s="7"/>
      <c r="Y335" s="7"/>
      <c r="Z335" s="7"/>
      <c r="AA335" s="7"/>
      <c r="AB335" s="7"/>
      <c r="AC335" s="7"/>
    </row>
    <row r="336" spans="1:29" ht="25.5">
      <c r="A336" s="19"/>
      <c r="B336" s="258" t="s">
        <v>409</v>
      </c>
      <c r="C336" s="91">
        <f t="shared" si="71"/>
        <v>790.73</v>
      </c>
      <c r="D336" s="91"/>
      <c r="E336" s="91">
        <f t="shared" si="72"/>
        <v>51.730000000000004</v>
      </c>
      <c r="F336" s="91">
        <f t="shared" si="73"/>
        <v>29.560000000000002</v>
      </c>
      <c r="G336" s="91">
        <f t="shared" si="74"/>
        <v>22.169999999999998</v>
      </c>
      <c r="H336" s="91">
        <f t="shared" si="75"/>
        <v>739</v>
      </c>
      <c r="I336" s="91">
        <f t="shared" si="76"/>
        <v>474.43799999999999</v>
      </c>
      <c r="J336" s="22"/>
      <c r="K336" s="22"/>
      <c r="L336" s="22"/>
      <c r="M336" s="22"/>
      <c r="N336" s="22"/>
      <c r="O336" s="229">
        <f>71376+5842+36720</f>
        <v>113938</v>
      </c>
      <c r="P336" s="229">
        <f>36843+5866+71968</f>
        <v>114677</v>
      </c>
      <c r="Q336" s="22"/>
      <c r="R336" s="142"/>
      <c r="S336" s="151">
        <v>1</v>
      </c>
      <c r="T336" s="91">
        <f t="shared" si="77"/>
        <v>739</v>
      </c>
      <c r="U336" s="644"/>
      <c r="V336" s="761" t="s">
        <v>410</v>
      </c>
      <c r="W336" s="14" t="s">
        <v>212</v>
      </c>
      <c r="X336" s="7"/>
      <c r="Y336" s="7"/>
      <c r="Z336" s="7"/>
      <c r="AA336" s="7"/>
      <c r="AB336" s="7"/>
      <c r="AC336" s="7"/>
    </row>
    <row r="337" spans="1:29" ht="25.5">
      <c r="A337" s="19"/>
      <c r="B337" s="659" t="s">
        <v>411</v>
      </c>
      <c r="C337" s="91">
        <f t="shared" si="71"/>
        <v>115.56</v>
      </c>
      <c r="D337" s="91"/>
      <c r="E337" s="91">
        <f t="shared" si="72"/>
        <v>7.5600000000000005</v>
      </c>
      <c r="F337" s="91">
        <f t="shared" si="73"/>
        <v>4.32</v>
      </c>
      <c r="G337" s="91">
        <f t="shared" si="74"/>
        <v>3.2399999999999998</v>
      </c>
      <c r="H337" s="91">
        <f t="shared" si="75"/>
        <v>108</v>
      </c>
      <c r="I337" s="91">
        <f t="shared" si="76"/>
        <v>69.335999999999999</v>
      </c>
      <c r="J337" s="22"/>
      <c r="K337" s="22"/>
      <c r="L337" s="22"/>
      <c r="M337" s="22"/>
      <c r="N337" s="22"/>
      <c r="O337" s="91">
        <v>1886</v>
      </c>
      <c r="P337" s="91">
        <v>1994</v>
      </c>
      <c r="Q337" s="22"/>
      <c r="R337" s="142"/>
      <c r="S337" s="151">
        <v>1</v>
      </c>
      <c r="T337" s="91">
        <f>(P337-O337)*S337</f>
        <v>108</v>
      </c>
      <c r="U337" s="644" t="s">
        <v>781</v>
      </c>
      <c r="V337" s="761" t="s">
        <v>780</v>
      </c>
      <c r="W337" s="14" t="s">
        <v>212</v>
      </c>
      <c r="X337" s="7"/>
      <c r="Y337" s="7"/>
      <c r="Z337" s="7"/>
      <c r="AA337" s="7"/>
      <c r="AB337" s="7"/>
      <c r="AC337" s="7"/>
    </row>
    <row r="338" spans="1:29" ht="25.5">
      <c r="A338" s="19"/>
      <c r="B338" s="660" t="s">
        <v>412</v>
      </c>
      <c r="C338" s="91">
        <f t="shared" si="71"/>
        <v>35.31</v>
      </c>
      <c r="D338" s="91"/>
      <c r="E338" s="91">
        <f t="shared" si="72"/>
        <v>2.31</v>
      </c>
      <c r="F338" s="91">
        <f t="shared" si="73"/>
        <v>1.32</v>
      </c>
      <c r="G338" s="91">
        <f t="shared" si="74"/>
        <v>0.99</v>
      </c>
      <c r="H338" s="91">
        <f t="shared" si="75"/>
        <v>33</v>
      </c>
      <c r="I338" s="91">
        <f t="shared" si="76"/>
        <v>21.186</v>
      </c>
      <c r="J338" s="22"/>
      <c r="K338" s="22"/>
      <c r="L338" s="22"/>
      <c r="M338" s="22"/>
      <c r="N338" s="22"/>
      <c r="O338" s="91">
        <v>1476</v>
      </c>
      <c r="P338" s="91">
        <v>1509</v>
      </c>
      <c r="Q338" s="22"/>
      <c r="R338" s="142"/>
      <c r="S338" s="151">
        <v>1</v>
      </c>
      <c r="T338" s="91">
        <f>(P338-O338)*S338</f>
        <v>33</v>
      </c>
      <c r="U338" s="644" t="s">
        <v>782</v>
      </c>
      <c r="V338" s="761" t="s">
        <v>413</v>
      </c>
      <c r="W338" s="14" t="s">
        <v>212</v>
      </c>
      <c r="X338" s="7"/>
      <c r="Y338" s="7"/>
      <c r="Z338" s="7"/>
      <c r="AA338" s="7"/>
      <c r="AB338" s="7"/>
      <c r="AC338" s="7"/>
    </row>
    <row r="339" spans="1:29" ht="25.5">
      <c r="A339" s="19"/>
      <c r="B339" s="660" t="s">
        <v>414</v>
      </c>
      <c r="C339" s="91">
        <f t="shared" si="71"/>
        <v>46.01</v>
      </c>
      <c r="D339" s="91"/>
      <c r="E339" s="91">
        <f t="shared" si="72"/>
        <v>3.01</v>
      </c>
      <c r="F339" s="91">
        <f t="shared" si="73"/>
        <v>1.72</v>
      </c>
      <c r="G339" s="91">
        <f t="shared" si="74"/>
        <v>1.29</v>
      </c>
      <c r="H339" s="91">
        <f t="shared" si="75"/>
        <v>43</v>
      </c>
      <c r="I339" s="91">
        <f t="shared" si="76"/>
        <v>27.605999999999998</v>
      </c>
      <c r="J339" s="22"/>
      <c r="K339" s="22"/>
      <c r="L339" s="22"/>
      <c r="M339" s="22"/>
      <c r="N339" s="22"/>
      <c r="O339" s="91">
        <v>4503</v>
      </c>
      <c r="P339" s="91">
        <v>4546</v>
      </c>
      <c r="Q339" s="22"/>
      <c r="R339" s="142"/>
      <c r="S339" s="151">
        <v>1</v>
      </c>
      <c r="T339" s="91">
        <f>(P339-O339)*S339</f>
        <v>43</v>
      </c>
      <c r="U339" s="644" t="s">
        <v>783</v>
      </c>
      <c r="V339" s="761" t="s">
        <v>415</v>
      </c>
      <c r="W339" s="14" t="s">
        <v>212</v>
      </c>
      <c r="X339" s="7"/>
      <c r="Y339" s="7"/>
      <c r="Z339" s="7"/>
      <c r="AA339" s="7"/>
      <c r="AB339" s="7"/>
      <c r="AC339" s="7"/>
    </row>
    <row r="340" spans="1:29" ht="25.5">
      <c r="A340" s="19"/>
      <c r="B340" s="661" t="s">
        <v>828</v>
      </c>
      <c r="C340" s="91">
        <f t="shared" si="71"/>
        <v>83.46</v>
      </c>
      <c r="D340" s="91"/>
      <c r="E340" s="91">
        <f t="shared" si="72"/>
        <v>5.46</v>
      </c>
      <c r="F340" s="91">
        <f t="shared" si="73"/>
        <v>3.12</v>
      </c>
      <c r="G340" s="91">
        <f t="shared" si="74"/>
        <v>2.34</v>
      </c>
      <c r="H340" s="91">
        <f t="shared" si="75"/>
        <v>78</v>
      </c>
      <c r="I340" s="91">
        <f t="shared" si="76"/>
        <v>50.075999999999993</v>
      </c>
      <c r="J340" s="22"/>
      <c r="K340" s="22"/>
      <c r="L340" s="22"/>
      <c r="M340" s="22"/>
      <c r="N340" s="22"/>
      <c r="O340" s="91">
        <v>1482</v>
      </c>
      <c r="P340" s="91">
        <v>1560</v>
      </c>
      <c r="Q340" s="22"/>
      <c r="R340" s="142"/>
      <c r="S340" s="151">
        <v>1</v>
      </c>
      <c r="T340" s="91">
        <f>(P340-O340)*S340</f>
        <v>78</v>
      </c>
      <c r="U340" s="644" t="s">
        <v>784</v>
      </c>
      <c r="V340" s="761" t="s">
        <v>819</v>
      </c>
      <c r="W340" s="14" t="s">
        <v>212</v>
      </c>
      <c r="X340" s="7"/>
      <c r="Y340" s="7"/>
      <c r="Z340" s="7"/>
      <c r="AA340" s="7"/>
      <c r="AB340" s="7"/>
      <c r="AC340" s="7"/>
    </row>
    <row r="341" spans="1:29" ht="27" customHeight="1">
      <c r="A341" s="19"/>
      <c r="B341" s="633" t="s">
        <v>416</v>
      </c>
      <c r="C341" s="229">
        <f t="shared" si="71"/>
        <v>742.58</v>
      </c>
      <c r="D341" s="229"/>
      <c r="E341" s="229">
        <f t="shared" si="72"/>
        <v>48.58</v>
      </c>
      <c r="F341" s="229">
        <f t="shared" si="73"/>
        <v>27.76</v>
      </c>
      <c r="G341" s="229">
        <f t="shared" si="74"/>
        <v>20.82</v>
      </c>
      <c r="H341" s="229">
        <f t="shared" si="75"/>
        <v>694</v>
      </c>
      <c r="I341" s="229">
        <f t="shared" si="76"/>
        <v>445.548</v>
      </c>
      <c r="J341" s="634"/>
      <c r="K341" s="634"/>
      <c r="L341" s="634"/>
      <c r="M341" s="634"/>
      <c r="N341" s="634" t="s">
        <v>417</v>
      </c>
      <c r="O341" s="229">
        <f>6654+33904+32937</f>
        <v>73495</v>
      </c>
      <c r="P341" s="229">
        <f>33155+34029+7005</f>
        <v>74189</v>
      </c>
      <c r="Q341" s="641"/>
      <c r="R341" s="662"/>
      <c r="S341" s="229">
        <v>1</v>
      </c>
      <c r="T341" s="229">
        <f>(P341-O341)*S341</f>
        <v>694</v>
      </c>
      <c r="U341" s="644">
        <v>9516</v>
      </c>
      <c r="V341" s="761" t="s">
        <v>820</v>
      </c>
      <c r="W341" s="14" t="s">
        <v>212</v>
      </c>
      <c r="X341" s="7"/>
      <c r="Y341" s="7"/>
      <c r="Z341" s="7"/>
      <c r="AA341" s="7"/>
      <c r="AB341" s="7"/>
      <c r="AC341" s="7"/>
    </row>
    <row r="342" spans="1:29" s="195" customFormat="1" ht="26.25" customHeight="1">
      <c r="A342" s="194"/>
      <c r="B342" s="258" t="s">
        <v>827</v>
      </c>
      <c r="C342" s="91">
        <f t="shared" si="71"/>
        <v>243.96</v>
      </c>
      <c r="D342" s="91"/>
      <c r="E342" s="91">
        <f t="shared" si="72"/>
        <v>15.96</v>
      </c>
      <c r="F342" s="250">
        <f t="shared" si="73"/>
        <v>9.120000000000001</v>
      </c>
      <c r="G342" s="91">
        <f t="shared" si="74"/>
        <v>6.84</v>
      </c>
      <c r="H342" s="91">
        <f t="shared" si="75"/>
        <v>228</v>
      </c>
      <c r="I342" s="91">
        <f t="shared" si="76"/>
        <v>146.376</v>
      </c>
      <c r="J342" s="22"/>
      <c r="K342" s="22"/>
      <c r="L342" s="22"/>
      <c r="M342" s="22"/>
      <c r="N342" s="22"/>
      <c r="O342" s="91">
        <v>54574</v>
      </c>
      <c r="P342" s="91">
        <v>54802</v>
      </c>
      <c r="Q342" s="122"/>
      <c r="R342" s="200"/>
      <c r="S342" s="151">
        <v>1</v>
      </c>
      <c r="T342" s="91">
        <f t="shared" si="77"/>
        <v>228</v>
      </c>
      <c r="U342" s="644"/>
      <c r="V342" s="761" t="s">
        <v>821</v>
      </c>
      <c r="W342" s="191" t="s">
        <v>212</v>
      </c>
      <c r="X342" s="86"/>
      <c r="Y342" s="86"/>
      <c r="Z342" s="86"/>
      <c r="AA342" s="86"/>
      <c r="AB342" s="86"/>
      <c r="AC342" s="86"/>
    </row>
    <row r="343" spans="1:29" ht="25.5">
      <c r="A343" s="19"/>
      <c r="B343" s="148" t="s">
        <v>825</v>
      </c>
      <c r="C343" s="91">
        <f t="shared" si="71"/>
        <v>4415.8900000000003</v>
      </c>
      <c r="D343" s="91"/>
      <c r="E343" s="91">
        <f t="shared" si="72"/>
        <v>288.89</v>
      </c>
      <c r="F343" s="250">
        <f t="shared" si="73"/>
        <v>165.08</v>
      </c>
      <c r="G343" s="91">
        <f t="shared" si="74"/>
        <v>123.81</v>
      </c>
      <c r="H343" s="91">
        <f t="shared" si="75"/>
        <v>4127</v>
      </c>
      <c r="I343" s="91">
        <f>0.5*C343</f>
        <v>2207.9450000000002</v>
      </c>
      <c r="J343" s="22"/>
      <c r="K343" s="22"/>
      <c r="L343" s="22"/>
      <c r="M343" s="22"/>
      <c r="N343" s="22"/>
      <c r="O343" s="91">
        <f>108381+1540+359917</f>
        <v>469838</v>
      </c>
      <c r="P343" s="91">
        <f>108955+1550+363460</f>
        <v>473965</v>
      </c>
      <c r="Q343" s="122"/>
      <c r="R343" s="200"/>
      <c r="S343" s="151">
        <v>1</v>
      </c>
      <c r="T343" s="91">
        <f t="shared" si="77"/>
        <v>4127</v>
      </c>
      <c r="U343" s="644" t="s">
        <v>418</v>
      </c>
      <c r="V343" s="761" t="s">
        <v>419</v>
      </c>
      <c r="W343" s="14" t="s">
        <v>212</v>
      </c>
      <c r="X343" s="7"/>
      <c r="Y343" s="7"/>
      <c r="Z343" s="7"/>
      <c r="AA343" s="7"/>
      <c r="AB343" s="7"/>
      <c r="AC343" s="7"/>
    </row>
    <row r="344" spans="1:29" ht="25.5">
      <c r="A344" s="19"/>
      <c r="B344" s="148" t="s">
        <v>829</v>
      </c>
      <c r="C344" s="91">
        <f t="shared" si="71"/>
        <v>154.08000000000001</v>
      </c>
      <c r="D344" s="91"/>
      <c r="E344" s="91">
        <f t="shared" si="72"/>
        <v>10.08</v>
      </c>
      <c r="F344" s="250">
        <f t="shared" si="73"/>
        <v>5.76</v>
      </c>
      <c r="G344" s="91">
        <f t="shared" si="74"/>
        <v>4.32</v>
      </c>
      <c r="H344" s="91">
        <f t="shared" si="75"/>
        <v>144</v>
      </c>
      <c r="I344" s="91">
        <f>0.5*C344</f>
        <v>77.040000000000006</v>
      </c>
      <c r="J344" s="22"/>
      <c r="K344" s="22"/>
      <c r="L344" s="22"/>
      <c r="M344" s="22"/>
      <c r="N344" s="22"/>
      <c r="O344" s="91">
        <v>6322</v>
      </c>
      <c r="P344" s="91">
        <v>6466</v>
      </c>
      <c r="Q344" s="122"/>
      <c r="R344" s="200"/>
      <c r="S344" s="151">
        <v>1</v>
      </c>
      <c r="T344" s="91">
        <f t="shared" si="77"/>
        <v>144</v>
      </c>
      <c r="U344" s="644"/>
      <c r="V344" s="343" t="s">
        <v>822</v>
      </c>
      <c r="W344" s="14" t="s">
        <v>212</v>
      </c>
      <c r="X344" s="7"/>
      <c r="Y344" s="7"/>
      <c r="Z344" s="7"/>
      <c r="AA344" s="7"/>
      <c r="AB344" s="7"/>
      <c r="AC344" s="7"/>
    </row>
    <row r="345" spans="1:29" ht="25.5">
      <c r="A345" s="19"/>
      <c r="B345" s="148" t="s">
        <v>420</v>
      </c>
      <c r="C345" s="91">
        <f t="shared" si="71"/>
        <v>90.95</v>
      </c>
      <c r="D345" s="91"/>
      <c r="E345" s="91">
        <f t="shared" si="72"/>
        <v>5.9499999999999993</v>
      </c>
      <c r="F345" s="91">
        <f t="shared" si="73"/>
        <v>3.4</v>
      </c>
      <c r="G345" s="91">
        <f t="shared" si="74"/>
        <v>2.5499999999999998</v>
      </c>
      <c r="H345" s="91">
        <f t="shared" si="75"/>
        <v>85</v>
      </c>
      <c r="I345" s="91">
        <f>0.6*C345</f>
        <v>54.57</v>
      </c>
      <c r="J345" s="22"/>
      <c r="K345" s="22"/>
      <c r="L345" s="22"/>
      <c r="M345" s="22"/>
      <c r="N345" s="22" t="s">
        <v>421</v>
      </c>
      <c r="O345" s="91">
        <f>68756+33220</f>
        <v>101976</v>
      </c>
      <c r="P345" s="91">
        <f>68756+33305</f>
        <v>102061</v>
      </c>
      <c r="Q345" s="149"/>
      <c r="R345" s="161"/>
      <c r="S345" s="151">
        <v>1</v>
      </c>
      <c r="T345" s="91">
        <f t="shared" si="77"/>
        <v>85</v>
      </c>
      <c r="U345" s="728" t="s">
        <v>422</v>
      </c>
      <c r="V345" s="343" t="s">
        <v>423</v>
      </c>
      <c r="W345" s="14" t="s">
        <v>212</v>
      </c>
      <c r="X345" s="7"/>
      <c r="Y345" s="7"/>
      <c r="Z345" s="7"/>
      <c r="AA345" s="7"/>
      <c r="AB345" s="7"/>
      <c r="AC345" s="7"/>
    </row>
    <row r="346" spans="1:29" s="195" customFormat="1" ht="25.5">
      <c r="A346" s="194"/>
      <c r="B346" s="148" t="s">
        <v>424</v>
      </c>
      <c r="C346" s="91">
        <f t="shared" si="71"/>
        <v>111.28</v>
      </c>
      <c r="D346" s="91"/>
      <c r="E346" s="91">
        <f t="shared" si="72"/>
        <v>7.28</v>
      </c>
      <c r="F346" s="340">
        <f t="shared" si="73"/>
        <v>4.16</v>
      </c>
      <c r="G346" s="91">
        <f t="shared" si="74"/>
        <v>3.12</v>
      </c>
      <c r="H346" s="91">
        <f t="shared" si="75"/>
        <v>104</v>
      </c>
      <c r="I346" s="91">
        <f>0.6*C346</f>
        <v>66.768000000000001</v>
      </c>
      <c r="J346" s="22"/>
      <c r="K346" s="22"/>
      <c r="L346" s="22"/>
      <c r="M346" s="22"/>
      <c r="N346" s="22"/>
      <c r="O346" s="91">
        <v>11555</v>
      </c>
      <c r="P346" s="91">
        <v>11659</v>
      </c>
      <c r="Q346" s="122"/>
      <c r="R346" s="200"/>
      <c r="S346" s="151">
        <v>1</v>
      </c>
      <c r="T346" s="91">
        <f t="shared" si="77"/>
        <v>104</v>
      </c>
      <c r="U346" s="644"/>
      <c r="V346" s="761" t="s">
        <v>425</v>
      </c>
      <c r="W346" s="191" t="s">
        <v>212</v>
      </c>
      <c r="X346" s="86"/>
      <c r="Y346" s="86"/>
      <c r="Z346" s="86"/>
      <c r="AA346" s="86"/>
      <c r="AB346" s="86"/>
      <c r="AC346" s="86"/>
    </row>
    <row r="347" spans="1:29" ht="25.5">
      <c r="A347" s="19"/>
      <c r="B347" s="664" t="s">
        <v>426</v>
      </c>
      <c r="C347" s="315">
        <f t="shared" si="71"/>
        <v>48.15</v>
      </c>
      <c r="D347" s="315"/>
      <c r="E347" s="315">
        <f t="shared" si="72"/>
        <v>3.15</v>
      </c>
      <c r="F347" s="315">
        <f t="shared" si="73"/>
        <v>1.8</v>
      </c>
      <c r="G347" s="315">
        <f t="shared" si="74"/>
        <v>1.3499999999999999</v>
      </c>
      <c r="H347" s="315">
        <f t="shared" si="75"/>
        <v>45</v>
      </c>
      <c r="I347" s="315">
        <f>0.4*C347</f>
        <v>19.260000000000002</v>
      </c>
      <c r="J347" s="316"/>
      <c r="K347" s="316"/>
      <c r="L347" s="316"/>
      <c r="M347" s="316"/>
      <c r="N347" s="316"/>
      <c r="O347" s="315">
        <v>2840</v>
      </c>
      <c r="P347" s="315">
        <v>2885</v>
      </c>
      <c r="Q347" s="344"/>
      <c r="R347" s="579"/>
      <c r="S347" s="593">
        <v>1</v>
      </c>
      <c r="T347" s="315">
        <f t="shared" si="77"/>
        <v>45</v>
      </c>
      <c r="U347" s="712"/>
      <c r="V347" s="665" t="s">
        <v>427</v>
      </c>
      <c r="W347" s="14" t="s">
        <v>212</v>
      </c>
      <c r="X347" s="7"/>
      <c r="Y347" s="7"/>
      <c r="Z347" s="7"/>
      <c r="AA347" s="7"/>
      <c r="AB347" s="7"/>
      <c r="AC347" s="7"/>
    </row>
    <row r="348" spans="1:29" ht="24" customHeight="1">
      <c r="A348" s="19"/>
      <c r="B348" s="148" t="s">
        <v>947</v>
      </c>
      <c r="C348" s="91">
        <f t="shared" si="71"/>
        <v>79.180000000000007</v>
      </c>
      <c r="D348" s="91"/>
      <c r="E348" s="91">
        <f t="shared" si="72"/>
        <v>5.18</v>
      </c>
      <c r="F348" s="91">
        <f t="shared" si="73"/>
        <v>2.96</v>
      </c>
      <c r="G348" s="91">
        <f t="shared" si="74"/>
        <v>2.2199999999999998</v>
      </c>
      <c r="H348" s="91">
        <f t="shared" si="75"/>
        <v>74</v>
      </c>
      <c r="I348" s="91">
        <f>0.6*C348</f>
        <v>47.508000000000003</v>
      </c>
      <c r="J348" s="22"/>
      <c r="K348" s="22"/>
      <c r="L348" s="22"/>
      <c r="M348" s="22"/>
      <c r="N348" s="22"/>
      <c r="O348" s="91">
        <v>3440</v>
      </c>
      <c r="P348" s="91">
        <v>3514</v>
      </c>
      <c r="Q348" s="22"/>
      <c r="R348" s="142"/>
      <c r="S348" s="91">
        <v>1</v>
      </c>
      <c r="T348" s="91">
        <f t="shared" si="77"/>
        <v>74</v>
      </c>
      <c r="U348" s="644"/>
      <c r="V348" s="343" t="s">
        <v>429</v>
      </c>
      <c r="W348" s="14" t="s">
        <v>212</v>
      </c>
      <c r="X348" s="7"/>
      <c r="Y348" s="7"/>
      <c r="Z348" s="7"/>
      <c r="AA348" s="7"/>
      <c r="AB348" s="7"/>
      <c r="AC348" s="7"/>
    </row>
    <row r="349" spans="1:29" s="195" customFormat="1" ht="25.5">
      <c r="A349" s="194"/>
      <c r="B349" s="148" t="s">
        <v>430</v>
      </c>
      <c r="C349" s="91">
        <f>H349+E349</f>
        <v>0</v>
      </c>
      <c r="D349" s="91"/>
      <c r="E349" s="91">
        <f t="shared" si="72"/>
        <v>0</v>
      </c>
      <c r="F349" s="91">
        <f t="shared" si="73"/>
        <v>0</v>
      </c>
      <c r="G349" s="91">
        <f t="shared" si="74"/>
        <v>0</v>
      </c>
      <c r="H349" s="91">
        <f>T349</f>
        <v>0</v>
      </c>
      <c r="I349" s="91">
        <f>0.6*C349</f>
        <v>0</v>
      </c>
      <c r="J349" s="22"/>
      <c r="K349" s="22"/>
      <c r="L349" s="22"/>
      <c r="M349" s="22"/>
      <c r="N349" s="22"/>
      <c r="O349" s="91">
        <v>7166</v>
      </c>
      <c r="P349" s="91">
        <v>7211</v>
      </c>
      <c r="Q349" s="22"/>
      <c r="R349" s="142"/>
      <c r="S349" s="91">
        <v>1</v>
      </c>
      <c r="T349" s="91">
        <f>(P349-O349)*S349-T347</f>
        <v>0</v>
      </c>
      <c r="U349" s="644">
        <v>6099</v>
      </c>
      <c r="V349" s="761" t="s">
        <v>431</v>
      </c>
      <c r="W349" s="191" t="s">
        <v>212</v>
      </c>
      <c r="X349" s="86"/>
      <c r="Y349" s="86"/>
      <c r="Z349" s="86"/>
      <c r="AA349" s="86"/>
      <c r="AB349" s="86"/>
      <c r="AC349" s="86"/>
    </row>
    <row r="350" spans="1:29" ht="25.5">
      <c r="A350" s="19"/>
      <c r="B350" s="148" t="s">
        <v>934</v>
      </c>
      <c r="C350" s="91">
        <f>H350+E350</f>
        <v>0</v>
      </c>
      <c r="D350" s="91"/>
      <c r="E350" s="91">
        <f t="shared" si="72"/>
        <v>0</v>
      </c>
      <c r="F350" s="91">
        <f t="shared" si="73"/>
        <v>0</v>
      </c>
      <c r="G350" s="91">
        <f t="shared" si="74"/>
        <v>0</v>
      </c>
      <c r="H350" s="91">
        <f t="shared" si="75"/>
        <v>0</v>
      </c>
      <c r="I350" s="91">
        <f>0.6*C350</f>
        <v>0</v>
      </c>
      <c r="J350" s="22"/>
      <c r="K350" s="22"/>
      <c r="L350" s="22"/>
      <c r="M350" s="22"/>
      <c r="N350" s="22"/>
      <c r="O350" s="91">
        <v>1050</v>
      </c>
      <c r="P350" s="91">
        <v>1050</v>
      </c>
      <c r="Q350" s="22" t="s">
        <v>37</v>
      </c>
      <c r="R350" s="142"/>
      <c r="S350" s="151">
        <v>1</v>
      </c>
      <c r="T350" s="91">
        <f t="shared" ref="T350:T361" si="78">(P350-O350)*S350</f>
        <v>0</v>
      </c>
      <c r="U350" s="644">
        <v>451396</v>
      </c>
      <c r="V350" s="761" t="s">
        <v>944</v>
      </c>
      <c r="W350" s="14" t="s">
        <v>212</v>
      </c>
      <c r="X350" s="7"/>
      <c r="Y350" s="7"/>
      <c r="Z350" s="7"/>
      <c r="AA350" s="7"/>
      <c r="AB350" s="7"/>
      <c r="AC350" s="7"/>
    </row>
    <row r="351" spans="1:29" ht="25.5">
      <c r="A351" s="19"/>
      <c r="B351" s="148" t="s">
        <v>830</v>
      </c>
      <c r="C351" s="91">
        <f t="shared" si="71"/>
        <v>14.98</v>
      </c>
      <c r="D351" s="91"/>
      <c r="E351" s="91">
        <f t="shared" si="72"/>
        <v>0.98</v>
      </c>
      <c r="F351" s="91">
        <f t="shared" si="73"/>
        <v>0.56000000000000005</v>
      </c>
      <c r="G351" s="91">
        <f t="shared" si="74"/>
        <v>0.42</v>
      </c>
      <c r="H351" s="91">
        <f t="shared" si="75"/>
        <v>14</v>
      </c>
      <c r="I351" s="91">
        <f>0.6*C351</f>
        <v>8.9879999999999995</v>
      </c>
      <c r="J351" s="22"/>
      <c r="K351" s="22"/>
      <c r="L351" s="22"/>
      <c r="M351" s="22"/>
      <c r="N351" s="22"/>
      <c r="O351" s="91">
        <v>6966</v>
      </c>
      <c r="P351" s="91">
        <v>6980</v>
      </c>
      <c r="Q351" s="22" t="s">
        <v>37</v>
      </c>
      <c r="R351" s="142"/>
      <c r="S351" s="151">
        <v>1</v>
      </c>
      <c r="T351" s="91">
        <f t="shared" si="78"/>
        <v>14</v>
      </c>
      <c r="U351" s="644">
        <v>451396</v>
      </c>
      <c r="V351" s="761" t="s">
        <v>434</v>
      </c>
      <c r="W351" s="14" t="s">
        <v>212</v>
      </c>
      <c r="X351" s="7"/>
      <c r="Y351" s="7"/>
      <c r="Z351" s="7"/>
      <c r="AA351" s="7"/>
      <c r="AB351" s="7"/>
      <c r="AC351" s="7"/>
    </row>
    <row r="352" spans="1:29" ht="25.5">
      <c r="A352" s="19"/>
      <c r="B352" s="660" t="s">
        <v>689</v>
      </c>
      <c r="C352" s="91">
        <f>H352+E352</f>
        <v>0</v>
      </c>
      <c r="D352" s="91"/>
      <c r="E352" s="91">
        <f>F352+G352</f>
        <v>0</v>
      </c>
      <c r="F352" s="91">
        <f>0.04*H352</f>
        <v>0</v>
      </c>
      <c r="G352" s="91">
        <f>0.03*H352</f>
        <v>0</v>
      </c>
      <c r="H352" s="91">
        <f>T352</f>
        <v>0</v>
      </c>
      <c r="I352" s="91">
        <f>0.6*C352</f>
        <v>0</v>
      </c>
      <c r="J352" s="22"/>
      <c r="K352" s="22"/>
      <c r="L352" s="22"/>
      <c r="M352" s="22"/>
      <c r="N352" s="22"/>
      <c r="O352" s="91">
        <v>10405</v>
      </c>
      <c r="P352" s="91">
        <v>10405</v>
      </c>
      <c r="Q352" s="22"/>
      <c r="R352" s="142"/>
      <c r="S352" s="151">
        <v>1</v>
      </c>
      <c r="T352" s="91">
        <f>(P352-O352)*S352</f>
        <v>0</v>
      </c>
      <c r="U352" s="644"/>
      <c r="V352" s="761" t="s">
        <v>435</v>
      </c>
      <c r="W352" s="14" t="s">
        <v>212</v>
      </c>
      <c r="X352" s="7"/>
      <c r="Y352" s="7"/>
      <c r="Z352" s="7"/>
      <c r="AA352" s="7"/>
      <c r="AB352" s="7"/>
      <c r="AC352" s="7"/>
    </row>
    <row r="353" spans="1:29" ht="25.5">
      <c r="A353" s="19"/>
      <c r="B353" s="148" t="s">
        <v>1158</v>
      </c>
      <c r="C353" s="91">
        <f t="shared" si="71"/>
        <v>0</v>
      </c>
      <c r="D353" s="91"/>
      <c r="E353" s="91">
        <f t="shared" si="72"/>
        <v>0</v>
      </c>
      <c r="F353" s="91">
        <f t="shared" si="73"/>
        <v>0</v>
      </c>
      <c r="G353" s="91">
        <f t="shared" si="74"/>
        <v>0</v>
      </c>
      <c r="H353" s="91">
        <f t="shared" si="75"/>
        <v>0</v>
      </c>
      <c r="I353" s="91">
        <f>0.4*C353</f>
        <v>0</v>
      </c>
      <c r="J353" s="22"/>
      <c r="K353" s="22"/>
      <c r="L353" s="22"/>
      <c r="M353" s="22"/>
      <c r="N353" s="22"/>
      <c r="O353" s="91">
        <v>10404</v>
      </c>
      <c r="P353" s="91">
        <v>10404</v>
      </c>
      <c r="Q353" s="122"/>
      <c r="R353" s="173"/>
      <c r="S353" s="151">
        <v>1</v>
      </c>
      <c r="T353" s="91">
        <f t="shared" si="78"/>
        <v>0</v>
      </c>
      <c r="U353" s="644">
        <v>382548</v>
      </c>
      <c r="V353" s="761" t="s">
        <v>437</v>
      </c>
      <c r="W353" s="14" t="s">
        <v>212</v>
      </c>
      <c r="X353" s="7"/>
      <c r="Y353" s="7"/>
      <c r="Z353" s="7"/>
      <c r="AA353" s="7"/>
      <c r="AB353" s="7"/>
      <c r="AC353" s="7"/>
    </row>
    <row r="354" spans="1:29" s="195" customFormat="1" ht="25.5">
      <c r="A354" s="194"/>
      <c r="B354" s="148" t="s">
        <v>438</v>
      </c>
      <c r="C354" s="91">
        <f t="shared" si="71"/>
        <v>69.55</v>
      </c>
      <c r="D354" s="91"/>
      <c r="E354" s="91">
        <f t="shared" si="72"/>
        <v>4.55</v>
      </c>
      <c r="F354" s="91">
        <f t="shared" si="73"/>
        <v>2.6</v>
      </c>
      <c r="G354" s="91">
        <f t="shared" si="74"/>
        <v>1.95</v>
      </c>
      <c r="H354" s="91">
        <f t="shared" si="75"/>
        <v>65</v>
      </c>
      <c r="I354" s="91">
        <f>0.4*C354</f>
        <v>27.82</v>
      </c>
      <c r="J354" s="22"/>
      <c r="K354" s="22"/>
      <c r="L354" s="22"/>
      <c r="M354" s="22"/>
      <c r="N354" s="22"/>
      <c r="O354" s="91">
        <v>2067</v>
      </c>
      <c r="P354" s="91">
        <v>2132</v>
      </c>
      <c r="Q354" s="122"/>
      <c r="R354" s="173"/>
      <c r="S354" s="151">
        <v>1</v>
      </c>
      <c r="T354" s="91">
        <f t="shared" si="78"/>
        <v>65</v>
      </c>
      <c r="U354" s="644"/>
      <c r="V354" s="761" t="s">
        <v>439</v>
      </c>
      <c r="W354" s="191" t="s">
        <v>212</v>
      </c>
      <c r="X354" s="86"/>
      <c r="Y354" s="86"/>
      <c r="Z354" s="86"/>
      <c r="AA354" s="86"/>
      <c r="AB354" s="86"/>
      <c r="AC354" s="86"/>
    </row>
    <row r="355" spans="1:29" ht="25.5">
      <c r="A355" s="19"/>
      <c r="B355" s="148" t="s">
        <v>440</v>
      </c>
      <c r="C355" s="91">
        <f>E355+H355</f>
        <v>169.06</v>
      </c>
      <c r="D355" s="91"/>
      <c r="E355" s="91">
        <f t="shared" si="72"/>
        <v>11.06</v>
      </c>
      <c r="F355" s="91">
        <f t="shared" si="73"/>
        <v>6.32</v>
      </c>
      <c r="G355" s="91">
        <f t="shared" si="74"/>
        <v>4.74</v>
      </c>
      <c r="H355" s="91">
        <f t="shared" si="75"/>
        <v>158</v>
      </c>
      <c r="I355" s="91">
        <f>H355*0.5</f>
        <v>79</v>
      </c>
      <c r="J355" s="244"/>
      <c r="K355" s="244"/>
      <c r="L355" s="244"/>
      <c r="M355" s="244"/>
      <c r="N355" s="244"/>
      <c r="O355" s="91">
        <v>4529</v>
      </c>
      <c r="P355" s="91">
        <v>4687</v>
      </c>
      <c r="Q355" s="244"/>
      <c r="R355" s="92"/>
      <c r="S355" s="151">
        <v>1</v>
      </c>
      <c r="T355" s="91">
        <f t="shared" si="78"/>
        <v>158</v>
      </c>
      <c r="U355" s="644" t="s">
        <v>441</v>
      </c>
      <c r="V355" s="761" t="s">
        <v>823</v>
      </c>
      <c r="W355" s="14" t="s">
        <v>212</v>
      </c>
      <c r="X355" s="7"/>
      <c r="Y355" s="7"/>
      <c r="Z355" s="7"/>
      <c r="AA355" s="7"/>
      <c r="AB355" s="7"/>
      <c r="AC355" s="7"/>
    </row>
    <row r="356" spans="1:29" ht="69.75">
      <c r="A356" s="19"/>
      <c r="B356" s="587" t="s">
        <v>946</v>
      </c>
      <c r="C356" s="229">
        <f>H356+E356</f>
        <v>211.86</v>
      </c>
      <c r="D356" s="229"/>
      <c r="E356" s="229">
        <f>G356+F356</f>
        <v>13.86</v>
      </c>
      <c r="F356" s="229">
        <f t="shared" si="73"/>
        <v>7.92</v>
      </c>
      <c r="G356" s="229">
        <f t="shared" si="74"/>
        <v>5.9399999999999995</v>
      </c>
      <c r="H356" s="229">
        <f t="shared" si="75"/>
        <v>198</v>
      </c>
      <c r="I356" s="229">
        <f>0.6*C356</f>
        <v>127.116</v>
      </c>
      <c r="J356" s="634"/>
      <c r="K356" s="634"/>
      <c r="L356" s="634"/>
      <c r="M356" s="634"/>
      <c r="N356" s="634"/>
      <c r="O356" s="229">
        <v>36074</v>
      </c>
      <c r="P356" s="229">
        <v>36272</v>
      </c>
      <c r="Q356" s="635"/>
      <c r="R356" s="636"/>
      <c r="S356" s="637">
        <v>1</v>
      </c>
      <c r="T356" s="229">
        <f t="shared" si="78"/>
        <v>198</v>
      </c>
      <c r="U356" s="644">
        <v>492280</v>
      </c>
      <c r="V356" s="761" t="s">
        <v>443</v>
      </c>
      <c r="W356" s="14" t="s">
        <v>212</v>
      </c>
      <c r="X356" s="7"/>
      <c r="Y356" s="7"/>
      <c r="Z356" s="7"/>
      <c r="AA356" s="7"/>
      <c r="AB356" s="7"/>
      <c r="AC356" s="7"/>
    </row>
    <row r="357" spans="1:29" ht="25.5">
      <c r="A357" s="19"/>
      <c r="B357" s="148" t="s">
        <v>444</v>
      </c>
      <c r="C357" s="91">
        <f>H357+E357</f>
        <v>276.06</v>
      </c>
      <c r="D357" s="91"/>
      <c r="E357" s="91">
        <f>G357+F357</f>
        <v>18.059999999999999</v>
      </c>
      <c r="F357" s="91">
        <f t="shared" si="73"/>
        <v>10.32</v>
      </c>
      <c r="G357" s="91">
        <f t="shared" si="74"/>
        <v>7.7399999999999993</v>
      </c>
      <c r="H357" s="91">
        <f t="shared" si="75"/>
        <v>258</v>
      </c>
      <c r="I357" s="91">
        <f>0.6*C357</f>
        <v>165.636</v>
      </c>
      <c r="J357" s="22"/>
      <c r="K357" s="22"/>
      <c r="L357" s="22"/>
      <c r="M357" s="22"/>
      <c r="N357" s="22"/>
      <c r="O357" s="91">
        <v>62657</v>
      </c>
      <c r="P357" s="91">
        <v>62915</v>
      </c>
      <c r="Q357" s="149"/>
      <c r="R357" s="161"/>
      <c r="S357" s="151">
        <v>1</v>
      </c>
      <c r="T357" s="91">
        <f t="shared" si="78"/>
        <v>258</v>
      </c>
      <c r="U357" s="644">
        <v>38602</v>
      </c>
      <c r="V357" s="761" t="s">
        <v>445</v>
      </c>
      <c r="W357" s="14" t="s">
        <v>212</v>
      </c>
      <c r="X357" s="7"/>
      <c r="Y357" s="7"/>
      <c r="Z357" s="7"/>
      <c r="AA357" s="7"/>
      <c r="AB357" s="7"/>
      <c r="AC357" s="7"/>
    </row>
    <row r="358" spans="1:29" ht="25.5">
      <c r="A358" s="19"/>
      <c r="B358" s="148" t="s">
        <v>446</v>
      </c>
      <c r="C358" s="91">
        <f>H358+E358</f>
        <v>299.60000000000002</v>
      </c>
      <c r="D358" s="91"/>
      <c r="E358" s="91">
        <f t="shared" ref="E358:E369" si="79">F358+G358</f>
        <v>19.600000000000001</v>
      </c>
      <c r="F358" s="91">
        <f t="shared" si="73"/>
        <v>11.200000000000001</v>
      </c>
      <c r="G358" s="91">
        <f t="shared" si="74"/>
        <v>8.4</v>
      </c>
      <c r="H358" s="91">
        <f t="shared" si="75"/>
        <v>280</v>
      </c>
      <c r="I358" s="91">
        <f>0.6*C358</f>
        <v>179.76000000000002</v>
      </c>
      <c r="J358" s="22"/>
      <c r="K358" s="22"/>
      <c r="L358" s="22"/>
      <c r="M358" s="22"/>
      <c r="N358" s="22"/>
      <c r="O358" s="91">
        <v>27663</v>
      </c>
      <c r="P358" s="91">
        <v>27943</v>
      </c>
      <c r="Q358" s="122"/>
      <c r="R358" s="173"/>
      <c r="S358" s="91">
        <v>1</v>
      </c>
      <c r="T358" s="91">
        <f t="shared" si="78"/>
        <v>280</v>
      </c>
      <c r="U358" s="644">
        <v>5978</v>
      </c>
      <c r="V358" s="761" t="s">
        <v>447</v>
      </c>
      <c r="W358" s="14" t="s">
        <v>212</v>
      </c>
      <c r="X358" s="7"/>
      <c r="Y358" s="7"/>
      <c r="Z358" s="7"/>
      <c r="AA358" s="7"/>
      <c r="AB358" s="7"/>
      <c r="AC358" s="7"/>
    </row>
    <row r="359" spans="1:29" ht="25.5">
      <c r="A359" s="19"/>
      <c r="B359" s="148" t="s">
        <v>691</v>
      </c>
      <c r="C359" s="91">
        <f>E359+H359</f>
        <v>371.29</v>
      </c>
      <c r="D359" s="91"/>
      <c r="E359" s="91">
        <f t="shared" si="79"/>
        <v>24.29</v>
      </c>
      <c r="F359" s="91">
        <f t="shared" si="73"/>
        <v>13.88</v>
      </c>
      <c r="G359" s="91">
        <f t="shared" si="74"/>
        <v>10.41</v>
      </c>
      <c r="H359" s="91">
        <f t="shared" si="75"/>
        <v>347</v>
      </c>
      <c r="I359" s="91">
        <f>H359*0.5</f>
        <v>173.5</v>
      </c>
      <c r="J359" s="244"/>
      <c r="K359" s="244"/>
      <c r="L359" s="244"/>
      <c r="M359" s="244"/>
      <c r="N359" s="244"/>
      <c r="O359" s="91">
        <v>74783</v>
      </c>
      <c r="P359" s="91">
        <v>75130</v>
      </c>
      <c r="Q359" s="244"/>
      <c r="R359" s="92"/>
      <c r="S359" s="151">
        <v>1</v>
      </c>
      <c r="T359" s="91">
        <f t="shared" si="78"/>
        <v>347</v>
      </c>
      <c r="U359" s="644" t="s">
        <v>441</v>
      </c>
      <c r="V359" s="761" t="s">
        <v>448</v>
      </c>
      <c r="W359" s="14" t="s">
        <v>212</v>
      </c>
      <c r="X359" s="7"/>
      <c r="Y359" s="7"/>
      <c r="Z359" s="7"/>
      <c r="AA359" s="7"/>
      <c r="AB359" s="7"/>
      <c r="AC359" s="7"/>
    </row>
    <row r="360" spans="1:29" ht="25.5">
      <c r="A360" s="19"/>
      <c r="B360" s="638" t="s">
        <v>449</v>
      </c>
      <c r="C360" s="91">
        <f t="shared" ref="C360:C366" si="80">H360+E360</f>
        <v>398.04</v>
      </c>
      <c r="D360" s="91"/>
      <c r="E360" s="91">
        <f t="shared" si="79"/>
        <v>26.04</v>
      </c>
      <c r="F360" s="91">
        <f t="shared" si="73"/>
        <v>14.88</v>
      </c>
      <c r="G360" s="91">
        <f t="shared" si="74"/>
        <v>11.16</v>
      </c>
      <c r="H360" s="91">
        <f t="shared" si="75"/>
        <v>372</v>
      </c>
      <c r="I360" s="91">
        <f t="shared" ref="I360:I367" si="81">0.6*C360</f>
        <v>238.82400000000001</v>
      </c>
      <c r="J360" s="22"/>
      <c r="K360" s="22"/>
      <c r="L360" s="22"/>
      <c r="M360" s="22"/>
      <c r="N360" s="22"/>
      <c r="O360" s="91">
        <v>24007</v>
      </c>
      <c r="P360" s="91">
        <v>24379</v>
      </c>
      <c r="Q360" s="122"/>
      <c r="R360" s="173"/>
      <c r="S360" s="151">
        <v>1</v>
      </c>
      <c r="T360" s="91">
        <f t="shared" si="78"/>
        <v>372</v>
      </c>
      <c r="U360" s="644"/>
      <c r="V360" s="761" t="s">
        <v>450</v>
      </c>
      <c r="W360" s="14" t="s">
        <v>212</v>
      </c>
      <c r="X360" s="7"/>
      <c r="Y360" s="7"/>
      <c r="Z360" s="7"/>
      <c r="AA360" s="7"/>
      <c r="AB360" s="7"/>
      <c r="AC360" s="7"/>
    </row>
    <row r="361" spans="1:29" ht="25.5">
      <c r="A361" s="19"/>
      <c r="B361" s="638" t="s">
        <v>449</v>
      </c>
      <c r="C361" s="91">
        <f t="shared" si="80"/>
        <v>517.88</v>
      </c>
      <c r="D361" s="91"/>
      <c r="E361" s="91">
        <f t="shared" si="79"/>
        <v>33.879999999999995</v>
      </c>
      <c r="F361" s="91">
        <f t="shared" si="73"/>
        <v>19.36</v>
      </c>
      <c r="G361" s="91">
        <f t="shared" si="74"/>
        <v>14.52</v>
      </c>
      <c r="H361" s="91">
        <f t="shared" si="75"/>
        <v>484</v>
      </c>
      <c r="I361" s="91">
        <f t="shared" si="81"/>
        <v>310.72800000000001</v>
      </c>
      <c r="J361" s="22"/>
      <c r="K361" s="22"/>
      <c r="L361" s="22"/>
      <c r="M361" s="22"/>
      <c r="N361" s="22"/>
      <c r="O361" s="91">
        <v>10307</v>
      </c>
      <c r="P361" s="91">
        <v>10791</v>
      </c>
      <c r="Q361" s="122"/>
      <c r="R361" s="173"/>
      <c r="S361" s="151">
        <v>1</v>
      </c>
      <c r="T361" s="91">
        <f t="shared" si="78"/>
        <v>484</v>
      </c>
      <c r="U361" s="644"/>
      <c r="V361" s="761" t="s">
        <v>690</v>
      </c>
      <c r="W361" s="14"/>
      <c r="X361" s="7"/>
      <c r="Y361" s="7"/>
      <c r="Z361" s="7"/>
      <c r="AA361" s="7"/>
      <c r="AB361" s="7"/>
      <c r="AC361" s="7"/>
    </row>
    <row r="362" spans="1:29" ht="30" customHeight="1">
      <c r="A362" s="19"/>
      <c r="B362" s="639" t="s">
        <v>451</v>
      </c>
      <c r="C362" s="91">
        <f>H362+E362</f>
        <v>1754.8</v>
      </c>
      <c r="D362" s="91"/>
      <c r="E362" s="91">
        <f t="shared" si="79"/>
        <v>114.79999999999998</v>
      </c>
      <c r="F362" s="91">
        <f t="shared" si="73"/>
        <v>65.599999999999994</v>
      </c>
      <c r="G362" s="91">
        <f t="shared" si="74"/>
        <v>49.199999999999996</v>
      </c>
      <c r="H362" s="91">
        <f t="shared" si="75"/>
        <v>1640</v>
      </c>
      <c r="I362" s="91">
        <f>0.6*C362</f>
        <v>1052.8799999999999</v>
      </c>
      <c r="J362" s="22"/>
      <c r="K362" s="22"/>
      <c r="L362" s="22"/>
      <c r="M362" s="22"/>
      <c r="N362" s="22"/>
      <c r="O362" s="91">
        <f>7130+49550+21860</f>
        <v>78540</v>
      </c>
      <c r="P362" s="91">
        <f>7430+49920+22830</f>
        <v>80180</v>
      </c>
      <c r="Q362" s="122"/>
      <c r="R362" s="173"/>
      <c r="S362" s="91">
        <v>1</v>
      </c>
      <c r="T362" s="91">
        <f>(P362-O362)*S362</f>
        <v>1640</v>
      </c>
      <c r="U362" s="644" t="s">
        <v>452</v>
      </c>
      <c r="V362" s="761" t="s">
        <v>886</v>
      </c>
      <c r="W362" s="14" t="s">
        <v>212</v>
      </c>
      <c r="X362" s="7"/>
      <c r="Y362" s="7"/>
      <c r="Z362" s="7"/>
      <c r="AA362" s="7"/>
      <c r="AB362" s="7"/>
      <c r="AC362" s="7"/>
    </row>
    <row r="363" spans="1:29" ht="29.25" customHeight="1">
      <c r="A363" s="19"/>
      <c r="B363" s="148"/>
      <c r="C363" s="91">
        <f t="shared" si="80"/>
        <v>0</v>
      </c>
      <c r="D363" s="91"/>
      <c r="E363" s="91">
        <f t="shared" si="79"/>
        <v>0</v>
      </c>
      <c r="F363" s="91">
        <f t="shared" si="73"/>
        <v>0</v>
      </c>
      <c r="G363" s="91">
        <f t="shared" si="74"/>
        <v>0</v>
      </c>
      <c r="H363" s="91">
        <f t="shared" si="75"/>
        <v>0</v>
      </c>
      <c r="I363" s="91">
        <f>0.6*C363</f>
        <v>0</v>
      </c>
      <c r="J363" s="22"/>
      <c r="K363" s="22"/>
      <c r="L363" s="22"/>
      <c r="M363" s="22"/>
      <c r="N363" s="22"/>
      <c r="O363" s="91">
        <v>18584</v>
      </c>
      <c r="P363" s="91">
        <v>18584</v>
      </c>
      <c r="Q363" s="149"/>
      <c r="R363" s="161"/>
      <c r="S363" s="151">
        <v>1</v>
      </c>
      <c r="T363" s="91">
        <f>(P363-O363)*S363</f>
        <v>0</v>
      </c>
      <c r="U363" s="732">
        <f>560+40550+11760+8365</f>
        <v>61235</v>
      </c>
      <c r="V363" s="759" t="s">
        <v>454</v>
      </c>
      <c r="W363" s="14" t="s">
        <v>212</v>
      </c>
      <c r="X363" s="7"/>
      <c r="Y363" s="7"/>
      <c r="Z363" s="7"/>
      <c r="AA363" s="7"/>
      <c r="AB363" s="7"/>
      <c r="AC363" s="7"/>
    </row>
    <row r="364" spans="1:29" ht="24" customHeight="1">
      <c r="A364" s="19"/>
      <c r="B364" s="148"/>
      <c r="C364" s="91">
        <f t="shared" si="80"/>
        <v>0</v>
      </c>
      <c r="D364" s="91"/>
      <c r="E364" s="91">
        <f t="shared" si="79"/>
        <v>0</v>
      </c>
      <c r="F364" s="91">
        <f t="shared" si="73"/>
        <v>0</v>
      </c>
      <c r="G364" s="91">
        <f t="shared" si="74"/>
        <v>0</v>
      </c>
      <c r="H364" s="91">
        <f t="shared" si="75"/>
        <v>0</v>
      </c>
      <c r="I364" s="91">
        <f t="shared" si="81"/>
        <v>0</v>
      </c>
      <c r="J364" s="22"/>
      <c r="K364" s="22"/>
      <c r="L364" s="22"/>
      <c r="M364" s="22"/>
      <c r="N364" s="22"/>
      <c r="O364" s="91">
        <v>12992</v>
      </c>
      <c r="P364" s="91">
        <v>12992</v>
      </c>
      <c r="Q364" s="22" t="s">
        <v>33</v>
      </c>
      <c r="R364" s="142"/>
      <c r="S364" s="91">
        <v>1</v>
      </c>
      <c r="T364" s="91">
        <f>P364-O364</f>
        <v>0</v>
      </c>
      <c r="U364" s="644">
        <v>1591</v>
      </c>
      <c r="V364" s="759" t="s">
        <v>455</v>
      </c>
      <c r="W364" s="14" t="s">
        <v>212</v>
      </c>
      <c r="X364" s="7"/>
      <c r="Y364" s="7"/>
      <c r="Z364" s="7"/>
      <c r="AA364" s="7"/>
      <c r="AB364" s="7"/>
      <c r="AC364" s="7"/>
    </row>
    <row r="365" spans="1:29" ht="26.25" customHeight="1">
      <c r="A365" s="19"/>
      <c r="B365" s="566" t="s">
        <v>889</v>
      </c>
      <c r="C365" s="91">
        <f t="shared" si="80"/>
        <v>130.54</v>
      </c>
      <c r="D365" s="91"/>
      <c r="E365" s="91">
        <f t="shared" si="79"/>
        <v>8.5399999999999991</v>
      </c>
      <c r="F365" s="91">
        <f t="shared" si="73"/>
        <v>4.88</v>
      </c>
      <c r="G365" s="91">
        <f t="shared" si="74"/>
        <v>3.6599999999999997</v>
      </c>
      <c r="H365" s="91">
        <f t="shared" si="75"/>
        <v>122</v>
      </c>
      <c r="I365" s="91">
        <f t="shared" si="81"/>
        <v>78.323999999999998</v>
      </c>
      <c r="J365" s="22"/>
      <c r="K365" s="22"/>
      <c r="L365" s="22"/>
      <c r="M365" s="22"/>
      <c r="N365" s="22"/>
      <c r="O365" s="91">
        <v>9722</v>
      </c>
      <c r="P365" s="91">
        <v>9844</v>
      </c>
      <c r="Q365" s="22" t="s">
        <v>33</v>
      </c>
      <c r="R365" s="142"/>
      <c r="S365" s="91">
        <v>1</v>
      </c>
      <c r="T365" s="91">
        <f>P365-O365</f>
        <v>122</v>
      </c>
      <c r="U365" s="644"/>
      <c r="V365" s="761" t="s">
        <v>887</v>
      </c>
      <c r="W365" s="14" t="s">
        <v>212</v>
      </c>
      <c r="X365" s="7"/>
      <c r="Y365" s="7"/>
      <c r="Z365" s="7"/>
      <c r="AA365" s="7"/>
      <c r="AB365" s="7"/>
      <c r="AC365" s="7"/>
    </row>
    <row r="366" spans="1:29" ht="25.5">
      <c r="A366" s="19"/>
      <c r="B366" s="660" t="s">
        <v>457</v>
      </c>
      <c r="C366" s="91">
        <f t="shared" si="80"/>
        <v>161.57</v>
      </c>
      <c r="D366" s="91"/>
      <c r="E366" s="91">
        <f t="shared" si="79"/>
        <v>10.57</v>
      </c>
      <c r="F366" s="91">
        <f t="shared" si="73"/>
        <v>6.04</v>
      </c>
      <c r="G366" s="91">
        <f t="shared" si="74"/>
        <v>4.53</v>
      </c>
      <c r="H366" s="91">
        <f t="shared" si="75"/>
        <v>151</v>
      </c>
      <c r="I366" s="91">
        <f t="shared" si="81"/>
        <v>96.941999999999993</v>
      </c>
      <c r="J366" s="22"/>
      <c r="K366" s="22"/>
      <c r="L366" s="22"/>
      <c r="M366" s="22"/>
      <c r="N366" s="22"/>
      <c r="O366" s="91">
        <v>16123</v>
      </c>
      <c r="P366" s="91">
        <v>16274</v>
      </c>
      <c r="Q366" s="22"/>
      <c r="R366" s="142"/>
      <c r="S366" s="91">
        <v>1</v>
      </c>
      <c r="T366" s="91">
        <f t="shared" ref="T366:T377" si="82">(P366-O366)*S366</f>
        <v>151</v>
      </c>
      <c r="U366" s="644">
        <v>783398</v>
      </c>
      <c r="V366" s="761" t="s">
        <v>458</v>
      </c>
      <c r="W366" s="14" t="s">
        <v>212</v>
      </c>
      <c r="X366" s="7"/>
      <c r="Y366" s="7"/>
      <c r="Z366" s="7"/>
      <c r="AA366" s="7"/>
      <c r="AB366" s="7"/>
      <c r="AC366" s="7"/>
    </row>
    <row r="367" spans="1:29" ht="25.5">
      <c r="A367" s="19"/>
      <c r="B367" s="148" t="s">
        <v>459</v>
      </c>
      <c r="C367" s="91">
        <f>H367+E367</f>
        <v>20.329999999999998</v>
      </c>
      <c r="D367" s="91"/>
      <c r="E367" s="91">
        <f t="shared" si="79"/>
        <v>1.33</v>
      </c>
      <c r="F367" s="91">
        <f t="shared" si="73"/>
        <v>0.76</v>
      </c>
      <c r="G367" s="91">
        <f t="shared" si="74"/>
        <v>0.56999999999999995</v>
      </c>
      <c r="H367" s="91">
        <f t="shared" si="75"/>
        <v>19</v>
      </c>
      <c r="I367" s="91">
        <f t="shared" si="81"/>
        <v>12.197999999999999</v>
      </c>
      <c r="J367" s="22"/>
      <c r="K367" s="22"/>
      <c r="L367" s="22"/>
      <c r="M367" s="22"/>
      <c r="N367" s="22" t="s">
        <v>460</v>
      </c>
      <c r="O367" s="340">
        <v>27978</v>
      </c>
      <c r="P367" s="340">
        <v>27997</v>
      </c>
      <c r="Q367" s="122"/>
      <c r="R367" s="173"/>
      <c r="S367" s="151">
        <v>1</v>
      </c>
      <c r="T367" s="91">
        <f t="shared" si="82"/>
        <v>19</v>
      </c>
      <c r="U367" s="644">
        <v>540368</v>
      </c>
      <c r="V367" s="776" t="s">
        <v>461</v>
      </c>
      <c r="W367" s="14" t="s">
        <v>212</v>
      </c>
      <c r="X367" s="7"/>
      <c r="Y367" s="7"/>
      <c r="Z367" s="7"/>
      <c r="AA367" s="7"/>
      <c r="AB367" s="7"/>
      <c r="AC367" s="7"/>
    </row>
    <row r="368" spans="1:29" ht="26.25">
      <c r="A368" s="19"/>
      <c r="B368" s="559" t="s">
        <v>462</v>
      </c>
      <c r="C368" s="549">
        <f>H368+E368</f>
        <v>0</v>
      </c>
      <c r="D368" s="549"/>
      <c r="E368" s="549">
        <f t="shared" si="79"/>
        <v>0</v>
      </c>
      <c r="F368" s="549">
        <f t="shared" si="73"/>
        <v>0</v>
      </c>
      <c r="G368" s="549">
        <f t="shared" si="74"/>
        <v>0</v>
      </c>
      <c r="H368" s="549">
        <f>T368</f>
        <v>0</v>
      </c>
      <c r="I368" s="560">
        <f>0.5*C368</f>
        <v>0</v>
      </c>
      <c r="J368" s="550"/>
      <c r="K368" s="550"/>
      <c r="L368" s="550"/>
      <c r="M368" s="550"/>
      <c r="N368" s="550"/>
      <c r="O368" s="549">
        <v>9</v>
      </c>
      <c r="P368" s="549">
        <v>9</v>
      </c>
      <c r="Q368" s="561"/>
      <c r="R368" s="562"/>
      <c r="S368" s="563">
        <v>1</v>
      </c>
      <c r="T368" s="549">
        <f t="shared" si="82"/>
        <v>0</v>
      </c>
      <c r="U368" s="729"/>
      <c r="V368" s="552" t="s">
        <v>463</v>
      </c>
      <c r="W368" s="14" t="s">
        <v>212</v>
      </c>
      <c r="X368" s="7"/>
      <c r="Y368" s="7"/>
      <c r="Z368" s="7"/>
      <c r="AA368" s="7"/>
      <c r="AB368" s="7"/>
      <c r="AC368" s="7"/>
    </row>
    <row r="369" spans="1:29" ht="26.25">
      <c r="A369" s="19"/>
      <c r="B369" s="148" t="s">
        <v>464</v>
      </c>
      <c r="C369" s="91">
        <f t="shared" ref="C369:C376" si="83">H369+E369</f>
        <v>11.77</v>
      </c>
      <c r="D369" s="91"/>
      <c r="E369" s="91">
        <f t="shared" si="79"/>
        <v>0.77</v>
      </c>
      <c r="F369" s="91">
        <f t="shared" si="73"/>
        <v>0.44</v>
      </c>
      <c r="G369" s="91">
        <f t="shared" si="74"/>
        <v>0.32999999999999996</v>
      </c>
      <c r="H369" s="91">
        <f>T369</f>
        <v>11</v>
      </c>
      <c r="I369" s="91">
        <f>0.5*C369</f>
        <v>5.8849999999999998</v>
      </c>
      <c r="J369" s="22"/>
      <c r="K369" s="22"/>
      <c r="L369" s="22"/>
      <c r="M369" s="22"/>
      <c r="N369" s="22"/>
      <c r="O369" s="91">
        <v>4885</v>
      </c>
      <c r="P369" s="91">
        <v>4896</v>
      </c>
      <c r="Q369" s="122"/>
      <c r="R369" s="173"/>
      <c r="S369" s="248">
        <v>1</v>
      </c>
      <c r="T369" s="91">
        <f t="shared" si="82"/>
        <v>11</v>
      </c>
      <c r="U369" s="644">
        <v>421550</v>
      </c>
      <c r="V369" s="761" t="s">
        <v>465</v>
      </c>
      <c r="W369" s="14" t="s">
        <v>212</v>
      </c>
      <c r="X369" s="7"/>
      <c r="Y369" s="7"/>
      <c r="Z369" s="7"/>
      <c r="AA369" s="7"/>
      <c r="AB369" s="7"/>
      <c r="AC369" s="7"/>
    </row>
    <row r="370" spans="1:29" s="195" customFormat="1" ht="25.5">
      <c r="A370" s="194"/>
      <c r="B370" s="148" t="s">
        <v>692</v>
      </c>
      <c r="C370" s="91">
        <f t="shared" si="83"/>
        <v>57.78</v>
      </c>
      <c r="D370" s="91"/>
      <c r="E370" s="91">
        <f>G370+F370</f>
        <v>3.7800000000000002</v>
      </c>
      <c r="F370" s="91">
        <f t="shared" si="73"/>
        <v>2.16</v>
      </c>
      <c r="G370" s="91">
        <f t="shared" si="74"/>
        <v>1.6199999999999999</v>
      </c>
      <c r="H370" s="91">
        <f>T370</f>
        <v>54</v>
      </c>
      <c r="I370" s="91">
        <f>0.6*C370</f>
        <v>34.667999999999999</v>
      </c>
      <c r="J370" s="22"/>
      <c r="K370" s="22"/>
      <c r="L370" s="22"/>
      <c r="M370" s="22"/>
      <c r="N370" s="22"/>
      <c r="O370" s="91">
        <v>34065</v>
      </c>
      <c r="P370" s="91">
        <v>34119</v>
      </c>
      <c r="Q370" s="149"/>
      <c r="R370" s="161"/>
      <c r="S370" s="151">
        <v>1</v>
      </c>
      <c r="T370" s="91">
        <f t="shared" si="82"/>
        <v>54</v>
      </c>
      <c r="U370" s="644">
        <v>78402</v>
      </c>
      <c r="V370" s="761" t="s">
        <v>466</v>
      </c>
      <c r="W370" s="14" t="s">
        <v>212</v>
      </c>
      <c r="X370" s="86"/>
      <c r="Y370" s="86"/>
      <c r="Z370" s="86"/>
      <c r="AA370" s="86"/>
      <c r="AB370" s="86"/>
      <c r="AC370" s="86"/>
    </row>
    <row r="371" spans="1:29" s="195" customFormat="1" ht="25.5">
      <c r="A371" s="194"/>
      <c r="B371" s="148" t="s">
        <v>785</v>
      </c>
      <c r="C371" s="91">
        <f t="shared" si="83"/>
        <v>0</v>
      </c>
      <c r="D371" s="91"/>
      <c r="E371" s="91">
        <f>F371+G371</f>
        <v>0</v>
      </c>
      <c r="F371" s="91">
        <f t="shared" si="73"/>
        <v>0</v>
      </c>
      <c r="G371" s="91">
        <f t="shared" si="74"/>
        <v>0</v>
      </c>
      <c r="H371" s="91">
        <f>T371</f>
        <v>0</v>
      </c>
      <c r="I371" s="91">
        <f>0.4*C371</f>
        <v>0</v>
      </c>
      <c r="J371" s="22"/>
      <c r="K371" s="22"/>
      <c r="L371" s="22"/>
      <c r="M371" s="22"/>
      <c r="N371" s="22" t="s">
        <v>467</v>
      </c>
      <c r="O371" s="91">
        <v>7055</v>
      </c>
      <c r="P371" s="91">
        <v>7055</v>
      </c>
      <c r="Q371" s="22" t="s">
        <v>28</v>
      </c>
      <c r="R371" s="142"/>
      <c r="S371" s="151">
        <v>1</v>
      </c>
      <c r="T371" s="91">
        <f t="shared" si="82"/>
        <v>0</v>
      </c>
      <c r="U371" s="644">
        <v>295380</v>
      </c>
      <c r="V371" s="759" t="s">
        <v>468</v>
      </c>
      <c r="W371" s="191" t="s">
        <v>212</v>
      </c>
      <c r="X371" s="86"/>
      <c r="Y371" s="86"/>
      <c r="Z371" s="86"/>
      <c r="AA371" s="86"/>
      <c r="AB371" s="86"/>
      <c r="AC371" s="86"/>
    </row>
    <row r="372" spans="1:29" ht="51">
      <c r="A372" s="19"/>
      <c r="B372" s="148" t="s">
        <v>935</v>
      </c>
      <c r="C372" s="91">
        <f t="shared" si="83"/>
        <v>0</v>
      </c>
      <c r="D372" s="91"/>
      <c r="E372" s="91">
        <f>F372+G372</f>
        <v>0</v>
      </c>
      <c r="F372" s="91">
        <f t="shared" si="73"/>
        <v>0</v>
      </c>
      <c r="G372" s="91">
        <f t="shared" si="74"/>
        <v>0</v>
      </c>
      <c r="H372" s="91">
        <f t="shared" ref="H372:H377" si="84">T372</f>
        <v>0</v>
      </c>
      <c r="I372" s="91">
        <f>0.4*C372</f>
        <v>0</v>
      </c>
      <c r="J372" s="22"/>
      <c r="K372" s="22"/>
      <c r="L372" s="22"/>
      <c r="M372" s="22"/>
      <c r="N372" s="22"/>
      <c r="O372" s="91">
        <v>6962</v>
      </c>
      <c r="P372" s="91">
        <v>6962</v>
      </c>
      <c r="Q372" s="122"/>
      <c r="R372" s="173"/>
      <c r="S372" s="151">
        <v>1</v>
      </c>
      <c r="T372" s="91">
        <f t="shared" si="82"/>
        <v>0</v>
      </c>
      <c r="U372" s="644">
        <v>2302221</v>
      </c>
      <c r="V372" s="759" t="s">
        <v>888</v>
      </c>
      <c r="W372" s="14" t="s">
        <v>212</v>
      </c>
      <c r="X372" s="7"/>
      <c r="Y372" s="7"/>
      <c r="Z372" s="7"/>
      <c r="AA372" s="7"/>
      <c r="AB372" s="7"/>
      <c r="AC372" s="7"/>
    </row>
    <row r="373" spans="1:29" s="195" customFormat="1" ht="29.25" customHeight="1">
      <c r="A373" s="194"/>
      <c r="B373" s="148" t="s">
        <v>471</v>
      </c>
      <c r="C373" s="91">
        <f t="shared" si="83"/>
        <v>111.28</v>
      </c>
      <c r="D373" s="91"/>
      <c r="E373" s="91">
        <f>F373+G373</f>
        <v>7.28</v>
      </c>
      <c r="F373" s="91">
        <f t="shared" si="73"/>
        <v>4.16</v>
      </c>
      <c r="G373" s="91">
        <f t="shared" si="74"/>
        <v>3.12</v>
      </c>
      <c r="H373" s="91">
        <f t="shared" si="84"/>
        <v>104</v>
      </c>
      <c r="I373" s="91">
        <f>0.6*C373</f>
        <v>66.768000000000001</v>
      </c>
      <c r="J373" s="22"/>
      <c r="K373" s="22"/>
      <c r="L373" s="22"/>
      <c r="M373" s="22"/>
      <c r="N373" s="22"/>
      <c r="O373" s="91">
        <v>10569</v>
      </c>
      <c r="P373" s="91">
        <v>10673</v>
      </c>
      <c r="Q373" s="149"/>
      <c r="R373" s="161"/>
      <c r="S373" s="91">
        <v>1</v>
      </c>
      <c r="T373" s="91">
        <f t="shared" si="82"/>
        <v>104</v>
      </c>
      <c r="U373" s="644">
        <v>3224</v>
      </c>
      <c r="V373" s="761" t="s">
        <v>472</v>
      </c>
      <c r="W373" s="191" t="s">
        <v>212</v>
      </c>
      <c r="X373" s="30"/>
      <c r="Y373" s="86"/>
      <c r="Z373" s="86"/>
      <c r="AA373" s="86"/>
      <c r="AB373" s="86"/>
      <c r="AC373" s="86"/>
    </row>
    <row r="374" spans="1:29" ht="25.5">
      <c r="A374" s="19"/>
      <c r="B374" s="148" t="s">
        <v>456</v>
      </c>
      <c r="C374" s="91">
        <f>H374+E374+64</f>
        <v>84.33</v>
      </c>
      <c r="D374" s="91"/>
      <c r="E374" s="91">
        <f>F374+G374</f>
        <v>1.33</v>
      </c>
      <c r="F374" s="91">
        <f>0.04*H374</f>
        <v>0.76</v>
      </c>
      <c r="G374" s="91">
        <f>0.03*H374</f>
        <v>0.56999999999999995</v>
      </c>
      <c r="H374" s="91">
        <f>T374</f>
        <v>19</v>
      </c>
      <c r="I374" s="91">
        <v>649</v>
      </c>
      <c r="J374" s="22"/>
      <c r="K374" s="22"/>
      <c r="L374" s="22"/>
      <c r="M374" s="22"/>
      <c r="N374" s="22"/>
      <c r="O374" s="91">
        <v>2219</v>
      </c>
      <c r="P374" s="91">
        <v>2238</v>
      </c>
      <c r="Q374" s="149"/>
      <c r="R374" s="161"/>
      <c r="S374" s="91">
        <v>1</v>
      </c>
      <c r="T374" s="91">
        <f t="shared" si="82"/>
        <v>19</v>
      </c>
      <c r="U374" s="644">
        <v>429663</v>
      </c>
      <c r="V374" s="763" t="s">
        <v>824</v>
      </c>
      <c r="W374" s="14" t="s">
        <v>212</v>
      </c>
      <c r="X374" s="7"/>
      <c r="Y374" s="7"/>
      <c r="Z374" s="7"/>
      <c r="AA374" s="7"/>
      <c r="AB374" s="7"/>
      <c r="AC374" s="7"/>
    </row>
    <row r="375" spans="1:29" s="195" customFormat="1" ht="29.25" customHeight="1">
      <c r="A375" s="194"/>
      <c r="B375" s="638" t="s">
        <v>473</v>
      </c>
      <c r="C375" s="91">
        <f t="shared" si="83"/>
        <v>16.05</v>
      </c>
      <c r="D375" s="91"/>
      <c r="E375" s="91">
        <f>F375+G375</f>
        <v>1.0499999999999998</v>
      </c>
      <c r="F375" s="91">
        <f t="shared" si="73"/>
        <v>0.6</v>
      </c>
      <c r="G375" s="91">
        <f t="shared" si="74"/>
        <v>0.44999999999999996</v>
      </c>
      <c r="H375" s="91">
        <f t="shared" si="84"/>
        <v>15</v>
      </c>
      <c r="I375" s="91">
        <f>0.6*C375</f>
        <v>9.6300000000000008</v>
      </c>
      <c r="J375" s="22"/>
      <c r="K375" s="22"/>
      <c r="L375" s="22"/>
      <c r="M375" s="22"/>
      <c r="N375" s="22"/>
      <c r="O375" s="91">
        <v>16655</v>
      </c>
      <c r="P375" s="91">
        <v>16670</v>
      </c>
      <c r="Q375" s="149"/>
      <c r="R375" s="161"/>
      <c r="S375" s="91">
        <v>1</v>
      </c>
      <c r="T375" s="91">
        <f t="shared" si="82"/>
        <v>15</v>
      </c>
      <c r="U375" s="644"/>
      <c r="V375" s="761" t="s">
        <v>474</v>
      </c>
      <c r="W375" s="14" t="s">
        <v>212</v>
      </c>
      <c r="X375" s="86"/>
      <c r="Y375" s="86"/>
      <c r="Z375" s="86"/>
      <c r="AA375" s="86"/>
      <c r="AB375" s="86"/>
      <c r="AC375" s="86"/>
    </row>
    <row r="376" spans="1:29" s="225" customFormat="1" ht="25.5">
      <c r="A376" s="223"/>
      <c r="B376" s="148" t="s">
        <v>475</v>
      </c>
      <c r="C376" s="91">
        <f t="shared" si="83"/>
        <v>1025.06</v>
      </c>
      <c r="D376" s="91"/>
      <c r="E376" s="91">
        <f>F376++G376</f>
        <v>67.06</v>
      </c>
      <c r="F376" s="91">
        <f t="shared" si="73"/>
        <v>38.32</v>
      </c>
      <c r="G376" s="91">
        <f t="shared" si="74"/>
        <v>28.74</v>
      </c>
      <c r="H376" s="91">
        <f t="shared" si="84"/>
        <v>958</v>
      </c>
      <c r="I376" s="91">
        <f>0.6*C376</f>
        <v>615.03599999999994</v>
      </c>
      <c r="J376" s="22"/>
      <c r="K376" s="22"/>
      <c r="L376" s="22"/>
      <c r="M376" s="22"/>
      <c r="N376" s="22"/>
      <c r="O376" s="91">
        <v>403943</v>
      </c>
      <c r="P376" s="91">
        <v>404901</v>
      </c>
      <c r="Q376" s="122"/>
      <c r="R376" s="173"/>
      <c r="S376" s="151">
        <v>1</v>
      </c>
      <c r="T376" s="91">
        <f t="shared" si="82"/>
        <v>958</v>
      </c>
      <c r="U376" s="644">
        <v>69776</v>
      </c>
      <c r="V376" s="761" t="s">
        <v>476</v>
      </c>
      <c r="W376" s="14" t="s">
        <v>212</v>
      </c>
      <c r="X376" s="224"/>
      <c r="Y376" s="224"/>
      <c r="Z376" s="224"/>
      <c r="AA376" s="224"/>
      <c r="AB376" s="224"/>
      <c r="AC376" s="224"/>
    </row>
    <row r="377" spans="1:29" ht="25.5">
      <c r="A377" s="19"/>
      <c r="B377" s="148" t="s">
        <v>477</v>
      </c>
      <c r="C377" s="91">
        <f>H377+E377</f>
        <v>1670.27</v>
      </c>
      <c r="D377" s="91"/>
      <c r="E377" s="91">
        <f>G377+F377</f>
        <v>109.27000000000001</v>
      </c>
      <c r="F377" s="91">
        <f>0.04*H377</f>
        <v>62.440000000000005</v>
      </c>
      <c r="G377" s="91">
        <f>0.03*H377</f>
        <v>46.83</v>
      </c>
      <c r="H377" s="91">
        <f t="shared" si="84"/>
        <v>1561</v>
      </c>
      <c r="I377" s="91">
        <f>0.6*C377</f>
        <v>1002.1619999999999</v>
      </c>
      <c r="J377" s="22"/>
      <c r="K377" s="22"/>
      <c r="L377" s="22"/>
      <c r="M377" s="22"/>
      <c r="N377" s="22"/>
      <c r="O377" s="91">
        <v>186733</v>
      </c>
      <c r="P377" s="91">
        <v>188294</v>
      </c>
      <c r="Q377" s="149"/>
      <c r="R377" s="161"/>
      <c r="S377" s="151">
        <v>1</v>
      </c>
      <c r="T377" s="91">
        <f t="shared" si="82"/>
        <v>1561</v>
      </c>
      <c r="U377" s="644">
        <v>3868</v>
      </c>
      <c r="V377" s="761" t="s">
        <v>478</v>
      </c>
      <c r="W377" s="14" t="s">
        <v>212</v>
      </c>
      <c r="X377" s="7"/>
      <c r="Y377" s="7"/>
      <c r="Z377" s="7"/>
      <c r="AA377" s="7"/>
      <c r="AB377" s="7"/>
      <c r="AC377" s="7"/>
    </row>
    <row r="378" spans="1:29" ht="25.5">
      <c r="A378" s="19"/>
      <c r="B378" s="27"/>
      <c r="C378" s="28"/>
      <c r="D378" s="28"/>
      <c r="E378" s="28"/>
      <c r="F378" s="28"/>
      <c r="G378" s="28"/>
      <c r="H378" s="28"/>
      <c r="I378" s="28"/>
      <c r="J378" s="29"/>
      <c r="K378" s="29"/>
      <c r="L378" s="29"/>
      <c r="M378" s="29"/>
      <c r="N378" s="29"/>
      <c r="O378" s="28"/>
      <c r="P378" s="28"/>
      <c r="Q378" s="146"/>
      <c r="R378" s="61"/>
      <c r="S378" s="28"/>
      <c r="T378" s="28"/>
      <c r="U378" s="455"/>
      <c r="V378" s="754"/>
      <c r="W378" s="14"/>
      <c r="X378" s="7"/>
      <c r="Y378" s="7"/>
      <c r="Z378" s="7"/>
      <c r="AA378" s="7"/>
      <c r="AB378" s="7"/>
      <c r="AC378" s="7"/>
    </row>
    <row r="379" spans="1:29" ht="26.25">
      <c r="A379" s="19"/>
      <c r="B379" s="226" t="s">
        <v>479</v>
      </c>
      <c r="C379" s="115">
        <f>SUM(C333:C378)</f>
        <v>14484.390000000001</v>
      </c>
      <c r="D379" s="115"/>
      <c r="E379" s="115"/>
      <c r="F379" s="115"/>
      <c r="G379" s="115"/>
      <c r="H379" s="115"/>
      <c r="I379" s="115"/>
      <c r="J379" s="98"/>
      <c r="K379" s="98"/>
      <c r="L379" s="98"/>
      <c r="M379" s="98"/>
      <c r="N379" s="98"/>
      <c r="O379" s="94"/>
      <c r="P379" s="94"/>
      <c r="Q379" s="227"/>
      <c r="R379" s="228"/>
      <c r="S379" s="92"/>
      <c r="T379" s="91"/>
      <c r="U379" s="719"/>
      <c r="V379" s="1"/>
      <c r="W379" s="14"/>
      <c r="X379" s="7"/>
      <c r="Y379" s="7"/>
      <c r="Z379" s="7"/>
      <c r="AA379" s="7"/>
      <c r="AB379" s="7"/>
      <c r="AC379" s="7" t="s">
        <v>15</v>
      </c>
    </row>
    <row r="380" spans="1:29" ht="30" customHeight="1">
      <c r="A380" s="19"/>
      <c r="B380" s="143"/>
      <c r="C380" s="115"/>
      <c r="D380" s="115"/>
      <c r="E380" s="115"/>
      <c r="F380" s="115"/>
      <c r="G380" s="115"/>
      <c r="H380" s="115"/>
      <c r="I380" s="115"/>
      <c r="J380" s="98"/>
      <c r="K380" s="98"/>
      <c r="L380" s="98"/>
      <c r="M380" s="98"/>
      <c r="N380" s="98"/>
      <c r="O380" s="94"/>
      <c r="P380" s="94"/>
      <c r="Q380" s="227"/>
      <c r="R380" s="228"/>
      <c r="S380" s="92"/>
      <c r="T380" s="91"/>
      <c r="U380" s="719"/>
      <c r="V380" s="1"/>
      <c r="W380" s="14"/>
      <c r="X380" s="7"/>
      <c r="Y380" s="7"/>
      <c r="Z380" s="7"/>
      <c r="AA380" s="7"/>
      <c r="AB380" s="7"/>
      <c r="AC380" s="7"/>
    </row>
    <row r="381" spans="1:29" ht="26.25" hidden="1">
      <c r="A381" s="19"/>
      <c r="B381" s="90" t="s">
        <v>480</v>
      </c>
      <c r="C381" s="28"/>
      <c r="D381" s="28"/>
      <c r="E381" s="28"/>
      <c r="F381" s="28"/>
      <c r="G381" s="28"/>
      <c r="H381" s="28"/>
      <c r="I381" s="72"/>
      <c r="J381" s="29"/>
      <c r="K381" s="29"/>
      <c r="L381" s="29"/>
      <c r="M381" s="29"/>
      <c r="N381" s="29"/>
      <c r="O381" s="28"/>
      <c r="P381" s="28"/>
      <c r="Q381" s="146"/>
      <c r="R381" s="61"/>
      <c r="S381" s="54"/>
      <c r="T381" s="28"/>
      <c r="U381" s="455"/>
      <c r="V381" s="754"/>
      <c r="W381" s="14"/>
      <c r="X381" s="7"/>
      <c r="Y381" s="7"/>
      <c r="Z381" s="7"/>
      <c r="AA381" s="7"/>
      <c r="AB381" s="7"/>
      <c r="AC381" s="7"/>
    </row>
    <row r="382" spans="1:29" ht="9.75" hidden="1" customHeight="1">
      <c r="A382" s="19" t="s">
        <v>481</v>
      </c>
      <c r="B382" s="148" t="s">
        <v>482</v>
      </c>
      <c r="C382" s="91">
        <f>H382+E382</f>
        <v>0</v>
      </c>
      <c r="D382" s="115"/>
      <c r="E382" s="91">
        <f>F382+G382</f>
        <v>0</v>
      </c>
      <c r="F382" s="91">
        <f>0.04*H382</f>
        <v>0</v>
      </c>
      <c r="G382" s="91">
        <f>0.03*H382</f>
        <v>0</v>
      </c>
      <c r="H382" s="91">
        <f>T382</f>
        <v>0</v>
      </c>
      <c r="I382" s="91">
        <f>0.5*C382</f>
        <v>0</v>
      </c>
      <c r="J382" s="22"/>
      <c r="K382" s="22"/>
      <c r="L382" s="22"/>
      <c r="M382" s="22"/>
      <c r="N382" s="22"/>
      <c r="O382" s="229">
        <v>10678</v>
      </c>
      <c r="P382" s="229">
        <v>10678</v>
      </c>
      <c r="Q382" s="149"/>
      <c r="R382" s="161"/>
      <c r="S382" s="151">
        <v>1</v>
      </c>
      <c r="T382" s="91">
        <f>(P382-O382)*S382</f>
        <v>0</v>
      </c>
      <c r="U382" s="644">
        <v>2262538</v>
      </c>
      <c r="V382" s="759" t="s">
        <v>483</v>
      </c>
      <c r="W382" s="14"/>
      <c r="X382" s="7"/>
      <c r="Y382" s="7"/>
      <c r="Z382" s="7"/>
      <c r="AA382" s="7"/>
      <c r="AB382" s="7"/>
      <c r="AC382" s="7"/>
    </row>
    <row r="383" spans="1:29" ht="25.5" hidden="1">
      <c r="A383" s="19"/>
      <c r="B383" s="148"/>
      <c r="C383" s="91"/>
      <c r="D383" s="91"/>
      <c r="E383" s="91"/>
      <c r="F383" s="91"/>
      <c r="G383" s="91"/>
      <c r="H383" s="91"/>
      <c r="I383" s="91"/>
      <c r="J383" s="22"/>
      <c r="K383" s="22"/>
      <c r="L383" s="22"/>
      <c r="M383" s="22"/>
      <c r="N383" s="22"/>
      <c r="O383" s="91"/>
      <c r="P383" s="91"/>
      <c r="Q383" s="22"/>
      <c r="R383" s="142"/>
      <c r="S383" s="91"/>
      <c r="T383" s="91"/>
      <c r="U383" s="644"/>
      <c r="V383" s="759"/>
      <c r="W383" s="14"/>
      <c r="X383" s="7"/>
      <c r="Y383" s="7"/>
      <c r="Z383" s="7"/>
      <c r="AA383" s="7"/>
      <c r="AB383" s="7"/>
      <c r="AC383" s="7"/>
    </row>
    <row r="384" spans="1:29" ht="25.5" hidden="1" customHeight="1">
      <c r="A384" s="19">
        <v>35</v>
      </c>
      <c r="B384" s="1"/>
      <c r="U384" s="719"/>
      <c r="V384" s="1"/>
      <c r="W384" s="14"/>
      <c r="X384" s="7"/>
      <c r="Y384" s="7"/>
      <c r="Z384" s="7"/>
      <c r="AA384" s="7"/>
      <c r="AB384" s="7"/>
      <c r="AC384" s="7"/>
    </row>
    <row r="385" spans="1:29" ht="27" hidden="1" customHeight="1">
      <c r="A385" s="19">
        <v>36</v>
      </c>
      <c r="B385" s="148"/>
      <c r="C385" s="91"/>
      <c r="D385" s="91"/>
      <c r="E385" s="91"/>
      <c r="F385" s="91"/>
      <c r="G385" s="91"/>
      <c r="H385" s="91"/>
      <c r="I385" s="91"/>
      <c r="J385" s="22"/>
      <c r="K385" s="22"/>
      <c r="L385" s="22"/>
      <c r="M385" s="22"/>
      <c r="N385" s="22"/>
      <c r="O385" s="91"/>
      <c r="P385" s="91"/>
      <c r="Q385" s="149"/>
      <c r="R385" s="161"/>
      <c r="S385" s="91"/>
      <c r="T385" s="91"/>
      <c r="U385" s="644"/>
      <c r="V385" s="759"/>
      <c r="W385" s="14"/>
      <c r="X385" s="7"/>
      <c r="Y385" s="7"/>
      <c r="Z385" s="7"/>
      <c r="AA385" s="7"/>
      <c r="AB385" s="7"/>
      <c r="AC385" s="7"/>
    </row>
    <row r="386" spans="1:29" ht="25.5" hidden="1">
      <c r="A386" s="19">
        <v>37</v>
      </c>
      <c r="U386" s="644"/>
      <c r="V386" s="759"/>
      <c r="W386" s="14"/>
      <c r="X386" s="7"/>
      <c r="Y386" s="7"/>
      <c r="Z386" s="7"/>
      <c r="AA386" s="7"/>
      <c r="AB386" s="7"/>
      <c r="AC386" s="7"/>
    </row>
    <row r="387" spans="1:29" ht="25.5" hidden="1">
      <c r="A387" s="19">
        <v>38</v>
      </c>
      <c r="B387" s="148"/>
      <c r="C387" s="91"/>
      <c r="D387" s="91"/>
      <c r="E387" s="91"/>
      <c r="F387" s="91"/>
      <c r="G387" s="91"/>
      <c r="H387" s="91"/>
      <c r="I387" s="91"/>
      <c r="J387" s="22"/>
      <c r="K387" s="22"/>
      <c r="L387" s="22"/>
      <c r="M387" s="22"/>
      <c r="N387" s="22"/>
      <c r="O387" s="91"/>
      <c r="P387" s="91"/>
      <c r="Q387" s="149"/>
      <c r="R387" s="161"/>
      <c r="S387" s="91"/>
      <c r="T387" s="91"/>
      <c r="U387" s="644"/>
      <c r="V387" s="759"/>
      <c r="W387" s="14"/>
      <c r="X387" s="7"/>
      <c r="Y387" s="7"/>
      <c r="Z387" s="149"/>
      <c r="AA387" s="149"/>
      <c r="AB387" s="149"/>
      <c r="AC387" s="149"/>
    </row>
    <row r="388" spans="1:29" ht="25.5" hidden="1">
      <c r="A388" s="19">
        <v>40</v>
      </c>
      <c r="B388" s="148"/>
      <c r="C388" s="91"/>
      <c r="D388" s="91"/>
      <c r="E388" s="91"/>
      <c r="F388" s="91"/>
      <c r="G388" s="91"/>
      <c r="H388" s="91"/>
      <c r="I388" s="91"/>
      <c r="J388" s="22"/>
      <c r="K388" s="22"/>
      <c r="L388" s="22"/>
      <c r="M388" s="22"/>
      <c r="N388" s="22"/>
      <c r="O388" s="91"/>
      <c r="P388" s="91"/>
      <c r="Q388" s="22"/>
      <c r="R388" s="142"/>
      <c r="S388" s="91"/>
      <c r="T388" s="91"/>
      <c r="U388" s="644"/>
      <c r="V388" s="759"/>
      <c r="W388" s="14"/>
      <c r="X388" s="7"/>
      <c r="Y388" s="7"/>
      <c r="Z388" s="7"/>
      <c r="AA388" s="7"/>
      <c r="AB388" s="7"/>
      <c r="AC388" s="7"/>
    </row>
    <row r="389" spans="1:29" ht="56.25" hidden="1" customHeight="1">
      <c r="A389" s="19">
        <v>41</v>
      </c>
      <c r="B389" s="1"/>
      <c r="U389" s="644"/>
      <c r="V389" s="759"/>
      <c r="W389" s="14"/>
      <c r="X389" s="7"/>
      <c r="Y389" s="7"/>
      <c r="Z389" s="7"/>
      <c r="AA389" s="7"/>
      <c r="AB389" s="7"/>
      <c r="AC389" s="7"/>
    </row>
    <row r="390" spans="1:29" ht="26.25" hidden="1" customHeight="1">
      <c r="A390" s="19">
        <v>42</v>
      </c>
      <c r="U390" s="644"/>
      <c r="V390" s="759"/>
      <c r="W390" s="14"/>
      <c r="X390" s="7"/>
      <c r="Y390" s="7"/>
      <c r="Z390" s="7"/>
      <c r="AA390" s="7"/>
      <c r="AB390" s="7"/>
      <c r="AC390" s="7"/>
    </row>
    <row r="391" spans="1:29" ht="29.25" hidden="1" customHeight="1">
      <c r="A391" s="19">
        <v>43</v>
      </c>
      <c r="U391" s="644"/>
      <c r="V391" s="759"/>
      <c r="W391" s="14"/>
      <c r="X391" s="7"/>
      <c r="Y391" s="7"/>
      <c r="Z391" s="7"/>
      <c r="AA391" s="7"/>
      <c r="AB391" s="7"/>
      <c r="AC391" s="7"/>
    </row>
    <row r="392" spans="1:29" ht="28.5" hidden="1" customHeight="1">
      <c r="A392" s="230">
        <v>44</v>
      </c>
      <c r="B392" s="158"/>
      <c r="C392" s="124"/>
      <c r="D392" s="124"/>
      <c r="E392" s="124"/>
      <c r="F392" s="124"/>
      <c r="G392" s="124"/>
      <c r="H392" s="124"/>
      <c r="I392" s="124"/>
      <c r="J392" s="126"/>
      <c r="K392" s="126"/>
      <c r="L392" s="126"/>
      <c r="M392" s="126"/>
      <c r="N392" s="126"/>
      <c r="O392" s="124"/>
      <c r="P392" s="124"/>
      <c r="Q392" s="7"/>
      <c r="R392" s="159"/>
      <c r="S392" s="124"/>
      <c r="T392" s="124"/>
      <c r="U392" s="717"/>
      <c r="V392" s="128"/>
      <c r="W392" s="14"/>
      <c r="X392" s="7"/>
      <c r="Y392" s="7"/>
      <c r="Z392" s="7"/>
      <c r="AA392" s="7"/>
      <c r="AB392" s="7"/>
      <c r="AC392" s="7"/>
    </row>
    <row r="393" spans="1:29" ht="26.25" hidden="1" customHeight="1">
      <c r="A393" s="19">
        <v>45</v>
      </c>
      <c r="B393" s="1"/>
      <c r="U393" s="644"/>
      <c r="V393" s="759"/>
      <c r="W393" s="14"/>
      <c r="X393" s="7"/>
      <c r="Y393" s="7"/>
      <c r="Z393" s="7"/>
      <c r="AA393" s="7"/>
      <c r="AB393" s="7"/>
      <c r="AC393" s="7"/>
    </row>
    <row r="394" spans="1:29" ht="24.75" hidden="1" customHeight="1">
      <c r="A394" s="19">
        <v>46</v>
      </c>
      <c r="B394" s="1"/>
      <c r="U394" s="644"/>
      <c r="V394" s="759"/>
      <c r="W394" s="134"/>
      <c r="X394" s="149"/>
      <c r="Y394" s="149"/>
      <c r="Z394" s="7"/>
      <c r="AA394" s="7"/>
      <c r="AB394" s="7"/>
      <c r="AC394" s="7"/>
    </row>
    <row r="395" spans="1:29" ht="23.25" hidden="1" customHeight="1">
      <c r="A395" s="19">
        <v>47</v>
      </c>
      <c r="U395" s="644"/>
      <c r="V395" s="759"/>
      <c r="W395" s="14"/>
      <c r="X395" s="7"/>
      <c r="Y395" s="7"/>
      <c r="Z395" s="7"/>
      <c r="AA395" s="7"/>
      <c r="AB395" s="7"/>
      <c r="AC395" s="7"/>
    </row>
    <row r="396" spans="1:29" ht="28.5" hidden="1" customHeight="1">
      <c r="A396" s="19">
        <v>48</v>
      </c>
      <c r="U396" s="644"/>
      <c r="V396" s="759"/>
      <c r="W396" s="14"/>
      <c r="X396" s="7"/>
      <c r="Y396" s="7"/>
      <c r="Z396" s="7"/>
      <c r="AA396" s="7"/>
      <c r="AB396" s="7"/>
      <c r="AC396" s="7"/>
    </row>
    <row r="397" spans="1:29" ht="31.5" hidden="1" customHeight="1">
      <c r="A397" s="19">
        <v>49</v>
      </c>
      <c r="B397" s="1"/>
      <c r="U397" s="719"/>
      <c r="V397" s="1"/>
      <c r="W397" s="78"/>
      <c r="X397" s="7"/>
      <c r="Y397" s="7"/>
      <c r="Z397" s="7"/>
      <c r="AA397" s="7"/>
      <c r="AB397" s="7"/>
      <c r="AC397" s="7"/>
    </row>
    <row r="398" spans="1:29" ht="25.5" hidden="1">
      <c r="A398" s="19">
        <v>50</v>
      </c>
      <c r="U398" s="644"/>
      <c r="V398" s="759"/>
      <c r="W398" s="14" t="s">
        <v>484</v>
      </c>
      <c r="X398" s="7"/>
      <c r="Y398" s="7"/>
      <c r="Z398" s="7"/>
      <c r="AA398" s="7"/>
      <c r="AB398" s="7"/>
      <c r="AC398" s="7"/>
    </row>
    <row r="399" spans="1:29" ht="25.5" hidden="1">
      <c r="A399" s="19">
        <v>51</v>
      </c>
      <c r="U399" s="644"/>
      <c r="V399" s="759"/>
      <c r="W399" s="14"/>
      <c r="X399" s="7"/>
      <c r="Y399" s="7"/>
      <c r="Z399" s="7"/>
      <c r="AA399" s="7"/>
      <c r="AB399" s="7"/>
      <c r="AC399" s="7"/>
    </row>
    <row r="400" spans="1:29" ht="25.5" hidden="1" customHeight="1">
      <c r="A400" s="231">
        <v>52</v>
      </c>
      <c r="B400" s="1"/>
      <c r="U400" s="719"/>
      <c r="V400" s="1"/>
      <c r="W400" s="14">
        <v>176</v>
      </c>
      <c r="X400" s="7">
        <v>1764.636</v>
      </c>
      <c r="Y400" s="7"/>
      <c r="Z400" s="7"/>
      <c r="AA400" s="7"/>
      <c r="AB400" s="7"/>
      <c r="AC400" s="7"/>
    </row>
    <row r="401" spans="1:29" ht="25.5" hidden="1" customHeight="1">
      <c r="A401" s="19">
        <v>53</v>
      </c>
      <c r="B401" s="1"/>
      <c r="U401" s="719"/>
      <c r="V401" s="1"/>
      <c r="W401" s="14"/>
      <c r="X401" s="7"/>
      <c r="Y401" s="7"/>
      <c r="Z401" s="7"/>
      <c r="AA401" s="7"/>
      <c r="AB401" s="7"/>
      <c r="AC401" s="7"/>
    </row>
    <row r="402" spans="1:29" ht="23.25" hidden="1" customHeight="1">
      <c r="A402" s="19">
        <v>54</v>
      </c>
      <c r="U402" s="644"/>
      <c r="V402" s="759"/>
      <c r="W402" s="14"/>
      <c r="X402" s="7"/>
      <c r="Y402" s="7"/>
      <c r="Z402" s="7"/>
      <c r="AA402" s="7"/>
      <c r="AB402" s="7"/>
      <c r="AC402" s="7"/>
    </row>
    <row r="403" spans="1:29" ht="76.5" hidden="1">
      <c r="A403" s="19" t="s">
        <v>485</v>
      </c>
      <c r="B403" s="1"/>
      <c r="U403" s="719"/>
      <c r="V403" s="1"/>
      <c r="W403" s="14"/>
      <c r="X403" s="7"/>
      <c r="Y403" s="7"/>
      <c r="Z403" s="7"/>
      <c r="AA403" s="7"/>
      <c r="AB403" s="7"/>
      <c r="AC403" s="7"/>
    </row>
    <row r="404" spans="1:29" ht="27" hidden="1" customHeight="1">
      <c r="A404" s="19">
        <v>55</v>
      </c>
      <c r="B404" s="1"/>
      <c r="U404" s="644"/>
      <c r="V404" s="759"/>
      <c r="W404" s="14">
        <v>3160</v>
      </c>
      <c r="X404" s="7"/>
      <c r="Y404" s="7"/>
      <c r="Z404" s="7"/>
      <c r="AA404" s="7"/>
      <c r="AB404" s="7"/>
      <c r="AC404" s="7"/>
    </row>
    <row r="405" spans="1:29" ht="30" hidden="1" customHeight="1">
      <c r="A405" s="19">
        <v>56</v>
      </c>
      <c r="U405" s="644"/>
      <c r="V405" s="759"/>
      <c r="W405" s="14"/>
      <c r="X405" s="7"/>
      <c r="Y405" s="7"/>
      <c r="Z405" s="7"/>
      <c r="AA405" s="7"/>
      <c r="AB405" s="7"/>
      <c r="AC405" s="7"/>
    </row>
    <row r="406" spans="1:29" ht="76.5" hidden="1">
      <c r="A406" s="19" t="s">
        <v>486</v>
      </c>
      <c r="B406" s="148"/>
      <c r="C406" s="91"/>
      <c r="D406" s="91"/>
      <c r="E406" s="91"/>
      <c r="F406" s="91"/>
      <c r="G406" s="91"/>
      <c r="H406" s="91"/>
      <c r="I406" s="91"/>
      <c r="J406" s="22"/>
      <c r="K406" s="22"/>
      <c r="L406" s="22"/>
      <c r="M406" s="22"/>
      <c r="N406" s="22"/>
      <c r="O406" s="91"/>
      <c r="P406" s="91"/>
      <c r="Q406" s="22"/>
      <c r="R406" s="142"/>
      <c r="S406" s="91"/>
      <c r="T406" s="91">
        <f>(P406-O406)*S406</f>
        <v>0</v>
      </c>
      <c r="U406" s="644"/>
      <c r="V406" s="759"/>
      <c r="W406" s="14"/>
      <c r="X406" s="7"/>
      <c r="Y406" s="7"/>
      <c r="Z406" s="7"/>
      <c r="AA406" s="7"/>
      <c r="AB406" s="7"/>
      <c r="AC406" s="7"/>
    </row>
    <row r="407" spans="1:29" ht="23.25" hidden="1" customHeight="1">
      <c r="A407" s="19">
        <v>57</v>
      </c>
      <c r="U407" s="644"/>
      <c r="V407" s="759"/>
      <c r="W407" s="14"/>
      <c r="X407" s="7"/>
      <c r="Y407" s="7"/>
      <c r="Z407" s="7"/>
      <c r="AA407" s="7"/>
      <c r="AB407" s="7"/>
      <c r="AC407" s="7"/>
    </row>
    <row r="408" spans="1:29" ht="25.5" hidden="1">
      <c r="A408" s="19">
        <v>58</v>
      </c>
      <c r="B408" s="1"/>
      <c r="U408" s="719"/>
      <c r="V408" s="1"/>
      <c r="W408" s="14"/>
      <c r="X408" s="7"/>
      <c r="Y408" s="7"/>
      <c r="Z408" s="7"/>
      <c r="AA408" s="7"/>
      <c r="AB408" s="7"/>
      <c r="AC408" s="7"/>
    </row>
    <row r="409" spans="1:29" ht="25.5" hidden="1">
      <c r="A409" s="19"/>
      <c r="B409" s="1"/>
      <c r="U409" s="719"/>
      <c r="V409" s="1"/>
      <c r="W409" s="14"/>
      <c r="X409" s="7"/>
      <c r="Y409" s="7"/>
      <c r="Z409" s="7"/>
      <c r="AA409" s="7"/>
      <c r="AB409" s="7"/>
      <c r="AC409" s="7"/>
    </row>
    <row r="410" spans="1:29" ht="14.25" hidden="1" customHeight="1">
      <c r="A410" s="19"/>
      <c r="B410" s="1"/>
      <c r="U410" s="719"/>
      <c r="V410" s="1"/>
      <c r="W410" s="14"/>
      <c r="X410" s="7"/>
      <c r="Y410" s="7"/>
      <c r="Z410" s="7"/>
      <c r="AA410" s="7"/>
      <c r="AB410" s="7"/>
      <c r="AC410" s="7"/>
    </row>
    <row r="411" spans="1:29" ht="31.5" hidden="1" customHeight="1">
      <c r="A411" s="19"/>
      <c r="B411" s="1"/>
      <c r="U411" s="719"/>
      <c r="V411" s="1"/>
      <c r="W411" s="14"/>
      <c r="X411" s="7"/>
      <c r="Y411" s="7"/>
      <c r="Z411" s="7"/>
      <c r="AA411" s="7"/>
      <c r="AB411" s="7"/>
      <c r="AC411" s="7"/>
    </row>
    <row r="412" spans="1:29" ht="31.5" hidden="1" customHeight="1">
      <c r="A412" s="19"/>
      <c r="B412" s="1"/>
      <c r="U412" s="719"/>
      <c r="V412" s="1"/>
      <c r="W412" s="14"/>
      <c r="X412" s="7"/>
      <c r="Y412" s="7"/>
      <c r="Z412" s="7"/>
      <c r="AA412" s="7"/>
      <c r="AB412" s="7"/>
      <c r="AC412" s="7"/>
    </row>
    <row r="413" spans="1:29" ht="25.5" hidden="1">
      <c r="A413" s="19"/>
      <c r="B413" s="148"/>
      <c r="C413" s="91"/>
      <c r="D413" s="91"/>
      <c r="E413" s="91"/>
      <c r="F413" s="91"/>
      <c r="G413" s="91"/>
      <c r="H413" s="91"/>
      <c r="I413" s="91"/>
      <c r="J413" s="22"/>
      <c r="K413" s="22"/>
      <c r="L413" s="22"/>
      <c r="M413" s="22"/>
      <c r="N413" s="22"/>
      <c r="O413" s="91"/>
      <c r="P413" s="91"/>
      <c r="Q413" s="149"/>
      <c r="R413" s="200"/>
      <c r="S413" s="91"/>
      <c r="T413" s="91">
        <f t="shared" ref="T413:T418" si="85">(P413-O413)*S413</f>
        <v>0</v>
      </c>
      <c r="U413" s="644"/>
      <c r="V413" s="759"/>
      <c r="W413" s="14"/>
      <c r="X413" s="7"/>
      <c r="Y413" s="7"/>
      <c r="Z413" s="7"/>
      <c r="AA413" s="7"/>
      <c r="AB413" s="7"/>
      <c r="AC413" s="7"/>
    </row>
    <row r="414" spans="1:29" ht="25.5" hidden="1">
      <c r="A414" s="19"/>
      <c r="B414" s="148"/>
      <c r="C414" s="91"/>
      <c r="D414" s="91"/>
      <c r="E414" s="91"/>
      <c r="F414" s="91"/>
      <c r="G414" s="91"/>
      <c r="H414" s="91"/>
      <c r="I414" s="91"/>
      <c r="J414" s="22"/>
      <c r="K414" s="22"/>
      <c r="L414" s="22"/>
      <c r="M414" s="22"/>
      <c r="N414" s="22"/>
      <c r="O414" s="91"/>
      <c r="P414" s="91"/>
      <c r="Q414" s="149"/>
      <c r="R414" s="200"/>
      <c r="S414" s="91"/>
      <c r="T414" s="91">
        <f t="shared" si="85"/>
        <v>0</v>
      </c>
      <c r="U414" s="644"/>
      <c r="V414" s="759"/>
      <c r="W414" s="14"/>
      <c r="X414" s="7"/>
      <c r="Y414" s="7"/>
      <c r="Z414" s="7"/>
      <c r="AA414" s="7"/>
      <c r="AB414" s="7"/>
      <c r="AC414" s="7"/>
    </row>
    <row r="415" spans="1:29" ht="25.5" hidden="1">
      <c r="A415" s="19"/>
      <c r="B415" s="148"/>
      <c r="C415" s="91"/>
      <c r="D415" s="91"/>
      <c r="E415" s="91"/>
      <c r="F415" s="91"/>
      <c r="G415" s="91"/>
      <c r="H415" s="91"/>
      <c r="I415" s="91"/>
      <c r="J415" s="22"/>
      <c r="K415" s="22"/>
      <c r="L415" s="22"/>
      <c r="M415" s="22"/>
      <c r="N415" s="22"/>
      <c r="O415" s="91"/>
      <c r="P415" s="91"/>
      <c r="Q415" s="149"/>
      <c r="R415" s="200"/>
      <c r="S415" s="91"/>
      <c r="T415" s="91">
        <f t="shared" si="85"/>
        <v>0</v>
      </c>
      <c r="U415" s="644"/>
      <c r="V415" s="759"/>
      <c r="W415" s="14"/>
      <c r="X415" s="7"/>
      <c r="Y415" s="7"/>
      <c r="Z415" s="7"/>
      <c r="AA415" s="7"/>
      <c r="AB415" s="7"/>
      <c r="AC415" s="7"/>
    </row>
    <row r="416" spans="1:29" ht="25.5" hidden="1">
      <c r="A416" s="19"/>
      <c r="B416" s="148"/>
      <c r="C416" s="91"/>
      <c r="D416" s="91"/>
      <c r="E416" s="91"/>
      <c r="F416" s="91"/>
      <c r="G416" s="91"/>
      <c r="H416" s="91"/>
      <c r="I416" s="91"/>
      <c r="J416" s="22"/>
      <c r="K416" s="22"/>
      <c r="L416" s="22"/>
      <c r="M416" s="22"/>
      <c r="N416" s="22"/>
      <c r="O416" s="91"/>
      <c r="P416" s="91"/>
      <c r="Q416" s="149"/>
      <c r="R416" s="200"/>
      <c r="S416" s="91"/>
      <c r="T416" s="91">
        <f t="shared" si="85"/>
        <v>0</v>
      </c>
      <c r="U416" s="644"/>
      <c r="V416" s="759"/>
      <c r="W416" s="14"/>
      <c r="X416" s="7"/>
      <c r="Y416" s="7"/>
      <c r="Z416" s="7"/>
      <c r="AA416" s="7"/>
      <c r="AB416" s="7"/>
      <c r="AC416" s="7"/>
    </row>
    <row r="417" spans="1:29" ht="25.5" hidden="1">
      <c r="A417" s="19"/>
      <c r="B417" s="148"/>
      <c r="C417" s="91"/>
      <c r="D417" s="91"/>
      <c r="E417" s="91"/>
      <c r="F417" s="91"/>
      <c r="G417" s="91"/>
      <c r="H417" s="91"/>
      <c r="I417" s="91"/>
      <c r="J417" s="22"/>
      <c r="K417" s="22"/>
      <c r="L417" s="22"/>
      <c r="M417" s="22"/>
      <c r="N417" s="22"/>
      <c r="O417" s="91"/>
      <c r="P417" s="91"/>
      <c r="Q417" s="149"/>
      <c r="R417" s="200"/>
      <c r="S417" s="91"/>
      <c r="T417" s="91">
        <f t="shared" si="85"/>
        <v>0</v>
      </c>
      <c r="U417" s="644"/>
      <c r="V417" s="759"/>
      <c r="W417" s="14"/>
      <c r="X417" s="7"/>
      <c r="Y417" s="7"/>
      <c r="Z417" s="7"/>
      <c r="AA417" s="7"/>
      <c r="AB417" s="7"/>
      <c r="AC417" s="7"/>
    </row>
    <row r="418" spans="1:29" ht="25.5" hidden="1">
      <c r="A418" s="19">
        <v>59</v>
      </c>
      <c r="B418" s="148"/>
      <c r="C418" s="91"/>
      <c r="D418" s="91"/>
      <c r="E418" s="91"/>
      <c r="F418" s="91"/>
      <c r="G418" s="91"/>
      <c r="H418" s="91"/>
      <c r="I418" s="91"/>
      <c r="J418" s="22"/>
      <c r="K418" s="22"/>
      <c r="L418" s="22"/>
      <c r="M418" s="22"/>
      <c r="N418" s="22"/>
      <c r="O418" s="91"/>
      <c r="P418" s="91"/>
      <c r="Q418" s="149"/>
      <c r="R418" s="232"/>
      <c r="S418" s="91"/>
      <c r="T418" s="91">
        <f t="shared" si="85"/>
        <v>0</v>
      </c>
      <c r="U418" s="644"/>
      <c r="V418" s="759"/>
      <c r="W418" s="14"/>
      <c r="X418" s="7"/>
      <c r="Y418" s="7"/>
      <c r="Z418" s="7"/>
      <c r="AA418" s="7"/>
      <c r="AB418" s="7"/>
      <c r="AC418" s="7"/>
    </row>
    <row r="419" spans="1:29" ht="25.5" hidden="1">
      <c r="A419" s="19">
        <v>60</v>
      </c>
      <c r="B419" s="148"/>
      <c r="C419" s="91"/>
      <c r="D419" s="91"/>
      <c r="E419" s="91"/>
      <c r="F419" s="91"/>
      <c r="G419" s="91"/>
      <c r="H419" s="91"/>
      <c r="I419" s="91"/>
      <c r="J419" s="22"/>
      <c r="K419" s="22"/>
      <c r="L419" s="22"/>
      <c r="M419" s="22"/>
      <c r="N419" s="22"/>
      <c r="O419" s="91"/>
      <c r="P419" s="91"/>
      <c r="Q419" s="149"/>
      <c r="R419" s="232"/>
      <c r="S419" s="91"/>
      <c r="T419" s="91"/>
      <c r="U419" s="644"/>
      <c r="V419" s="759"/>
      <c r="W419" s="14"/>
      <c r="X419" s="7"/>
      <c r="Y419" s="7"/>
      <c r="Z419" s="7"/>
      <c r="AA419" s="7"/>
      <c r="AB419" s="7"/>
      <c r="AC419" s="7"/>
    </row>
    <row r="420" spans="1:29" ht="25.5" hidden="1">
      <c r="A420" s="19">
        <v>61.1</v>
      </c>
      <c r="B420" s="1"/>
      <c r="U420" s="644"/>
      <c r="V420" s="759"/>
      <c r="W420" s="14"/>
      <c r="X420" s="7"/>
      <c r="Y420" s="7"/>
      <c r="Z420" s="7"/>
      <c r="AA420" s="7"/>
      <c r="AB420" s="7"/>
      <c r="AC420" s="7"/>
    </row>
    <row r="421" spans="1:29" ht="25.5" hidden="1">
      <c r="A421" s="19">
        <v>61.2</v>
      </c>
      <c r="B421" s="1"/>
      <c r="U421" s="644"/>
      <c r="V421" s="759"/>
      <c r="W421" s="14"/>
      <c r="X421" s="7"/>
      <c r="Y421" s="7"/>
      <c r="Z421" s="7"/>
      <c r="AA421" s="7"/>
      <c r="AB421" s="7"/>
      <c r="AC421" s="7"/>
    </row>
    <row r="422" spans="1:29" ht="25.5" hidden="1">
      <c r="A422" s="19">
        <v>61.3</v>
      </c>
      <c r="B422" s="1"/>
      <c r="U422" s="644"/>
      <c r="V422" s="759"/>
      <c r="W422" s="14"/>
      <c r="X422" s="7"/>
      <c r="Y422" s="7"/>
      <c r="Z422" s="7"/>
      <c r="AA422" s="7"/>
      <c r="AB422" s="7"/>
      <c r="AC422" s="7"/>
    </row>
    <row r="423" spans="1:29" ht="25.5" hidden="1">
      <c r="A423" s="19">
        <v>61.4</v>
      </c>
      <c r="B423" s="1"/>
      <c r="U423" s="644"/>
      <c r="V423" s="759"/>
      <c r="W423" s="14"/>
      <c r="X423" s="7"/>
      <c r="Y423" s="7"/>
      <c r="Z423" s="7"/>
      <c r="AA423" s="7"/>
      <c r="AB423" s="7"/>
      <c r="AC423" s="7"/>
    </row>
    <row r="424" spans="1:29" ht="36" hidden="1" customHeight="1">
      <c r="A424" s="19">
        <v>61.5</v>
      </c>
      <c r="B424" s="1"/>
      <c r="U424" s="644"/>
      <c r="V424" s="759"/>
      <c r="W424" s="14"/>
      <c r="X424" s="7"/>
      <c r="Y424" s="7"/>
      <c r="Z424" s="7"/>
      <c r="AA424" s="7"/>
      <c r="AB424" s="7"/>
      <c r="AC424" s="7"/>
    </row>
    <row r="425" spans="1:29" ht="25.5" hidden="1">
      <c r="A425" s="19">
        <v>61.6</v>
      </c>
      <c r="B425" s="1"/>
      <c r="U425" s="644"/>
      <c r="V425" s="759"/>
      <c r="W425" s="14"/>
      <c r="X425" s="7"/>
      <c r="Y425" s="7"/>
      <c r="Z425" s="7"/>
      <c r="AA425" s="7"/>
      <c r="AB425" s="7"/>
      <c r="AC425" s="7"/>
    </row>
    <row r="426" spans="1:29" ht="31.5" hidden="1" customHeight="1">
      <c r="A426" s="19">
        <v>61.7</v>
      </c>
      <c r="B426" s="1"/>
      <c r="U426" s="644"/>
      <c r="V426" s="759"/>
      <c r="W426" s="14"/>
      <c r="X426" s="7"/>
      <c r="Y426" s="7"/>
      <c r="Z426" s="7"/>
      <c r="AA426" s="7"/>
      <c r="AB426" s="7"/>
      <c r="AC426" s="7"/>
    </row>
    <row r="427" spans="1:29" ht="30" hidden="1" customHeight="1">
      <c r="A427" s="19">
        <v>61.8</v>
      </c>
      <c r="B427" s="1"/>
      <c r="U427" s="644"/>
      <c r="V427" s="759"/>
      <c r="W427" s="14"/>
      <c r="X427" s="7"/>
      <c r="Y427" s="7"/>
      <c r="Z427" s="7"/>
      <c r="AA427" s="7"/>
      <c r="AB427" s="7"/>
      <c r="AC427" s="7"/>
    </row>
    <row r="428" spans="1:29" ht="25.5" hidden="1">
      <c r="A428" s="19">
        <v>61.9</v>
      </c>
      <c r="B428" s="1"/>
      <c r="U428" s="644"/>
      <c r="V428" s="759"/>
      <c r="W428" s="14"/>
      <c r="X428" s="7"/>
      <c r="Y428" s="7"/>
      <c r="Z428" s="7"/>
      <c r="AA428" s="7"/>
      <c r="AB428" s="7"/>
      <c r="AC428" s="7"/>
    </row>
    <row r="429" spans="1:29" s="234" customFormat="1" ht="28.5" hidden="1" customHeight="1">
      <c r="A429" s="233">
        <v>61.1</v>
      </c>
      <c r="U429" s="730"/>
      <c r="V429" s="235"/>
      <c r="W429" s="14"/>
      <c r="X429" s="236"/>
      <c r="Y429" s="236"/>
      <c r="Z429" s="236"/>
      <c r="AA429" s="236"/>
      <c r="AB429" s="236"/>
      <c r="AC429" s="236"/>
    </row>
    <row r="430" spans="1:29" ht="28.5" hidden="1" customHeight="1">
      <c r="A430" s="19">
        <v>61.11</v>
      </c>
      <c r="B430" s="1"/>
      <c r="U430" s="644"/>
      <c r="V430" s="759"/>
      <c r="W430" s="14"/>
      <c r="X430" s="7"/>
      <c r="Y430" s="7"/>
      <c r="Z430" s="7"/>
      <c r="AA430" s="7"/>
      <c r="AB430" s="7"/>
      <c r="AC430" s="7"/>
    </row>
    <row r="431" spans="1:29" ht="25.5" hidden="1">
      <c r="A431" s="19">
        <v>61.12</v>
      </c>
      <c r="B431" s="1"/>
      <c r="U431" s="644"/>
      <c r="V431" s="759"/>
      <c r="W431" s="14"/>
      <c r="X431" s="7"/>
      <c r="Y431" s="7"/>
      <c r="Z431" s="7"/>
      <c r="AA431" s="7"/>
      <c r="AB431" s="7"/>
      <c r="AC431" s="7"/>
    </row>
    <row r="432" spans="1:29" ht="30" hidden="1" customHeight="1">
      <c r="A432" s="19">
        <v>61.13</v>
      </c>
      <c r="B432" s="1"/>
      <c r="U432" s="644"/>
      <c r="V432" s="759"/>
      <c r="W432" s="14"/>
      <c r="X432" s="7"/>
      <c r="Y432" s="7"/>
      <c r="Z432" s="7"/>
      <c r="AA432" s="7"/>
      <c r="AB432" s="7"/>
      <c r="AC432" s="7"/>
    </row>
    <row r="433" spans="1:29" ht="28.5" hidden="1" customHeight="1">
      <c r="A433" s="19">
        <v>61.14</v>
      </c>
      <c r="B433" s="1"/>
      <c r="U433" s="644"/>
      <c r="V433" s="759"/>
      <c r="W433" s="14"/>
      <c r="X433" s="7"/>
      <c r="Y433" s="7"/>
      <c r="Z433" s="7"/>
      <c r="AA433" s="7"/>
      <c r="AB433" s="7"/>
      <c r="AC433" s="7"/>
    </row>
    <row r="434" spans="1:29" ht="27" hidden="1" customHeight="1">
      <c r="A434" s="19">
        <v>61.15</v>
      </c>
      <c r="B434" s="1"/>
      <c r="U434" s="644"/>
      <c r="V434" s="759"/>
      <c r="W434" s="14"/>
      <c r="X434" s="7"/>
      <c r="Y434" s="7"/>
      <c r="Z434" s="7"/>
      <c r="AA434" s="7"/>
      <c r="AB434" s="7"/>
      <c r="AC434" s="7"/>
    </row>
    <row r="435" spans="1:29" ht="25.5" hidden="1">
      <c r="A435" s="19">
        <v>61.16</v>
      </c>
      <c r="B435" s="148"/>
      <c r="C435" s="91"/>
      <c r="D435" s="91"/>
      <c r="E435" s="91"/>
      <c r="F435" s="91"/>
      <c r="G435" s="91"/>
      <c r="H435" s="91"/>
      <c r="I435" s="91"/>
      <c r="J435" s="22"/>
      <c r="K435" s="22"/>
      <c r="L435" s="22"/>
      <c r="M435" s="22"/>
      <c r="N435" s="22"/>
      <c r="O435" s="91"/>
      <c r="P435" s="91"/>
      <c r="Q435" s="149"/>
      <c r="R435" s="200"/>
      <c r="S435" s="91"/>
      <c r="T435" s="91">
        <f>P435-O435</f>
        <v>0</v>
      </c>
      <c r="U435" s="644"/>
      <c r="V435" s="759"/>
      <c r="W435" s="14"/>
      <c r="X435" s="7"/>
      <c r="Y435" s="7"/>
      <c r="Z435" s="7"/>
      <c r="AA435" s="7"/>
      <c r="AB435" s="7"/>
      <c r="AC435" s="7"/>
    </row>
    <row r="436" spans="1:29" ht="28.5" hidden="1" customHeight="1">
      <c r="A436" s="19">
        <v>62</v>
      </c>
      <c r="B436" s="1"/>
      <c r="U436" s="644"/>
      <c r="V436" s="759"/>
      <c r="W436" s="14"/>
      <c r="X436" s="7"/>
      <c r="Y436" s="7"/>
      <c r="Z436" s="7"/>
      <c r="AA436" s="7"/>
      <c r="AB436" s="7"/>
      <c r="AC436" s="7"/>
    </row>
    <row r="437" spans="1:29" ht="25.5" hidden="1">
      <c r="A437" s="19">
        <v>63</v>
      </c>
      <c r="B437" s="148"/>
      <c r="C437" s="91"/>
      <c r="D437" s="91"/>
      <c r="E437" s="91"/>
      <c r="F437" s="91"/>
      <c r="G437" s="91"/>
      <c r="H437" s="91"/>
      <c r="I437" s="91"/>
      <c r="J437" s="22"/>
      <c r="K437" s="22"/>
      <c r="L437" s="22"/>
      <c r="M437" s="22"/>
      <c r="N437" s="22"/>
      <c r="O437" s="91"/>
      <c r="P437" s="91"/>
      <c r="Q437" s="22"/>
      <c r="R437" s="142"/>
      <c r="S437" s="91"/>
      <c r="T437" s="91">
        <f>(P437-O437)*S437</f>
        <v>0</v>
      </c>
      <c r="U437" s="644"/>
      <c r="V437" s="759"/>
      <c r="W437" s="14"/>
      <c r="X437" s="7"/>
      <c r="Y437" s="7"/>
      <c r="Z437" s="7"/>
      <c r="AA437" s="7"/>
      <c r="AB437" s="7"/>
      <c r="AC437" s="7"/>
    </row>
    <row r="438" spans="1:29" ht="27.75" hidden="1" customHeight="1">
      <c r="A438" s="19">
        <v>64</v>
      </c>
      <c r="U438" s="644"/>
      <c r="V438" s="759"/>
      <c r="W438" s="14"/>
      <c r="X438" s="7"/>
      <c r="Y438" s="7"/>
      <c r="Z438" s="7"/>
      <c r="AA438" s="7"/>
      <c r="AB438" s="7"/>
      <c r="AC438" s="7"/>
    </row>
    <row r="439" spans="1:29" ht="28.5" hidden="1" customHeight="1">
      <c r="A439" s="19">
        <v>65</v>
      </c>
      <c r="B439" s="148"/>
      <c r="C439" s="91"/>
      <c r="D439" s="91"/>
      <c r="E439" s="91"/>
      <c r="F439" s="91"/>
      <c r="G439" s="91"/>
      <c r="H439" s="91"/>
      <c r="I439" s="91"/>
      <c r="J439" s="22"/>
      <c r="K439" s="22"/>
      <c r="L439" s="22"/>
      <c r="M439" s="22"/>
      <c r="N439" s="22"/>
      <c r="O439" s="91"/>
      <c r="P439" s="91"/>
      <c r="Q439" s="22"/>
      <c r="R439" s="142"/>
      <c r="S439" s="91"/>
      <c r="T439" s="91"/>
      <c r="U439" s="644"/>
      <c r="V439" s="759"/>
      <c r="W439" s="14"/>
      <c r="X439" s="7"/>
      <c r="Y439" s="7"/>
      <c r="Z439" s="7"/>
      <c r="AA439" s="7"/>
      <c r="AB439" s="7"/>
      <c r="AC439" s="7"/>
    </row>
    <row r="440" spans="1:29" ht="31.5" hidden="1" customHeight="1">
      <c r="A440" s="19">
        <v>66</v>
      </c>
      <c r="U440" s="644"/>
      <c r="V440" s="759"/>
      <c r="W440" s="14" t="s">
        <v>487</v>
      </c>
      <c r="X440" s="7"/>
      <c r="Y440" s="7"/>
      <c r="Z440" s="7"/>
      <c r="AA440" s="7"/>
      <c r="AB440" s="7"/>
      <c r="AC440" s="7"/>
    </row>
    <row r="441" spans="1:29" ht="25.5" hidden="1">
      <c r="A441" s="19">
        <v>68</v>
      </c>
      <c r="U441" s="644"/>
      <c r="V441" s="759"/>
      <c r="W441" s="14"/>
      <c r="X441" s="7"/>
      <c r="Y441" s="7"/>
      <c r="Z441" s="149"/>
      <c r="AA441" s="149"/>
      <c r="AB441" s="149"/>
      <c r="AC441" s="149"/>
    </row>
    <row r="442" spans="1:29" ht="27.75" hidden="1" customHeight="1">
      <c r="A442" s="19">
        <v>70</v>
      </c>
      <c r="B442" s="1"/>
      <c r="U442" s="644"/>
      <c r="V442" s="759"/>
      <c r="W442" s="14"/>
      <c r="X442" s="7"/>
      <c r="Y442" s="7"/>
      <c r="Z442" s="149"/>
      <c r="AA442" s="149"/>
      <c r="AB442" s="149"/>
      <c r="AC442" s="149"/>
    </row>
    <row r="443" spans="1:29" ht="25.5" hidden="1">
      <c r="A443" s="19">
        <v>71</v>
      </c>
      <c r="U443" s="644"/>
      <c r="V443" s="759"/>
      <c r="W443" s="14"/>
      <c r="X443" s="7"/>
      <c r="Y443" s="7"/>
      <c r="Z443" s="149"/>
      <c r="AA443" s="149"/>
      <c r="AB443" s="149"/>
      <c r="AC443" s="149"/>
    </row>
    <row r="444" spans="1:29" ht="44.25" hidden="1" customHeight="1">
      <c r="A444" s="19">
        <v>72</v>
      </c>
      <c r="B444" s="1"/>
      <c r="U444" s="719"/>
      <c r="V444" s="1"/>
      <c r="W444" s="14">
        <v>16390</v>
      </c>
      <c r="X444" s="7"/>
      <c r="Y444" s="7"/>
      <c r="Z444" s="7"/>
      <c r="AA444" s="7"/>
      <c r="AB444" s="7"/>
      <c r="AC444" s="7"/>
    </row>
    <row r="445" spans="1:29" ht="25.5" hidden="1">
      <c r="A445" s="19">
        <v>73</v>
      </c>
      <c r="B445" s="1"/>
      <c r="U445" s="719"/>
      <c r="V445" s="1"/>
      <c r="W445" s="14">
        <v>19235</v>
      </c>
      <c r="X445" s="7"/>
      <c r="Y445" s="7"/>
      <c r="Z445" s="7"/>
      <c r="AA445" s="7"/>
      <c r="AB445" s="7"/>
      <c r="AC445" s="7"/>
    </row>
    <row r="446" spans="1:29" ht="25.5" hidden="1">
      <c r="A446" s="19">
        <v>74</v>
      </c>
      <c r="U446" s="724"/>
      <c r="W446" s="14" t="s">
        <v>488</v>
      </c>
      <c r="X446" s="7"/>
      <c r="Y446" s="7"/>
      <c r="Z446" s="7"/>
      <c r="AA446" s="7"/>
      <c r="AB446" s="7"/>
      <c r="AC446" s="7"/>
    </row>
    <row r="447" spans="1:29" ht="28.5" hidden="1" customHeight="1">
      <c r="A447" s="19">
        <v>75</v>
      </c>
      <c r="B447" s="1"/>
      <c r="U447" s="719"/>
      <c r="V447" s="1"/>
      <c r="W447" s="14"/>
      <c r="X447" s="7"/>
      <c r="Y447" s="7"/>
      <c r="Z447" s="7"/>
      <c r="AA447" s="7"/>
      <c r="AB447" s="7"/>
      <c r="AC447" s="7"/>
    </row>
    <row r="448" spans="1:29" ht="22.5" hidden="1" customHeight="1">
      <c r="A448" s="19">
        <v>76</v>
      </c>
      <c r="U448" s="644"/>
      <c r="V448" s="759"/>
      <c r="W448" s="134">
        <v>590000</v>
      </c>
      <c r="X448" s="149"/>
      <c r="Y448" s="149"/>
      <c r="Z448" s="7"/>
      <c r="AA448" s="7"/>
      <c r="AB448" s="7"/>
      <c r="AC448" s="7"/>
    </row>
    <row r="449" spans="1:29" ht="34.5" hidden="1" customHeight="1">
      <c r="A449" s="19">
        <v>77</v>
      </c>
      <c r="U449" s="644"/>
      <c r="V449" s="759"/>
      <c r="W449" s="134"/>
      <c r="X449" s="149"/>
      <c r="Y449" s="149"/>
      <c r="Z449" s="7"/>
      <c r="AA449" s="7"/>
      <c r="AB449" s="7"/>
      <c r="AC449" s="7"/>
    </row>
    <row r="450" spans="1:29" ht="30" hidden="1" customHeight="1">
      <c r="A450" s="19">
        <v>78</v>
      </c>
      <c r="U450" s="644"/>
      <c r="V450" s="759"/>
      <c r="W450" s="134">
        <v>201022</v>
      </c>
      <c r="X450" s="149"/>
      <c r="Y450" s="149"/>
      <c r="Z450" s="7"/>
      <c r="AA450" s="7"/>
      <c r="AB450" s="7"/>
      <c r="AC450" s="7"/>
    </row>
    <row r="451" spans="1:29" ht="25.5" hidden="1" customHeight="1">
      <c r="A451" s="19">
        <v>79</v>
      </c>
      <c r="U451" s="644"/>
      <c r="V451" s="759"/>
      <c r="W451" s="14"/>
      <c r="X451" s="7"/>
      <c r="Y451" s="7"/>
      <c r="Z451" s="7"/>
      <c r="AA451" s="7"/>
      <c r="AB451" s="7"/>
      <c r="AC451" s="7"/>
    </row>
    <row r="452" spans="1:29" ht="33" hidden="1" customHeight="1">
      <c r="A452" s="19">
        <v>80</v>
      </c>
      <c r="B452" s="148"/>
      <c r="C452" s="91"/>
      <c r="D452" s="91"/>
      <c r="E452" s="91"/>
      <c r="F452" s="91"/>
      <c r="G452" s="91"/>
      <c r="H452" s="91"/>
      <c r="I452" s="91"/>
      <c r="J452" s="22"/>
      <c r="K452" s="22"/>
      <c r="L452" s="22"/>
      <c r="M452" s="22"/>
      <c r="N452" s="22"/>
      <c r="O452" s="91"/>
      <c r="P452" s="91"/>
      <c r="Q452" s="22"/>
      <c r="R452" s="142"/>
      <c r="S452" s="91"/>
      <c r="T452" s="91">
        <f>(P452-O452)*S452</f>
        <v>0</v>
      </c>
      <c r="U452" s="644"/>
      <c r="V452" s="759"/>
      <c r="W452" s="14"/>
      <c r="X452" s="7"/>
      <c r="Y452" s="7"/>
      <c r="Z452" s="7"/>
      <c r="AA452" s="7"/>
      <c r="AB452" s="7"/>
      <c r="AC452" s="7"/>
    </row>
    <row r="453" spans="1:29" ht="24.75" hidden="1" customHeight="1">
      <c r="A453" s="19">
        <v>81</v>
      </c>
      <c r="U453" s="644"/>
      <c r="V453" s="759"/>
      <c r="W453" s="14"/>
      <c r="X453" s="7"/>
      <c r="Y453" s="7"/>
      <c r="Z453" s="7"/>
      <c r="AA453" s="7"/>
      <c r="AB453" s="7"/>
      <c r="AC453" s="7"/>
    </row>
    <row r="454" spans="1:29" ht="26.25" hidden="1">
      <c r="A454" s="231">
        <v>82</v>
      </c>
      <c r="U454" s="644"/>
      <c r="V454" s="759"/>
      <c r="W454" s="14" t="s">
        <v>489</v>
      </c>
      <c r="X454" s="7"/>
      <c r="Y454" s="7"/>
      <c r="Z454" s="7"/>
      <c r="AA454" s="7"/>
      <c r="AB454" s="7"/>
      <c r="AC454" s="7"/>
    </row>
    <row r="455" spans="1:29" ht="26.25" hidden="1">
      <c r="A455" s="231"/>
      <c r="U455" s="644"/>
      <c r="V455" s="759"/>
      <c r="W455" s="14"/>
      <c r="X455" s="7"/>
      <c r="Y455" s="7"/>
      <c r="Z455" s="7"/>
      <c r="AA455" s="7"/>
      <c r="AB455" s="7"/>
      <c r="AC455" s="7"/>
    </row>
    <row r="456" spans="1:29" ht="26.25" hidden="1">
      <c r="A456" s="231"/>
      <c r="U456" s="644"/>
      <c r="V456" s="759"/>
      <c r="W456" s="14"/>
      <c r="X456" s="7"/>
      <c r="Y456" s="7"/>
      <c r="Z456" s="7"/>
      <c r="AA456" s="7"/>
      <c r="AB456" s="7"/>
      <c r="AC456" s="7"/>
    </row>
    <row r="457" spans="1:29" ht="26.25" hidden="1">
      <c r="A457" s="237">
        <v>83</v>
      </c>
      <c r="B457" s="1"/>
      <c r="U457" s="719"/>
      <c r="V457" s="1"/>
      <c r="W457" s="14"/>
      <c r="X457" s="7" t="s">
        <v>490</v>
      </c>
      <c r="Y457" s="7"/>
      <c r="Z457" s="7"/>
      <c r="AA457" s="7"/>
      <c r="AB457" s="7"/>
      <c r="AC457" s="7"/>
    </row>
    <row r="458" spans="1:29" ht="26.25" hidden="1">
      <c r="A458" s="231"/>
      <c r="B458" s="1"/>
      <c r="U458" s="719"/>
      <c r="V458" s="1"/>
      <c r="W458" s="14"/>
      <c r="X458" s="7"/>
      <c r="Y458" s="7"/>
      <c r="Z458" s="7"/>
      <c r="AA458" s="7"/>
      <c r="AB458" s="7"/>
      <c r="AC458" s="7"/>
    </row>
    <row r="459" spans="1:29" ht="31.5" hidden="1" customHeight="1">
      <c r="A459" s="19">
        <v>84</v>
      </c>
      <c r="U459" s="644"/>
      <c r="V459" s="759"/>
      <c r="W459" s="14"/>
      <c r="X459" s="7"/>
      <c r="Y459" s="7"/>
      <c r="Z459" s="7"/>
      <c r="AA459" s="7"/>
      <c r="AB459" s="7"/>
      <c r="AC459" s="7"/>
    </row>
    <row r="460" spans="1:29" ht="25.5" hidden="1">
      <c r="A460" s="19">
        <v>85</v>
      </c>
      <c r="B460" s="1"/>
      <c r="U460" s="719"/>
      <c r="V460" s="1"/>
      <c r="W460" s="14" t="s">
        <v>491</v>
      </c>
      <c r="X460" s="7"/>
      <c r="Y460" s="7"/>
      <c r="Z460" s="7"/>
      <c r="AA460" s="7"/>
      <c r="AB460" s="7"/>
      <c r="AC460" s="7"/>
    </row>
    <row r="461" spans="1:29" ht="26.25" hidden="1" customHeight="1">
      <c r="A461" s="19">
        <v>86</v>
      </c>
      <c r="U461" s="644"/>
      <c r="V461" s="759"/>
      <c r="W461" s="14" t="s">
        <v>492</v>
      </c>
      <c r="X461" s="7"/>
      <c r="Y461" s="7"/>
      <c r="Z461" s="7"/>
      <c r="AA461" s="7"/>
      <c r="AB461" s="7"/>
      <c r="AC461" s="7"/>
    </row>
    <row r="462" spans="1:29" ht="30" hidden="1" customHeight="1">
      <c r="A462" s="19">
        <v>87</v>
      </c>
      <c r="U462" s="644"/>
      <c r="V462" s="759"/>
      <c r="W462" s="14" t="s">
        <v>492</v>
      </c>
      <c r="X462" s="7"/>
      <c r="Y462" s="7"/>
      <c r="Z462" s="7"/>
      <c r="AA462" s="7"/>
      <c r="AB462" s="7"/>
      <c r="AC462" s="7"/>
    </row>
    <row r="463" spans="1:29" ht="26.25" hidden="1" customHeight="1">
      <c r="A463" s="19">
        <v>88</v>
      </c>
      <c r="B463" s="1"/>
      <c r="U463" s="719"/>
      <c r="V463" s="1"/>
      <c r="W463" s="14" t="s">
        <v>493</v>
      </c>
      <c r="X463" s="7"/>
      <c r="Y463" s="7"/>
      <c r="Z463" s="7"/>
      <c r="AA463" s="7"/>
      <c r="AB463" s="7"/>
      <c r="AC463" s="7"/>
    </row>
    <row r="464" spans="1:29" ht="26.25" hidden="1">
      <c r="A464" s="135">
        <v>89</v>
      </c>
      <c r="B464" s="1"/>
      <c r="U464" s="719"/>
      <c r="V464" s="1"/>
      <c r="W464" s="14"/>
      <c r="X464" s="7"/>
      <c r="Y464" s="7"/>
      <c r="Z464" s="7"/>
      <c r="AA464" s="7"/>
      <c r="AB464" s="7"/>
      <c r="AC464" s="7"/>
    </row>
    <row r="465" spans="1:29" ht="76.5" hidden="1">
      <c r="A465" s="19" t="s">
        <v>494</v>
      </c>
      <c r="B465" s="1"/>
      <c r="U465" s="719"/>
      <c r="V465" s="1"/>
      <c r="W465" s="14"/>
      <c r="X465" s="7"/>
      <c r="Y465" s="7"/>
      <c r="Z465" s="7"/>
      <c r="AA465" s="7"/>
      <c r="AB465" s="7"/>
      <c r="AC465" s="7"/>
    </row>
    <row r="466" spans="1:29" ht="25.5" hidden="1">
      <c r="A466" s="19">
        <v>90</v>
      </c>
      <c r="B466" s="1"/>
      <c r="U466" s="719"/>
      <c r="V466" s="1"/>
      <c r="W466" s="14"/>
      <c r="X466" s="7"/>
      <c r="Y466" s="7"/>
      <c r="Z466" s="7"/>
      <c r="AA466" s="7"/>
      <c r="AB466" s="7"/>
      <c r="AC466" s="7"/>
    </row>
    <row r="467" spans="1:29" ht="11.25" hidden="1" customHeight="1">
      <c r="A467" s="19">
        <v>91</v>
      </c>
      <c r="U467" s="644"/>
      <c r="V467" s="759"/>
      <c r="W467" s="14"/>
      <c r="X467" s="7"/>
      <c r="Y467" s="7"/>
      <c r="Z467" s="7"/>
      <c r="AA467" s="7"/>
      <c r="AB467" s="7"/>
      <c r="AC467" s="7"/>
    </row>
    <row r="468" spans="1:29" ht="54" hidden="1" customHeight="1">
      <c r="A468" s="19">
        <v>92</v>
      </c>
      <c r="B468" s="1"/>
      <c r="U468" s="644"/>
      <c r="V468" s="759"/>
      <c r="W468" s="14"/>
      <c r="X468" s="7"/>
      <c r="Y468" s="7"/>
      <c r="Z468" s="7"/>
      <c r="AA468" s="7"/>
      <c r="AB468" s="7"/>
      <c r="AC468" s="7"/>
    </row>
    <row r="469" spans="1:29" ht="30.75" hidden="1" customHeight="1">
      <c r="A469" s="19">
        <v>93</v>
      </c>
      <c r="B469" s="1"/>
      <c r="U469" s="644"/>
      <c r="V469" s="759"/>
      <c r="W469" s="14"/>
      <c r="X469" s="7"/>
      <c r="Y469" s="7"/>
      <c r="Z469" s="7"/>
      <c r="AA469" s="7"/>
      <c r="AB469" s="7"/>
      <c r="AC469" s="7"/>
    </row>
    <row r="470" spans="1:29" ht="57" hidden="1" customHeight="1">
      <c r="A470" s="19">
        <v>94</v>
      </c>
      <c r="B470" s="1"/>
      <c r="U470" s="644"/>
      <c r="V470" s="759"/>
      <c r="W470" s="14"/>
      <c r="X470" s="7"/>
      <c r="Y470" s="7"/>
      <c r="Z470" s="7"/>
      <c r="AA470" s="7"/>
      <c r="AB470" s="7"/>
      <c r="AC470" s="7"/>
    </row>
    <row r="471" spans="1:29" ht="28.5" hidden="1" customHeight="1">
      <c r="A471" s="19">
        <v>95</v>
      </c>
      <c r="B471" s="1"/>
      <c r="U471" s="644"/>
      <c r="V471" s="759"/>
      <c r="W471" s="14"/>
      <c r="X471" s="7"/>
      <c r="Y471" s="7"/>
      <c r="Z471" s="7"/>
      <c r="AA471" s="7"/>
      <c r="AB471" s="7"/>
      <c r="AC471" s="7"/>
    </row>
    <row r="472" spans="1:29" ht="30.75" hidden="1" customHeight="1">
      <c r="A472" s="19">
        <v>96</v>
      </c>
      <c r="B472" s="1"/>
      <c r="U472" s="644"/>
      <c r="V472" s="759"/>
      <c r="W472" s="14"/>
      <c r="X472" s="7"/>
      <c r="Y472" s="7"/>
      <c r="Z472" s="7"/>
      <c r="AA472" s="7"/>
      <c r="AB472" s="7"/>
      <c r="AC472" s="7"/>
    </row>
    <row r="473" spans="1:29" ht="30" hidden="1" customHeight="1">
      <c r="A473" s="19">
        <v>97</v>
      </c>
      <c r="B473" s="1"/>
      <c r="U473" s="644"/>
      <c r="V473" s="759"/>
      <c r="W473" s="14"/>
      <c r="X473" s="7"/>
      <c r="Y473" s="7"/>
      <c r="Z473" s="7"/>
      <c r="AA473" s="7"/>
      <c r="AB473" s="7"/>
      <c r="AC473" s="7"/>
    </row>
    <row r="474" spans="1:29" ht="27.75" hidden="1" customHeight="1">
      <c r="A474" s="19">
        <v>98</v>
      </c>
      <c r="U474" s="644"/>
      <c r="V474" s="759"/>
      <c r="W474" s="14"/>
      <c r="X474" s="7"/>
      <c r="Y474" s="7"/>
      <c r="Z474" s="7"/>
      <c r="AA474" s="7"/>
      <c r="AB474" s="7"/>
      <c r="AC474" s="7"/>
    </row>
    <row r="475" spans="1:29" ht="25.5" hidden="1">
      <c r="A475" s="19">
        <v>99</v>
      </c>
      <c r="U475" s="644"/>
      <c r="V475" s="759"/>
      <c r="W475" s="14"/>
      <c r="X475" s="7"/>
      <c r="Y475" s="7"/>
      <c r="Z475" s="7"/>
      <c r="AA475" s="7"/>
      <c r="AB475" s="7"/>
      <c r="AC475" s="7"/>
    </row>
    <row r="476" spans="1:29" ht="25.5" hidden="1">
      <c r="A476" s="19">
        <v>100</v>
      </c>
      <c r="B476" s="148"/>
      <c r="C476" s="91"/>
      <c r="D476" s="91"/>
      <c r="E476" s="91"/>
      <c r="F476" s="91"/>
      <c r="G476" s="91"/>
      <c r="H476" s="91"/>
      <c r="I476" s="91"/>
      <c r="J476" s="22"/>
      <c r="K476" s="22"/>
      <c r="L476" s="22"/>
      <c r="M476" s="22"/>
      <c r="N476" s="22"/>
      <c r="O476" s="91"/>
      <c r="P476" s="91"/>
      <c r="Q476" s="7"/>
      <c r="R476" s="200"/>
      <c r="S476" s="151"/>
      <c r="T476" s="91">
        <f>(P476-O476)*S476</f>
        <v>0</v>
      </c>
      <c r="U476" s="644"/>
      <c r="V476" s="759"/>
      <c r="W476" s="14"/>
      <c r="X476" s="7"/>
      <c r="Y476" s="7"/>
      <c r="Z476" s="7"/>
      <c r="AA476" s="7"/>
      <c r="AB476" s="7"/>
      <c r="AC476" s="7"/>
    </row>
    <row r="477" spans="1:29" ht="28.5" hidden="1" customHeight="1">
      <c r="A477" s="19">
        <v>101</v>
      </c>
      <c r="U477" s="644"/>
      <c r="V477" s="759"/>
      <c r="W477" s="14"/>
      <c r="X477" s="7"/>
      <c r="Y477" s="7"/>
      <c r="Z477" s="7"/>
      <c r="AA477" s="7"/>
      <c r="AB477" s="7"/>
      <c r="AC477" s="7"/>
    </row>
    <row r="478" spans="1:29" ht="26.25" hidden="1" customHeight="1">
      <c r="A478" s="19">
        <v>102</v>
      </c>
      <c r="U478" s="644"/>
      <c r="V478" s="759"/>
      <c r="W478" s="14">
        <v>752.1</v>
      </c>
      <c r="X478" s="238">
        <v>809.71</v>
      </c>
      <c r="Y478" s="7"/>
      <c r="Z478" s="149"/>
      <c r="AA478" s="149"/>
      <c r="AB478" s="149"/>
      <c r="AC478" s="149"/>
    </row>
    <row r="479" spans="1:29" ht="27.75" hidden="1" customHeight="1">
      <c r="A479" s="19" t="s">
        <v>495</v>
      </c>
      <c r="U479" s="644"/>
      <c r="V479" s="759"/>
      <c r="W479" s="14"/>
      <c r="X479" s="7"/>
      <c r="Y479" s="7"/>
      <c r="Z479" s="149"/>
      <c r="AA479" s="149"/>
      <c r="AB479" s="149"/>
      <c r="AC479" s="149"/>
    </row>
    <row r="480" spans="1:29" ht="31.5" hidden="1" customHeight="1">
      <c r="A480" s="19" t="s">
        <v>496</v>
      </c>
      <c r="U480" s="644"/>
      <c r="V480" s="759"/>
      <c r="W480" s="14"/>
      <c r="X480" s="7"/>
      <c r="Y480" s="7"/>
      <c r="Z480" s="7"/>
      <c r="AA480" s="7"/>
      <c r="AB480" s="7"/>
      <c r="AC480" s="7"/>
    </row>
    <row r="481" spans="1:29" ht="27.75" hidden="1" customHeight="1">
      <c r="A481" s="19">
        <v>103</v>
      </c>
      <c r="U481" s="644"/>
      <c r="V481" s="759"/>
      <c r="W481" s="14"/>
      <c r="X481" s="7"/>
      <c r="Y481" s="7"/>
      <c r="Z481" s="7"/>
      <c r="AA481" s="7"/>
      <c r="AB481" s="7"/>
      <c r="AC481" s="7"/>
    </row>
    <row r="482" spans="1:29" ht="30" hidden="1" customHeight="1">
      <c r="A482" s="19">
        <v>104</v>
      </c>
      <c r="U482" s="644"/>
      <c r="V482" s="759"/>
      <c r="W482" s="14"/>
      <c r="X482" s="7"/>
      <c r="Y482" s="7"/>
      <c r="Z482" s="7"/>
      <c r="AA482" s="7"/>
      <c r="AB482" s="7"/>
      <c r="AC482" s="7"/>
    </row>
    <row r="483" spans="1:29" ht="102" hidden="1">
      <c r="A483" s="19" t="s">
        <v>497</v>
      </c>
      <c r="B483" s="148"/>
      <c r="C483" s="199"/>
      <c r="D483" s="91"/>
      <c r="E483" s="91"/>
      <c r="F483" s="91"/>
      <c r="G483" s="91"/>
      <c r="H483" s="91"/>
      <c r="I483" s="91"/>
      <c r="J483" s="22"/>
      <c r="K483" s="22"/>
      <c r="L483" s="22"/>
      <c r="M483" s="22"/>
      <c r="N483" s="22"/>
      <c r="O483" s="91"/>
      <c r="P483" s="91"/>
      <c r="Q483" s="7"/>
      <c r="R483" s="200"/>
      <c r="S483" s="151"/>
      <c r="T483" s="91"/>
      <c r="U483" s="644"/>
      <c r="V483" s="759"/>
      <c r="W483" s="14"/>
      <c r="X483" s="7"/>
      <c r="Y483" s="7"/>
      <c r="Z483" s="7"/>
      <c r="AA483" s="7"/>
      <c r="AB483" s="7"/>
      <c r="AC483" s="7"/>
    </row>
    <row r="484" spans="1:29" ht="26.25" hidden="1">
      <c r="A484" s="231">
        <v>105</v>
      </c>
      <c r="B484" s="1"/>
      <c r="U484" s="719"/>
      <c r="V484" s="1"/>
      <c r="W484" s="14" t="s">
        <v>498</v>
      </c>
      <c r="X484" s="7">
        <v>6652</v>
      </c>
      <c r="Y484" s="7">
        <v>11490</v>
      </c>
      <c r="Z484" s="7"/>
      <c r="AA484" s="7"/>
      <c r="AB484" s="7"/>
      <c r="AC484" s="7"/>
    </row>
    <row r="485" spans="1:29" ht="25.5" hidden="1" customHeight="1">
      <c r="A485" s="19">
        <v>107</v>
      </c>
      <c r="B485" s="1"/>
      <c r="U485" s="719"/>
      <c r="V485" s="1"/>
      <c r="W485" s="134"/>
      <c r="X485" s="149"/>
      <c r="Y485" s="149"/>
      <c r="Z485" s="7"/>
      <c r="AA485" s="7"/>
      <c r="AB485" s="7"/>
      <c r="AC485" s="7"/>
    </row>
    <row r="486" spans="1:29" ht="27" hidden="1" customHeight="1">
      <c r="A486" s="19" t="s">
        <v>499</v>
      </c>
      <c r="B486" s="1"/>
      <c r="U486" s="719"/>
      <c r="V486" s="1"/>
      <c r="W486" s="134"/>
      <c r="X486" s="149"/>
      <c r="Y486" s="149"/>
      <c r="Z486" s="7"/>
      <c r="AA486" s="7"/>
      <c r="AB486" s="7"/>
      <c r="AC486" s="7"/>
    </row>
    <row r="487" spans="1:29" ht="28.5" hidden="1" customHeight="1">
      <c r="A487" s="19">
        <v>108</v>
      </c>
      <c r="B487" s="1"/>
      <c r="U487" s="719"/>
      <c r="V487" s="1"/>
      <c r="W487" s="14"/>
      <c r="X487" s="7"/>
      <c r="Y487" s="7"/>
      <c r="Z487" s="7"/>
      <c r="AA487" s="7"/>
      <c r="AB487" s="7"/>
      <c r="AC487" s="7"/>
    </row>
    <row r="488" spans="1:29" ht="25.5" hidden="1" customHeight="1">
      <c r="A488" s="19">
        <v>109</v>
      </c>
      <c r="B488" s="148"/>
      <c r="C488" s="91"/>
      <c r="D488" s="91"/>
      <c r="E488" s="91"/>
      <c r="F488" s="91"/>
      <c r="G488" s="91"/>
      <c r="H488" s="91"/>
      <c r="I488" s="91"/>
      <c r="J488" s="22"/>
      <c r="K488" s="22"/>
      <c r="L488" s="22"/>
      <c r="M488" s="22"/>
      <c r="N488" s="22"/>
      <c r="O488" s="91"/>
      <c r="P488" s="91"/>
      <c r="Q488" s="7"/>
      <c r="R488" s="94"/>
      <c r="S488" s="151"/>
      <c r="T488" s="91"/>
      <c r="U488" s="644"/>
      <c r="V488" s="759"/>
      <c r="W488" s="14"/>
      <c r="X488" s="7"/>
      <c r="Y488" s="7"/>
      <c r="Z488" s="7"/>
      <c r="AA488" s="7"/>
      <c r="AB488" s="7"/>
      <c r="AC488" s="7"/>
    </row>
    <row r="489" spans="1:29" ht="6.75" hidden="1" customHeight="1">
      <c r="A489" s="19">
        <v>110</v>
      </c>
      <c r="B489" s="1"/>
      <c r="U489" s="719"/>
      <c r="V489" s="1"/>
      <c r="W489" s="14"/>
      <c r="X489" s="7"/>
      <c r="Y489" s="7"/>
      <c r="Z489" s="7"/>
      <c r="AA489" s="7"/>
      <c r="AB489" s="7"/>
      <c r="AC489" s="7"/>
    </row>
    <row r="490" spans="1:29" ht="25.5" hidden="1">
      <c r="A490" s="19"/>
      <c r="B490" s="148"/>
      <c r="C490" s="91"/>
      <c r="D490" s="91"/>
      <c r="E490" s="91"/>
      <c r="F490" s="91"/>
      <c r="G490" s="91"/>
      <c r="H490" s="91"/>
      <c r="I490" s="91"/>
      <c r="J490" s="22"/>
      <c r="K490" s="22"/>
      <c r="L490" s="22"/>
      <c r="M490" s="22"/>
      <c r="N490" s="22"/>
      <c r="O490" s="91"/>
      <c r="P490" s="91"/>
      <c r="Q490" s="22"/>
      <c r="R490" s="142"/>
      <c r="S490" s="151"/>
      <c r="T490" s="91"/>
      <c r="U490" s="644"/>
      <c r="V490" s="759"/>
      <c r="W490" s="14"/>
      <c r="X490" s="7"/>
      <c r="Y490" s="7"/>
      <c r="Z490" s="7"/>
      <c r="AA490" s="7"/>
      <c r="AB490" s="7"/>
      <c r="AC490" s="7"/>
    </row>
    <row r="491" spans="1:29" ht="27" hidden="1" customHeight="1">
      <c r="A491" s="231">
        <v>111</v>
      </c>
      <c r="B491" s="1"/>
      <c r="U491" s="719"/>
      <c r="V491" s="1"/>
      <c r="W491" s="14"/>
      <c r="X491" s="7"/>
      <c r="Y491" s="7"/>
      <c r="Z491" s="7"/>
      <c r="AA491" s="7"/>
      <c r="AB491" s="7"/>
      <c r="AC491" s="7"/>
    </row>
    <row r="492" spans="1:29" ht="26.25" hidden="1">
      <c r="A492" s="231"/>
      <c r="B492" s="90"/>
      <c r="C492" s="91"/>
      <c r="D492" s="115"/>
      <c r="E492" s="115"/>
      <c r="F492" s="115"/>
      <c r="G492" s="115"/>
      <c r="H492" s="115"/>
      <c r="I492" s="115"/>
      <c r="J492" s="164"/>
      <c r="K492" s="164"/>
      <c r="L492" s="164"/>
      <c r="M492" s="164"/>
      <c r="N492" s="164"/>
      <c r="O492" s="91"/>
      <c r="P492" s="91"/>
      <c r="Q492" s="22"/>
      <c r="R492" s="142"/>
      <c r="S492" s="151"/>
      <c r="T492" s="91"/>
      <c r="U492" s="644"/>
      <c r="V492" s="759"/>
      <c r="W492" s="14"/>
      <c r="X492" s="7"/>
      <c r="Y492" s="7"/>
      <c r="Z492" s="7"/>
      <c r="AA492" s="7"/>
      <c r="AB492" s="7"/>
      <c r="AC492" s="7"/>
    </row>
    <row r="493" spans="1:29" ht="25.5" hidden="1">
      <c r="A493" s="19">
        <v>112</v>
      </c>
      <c r="B493" s="148"/>
      <c r="C493" s="91"/>
      <c r="D493" s="91"/>
      <c r="E493" s="91"/>
      <c r="F493" s="91"/>
      <c r="G493" s="91"/>
      <c r="H493" s="91"/>
      <c r="I493" s="91"/>
      <c r="J493" s="22"/>
      <c r="K493" s="22"/>
      <c r="L493" s="22"/>
      <c r="M493" s="22"/>
      <c r="N493" s="22"/>
      <c r="O493" s="91"/>
      <c r="P493" s="91"/>
      <c r="Q493" s="22"/>
      <c r="R493" s="142"/>
      <c r="S493" s="151"/>
      <c r="T493" s="91"/>
      <c r="U493" s="644"/>
      <c r="V493" s="759"/>
      <c r="W493" s="14"/>
      <c r="X493" s="7"/>
      <c r="Y493" s="7"/>
      <c r="Z493" s="7"/>
      <c r="AA493" s="7"/>
      <c r="AB493" s="7"/>
      <c r="AC493" s="7"/>
    </row>
    <row r="494" spans="1:29" ht="25.5" hidden="1">
      <c r="A494" s="19">
        <v>113</v>
      </c>
      <c r="B494" s="148"/>
      <c r="C494" s="91"/>
      <c r="D494" s="91"/>
      <c r="E494" s="91"/>
      <c r="F494" s="91"/>
      <c r="G494" s="91"/>
      <c r="H494" s="91"/>
      <c r="I494" s="91"/>
      <c r="J494" s="22"/>
      <c r="K494" s="22"/>
      <c r="L494" s="22"/>
      <c r="M494" s="22"/>
      <c r="N494" s="22"/>
      <c r="O494" s="91"/>
      <c r="P494" s="91"/>
      <c r="Q494" s="149"/>
      <c r="R494" s="161"/>
      <c r="S494" s="151"/>
      <c r="T494" s="91"/>
      <c r="U494" s="644"/>
      <c r="V494" s="759"/>
      <c r="W494" s="14"/>
      <c r="X494" s="7"/>
      <c r="Y494" s="7"/>
      <c r="Z494" s="7"/>
      <c r="AA494" s="7"/>
      <c r="AB494" s="7"/>
      <c r="AC494" s="7"/>
    </row>
    <row r="495" spans="1:29" ht="25.5" hidden="1">
      <c r="A495" s="19">
        <v>114</v>
      </c>
      <c r="B495" s="148"/>
      <c r="C495" s="91"/>
      <c r="D495" s="91"/>
      <c r="E495" s="91"/>
      <c r="F495" s="91"/>
      <c r="G495" s="91"/>
      <c r="H495" s="91"/>
      <c r="I495" s="91"/>
      <c r="J495" s="22"/>
      <c r="K495" s="22"/>
      <c r="L495" s="22"/>
      <c r="M495" s="22"/>
      <c r="N495" s="22"/>
      <c r="O495" s="91"/>
      <c r="P495" s="91"/>
      <c r="Q495" s="149"/>
      <c r="R495" s="161"/>
      <c r="S495" s="151"/>
      <c r="T495" s="91"/>
      <c r="U495" s="644"/>
      <c r="V495" s="759"/>
      <c r="W495" s="14"/>
      <c r="X495" s="7"/>
      <c r="Y495" s="7"/>
      <c r="Z495" s="7"/>
      <c r="AA495" s="7"/>
      <c r="AB495" s="7"/>
      <c r="AC495" s="7"/>
    </row>
    <row r="496" spans="1:29" ht="34.5" hidden="1" customHeight="1">
      <c r="A496" s="19">
        <v>115</v>
      </c>
      <c r="B496" s="1"/>
      <c r="U496" s="719"/>
      <c r="V496" s="1"/>
      <c r="W496" s="14">
        <f>20035+15857+13968</f>
        <v>49860</v>
      </c>
      <c r="X496" s="239">
        <f>27786+1606</f>
        <v>29392</v>
      </c>
      <c r="Y496" s="7"/>
      <c r="Z496" s="7"/>
      <c r="AA496" s="7"/>
      <c r="AB496" s="7"/>
      <c r="AC496" s="7"/>
    </row>
    <row r="497" spans="1:29" ht="25.5" hidden="1">
      <c r="A497" s="19">
        <v>116</v>
      </c>
      <c r="B497" s="148"/>
      <c r="C497" s="91"/>
      <c r="D497" s="91"/>
      <c r="E497" s="91"/>
      <c r="F497" s="91"/>
      <c r="G497" s="91"/>
      <c r="H497" s="91"/>
      <c r="I497" s="91"/>
      <c r="J497" s="22"/>
      <c r="K497" s="22"/>
      <c r="L497" s="22"/>
      <c r="M497" s="22"/>
      <c r="N497" s="22"/>
      <c r="O497" s="91"/>
      <c r="P497" s="91"/>
      <c r="Q497" s="22"/>
      <c r="R497" s="142"/>
      <c r="S497" s="151"/>
      <c r="T497" s="91"/>
      <c r="U497" s="644"/>
      <c r="V497" s="759"/>
      <c r="W497" s="14"/>
      <c r="X497" s="7"/>
      <c r="Y497" s="7"/>
      <c r="Z497" s="7"/>
      <c r="AA497" s="7"/>
      <c r="AB497" s="7"/>
      <c r="AC497" s="7"/>
    </row>
    <row r="498" spans="1:29" ht="25.5" hidden="1">
      <c r="A498" s="19">
        <v>117</v>
      </c>
      <c r="B498" s="1"/>
      <c r="U498" s="719"/>
      <c r="V498" s="1"/>
      <c r="W498" s="14"/>
      <c r="X498" s="7"/>
      <c r="Y498" s="7"/>
      <c r="Z498" s="7"/>
      <c r="AA498" s="7"/>
      <c r="AB498" s="7"/>
      <c r="AC498" s="7"/>
    </row>
    <row r="499" spans="1:29" ht="30.75" hidden="1" customHeight="1">
      <c r="A499" s="19">
        <v>118</v>
      </c>
      <c r="U499" s="644"/>
      <c r="V499" s="759"/>
      <c r="W499" s="14"/>
      <c r="X499" s="7"/>
      <c r="Y499" s="7"/>
      <c r="Z499" s="7"/>
      <c r="AA499" s="7"/>
      <c r="AB499" s="7"/>
      <c r="AC499" s="7"/>
    </row>
    <row r="500" spans="1:29" ht="25.5" hidden="1">
      <c r="A500" s="19">
        <v>119</v>
      </c>
      <c r="B500" s="1"/>
      <c r="U500" s="644"/>
      <c r="V500" s="759"/>
      <c r="W500" s="14"/>
      <c r="X500" s="7"/>
      <c r="Y500" s="7"/>
      <c r="Z500" s="7"/>
      <c r="AA500" s="7"/>
      <c r="AB500" s="7"/>
      <c r="AC500" s="7"/>
    </row>
    <row r="501" spans="1:29" ht="25.5" hidden="1">
      <c r="A501" s="19">
        <v>120</v>
      </c>
      <c r="B501" s="148"/>
      <c r="C501" s="91"/>
      <c r="D501" s="91"/>
      <c r="E501" s="91"/>
      <c r="F501" s="91"/>
      <c r="G501" s="91"/>
      <c r="H501" s="91"/>
      <c r="I501" s="91"/>
      <c r="J501" s="22"/>
      <c r="K501" s="22"/>
      <c r="L501" s="22"/>
      <c r="M501" s="22"/>
      <c r="N501" s="22"/>
      <c r="O501" s="91"/>
      <c r="P501" s="91"/>
      <c r="Q501" s="7"/>
      <c r="R501" s="200"/>
      <c r="S501" s="151"/>
      <c r="T501" s="91"/>
      <c r="U501" s="644"/>
      <c r="V501" s="759"/>
      <c r="W501" s="14"/>
      <c r="X501" s="7"/>
      <c r="Y501" s="7"/>
      <c r="Z501" s="7"/>
      <c r="AA501" s="7"/>
      <c r="AB501" s="7"/>
      <c r="AC501" s="7"/>
    </row>
    <row r="502" spans="1:29" ht="25.5" hidden="1">
      <c r="A502" s="19"/>
      <c r="B502" s="148"/>
      <c r="C502" s="91"/>
      <c r="D502" s="91"/>
      <c r="E502" s="91"/>
      <c r="F502" s="91"/>
      <c r="G502" s="91"/>
      <c r="H502" s="91"/>
      <c r="I502" s="91"/>
      <c r="J502" s="22"/>
      <c r="K502" s="22"/>
      <c r="L502" s="22"/>
      <c r="M502" s="22"/>
      <c r="N502" s="22"/>
      <c r="O502" s="91"/>
      <c r="P502" s="91"/>
      <c r="Q502" s="7"/>
      <c r="R502" s="200"/>
      <c r="S502" s="151"/>
      <c r="T502" s="91"/>
      <c r="U502" s="644"/>
      <c r="V502" s="759"/>
      <c r="W502" s="14"/>
      <c r="X502" s="7"/>
      <c r="Y502" s="7"/>
      <c r="Z502" s="7"/>
      <c r="AA502" s="7"/>
      <c r="AB502" s="7"/>
      <c r="AC502" s="7"/>
    </row>
    <row r="503" spans="1:29" ht="29.25" hidden="1" customHeight="1">
      <c r="A503" s="19">
        <v>121</v>
      </c>
      <c r="U503" s="644"/>
      <c r="V503" s="759"/>
      <c r="W503" s="14"/>
      <c r="X503" s="7"/>
      <c r="Y503" s="7"/>
      <c r="Z503" s="7"/>
      <c r="AA503" s="7"/>
      <c r="AB503" s="7"/>
      <c r="AC503" s="7"/>
    </row>
    <row r="504" spans="1:29" ht="25.5" hidden="1">
      <c r="A504" s="19">
        <v>122</v>
      </c>
      <c r="B504" s="148"/>
      <c r="C504" s="91"/>
      <c r="D504" s="91"/>
      <c r="E504" s="91"/>
      <c r="F504" s="91"/>
      <c r="G504" s="91"/>
      <c r="H504" s="91"/>
      <c r="I504" s="91"/>
      <c r="J504" s="22"/>
      <c r="K504" s="22"/>
      <c r="L504" s="22"/>
      <c r="M504" s="22"/>
      <c r="N504" s="22"/>
      <c r="O504" s="91"/>
      <c r="P504" s="91"/>
      <c r="Q504" s="122"/>
      <c r="R504" s="173"/>
      <c r="S504" s="151"/>
      <c r="T504" s="91"/>
      <c r="U504" s="644"/>
      <c r="V504" s="759"/>
      <c r="W504" s="14"/>
      <c r="X504" s="7"/>
      <c r="Y504" s="7"/>
      <c r="Z504" s="7"/>
      <c r="AA504" s="7"/>
      <c r="AB504" s="7"/>
      <c r="AC504" s="7"/>
    </row>
    <row r="505" spans="1:29" ht="36" hidden="1" customHeight="1">
      <c r="A505" s="19">
        <v>123</v>
      </c>
      <c r="B505" s="1"/>
      <c r="U505" s="719"/>
      <c r="V505" s="1"/>
      <c r="W505" s="14"/>
      <c r="X505" s="7"/>
      <c r="Y505" s="7"/>
      <c r="Z505" s="7"/>
      <c r="AA505" s="7"/>
      <c r="AB505" s="7"/>
      <c r="AC505" s="7"/>
    </row>
    <row r="506" spans="1:29" ht="25.5" hidden="1">
      <c r="A506" s="19"/>
      <c r="B506" s="1"/>
      <c r="U506" s="719"/>
      <c r="V506" s="1"/>
      <c r="W506" s="14"/>
      <c r="X506" s="7"/>
      <c r="Y506" s="7"/>
      <c r="Z506" s="7"/>
      <c r="AA506" s="7"/>
      <c r="AB506" s="7"/>
      <c r="AC506" s="7"/>
    </row>
    <row r="507" spans="1:29" ht="25.5" hidden="1">
      <c r="A507" s="19">
        <v>124</v>
      </c>
      <c r="B507" s="1"/>
      <c r="U507" s="644"/>
      <c r="V507" s="759"/>
      <c r="W507" s="14"/>
      <c r="X507" s="7"/>
      <c r="Y507" s="7"/>
      <c r="Z507" s="7"/>
      <c r="AA507" s="7"/>
      <c r="AB507" s="7"/>
      <c r="AC507" s="7"/>
    </row>
    <row r="508" spans="1:29" ht="25.5" hidden="1">
      <c r="A508" s="19">
        <v>125</v>
      </c>
      <c r="B508" s="148"/>
      <c r="C508" s="91"/>
      <c r="D508" s="91"/>
      <c r="E508" s="91"/>
      <c r="F508" s="91"/>
      <c r="G508" s="91"/>
      <c r="H508" s="91"/>
      <c r="I508" s="91"/>
      <c r="J508" s="22"/>
      <c r="K508" s="22"/>
      <c r="L508" s="22"/>
      <c r="M508" s="22"/>
      <c r="N508" s="22"/>
      <c r="O508" s="91"/>
      <c r="P508" s="91"/>
      <c r="Q508" s="7"/>
      <c r="R508" s="94"/>
      <c r="S508" s="151"/>
      <c r="T508" s="91"/>
      <c r="U508" s="644"/>
      <c r="V508" s="759"/>
      <c r="W508" s="14"/>
      <c r="X508" s="7"/>
      <c r="Y508" s="7"/>
      <c r="Z508" s="7"/>
      <c r="AA508" s="7"/>
      <c r="AB508" s="7"/>
      <c r="AC508" s="7"/>
    </row>
    <row r="509" spans="1:29" ht="20.25" hidden="1">
      <c r="B509" s="1"/>
      <c r="U509" s="719"/>
      <c r="V509" s="1"/>
      <c r="W509" s="14"/>
      <c r="X509" s="7"/>
      <c r="Y509" s="7"/>
      <c r="Z509" s="7"/>
      <c r="AA509" s="7"/>
      <c r="AB509" s="7"/>
      <c r="AC509" s="7"/>
    </row>
    <row r="510" spans="1:29" ht="30" hidden="1" customHeight="1">
      <c r="A510" s="19">
        <v>127</v>
      </c>
      <c r="B510" s="148"/>
      <c r="C510" s="91"/>
      <c r="D510" s="91"/>
      <c r="E510" s="91"/>
      <c r="F510" s="91"/>
      <c r="G510" s="91"/>
      <c r="H510" s="91"/>
      <c r="I510" s="91"/>
      <c r="J510" s="22"/>
      <c r="K510" s="22"/>
      <c r="L510" s="22"/>
      <c r="M510" s="22"/>
      <c r="N510" s="22"/>
      <c r="O510" s="91"/>
      <c r="P510" s="91"/>
      <c r="Q510" s="7"/>
      <c r="R510" s="94"/>
      <c r="S510" s="151"/>
      <c r="T510" s="91"/>
      <c r="U510" s="644"/>
      <c r="V510" s="759"/>
      <c r="W510" s="14"/>
      <c r="X510" s="7"/>
      <c r="Y510" s="7"/>
      <c r="Z510" s="7"/>
      <c r="AA510" s="7"/>
      <c r="AB510" s="7"/>
      <c r="AC510" s="7"/>
    </row>
    <row r="511" spans="1:29" ht="25.5" hidden="1">
      <c r="A511" s="19"/>
      <c r="B511" s="148"/>
      <c r="C511" s="91"/>
      <c r="D511" s="91"/>
      <c r="E511" s="91"/>
      <c r="F511" s="91"/>
      <c r="G511" s="91"/>
      <c r="H511" s="91"/>
      <c r="I511" s="91"/>
      <c r="J511" s="22"/>
      <c r="K511" s="22"/>
      <c r="L511" s="22"/>
      <c r="M511" s="22"/>
      <c r="N511" s="22"/>
      <c r="O511" s="91"/>
      <c r="P511" s="91"/>
      <c r="Q511" s="22"/>
      <c r="R511" s="142"/>
      <c r="S511" s="151"/>
      <c r="T511" s="91"/>
      <c r="U511" s="644"/>
      <c r="V511" s="759"/>
      <c r="W511" s="14"/>
      <c r="X511" s="7"/>
      <c r="Y511" s="7"/>
      <c r="Z511" s="7"/>
      <c r="AA511" s="7"/>
      <c r="AB511" s="7"/>
      <c r="AC511" s="7"/>
    </row>
    <row r="512" spans="1:29" ht="24.75" hidden="1" customHeight="1">
      <c r="A512" s="19">
        <v>129</v>
      </c>
      <c r="U512" s="644"/>
      <c r="V512" s="759"/>
      <c r="W512" s="14"/>
      <c r="X512" s="7"/>
      <c r="Y512" s="7"/>
      <c r="Z512" s="7"/>
      <c r="AA512" s="7"/>
      <c r="AB512" s="7"/>
      <c r="AC512" s="7"/>
    </row>
    <row r="513" spans="1:29" ht="27.75" hidden="1" customHeight="1">
      <c r="A513" s="19">
        <v>130</v>
      </c>
      <c r="B513" s="1"/>
      <c r="U513" s="644"/>
      <c r="V513" s="759"/>
      <c r="W513" s="14"/>
      <c r="X513" s="7"/>
      <c r="Y513" s="7"/>
      <c r="Z513" s="7"/>
      <c r="AA513" s="7"/>
      <c r="AB513" s="7"/>
      <c r="AC513" s="7"/>
    </row>
    <row r="514" spans="1:29" ht="19.5" hidden="1" customHeight="1">
      <c r="A514" s="19">
        <v>131</v>
      </c>
      <c r="B514" s="1"/>
      <c r="U514" s="719"/>
      <c r="V514" s="1"/>
      <c r="W514" s="14"/>
      <c r="X514" s="7"/>
      <c r="Y514" s="7"/>
      <c r="Z514" s="7"/>
      <c r="AA514" s="7"/>
      <c r="AB514" s="7"/>
      <c r="AC514" s="7"/>
    </row>
    <row r="515" spans="1:29" ht="25.5" hidden="1">
      <c r="A515" s="19"/>
      <c r="B515" s="1"/>
      <c r="U515" s="719"/>
      <c r="V515" s="1"/>
      <c r="W515" s="14"/>
      <c r="X515" s="7"/>
      <c r="Y515" s="7"/>
      <c r="Z515" s="7"/>
      <c r="AA515" s="7"/>
      <c r="AB515" s="7"/>
      <c r="AC515" s="7"/>
    </row>
    <row r="516" spans="1:29" ht="25.5" hidden="1">
      <c r="A516" s="19">
        <v>132</v>
      </c>
      <c r="U516" s="644"/>
      <c r="V516" s="759"/>
      <c r="W516" s="14"/>
      <c r="X516" s="7"/>
      <c r="Y516" s="7"/>
      <c r="Z516" s="7"/>
      <c r="AA516" s="7"/>
      <c r="AB516" s="7"/>
      <c r="AC516" s="7"/>
    </row>
    <row r="517" spans="1:29" ht="102" hidden="1">
      <c r="A517" s="19" t="s">
        <v>500</v>
      </c>
      <c r="U517" s="644"/>
      <c r="V517" s="759"/>
      <c r="W517" s="14"/>
      <c r="X517" s="7"/>
      <c r="Y517" s="7"/>
      <c r="Z517" s="7"/>
      <c r="AA517" s="7"/>
      <c r="AB517" s="7"/>
      <c r="AC517" s="7"/>
    </row>
    <row r="518" spans="1:29" ht="27" hidden="1">
      <c r="A518" s="135">
        <v>133</v>
      </c>
      <c r="B518" s="1"/>
      <c r="U518" s="719"/>
      <c r="V518" s="1"/>
      <c r="W518" s="14">
        <v>144.63999999999999</v>
      </c>
      <c r="X518" s="240">
        <v>166.05</v>
      </c>
      <c r="Y518" s="7"/>
      <c r="Z518" s="7"/>
      <c r="AA518" s="7"/>
      <c r="AB518" s="7"/>
      <c r="AC518" s="7"/>
    </row>
    <row r="519" spans="1:29" ht="25.5" hidden="1">
      <c r="A519" s="19">
        <v>134</v>
      </c>
      <c r="B519" s="1"/>
      <c r="U519" s="719"/>
      <c r="V519" s="1"/>
      <c r="W519" s="14"/>
      <c r="X519" s="7"/>
      <c r="Y519" s="7"/>
      <c r="Z519" s="7"/>
      <c r="AA519" s="7"/>
      <c r="AB519" s="7"/>
      <c r="AC519" s="7"/>
    </row>
    <row r="520" spans="1:29" ht="34.5" hidden="1" customHeight="1">
      <c r="A520" s="19" t="s">
        <v>501</v>
      </c>
      <c r="B520" s="1"/>
      <c r="U520" s="719"/>
      <c r="V520" s="1"/>
      <c r="W520" s="14"/>
      <c r="X520" s="7"/>
      <c r="Y520" s="7"/>
      <c r="Z520" s="7"/>
      <c r="AA520" s="7"/>
      <c r="AB520" s="7"/>
      <c r="AC520" s="7"/>
    </row>
    <row r="521" spans="1:29" ht="25.5" hidden="1" customHeight="1">
      <c r="A521" s="19" t="s">
        <v>502</v>
      </c>
      <c r="B521" s="1"/>
      <c r="U521" s="719"/>
      <c r="V521" s="1"/>
      <c r="W521" s="14"/>
      <c r="X521" s="7"/>
      <c r="Y521" s="7"/>
      <c r="Z521" s="7"/>
      <c r="AA521" s="7"/>
      <c r="AB521" s="7"/>
      <c r="AC521" s="7"/>
    </row>
    <row r="522" spans="1:29" ht="34.5" hidden="1" customHeight="1">
      <c r="A522" s="19" t="s">
        <v>503</v>
      </c>
      <c r="B522" s="148"/>
      <c r="C522" s="124"/>
      <c r="D522" s="124"/>
      <c r="E522" s="124"/>
      <c r="F522" s="124"/>
      <c r="G522" s="124"/>
      <c r="H522" s="124"/>
      <c r="I522" s="124"/>
      <c r="J522" s="126"/>
      <c r="K522" s="126"/>
      <c r="L522" s="126"/>
      <c r="M522" s="126"/>
      <c r="N522" s="126"/>
      <c r="O522" s="241"/>
      <c r="P522" s="241"/>
      <c r="Q522" s="7"/>
      <c r="R522" s="242"/>
      <c r="S522" s="140"/>
      <c r="T522" s="124"/>
      <c r="U522" s="717"/>
      <c r="V522" s="128"/>
      <c r="W522" s="14"/>
      <c r="X522" s="7"/>
      <c r="Y522" s="7"/>
      <c r="Z522" s="7"/>
      <c r="AA522" s="7"/>
      <c r="AB522" s="7"/>
      <c r="AC522" s="7"/>
    </row>
    <row r="523" spans="1:29" ht="102" hidden="1">
      <c r="A523" s="19" t="s">
        <v>504</v>
      </c>
      <c r="B523" s="1"/>
      <c r="U523" s="719"/>
      <c r="V523" s="1"/>
      <c r="W523" s="14"/>
      <c r="X523" s="7"/>
      <c r="Y523" s="7"/>
      <c r="Z523" s="7"/>
      <c r="AA523" s="7"/>
      <c r="AB523" s="7"/>
      <c r="AC523" s="7"/>
    </row>
    <row r="524" spans="1:29" ht="26.25" hidden="1">
      <c r="A524" s="19"/>
      <c r="B524" s="243"/>
      <c r="C524" s="124"/>
      <c r="D524" s="91"/>
      <c r="E524" s="124"/>
      <c r="F524" s="124"/>
      <c r="G524" s="124"/>
      <c r="H524" s="124"/>
      <c r="I524" s="124"/>
      <c r="J524" s="244"/>
      <c r="K524" s="244"/>
      <c r="L524" s="244"/>
      <c r="M524" s="244"/>
      <c r="N524" s="244"/>
      <c r="O524" s="115"/>
      <c r="P524" s="115"/>
      <c r="Q524" s="245"/>
      <c r="R524" s="246"/>
      <c r="S524" s="140"/>
      <c r="T524" s="124"/>
      <c r="U524" s="717"/>
      <c r="V524" s="128"/>
      <c r="W524" s="14"/>
      <c r="X524" s="7"/>
      <c r="Y524" s="7"/>
      <c r="Z524" s="7"/>
      <c r="AA524" s="7"/>
      <c r="AB524" s="7"/>
      <c r="AC524" s="7"/>
    </row>
    <row r="525" spans="1:29" ht="26.25" hidden="1">
      <c r="A525" s="135">
        <v>135</v>
      </c>
      <c r="B525" s="1"/>
      <c r="U525" s="719"/>
      <c r="V525" s="1"/>
      <c r="W525" s="14">
        <v>1687</v>
      </c>
      <c r="X525" s="48">
        <v>1800</v>
      </c>
      <c r="Y525" s="48">
        <v>60</v>
      </c>
      <c r="Z525" s="48">
        <f>(X525-W525)*Y525</f>
        <v>6780</v>
      </c>
      <c r="AA525" s="48"/>
      <c r="AB525" s="7"/>
      <c r="AC525" s="7"/>
    </row>
    <row r="526" spans="1:29" ht="30" hidden="1" customHeight="1">
      <c r="A526" s="19" t="s">
        <v>505</v>
      </c>
      <c r="B526" s="1"/>
      <c r="U526" s="644"/>
      <c r="V526" s="759"/>
      <c r="W526" s="14"/>
      <c r="X526" s="7"/>
      <c r="Y526" s="7"/>
      <c r="Z526" s="7"/>
      <c r="AA526" s="7"/>
      <c r="AB526" s="7"/>
      <c r="AC526" s="7"/>
    </row>
    <row r="527" spans="1:29" ht="30" hidden="1" customHeight="1">
      <c r="A527" s="19" t="s">
        <v>506</v>
      </c>
      <c r="U527" s="644"/>
      <c r="V527" s="759"/>
      <c r="W527" s="14"/>
      <c r="X527" s="7"/>
      <c r="Y527" s="7"/>
      <c r="Z527" s="7"/>
      <c r="AA527" s="7"/>
      <c r="AB527" s="7"/>
      <c r="AC527" s="7"/>
    </row>
    <row r="528" spans="1:29" ht="30" hidden="1" customHeight="1">
      <c r="A528" s="19" t="s">
        <v>507</v>
      </c>
      <c r="U528" s="644"/>
      <c r="V528" s="759"/>
      <c r="W528" s="14"/>
      <c r="X528" s="7"/>
      <c r="Y528" s="7"/>
      <c r="Z528" s="7"/>
      <c r="AA528" s="7"/>
      <c r="AB528" s="7"/>
      <c r="AC528" s="7"/>
    </row>
    <row r="529" spans="1:29" ht="30" hidden="1" customHeight="1">
      <c r="A529" s="19" t="s">
        <v>508</v>
      </c>
      <c r="U529" s="644"/>
      <c r="V529" s="759"/>
      <c r="W529" s="14"/>
      <c r="X529" s="7"/>
      <c r="Y529" s="7"/>
      <c r="Z529" s="7"/>
      <c r="AA529" s="7"/>
      <c r="AB529" s="7"/>
      <c r="AC529" s="7"/>
    </row>
    <row r="530" spans="1:29" ht="30" hidden="1" customHeight="1">
      <c r="A530" s="19" t="s">
        <v>509</v>
      </c>
      <c r="U530" s="644"/>
      <c r="V530" s="759"/>
      <c r="W530" s="14"/>
      <c r="X530" s="7"/>
      <c r="Y530" s="7"/>
      <c r="Z530" s="7"/>
      <c r="AA530" s="7"/>
      <c r="AB530" s="7"/>
      <c r="AC530" s="7"/>
    </row>
    <row r="531" spans="1:29" ht="30" hidden="1" customHeight="1">
      <c r="A531" s="19" t="s">
        <v>510</v>
      </c>
      <c r="U531" s="644"/>
      <c r="V531" s="759"/>
      <c r="W531" s="14"/>
      <c r="X531" s="7"/>
      <c r="Y531" s="7"/>
      <c r="Z531" s="7"/>
      <c r="AA531" s="7"/>
      <c r="AB531" s="7"/>
      <c r="AC531" s="7"/>
    </row>
    <row r="532" spans="1:29" ht="30" hidden="1" customHeight="1">
      <c r="A532" s="19" t="s">
        <v>511</v>
      </c>
      <c r="U532" s="644"/>
      <c r="V532" s="759"/>
      <c r="W532" s="14"/>
      <c r="X532" s="7"/>
      <c r="Y532" s="7"/>
      <c r="Z532" s="7"/>
      <c r="AA532" s="7"/>
      <c r="AB532" s="7"/>
      <c r="AC532" s="7"/>
    </row>
    <row r="533" spans="1:29" ht="30" hidden="1" customHeight="1">
      <c r="A533" s="19" t="s">
        <v>512</v>
      </c>
      <c r="U533" s="644"/>
      <c r="V533" s="759"/>
      <c r="W533" s="14"/>
      <c r="X533" s="7"/>
      <c r="Y533" s="7"/>
      <c r="Z533" s="7"/>
      <c r="AA533" s="7"/>
      <c r="AB533" s="7"/>
      <c r="AC533" s="7"/>
    </row>
    <row r="534" spans="1:29" ht="30" hidden="1" customHeight="1">
      <c r="A534" s="19" t="s">
        <v>513</v>
      </c>
      <c r="U534" s="644"/>
      <c r="V534" s="759"/>
      <c r="W534" s="14"/>
      <c r="X534" s="7"/>
      <c r="Y534" s="7"/>
      <c r="Z534" s="7"/>
      <c r="AA534" s="7"/>
      <c r="AB534" s="7"/>
      <c r="AC534" s="7"/>
    </row>
    <row r="535" spans="1:29" ht="28.5" hidden="1" customHeight="1">
      <c r="A535" s="19" t="s">
        <v>514</v>
      </c>
      <c r="U535" s="644"/>
      <c r="V535" s="759"/>
      <c r="W535" s="14"/>
      <c r="X535" s="7"/>
      <c r="Y535" s="7"/>
      <c r="Z535" s="7"/>
      <c r="AA535" s="7"/>
      <c r="AB535" s="7"/>
      <c r="AC535" s="7"/>
    </row>
    <row r="536" spans="1:29" ht="28.5" hidden="1" customHeight="1">
      <c r="A536" s="19"/>
      <c r="B536" s="148"/>
      <c r="C536" s="91"/>
      <c r="D536" s="91"/>
      <c r="E536" s="91"/>
      <c r="F536" s="91"/>
      <c r="G536" s="91"/>
      <c r="H536" s="91"/>
      <c r="I536" s="91"/>
      <c r="J536" s="22"/>
      <c r="K536" s="22"/>
      <c r="L536" s="22"/>
      <c r="M536" s="22"/>
      <c r="N536" s="22"/>
      <c r="O536" s="91"/>
      <c r="P536" s="91"/>
      <c r="Q536" s="7"/>
      <c r="R536" s="94"/>
      <c r="S536" s="151"/>
      <c r="T536" s="91"/>
      <c r="U536" s="644"/>
      <c r="V536" s="759"/>
      <c r="W536" s="14"/>
      <c r="X536" s="7"/>
      <c r="Y536" s="7"/>
      <c r="Z536" s="7"/>
      <c r="AA536" s="7"/>
      <c r="AB536" s="7"/>
      <c r="AC536" s="7"/>
    </row>
    <row r="537" spans="1:29" ht="25.5" hidden="1">
      <c r="A537" s="19">
        <v>137</v>
      </c>
      <c r="B537" s="1"/>
      <c r="U537" s="719"/>
      <c r="V537" s="1"/>
      <c r="W537" s="14"/>
      <c r="X537" s="7"/>
      <c r="Y537" s="7"/>
      <c r="Z537" s="7"/>
      <c r="AA537" s="7"/>
      <c r="AB537" s="7"/>
      <c r="AC537" s="7"/>
    </row>
    <row r="538" spans="1:29" ht="26.25" hidden="1" customHeight="1">
      <c r="A538" s="19">
        <v>138</v>
      </c>
      <c r="B538" s="1"/>
      <c r="U538" s="644"/>
      <c r="V538" s="759"/>
      <c r="W538" s="14"/>
      <c r="X538" s="7"/>
      <c r="Y538" s="7"/>
      <c r="Z538" s="7"/>
      <c r="AA538" s="7"/>
      <c r="AB538" s="7"/>
      <c r="AC538" s="7"/>
    </row>
    <row r="539" spans="1:29" ht="48" hidden="1" customHeight="1">
      <c r="A539" s="19">
        <v>139</v>
      </c>
      <c r="B539" s="1"/>
      <c r="U539" s="719"/>
      <c r="V539" s="1"/>
      <c r="W539" s="14"/>
      <c r="X539" s="7"/>
      <c r="Y539" s="7"/>
      <c r="Z539" s="7"/>
      <c r="AA539" s="7"/>
      <c r="AB539" s="7"/>
      <c r="AC539" s="7"/>
    </row>
    <row r="540" spans="1:29" ht="30" hidden="1" customHeight="1">
      <c r="A540" s="19" t="s">
        <v>515</v>
      </c>
      <c r="B540" s="1"/>
      <c r="U540" s="719"/>
      <c r="V540" s="1"/>
      <c r="W540" s="14"/>
      <c r="X540" s="7"/>
      <c r="Y540" s="7"/>
      <c r="Z540" s="7"/>
      <c r="AA540" s="7"/>
      <c r="AB540" s="7"/>
      <c r="AC540" s="7"/>
    </row>
    <row r="541" spans="1:29" ht="31.5" hidden="1" customHeight="1">
      <c r="A541" s="19">
        <v>140</v>
      </c>
      <c r="U541" s="644"/>
      <c r="V541" s="759"/>
      <c r="W541" s="14"/>
      <c r="X541" s="7"/>
      <c r="Y541" s="7"/>
      <c r="Z541" s="7"/>
      <c r="AA541" s="7"/>
      <c r="AB541" s="7"/>
      <c r="AC541" s="7"/>
    </row>
    <row r="542" spans="1:29" ht="28.5" hidden="1" customHeight="1">
      <c r="A542" s="19">
        <v>141</v>
      </c>
      <c r="B542" s="1"/>
      <c r="U542" s="719"/>
      <c r="V542" s="1"/>
      <c r="W542" s="14"/>
      <c r="X542" s="7"/>
      <c r="Y542" s="7"/>
      <c r="Z542" s="7"/>
      <c r="AA542" s="7"/>
      <c r="AB542" s="7"/>
      <c r="AC542" s="7"/>
    </row>
    <row r="543" spans="1:29" ht="25.5" hidden="1">
      <c r="A543" s="19">
        <v>142</v>
      </c>
      <c r="B543" s="1"/>
      <c r="U543" s="719"/>
      <c r="V543" s="1"/>
      <c r="W543" s="14"/>
      <c r="X543" s="7"/>
      <c r="Y543" s="7"/>
      <c r="Z543" s="7"/>
      <c r="AA543" s="7"/>
      <c r="AB543" s="7"/>
      <c r="AC543" s="7"/>
    </row>
    <row r="544" spans="1:29" ht="25.5" hidden="1">
      <c r="A544" s="19">
        <v>143</v>
      </c>
      <c r="B544" s="1"/>
      <c r="U544" s="644"/>
      <c r="V544" s="759"/>
      <c r="W544" s="14"/>
      <c r="X544" s="7"/>
      <c r="Y544" s="7"/>
      <c r="Z544" s="105"/>
      <c r="AA544" s="244"/>
      <c r="AB544" s="244"/>
      <c r="AC544" s="7"/>
    </row>
    <row r="545" spans="1:29" ht="30" hidden="1" customHeight="1">
      <c r="A545" s="19">
        <v>144</v>
      </c>
      <c r="B545" s="1"/>
      <c r="U545" s="644"/>
      <c r="V545" s="759"/>
      <c r="W545" s="14"/>
      <c r="X545" s="7"/>
      <c r="Y545" s="7"/>
      <c r="Z545" s="7"/>
      <c r="AA545" s="7"/>
      <c r="AB545" s="7"/>
      <c r="AC545" s="7"/>
    </row>
    <row r="546" spans="1:29" ht="25.5" hidden="1">
      <c r="A546" s="19">
        <v>145</v>
      </c>
      <c r="U546" s="644"/>
      <c r="V546" s="759"/>
      <c r="W546" s="14"/>
      <c r="X546" s="7"/>
      <c r="Y546" s="7"/>
      <c r="Z546" s="7"/>
      <c r="AA546" s="7"/>
      <c r="AB546" s="7"/>
      <c r="AC546" s="7"/>
    </row>
    <row r="547" spans="1:29" ht="25.5" hidden="1">
      <c r="A547" s="19">
        <v>146</v>
      </c>
      <c r="B547" s="148"/>
      <c r="C547" s="91"/>
      <c r="D547" s="91"/>
      <c r="E547" s="91"/>
      <c r="F547" s="91"/>
      <c r="G547" s="91"/>
      <c r="H547" s="91"/>
      <c r="I547" s="91"/>
      <c r="J547" s="22"/>
      <c r="K547" s="22"/>
      <c r="L547" s="22"/>
      <c r="M547" s="22"/>
      <c r="N547" s="22"/>
      <c r="O547" s="91"/>
      <c r="P547" s="91"/>
      <c r="Q547" s="149"/>
      <c r="R547" s="161"/>
      <c r="S547" s="151"/>
      <c r="T547" s="91">
        <f>(P547-O547)*S547</f>
        <v>0</v>
      </c>
      <c r="U547" s="644"/>
      <c r="V547" s="759"/>
      <c r="W547" s="134"/>
      <c r="X547" s="7"/>
      <c r="Y547" s="7"/>
      <c r="Z547" s="7"/>
      <c r="AA547" s="7"/>
      <c r="AB547" s="7"/>
      <c r="AC547" s="7"/>
    </row>
    <row r="548" spans="1:29" ht="25.5" hidden="1">
      <c r="A548" s="19">
        <v>147</v>
      </c>
      <c r="B548" s="1"/>
      <c r="U548" s="644"/>
      <c r="V548" s="759"/>
      <c r="W548" s="14"/>
      <c r="X548" s="7"/>
      <c r="Y548" s="7"/>
      <c r="Z548" s="7"/>
      <c r="AA548" s="7"/>
      <c r="AB548" s="7"/>
      <c r="AC548" s="7"/>
    </row>
    <row r="549" spans="1:29" ht="102" hidden="1">
      <c r="A549" s="19" t="s">
        <v>516</v>
      </c>
      <c r="U549" s="644"/>
      <c r="V549" s="759"/>
      <c r="W549" s="14"/>
      <c r="X549" s="7"/>
      <c r="Y549" s="7"/>
      <c r="Z549" s="7"/>
      <c r="AA549" s="7"/>
      <c r="AB549" s="7"/>
      <c r="AC549" s="7"/>
    </row>
    <row r="550" spans="1:29" ht="25.5" hidden="1">
      <c r="A550" s="19">
        <v>148</v>
      </c>
      <c r="U550" s="644"/>
      <c r="V550" s="759"/>
      <c r="W550" s="14"/>
      <c r="X550" s="7"/>
      <c r="Y550" s="7"/>
      <c r="Z550" s="7"/>
      <c r="AA550" s="7"/>
      <c r="AB550" s="7"/>
      <c r="AC550" s="7"/>
    </row>
    <row r="551" spans="1:29" ht="102" hidden="1">
      <c r="A551" s="19" t="s">
        <v>517</v>
      </c>
      <c r="B551" s="148"/>
      <c r="C551" s="91"/>
      <c r="D551" s="91"/>
      <c r="E551" s="91"/>
      <c r="F551" s="91"/>
      <c r="G551" s="91"/>
      <c r="H551" s="91"/>
      <c r="I551" s="91"/>
      <c r="J551" s="22"/>
      <c r="K551" s="22"/>
      <c r="L551" s="22"/>
      <c r="M551" s="22"/>
      <c r="N551" s="22"/>
      <c r="O551" s="91"/>
      <c r="P551" s="91"/>
      <c r="Q551" s="149"/>
      <c r="R551" s="161"/>
      <c r="S551" s="151"/>
      <c r="T551" s="91">
        <f>(P551-O551)*S551</f>
        <v>0</v>
      </c>
      <c r="U551" s="644"/>
      <c r="V551" s="759"/>
      <c r="W551" s="14"/>
      <c r="X551" s="244"/>
      <c r="Y551" s="244"/>
      <c r="Z551" s="7"/>
      <c r="AA551" s="7"/>
      <c r="AB551" s="7"/>
      <c r="AC551" s="7"/>
    </row>
    <row r="552" spans="1:29" ht="25.5" hidden="1">
      <c r="A552" s="19">
        <v>149</v>
      </c>
      <c r="B552" s="148"/>
      <c r="C552" s="91"/>
      <c r="D552" s="91"/>
      <c r="E552" s="91"/>
      <c r="F552" s="91"/>
      <c r="G552" s="91"/>
      <c r="H552" s="91"/>
      <c r="I552" s="91"/>
      <c r="J552" s="22"/>
      <c r="K552" s="22"/>
      <c r="L552" s="22"/>
      <c r="M552" s="22"/>
      <c r="N552" s="22"/>
      <c r="O552" s="91"/>
      <c r="P552" s="91"/>
      <c r="Q552" s="149"/>
      <c r="R552" s="161"/>
      <c r="S552" s="151"/>
      <c r="T552" s="91">
        <f>(P552-O552)*S552</f>
        <v>0</v>
      </c>
      <c r="U552" s="644"/>
      <c r="V552" s="759"/>
      <c r="W552" s="14"/>
      <c r="X552" s="7"/>
      <c r="Y552" s="7"/>
      <c r="Z552" s="7"/>
      <c r="AA552" s="7"/>
      <c r="AB552" s="7"/>
      <c r="AC552" s="7"/>
    </row>
    <row r="553" spans="1:29" ht="20.25" hidden="1" customHeight="1">
      <c r="A553" s="19">
        <v>150</v>
      </c>
      <c r="B553" s="148"/>
      <c r="C553" s="91"/>
      <c r="D553" s="91"/>
      <c r="E553" s="91"/>
      <c r="F553" s="91"/>
      <c r="G553" s="91"/>
      <c r="H553" s="91"/>
      <c r="I553" s="91"/>
      <c r="J553" s="22"/>
      <c r="K553" s="22"/>
      <c r="L553" s="22"/>
      <c r="M553" s="22"/>
      <c r="N553" s="22"/>
      <c r="O553" s="115"/>
      <c r="P553" s="115"/>
      <c r="Q553" s="149"/>
      <c r="R553" s="247"/>
      <c r="S553" s="248"/>
      <c r="T553" s="91">
        <f>(P553-O553)*S553</f>
        <v>0</v>
      </c>
      <c r="U553" s="644"/>
      <c r="V553" s="759"/>
      <c r="W553" s="134"/>
      <c r="X553" s="7"/>
      <c r="Y553" s="7"/>
      <c r="Z553" s="7"/>
      <c r="AA553" s="7"/>
      <c r="AB553" s="7"/>
      <c r="AC553" s="7"/>
    </row>
    <row r="554" spans="1:29" ht="25.5" hidden="1">
      <c r="A554" s="19">
        <v>151</v>
      </c>
      <c r="U554" s="644"/>
      <c r="V554" s="759"/>
      <c r="W554" s="14"/>
      <c r="X554" s="7"/>
      <c r="Y554" s="7"/>
      <c r="Z554" s="7"/>
      <c r="AA554" s="7"/>
      <c r="AB554" s="7"/>
      <c r="AC554" s="7"/>
    </row>
    <row r="555" spans="1:29" ht="102" hidden="1">
      <c r="A555" s="19" t="s">
        <v>518</v>
      </c>
      <c r="U555" s="644"/>
      <c r="V555" s="759"/>
      <c r="W555" s="134"/>
      <c r="X555" s="7"/>
      <c r="Y555" s="7"/>
      <c r="Z555" s="7"/>
      <c r="AA555" s="7"/>
      <c r="AB555" s="7"/>
      <c r="AC555" s="7"/>
    </row>
    <row r="556" spans="1:29" ht="102" hidden="1">
      <c r="A556" s="19" t="s">
        <v>519</v>
      </c>
      <c r="B556" s="1"/>
      <c r="U556" s="644"/>
      <c r="V556" s="759"/>
      <c r="W556" s="14"/>
      <c r="X556" s="7"/>
      <c r="Y556" s="7"/>
      <c r="Z556" s="7"/>
      <c r="AA556" s="7"/>
      <c r="AB556" s="7"/>
      <c r="AC556" s="7"/>
    </row>
    <row r="557" spans="1:29" ht="26.25" hidden="1">
      <c r="A557" s="231">
        <v>152</v>
      </c>
      <c r="B557" s="1"/>
      <c r="U557" s="719"/>
      <c r="V557" s="1"/>
      <c r="W557" s="14"/>
      <c r="X557" s="7"/>
      <c r="Y557" s="7"/>
      <c r="Z557" s="7"/>
      <c r="AA557" s="7"/>
      <c r="AB557" s="7"/>
      <c r="AC557" s="7"/>
    </row>
    <row r="558" spans="1:29" ht="28.5" hidden="1" customHeight="1">
      <c r="A558" s="19">
        <v>153</v>
      </c>
      <c r="U558" s="644"/>
      <c r="V558" s="759"/>
      <c r="W558" s="14"/>
      <c r="X558" s="7"/>
      <c r="Y558" s="7"/>
      <c r="Z558" s="7"/>
      <c r="AA558" s="7"/>
      <c r="AB558" s="7"/>
      <c r="AC558" s="7"/>
    </row>
    <row r="559" spans="1:29" ht="25.5" hidden="1">
      <c r="A559" s="19">
        <v>154</v>
      </c>
      <c r="B559" s="1"/>
      <c r="U559" s="644"/>
      <c r="V559" s="759"/>
      <c r="W559" s="14"/>
      <c r="X559" s="7"/>
      <c r="Y559" s="7"/>
      <c r="Z559" s="7"/>
      <c r="AA559" s="7"/>
      <c r="AB559" s="7"/>
      <c r="AC559" s="7"/>
    </row>
    <row r="560" spans="1:29" ht="25.5" hidden="1">
      <c r="A560" s="19">
        <v>155</v>
      </c>
      <c r="B560" s="1"/>
      <c r="U560" s="719"/>
      <c r="V560" s="1"/>
      <c r="W560" s="14"/>
      <c r="X560" s="7"/>
      <c r="Y560" s="7"/>
      <c r="Z560" s="7"/>
      <c r="AA560" s="7"/>
      <c r="AB560" s="7"/>
      <c r="AC560" s="7"/>
    </row>
    <row r="561" spans="1:29" ht="25.5" hidden="1">
      <c r="A561" s="19">
        <v>156</v>
      </c>
      <c r="B561" s="1"/>
      <c r="U561" s="719"/>
      <c r="V561" s="1"/>
      <c r="W561" s="14"/>
      <c r="X561" s="7"/>
      <c r="Y561" s="7"/>
      <c r="Z561" s="7"/>
      <c r="AA561" s="7"/>
      <c r="AB561" s="7"/>
      <c r="AC561" s="7"/>
    </row>
    <row r="562" spans="1:29" ht="25.5" hidden="1">
      <c r="A562" s="19"/>
      <c r="B562" s="1"/>
      <c r="U562" s="719"/>
      <c r="V562" s="1"/>
      <c r="W562" s="14"/>
      <c r="X562" s="7"/>
      <c r="Y562" s="7"/>
      <c r="Z562" s="7"/>
      <c r="AA562" s="7"/>
      <c r="AB562" s="7"/>
      <c r="AC562" s="7"/>
    </row>
    <row r="563" spans="1:29" ht="25.5" hidden="1">
      <c r="A563" s="19"/>
      <c r="B563" s="1"/>
      <c r="U563" s="719"/>
      <c r="V563" s="1"/>
      <c r="W563" s="14" t="s">
        <v>520</v>
      </c>
      <c r="X563" s="7"/>
      <c r="Y563" s="7"/>
      <c r="Z563" s="7"/>
      <c r="AA563" s="7"/>
      <c r="AB563" s="7"/>
      <c r="AC563" s="7"/>
    </row>
    <row r="564" spans="1:29" ht="25.5" hidden="1">
      <c r="A564" s="19"/>
      <c r="B564" s="1"/>
      <c r="U564" s="719"/>
      <c r="V564" s="1"/>
      <c r="W564" s="14"/>
      <c r="X564" s="7"/>
      <c r="Y564" s="7"/>
      <c r="Z564" s="7"/>
      <c r="AA564" s="7"/>
      <c r="AB564" s="7"/>
      <c r="AC564" s="7"/>
    </row>
    <row r="565" spans="1:29" ht="25.5" hidden="1">
      <c r="A565" s="19"/>
      <c r="B565" s="1"/>
      <c r="U565" s="719"/>
      <c r="V565" s="1"/>
      <c r="W565" s="14" t="s">
        <v>521</v>
      </c>
      <c r="X565" s="7"/>
      <c r="Y565" s="7"/>
      <c r="Z565" s="7"/>
      <c r="AA565" s="7"/>
      <c r="AB565" s="7"/>
      <c r="AC565" s="7"/>
    </row>
    <row r="566" spans="1:29" ht="25.5" hidden="1">
      <c r="A566" s="19"/>
      <c r="B566" s="1"/>
      <c r="U566" s="719"/>
      <c r="V566" s="1"/>
      <c r="W566" s="14" t="s">
        <v>522</v>
      </c>
      <c r="X566" s="7"/>
      <c r="Y566" s="7"/>
      <c r="Z566" s="7"/>
      <c r="AA566" s="7"/>
      <c r="AB566" s="7"/>
      <c r="AC566" s="7"/>
    </row>
    <row r="567" spans="1:29" ht="25.5" hidden="1">
      <c r="A567" s="19"/>
      <c r="B567" s="1"/>
      <c r="U567" s="719"/>
      <c r="V567" s="1"/>
      <c r="W567" s="14">
        <v>9462</v>
      </c>
      <c r="X567" s="7"/>
      <c r="Y567" s="7"/>
      <c r="Z567" s="7"/>
      <c r="AA567" s="7"/>
      <c r="AB567" s="7"/>
      <c r="AC567" s="7"/>
    </row>
    <row r="568" spans="1:29" ht="25.5" hidden="1">
      <c r="A568" s="19"/>
      <c r="B568" s="1"/>
      <c r="U568" s="719"/>
      <c r="V568" s="1"/>
      <c r="W568" s="14">
        <v>6899</v>
      </c>
      <c r="X568" s="48">
        <v>7486</v>
      </c>
      <c r="Y568" s="7"/>
      <c r="Z568" s="7"/>
      <c r="AA568" s="7"/>
      <c r="AB568" s="7"/>
      <c r="AC568" s="7"/>
    </row>
    <row r="569" spans="1:29" ht="26.25" hidden="1">
      <c r="A569" s="231">
        <v>157</v>
      </c>
      <c r="B569" s="90"/>
      <c r="C569" s="91"/>
      <c r="D569" s="115"/>
      <c r="E569" s="115"/>
      <c r="F569" s="249"/>
      <c r="G569" s="115"/>
      <c r="H569" s="115"/>
      <c r="I569" s="115"/>
      <c r="J569" s="22"/>
      <c r="K569" s="22"/>
      <c r="L569" s="22"/>
      <c r="M569" s="22"/>
      <c r="N569" s="22"/>
      <c r="O569" s="91"/>
      <c r="P569" s="91"/>
      <c r="Q569" s="7"/>
      <c r="R569" s="94"/>
      <c r="S569" s="151"/>
      <c r="T569" s="91"/>
      <c r="U569" s="644"/>
      <c r="V569" s="759"/>
      <c r="W569" s="14"/>
      <c r="X569" s="7"/>
      <c r="Y569" s="7"/>
      <c r="Z569" s="7"/>
      <c r="AA569" s="7"/>
      <c r="AB569" s="7"/>
      <c r="AC569" s="7"/>
    </row>
    <row r="570" spans="1:29" ht="25.5" hidden="1">
      <c r="A570" s="19">
        <v>158</v>
      </c>
      <c r="U570" s="644"/>
      <c r="V570" s="759"/>
      <c r="W570" s="14"/>
      <c r="X570" s="7"/>
      <c r="Y570" s="7"/>
      <c r="Z570" s="7"/>
      <c r="AA570" s="7"/>
      <c r="AB570" s="7"/>
      <c r="AC570" s="7"/>
    </row>
    <row r="571" spans="1:29" ht="26.25" hidden="1">
      <c r="A571" s="19"/>
      <c r="B571" s="148"/>
      <c r="C571" s="91"/>
      <c r="D571" s="91"/>
      <c r="E571" s="91"/>
      <c r="F571" s="91"/>
      <c r="G571" s="91"/>
      <c r="H571" s="91"/>
      <c r="I571" s="115"/>
      <c r="J571" s="22"/>
      <c r="K571" s="22"/>
      <c r="L571" s="22"/>
      <c r="M571" s="22"/>
      <c r="N571" s="22"/>
      <c r="O571" s="91"/>
      <c r="P571" s="91"/>
      <c r="Q571" s="22"/>
      <c r="R571" s="142"/>
      <c r="S571" s="151"/>
      <c r="T571" s="91"/>
      <c r="U571" s="644"/>
      <c r="V571" s="759"/>
      <c r="W571" s="14"/>
      <c r="X571" s="7"/>
      <c r="Y571" s="7"/>
      <c r="Z571" s="7"/>
      <c r="AA571" s="7"/>
      <c r="AB571" s="7"/>
      <c r="AC571" s="7"/>
    </row>
    <row r="572" spans="1:29" ht="25.5" hidden="1">
      <c r="A572" s="19">
        <v>160</v>
      </c>
      <c r="B572" s="1"/>
      <c r="U572" s="644"/>
      <c r="V572" s="759"/>
      <c r="W572" s="14"/>
      <c r="X572" s="7"/>
      <c r="Y572" s="7"/>
      <c r="Z572" s="7"/>
      <c r="AA572" s="7"/>
      <c r="AB572" s="7"/>
      <c r="AC572" s="7"/>
    </row>
    <row r="573" spans="1:29" ht="25.5" hidden="1">
      <c r="A573" s="19">
        <v>161</v>
      </c>
      <c r="B573" s="1"/>
      <c r="U573" s="719"/>
      <c r="V573" s="1"/>
      <c r="W573" s="14"/>
      <c r="X573" s="7"/>
      <c r="Y573" s="7"/>
      <c r="Z573" s="7"/>
      <c r="AA573" s="7"/>
      <c r="AB573" s="7"/>
      <c r="AC573" s="7"/>
    </row>
    <row r="574" spans="1:29" ht="20.25" hidden="1" customHeight="1">
      <c r="A574" s="19">
        <v>163</v>
      </c>
      <c r="B574" s="1"/>
      <c r="U574" s="719"/>
      <c r="V574" s="1"/>
      <c r="W574" s="14" t="s">
        <v>523</v>
      </c>
      <c r="X574" s="7"/>
      <c r="Y574" s="7"/>
      <c r="Z574" s="7"/>
      <c r="AA574" s="7"/>
      <c r="AB574" s="7"/>
      <c r="AC574" s="7"/>
    </row>
    <row r="575" spans="1:29" ht="26.25" hidden="1">
      <c r="A575" s="19"/>
      <c r="B575" s="148"/>
      <c r="C575" s="91"/>
      <c r="D575" s="91"/>
      <c r="E575" s="91"/>
      <c r="F575" s="250"/>
      <c r="G575" s="251"/>
      <c r="H575" s="91"/>
      <c r="I575" s="115"/>
      <c r="J575" s="22"/>
      <c r="K575" s="22"/>
      <c r="L575" s="22"/>
      <c r="M575" s="22"/>
      <c r="N575" s="22"/>
      <c r="O575" s="91"/>
      <c r="P575" s="91"/>
      <c r="Q575" s="22"/>
      <c r="R575" s="142"/>
      <c r="S575" s="151"/>
      <c r="T575" s="91"/>
      <c r="U575" s="644"/>
      <c r="V575" s="759"/>
      <c r="W575" s="14"/>
      <c r="X575" s="7"/>
      <c r="Y575" s="7"/>
      <c r="Z575" s="7"/>
      <c r="AA575" s="7"/>
      <c r="AB575" s="7"/>
      <c r="AC575" s="7"/>
    </row>
    <row r="576" spans="1:29" ht="25.5" hidden="1">
      <c r="A576" s="19">
        <v>164</v>
      </c>
      <c r="U576" s="644"/>
      <c r="V576" s="759"/>
      <c r="W576" s="14"/>
      <c r="X576" s="7"/>
      <c r="Y576" s="7"/>
      <c r="Z576" s="7"/>
      <c r="AA576" s="7"/>
      <c r="AB576" s="7"/>
      <c r="AC576" s="7"/>
    </row>
    <row r="577" spans="1:29" ht="32.25" hidden="1" customHeight="1">
      <c r="A577" s="19">
        <v>165</v>
      </c>
      <c r="U577" s="644"/>
      <c r="V577" s="759"/>
      <c r="W577" s="14"/>
      <c r="X577" s="7"/>
      <c r="Y577" s="7"/>
      <c r="Z577" s="7"/>
      <c r="AA577" s="7"/>
      <c r="AB577" s="7"/>
      <c r="AC577" s="7"/>
    </row>
    <row r="578" spans="1:29" ht="26.25" hidden="1">
      <c r="A578" s="19">
        <v>166</v>
      </c>
      <c r="B578" s="148"/>
      <c r="C578" s="91"/>
      <c r="D578" s="91"/>
      <c r="E578" s="91"/>
      <c r="F578" s="91"/>
      <c r="G578" s="91"/>
      <c r="H578" s="91"/>
      <c r="I578" s="115"/>
      <c r="J578" s="22"/>
      <c r="K578" s="22"/>
      <c r="L578" s="22"/>
      <c r="M578" s="22"/>
      <c r="N578" s="22"/>
      <c r="O578" s="91"/>
      <c r="P578" s="91"/>
      <c r="Q578" s="149"/>
      <c r="R578" s="161"/>
      <c r="S578" s="151"/>
      <c r="T578" s="91">
        <f>(P578-O578)*S578</f>
        <v>0</v>
      </c>
      <c r="U578" s="644"/>
      <c r="V578" s="759"/>
      <c r="W578" s="14"/>
      <c r="X578" s="7"/>
      <c r="Y578" s="7"/>
      <c r="Z578" s="7"/>
      <c r="AA578" s="7"/>
      <c r="AB578" s="7"/>
      <c r="AC578" s="7"/>
    </row>
    <row r="579" spans="1:29" ht="25.5" hidden="1">
      <c r="A579" s="19">
        <v>167</v>
      </c>
      <c r="U579" s="644"/>
      <c r="V579" s="759"/>
      <c r="W579" s="14"/>
      <c r="X579" s="7"/>
      <c r="Y579" s="7"/>
      <c r="Z579" s="7"/>
      <c r="AA579" s="7"/>
      <c r="AB579" s="7"/>
      <c r="AC579" s="7"/>
    </row>
    <row r="580" spans="1:29" ht="25.5" hidden="1">
      <c r="A580" s="19">
        <v>168</v>
      </c>
      <c r="B580" s="1"/>
      <c r="U580" s="719"/>
      <c r="V580" s="1"/>
      <c r="W580" s="14"/>
      <c r="X580" s="7"/>
      <c r="Y580" s="7"/>
      <c r="Z580" s="7"/>
      <c r="AA580" s="7"/>
      <c r="AB580" s="7"/>
      <c r="AC580" s="7"/>
    </row>
    <row r="581" spans="1:29" ht="27.75" hidden="1" customHeight="1">
      <c r="A581" s="19">
        <v>169</v>
      </c>
      <c r="U581" s="644"/>
      <c r="V581" s="759"/>
      <c r="W581" s="14"/>
      <c r="X581" s="7"/>
      <c r="Y581" s="7"/>
      <c r="Z581" s="7"/>
      <c r="AA581" s="7"/>
      <c r="AB581" s="7"/>
      <c r="AC581" s="7"/>
    </row>
    <row r="582" spans="1:29" ht="25.5" hidden="1">
      <c r="A582" s="19">
        <v>170</v>
      </c>
      <c r="B582" s="1"/>
      <c r="U582" s="719"/>
      <c r="V582" s="1"/>
      <c r="W582" s="14"/>
      <c r="X582" s="7"/>
      <c r="Y582" s="7"/>
      <c r="Z582" s="7"/>
      <c r="AA582" s="7"/>
      <c r="AB582" s="7"/>
      <c r="AC582" s="7"/>
    </row>
    <row r="583" spans="1:29" ht="26.25" hidden="1">
      <c r="A583" s="19">
        <v>171</v>
      </c>
      <c r="B583" s="148"/>
      <c r="C583" s="91"/>
      <c r="D583" s="91"/>
      <c r="E583" s="91"/>
      <c r="F583" s="91"/>
      <c r="G583" s="91"/>
      <c r="H583" s="91"/>
      <c r="I583" s="115"/>
      <c r="J583" s="22"/>
      <c r="K583" s="22"/>
      <c r="L583" s="22"/>
      <c r="M583" s="22"/>
      <c r="N583" s="22"/>
      <c r="O583" s="91"/>
      <c r="P583" s="91"/>
      <c r="Q583" s="22"/>
      <c r="R583" s="142"/>
      <c r="S583" s="151"/>
      <c r="T583" s="91">
        <f>(P583-O583)*S583</f>
        <v>0</v>
      </c>
      <c r="U583" s="644"/>
      <c r="V583" s="759"/>
      <c r="W583" s="14"/>
      <c r="X583" s="7"/>
      <c r="Y583" s="7"/>
      <c r="Z583" s="7"/>
      <c r="AA583" s="7"/>
      <c r="AB583" s="7"/>
      <c r="AC583" s="7"/>
    </row>
    <row r="584" spans="1:29" ht="36.75" hidden="1" customHeight="1">
      <c r="A584" s="19" t="s">
        <v>524</v>
      </c>
      <c r="B584" s="1"/>
      <c r="U584" s="719"/>
      <c r="V584" s="1"/>
      <c r="W584" s="14"/>
      <c r="X584" s="7"/>
      <c r="Y584" s="7"/>
      <c r="Z584" s="7"/>
      <c r="AA584" s="7"/>
      <c r="AB584" s="7"/>
      <c r="AC584" s="7"/>
    </row>
    <row r="585" spans="1:29" ht="23.25" hidden="1" customHeight="1">
      <c r="A585" s="19">
        <v>172</v>
      </c>
      <c r="B585" s="1"/>
      <c r="U585" s="719"/>
      <c r="V585" s="1"/>
      <c r="W585" s="14"/>
      <c r="X585" s="7"/>
      <c r="Y585" s="7"/>
      <c r="Z585" s="7"/>
      <c r="AA585" s="7"/>
      <c r="AB585" s="7"/>
      <c r="AC585" s="7"/>
    </row>
    <row r="586" spans="1:29" ht="25.5" hidden="1">
      <c r="A586" s="19"/>
      <c r="B586" s="1"/>
      <c r="U586" s="719"/>
      <c r="V586" s="1"/>
      <c r="W586" s="14" t="s">
        <v>525</v>
      </c>
      <c r="X586" s="7"/>
      <c r="Y586" s="7"/>
      <c r="Z586" s="7"/>
      <c r="AA586" s="7"/>
      <c r="AB586" s="7"/>
      <c r="AC586" s="7"/>
    </row>
    <row r="587" spans="1:29" ht="25.5" hidden="1">
      <c r="A587" s="19"/>
      <c r="B587" s="1"/>
      <c r="U587" s="719"/>
      <c r="V587" s="1"/>
      <c r="W587" s="14"/>
      <c r="X587" s="7"/>
      <c r="Y587" s="7"/>
      <c r="Z587" s="7"/>
      <c r="AA587" s="7"/>
      <c r="AB587" s="7"/>
      <c r="AC587" s="7"/>
    </row>
    <row r="588" spans="1:29" ht="25.5" hidden="1">
      <c r="A588" s="19"/>
      <c r="B588" s="1"/>
      <c r="U588" s="719"/>
      <c r="V588" s="1"/>
      <c r="W588" s="14"/>
      <c r="X588" s="7"/>
      <c r="Y588" s="7"/>
      <c r="Z588" s="7"/>
      <c r="AA588" s="7"/>
      <c r="AB588" s="7"/>
      <c r="AC588" s="7"/>
    </row>
    <row r="589" spans="1:29" ht="12" hidden="1" customHeight="1">
      <c r="A589" s="19"/>
      <c r="B589" s="1"/>
      <c r="U589" s="719"/>
      <c r="V589" s="1"/>
      <c r="W589" s="14" t="s">
        <v>526</v>
      </c>
      <c r="X589" s="7"/>
      <c r="Y589" s="7"/>
      <c r="Z589" s="7"/>
      <c r="AA589" s="7"/>
      <c r="AB589" s="7"/>
      <c r="AC589" s="7"/>
    </row>
    <row r="590" spans="1:29" ht="25.5" hidden="1">
      <c r="A590" s="19">
        <v>173</v>
      </c>
      <c r="B590" s="1"/>
      <c r="U590" s="719"/>
      <c r="V590" s="1"/>
      <c r="W590" s="14" t="s">
        <v>493</v>
      </c>
      <c r="X590" s="7"/>
      <c r="Y590" s="7"/>
      <c r="Z590" s="7"/>
      <c r="AA590" s="7"/>
      <c r="AB590" s="7"/>
      <c r="AC590" s="7"/>
    </row>
    <row r="591" spans="1:29" ht="26.25" hidden="1" customHeight="1">
      <c r="A591" s="19">
        <v>174</v>
      </c>
      <c r="B591" s="1"/>
      <c r="U591" s="719"/>
      <c r="V591" s="1"/>
      <c r="W591" s="14"/>
      <c r="X591" s="7"/>
      <c r="Y591" s="7"/>
      <c r="Z591" s="7"/>
      <c r="AA591" s="7"/>
      <c r="AB591" s="7"/>
      <c r="AC591" s="7"/>
    </row>
    <row r="592" spans="1:29" ht="68.25" hidden="1" customHeight="1">
      <c r="A592" s="19">
        <v>175</v>
      </c>
      <c r="U592" s="644"/>
      <c r="V592" s="759"/>
      <c r="W592" s="14"/>
      <c r="X592" s="7"/>
      <c r="Y592" s="7"/>
      <c r="Z592" s="7"/>
      <c r="AA592" s="7"/>
      <c r="AB592" s="7"/>
      <c r="AC592" s="7"/>
    </row>
    <row r="593" spans="1:29" ht="25.5" hidden="1">
      <c r="A593" s="19">
        <v>177</v>
      </c>
      <c r="U593" s="644"/>
      <c r="V593" s="759"/>
      <c r="W593" s="14">
        <v>126691</v>
      </c>
      <c r="X593" s="7"/>
      <c r="Y593" s="7"/>
      <c r="Z593" s="7"/>
      <c r="AA593" s="7"/>
      <c r="AB593" s="7"/>
      <c r="AC593" s="7"/>
    </row>
    <row r="594" spans="1:29" ht="32.25" hidden="1" customHeight="1">
      <c r="A594" s="19">
        <v>178</v>
      </c>
      <c r="U594" s="644"/>
      <c r="V594" s="759"/>
      <c r="W594" s="14"/>
      <c r="X594" s="7"/>
      <c r="Y594" s="7"/>
      <c r="Z594" s="7"/>
      <c r="AA594" s="7"/>
      <c r="AB594" s="7"/>
      <c r="AC594" s="7"/>
    </row>
    <row r="595" spans="1:29" ht="25.5" hidden="1">
      <c r="A595" s="19">
        <v>179</v>
      </c>
      <c r="B595" s="1"/>
      <c r="U595" s="719"/>
      <c r="V595" s="1"/>
      <c r="W595" s="14"/>
      <c r="X595" s="7"/>
      <c r="Y595" s="7"/>
      <c r="Z595" s="7"/>
      <c r="AA595" s="7"/>
      <c r="AB595" s="7"/>
      <c r="AC595" s="7"/>
    </row>
    <row r="596" spans="1:29" ht="27.75" hidden="1" customHeight="1">
      <c r="A596" s="19">
        <v>180</v>
      </c>
      <c r="B596" s="1"/>
      <c r="U596" s="644"/>
      <c r="V596" s="759"/>
      <c r="W596" s="14"/>
      <c r="X596" s="7"/>
      <c r="Y596" s="7"/>
      <c r="Z596" s="7"/>
      <c r="AA596" s="7"/>
      <c r="AB596" s="7"/>
      <c r="AC596" s="7"/>
    </row>
    <row r="597" spans="1:29" ht="25.5" hidden="1">
      <c r="A597" s="252">
        <v>181</v>
      </c>
      <c r="U597" s="644"/>
      <c r="V597" s="759"/>
      <c r="W597" s="14"/>
      <c r="X597" s="7"/>
      <c r="Y597" s="7"/>
      <c r="Z597" s="7"/>
      <c r="AA597" s="7"/>
      <c r="AB597" s="7"/>
      <c r="AC597" s="7"/>
    </row>
    <row r="598" spans="1:29" ht="25.5" hidden="1">
      <c r="A598" s="19">
        <v>182</v>
      </c>
      <c r="B598" s="1"/>
      <c r="U598" s="719"/>
      <c r="V598" s="1"/>
      <c r="W598" s="14"/>
      <c r="X598" s="7"/>
      <c r="Y598" s="7"/>
      <c r="Z598" s="7"/>
      <c r="AA598" s="7"/>
      <c r="AB598" s="7"/>
      <c r="AC598" s="7"/>
    </row>
    <row r="599" spans="1:29" ht="29.25" hidden="1" customHeight="1">
      <c r="A599" s="19">
        <v>183</v>
      </c>
      <c r="B599" s="1"/>
      <c r="U599" s="644"/>
      <c r="V599" s="759"/>
      <c r="W599" s="14"/>
      <c r="X599" s="7"/>
      <c r="Y599" s="7"/>
      <c r="Z599" s="7"/>
      <c r="AA599" s="7"/>
      <c r="AB599" s="7"/>
      <c r="AC599" s="7"/>
    </row>
    <row r="600" spans="1:29" ht="29.25" hidden="1" customHeight="1">
      <c r="A600" s="19">
        <v>184</v>
      </c>
      <c r="U600" s="644"/>
      <c r="V600" s="759"/>
      <c r="W600" s="14"/>
      <c r="X600" s="7"/>
      <c r="Y600" s="7"/>
      <c r="Z600" s="253"/>
      <c r="AA600" s="253"/>
      <c r="AB600" s="254"/>
      <c r="AC600" s="253"/>
    </row>
    <row r="601" spans="1:29" ht="26.25" hidden="1">
      <c r="A601" s="19">
        <v>185</v>
      </c>
      <c r="B601" s="148"/>
      <c r="C601" s="91"/>
      <c r="D601" s="91"/>
      <c r="E601" s="91"/>
      <c r="F601" s="91"/>
      <c r="G601" s="91"/>
      <c r="H601" s="91"/>
      <c r="I601" s="115"/>
      <c r="J601" s="22"/>
      <c r="K601" s="22"/>
      <c r="L601" s="22"/>
      <c r="M601" s="22"/>
      <c r="N601" s="22"/>
      <c r="O601" s="91"/>
      <c r="P601" s="91"/>
      <c r="Q601" s="122"/>
      <c r="R601" s="173"/>
      <c r="S601" s="151"/>
      <c r="T601" s="91"/>
      <c r="U601" s="644"/>
      <c r="V601" s="759"/>
      <c r="W601" s="14"/>
      <c r="X601" s="7"/>
      <c r="Y601" s="7"/>
      <c r="Z601" s="7"/>
      <c r="AA601" s="7"/>
      <c r="AB601" s="7"/>
      <c r="AC601" s="7"/>
    </row>
    <row r="602" spans="1:29" ht="32.25" hidden="1" customHeight="1">
      <c r="A602" s="19">
        <v>186</v>
      </c>
      <c r="U602" s="644"/>
      <c r="V602" s="759"/>
      <c r="W602" s="14"/>
      <c r="X602" s="7"/>
      <c r="Y602" s="7"/>
      <c r="Z602" s="7"/>
      <c r="AA602" s="7"/>
      <c r="AB602" s="7"/>
      <c r="AC602" s="7"/>
    </row>
    <row r="603" spans="1:29" ht="30" hidden="1" customHeight="1">
      <c r="A603" s="19">
        <v>187</v>
      </c>
      <c r="B603" s="1"/>
      <c r="U603" s="644"/>
      <c r="V603" s="759"/>
      <c r="W603" s="14"/>
      <c r="X603" s="7"/>
      <c r="Y603" s="7"/>
      <c r="Z603" s="7"/>
      <c r="AA603" s="7"/>
      <c r="AB603" s="7"/>
      <c r="AC603" s="7"/>
    </row>
    <row r="604" spans="1:29" ht="26.25" hidden="1">
      <c r="A604" s="19">
        <v>188</v>
      </c>
      <c r="B604" s="148"/>
      <c r="C604" s="91"/>
      <c r="D604" s="91"/>
      <c r="E604" s="91"/>
      <c r="F604" s="91"/>
      <c r="G604" s="91"/>
      <c r="H604" s="91"/>
      <c r="I604" s="115"/>
      <c r="J604" s="22"/>
      <c r="K604" s="22"/>
      <c r="L604" s="22"/>
      <c r="M604" s="22"/>
      <c r="N604" s="22"/>
      <c r="O604" s="91"/>
      <c r="P604" s="91"/>
      <c r="Q604" s="7"/>
      <c r="R604" s="200"/>
      <c r="S604" s="151"/>
      <c r="T604" s="91">
        <f>(P604-O604)*S604</f>
        <v>0</v>
      </c>
      <c r="U604" s="644"/>
      <c r="V604" s="759"/>
      <c r="W604" s="14"/>
      <c r="X604" s="7"/>
      <c r="Y604" s="7"/>
      <c r="Z604" s="7"/>
      <c r="AA604" s="7"/>
      <c r="AB604" s="7"/>
      <c r="AC604" s="7"/>
    </row>
    <row r="605" spans="1:29" ht="25.5" hidden="1">
      <c r="A605" s="19">
        <v>189</v>
      </c>
      <c r="B605" s="1"/>
      <c r="U605" s="644"/>
      <c r="V605" s="759"/>
      <c r="W605" s="14"/>
      <c r="X605" s="7"/>
      <c r="Y605" s="7"/>
      <c r="Z605" s="7"/>
      <c r="AA605" s="7"/>
      <c r="AB605" s="7"/>
      <c r="AC605" s="7"/>
    </row>
    <row r="606" spans="1:29" ht="26.25" hidden="1">
      <c r="A606" s="19">
        <v>190</v>
      </c>
      <c r="B606" s="148"/>
      <c r="C606" s="91"/>
      <c r="D606" s="91"/>
      <c r="E606" s="91"/>
      <c r="F606" s="91"/>
      <c r="G606" s="91"/>
      <c r="H606" s="91"/>
      <c r="I606" s="115"/>
      <c r="J606" s="22"/>
      <c r="K606" s="22"/>
      <c r="L606" s="22"/>
      <c r="M606" s="22"/>
      <c r="N606" s="22"/>
      <c r="O606" s="91"/>
      <c r="P606" s="91"/>
      <c r="Q606" s="7"/>
      <c r="R606" s="142"/>
      <c r="S606" s="151"/>
      <c r="T606" s="91">
        <f>(P606-O606)*S606</f>
        <v>0</v>
      </c>
      <c r="U606" s="644"/>
      <c r="V606" s="759"/>
      <c r="W606" s="14" t="s">
        <v>527</v>
      </c>
      <c r="X606" s="7"/>
      <c r="Y606" s="7"/>
      <c r="Z606" s="7"/>
      <c r="AA606" s="7"/>
      <c r="AB606" s="7"/>
      <c r="AC606" s="7"/>
    </row>
    <row r="607" spans="1:29" ht="26.25" hidden="1" customHeight="1">
      <c r="A607" s="19">
        <v>191</v>
      </c>
      <c r="U607" s="644"/>
      <c r="V607" s="759"/>
      <c r="W607" s="14"/>
      <c r="X607" s="7"/>
      <c r="Y607" s="7"/>
      <c r="Z607" s="7"/>
      <c r="AA607" s="7"/>
      <c r="AB607" s="7"/>
      <c r="AC607" s="7"/>
    </row>
    <row r="608" spans="1:29" ht="25.5" hidden="1">
      <c r="A608" s="19">
        <v>192</v>
      </c>
      <c r="B608" s="1"/>
      <c r="U608" s="719"/>
      <c r="V608" s="1"/>
      <c r="W608" s="14"/>
      <c r="X608" s="7"/>
      <c r="Y608" s="7"/>
      <c r="Z608" s="7"/>
      <c r="AA608" s="7"/>
      <c r="AB608" s="7"/>
      <c r="AC608" s="7"/>
    </row>
    <row r="609" spans="1:29" ht="26.25" hidden="1">
      <c r="A609" s="19">
        <v>193</v>
      </c>
      <c r="B609" s="148"/>
      <c r="C609" s="91"/>
      <c r="D609" s="91"/>
      <c r="E609" s="91"/>
      <c r="F609" s="91"/>
      <c r="G609" s="91"/>
      <c r="H609" s="91"/>
      <c r="I609" s="115"/>
      <c r="J609" s="22"/>
      <c r="K609" s="22"/>
      <c r="L609" s="22"/>
      <c r="M609" s="22"/>
      <c r="N609" s="22"/>
      <c r="O609" s="91"/>
      <c r="P609" s="91"/>
      <c r="Q609" s="22"/>
      <c r="R609" s="142"/>
      <c r="S609" s="151"/>
      <c r="T609" s="91">
        <f>(P609-O609)*S609</f>
        <v>0</v>
      </c>
      <c r="U609" s="644"/>
      <c r="V609" s="759"/>
      <c r="W609" s="14"/>
      <c r="X609" s="7"/>
      <c r="Y609" s="7"/>
      <c r="Z609" s="7"/>
      <c r="AA609" s="7"/>
      <c r="AB609" s="7"/>
      <c r="AC609" s="7"/>
    </row>
    <row r="610" spans="1:29" ht="29.25" hidden="1" customHeight="1">
      <c r="A610" s="19">
        <v>194</v>
      </c>
      <c r="U610" s="644"/>
      <c r="V610" s="759"/>
      <c r="W610" s="14"/>
      <c r="X610" s="7"/>
      <c r="Y610" s="7"/>
      <c r="Z610" s="7"/>
      <c r="AA610" s="7"/>
      <c r="AB610" s="7"/>
      <c r="AC610" s="7"/>
    </row>
    <row r="611" spans="1:29" ht="26.25" hidden="1">
      <c r="A611" s="19">
        <v>195</v>
      </c>
      <c r="B611" s="148"/>
      <c r="C611" s="91"/>
      <c r="D611" s="91"/>
      <c r="E611" s="91"/>
      <c r="F611" s="91"/>
      <c r="G611" s="91"/>
      <c r="H611" s="91"/>
      <c r="I611" s="115"/>
      <c r="J611" s="22"/>
      <c r="K611" s="22"/>
      <c r="L611" s="22"/>
      <c r="M611" s="22"/>
      <c r="N611" s="22"/>
      <c r="O611" s="91"/>
      <c r="P611" s="91"/>
      <c r="Q611" s="149"/>
      <c r="R611" s="161"/>
      <c r="S611" s="151"/>
      <c r="T611" s="91"/>
      <c r="U611" s="644"/>
      <c r="V611" s="759"/>
      <c r="W611" s="14" t="s">
        <v>528</v>
      </c>
      <c r="X611" s="7"/>
      <c r="Y611" s="7"/>
      <c r="Z611" s="7"/>
      <c r="AA611" s="7"/>
      <c r="AB611" s="7"/>
      <c r="AC611" s="7"/>
    </row>
    <row r="612" spans="1:29" ht="30" hidden="1" customHeight="1">
      <c r="A612" s="19">
        <v>196</v>
      </c>
      <c r="U612" s="644"/>
      <c r="V612" s="759"/>
      <c r="W612" s="14"/>
      <c r="X612" s="7"/>
      <c r="Y612" s="7"/>
      <c r="Z612" s="7"/>
      <c r="AA612" s="7"/>
      <c r="AB612" s="7"/>
      <c r="AC612" s="7"/>
    </row>
    <row r="613" spans="1:29" ht="27" hidden="1" customHeight="1">
      <c r="A613" s="19"/>
      <c r="B613" s="90"/>
      <c r="C613" s="115"/>
      <c r="D613" s="115"/>
      <c r="E613" s="115"/>
      <c r="F613" s="91"/>
      <c r="G613" s="91"/>
      <c r="H613" s="115"/>
      <c r="I613" s="115"/>
      <c r="J613" s="22"/>
      <c r="K613" s="22"/>
      <c r="L613" s="22"/>
      <c r="M613" s="22"/>
      <c r="N613" s="22"/>
      <c r="O613" s="91"/>
      <c r="P613" s="91"/>
      <c r="Q613" s="149"/>
      <c r="R613" s="161"/>
      <c r="S613" s="151"/>
      <c r="T613" s="91">
        <f>(P613-O613)*S613</f>
        <v>0</v>
      </c>
      <c r="U613" s="644"/>
      <c r="V613" s="759"/>
      <c r="W613" s="14"/>
      <c r="X613" s="7"/>
      <c r="Y613" s="7"/>
      <c r="Z613" s="7"/>
      <c r="AA613" s="7"/>
      <c r="AB613" s="7"/>
      <c r="AC613" s="7"/>
    </row>
    <row r="614" spans="1:29" ht="29.25" customHeight="1">
      <c r="A614" s="19"/>
      <c r="B614" s="90" t="s">
        <v>480</v>
      </c>
      <c r="C614" s="91"/>
      <c r="D614" s="91"/>
      <c r="E614" s="91"/>
      <c r="F614" s="91"/>
      <c r="G614" s="91"/>
      <c r="H614" s="91"/>
      <c r="I614" s="115"/>
      <c r="J614" s="22"/>
      <c r="K614" s="22"/>
      <c r="L614" s="22"/>
      <c r="M614" s="22"/>
      <c r="N614" s="22"/>
      <c r="O614" s="91"/>
      <c r="P614" s="91"/>
      <c r="Q614" s="149"/>
      <c r="R614" s="161"/>
      <c r="S614" s="151"/>
      <c r="T614" s="91"/>
      <c r="U614" s="644"/>
      <c r="V614" s="759"/>
      <c r="W614" s="14"/>
      <c r="X614" s="7"/>
      <c r="Y614" s="7"/>
      <c r="Z614" s="255"/>
      <c r="AA614" s="255"/>
      <c r="AB614" s="255"/>
      <c r="AC614" s="255"/>
    </row>
    <row r="615" spans="1:29" ht="29.25" customHeight="1">
      <c r="A615" s="19"/>
      <c r="B615" s="148" t="s">
        <v>529</v>
      </c>
      <c r="C615" s="91">
        <f>H615+E615</f>
        <v>276.06</v>
      </c>
      <c r="D615" s="115"/>
      <c r="E615" s="91">
        <f>F615+G615</f>
        <v>18.059999999999999</v>
      </c>
      <c r="F615" s="91">
        <f t="shared" ref="F615:F654" si="86">0.04*H615</f>
        <v>10.32</v>
      </c>
      <c r="G615" s="91">
        <f t="shared" ref="G615:G654" si="87">0.03*H615</f>
        <v>7.7399999999999993</v>
      </c>
      <c r="H615" s="91">
        <f>T615</f>
        <v>258</v>
      </c>
      <c r="I615" s="91">
        <f>0.5*C615</f>
        <v>138.03</v>
      </c>
      <c r="J615" s="22"/>
      <c r="K615" s="22"/>
      <c r="L615" s="22"/>
      <c r="M615" s="22"/>
      <c r="N615" s="22"/>
      <c r="O615" s="229">
        <v>15327</v>
      </c>
      <c r="P615" s="229">
        <v>15585</v>
      </c>
      <c r="Q615" s="149"/>
      <c r="R615" s="161"/>
      <c r="S615" s="151">
        <v>1</v>
      </c>
      <c r="T615" s="91">
        <f t="shared" ref="T615:T638" si="88">(P615-O615)*S615</f>
        <v>258</v>
      </c>
      <c r="U615" s="644">
        <v>2262538</v>
      </c>
      <c r="V615" s="761" t="s">
        <v>530</v>
      </c>
      <c r="W615" s="14" t="s">
        <v>43</v>
      </c>
      <c r="X615" s="7"/>
      <c r="Y615" s="7"/>
      <c r="Z615" s="7"/>
      <c r="AA615" s="7"/>
      <c r="AB615" s="7"/>
      <c r="AC615" s="7"/>
    </row>
    <row r="616" spans="1:29" ht="30" customHeight="1">
      <c r="A616" s="19"/>
      <c r="B616" s="148" t="s">
        <v>531</v>
      </c>
      <c r="C616" s="91">
        <f t="shared" ref="C616:C646" si="89">H616+E616</f>
        <v>0</v>
      </c>
      <c r="D616" s="91"/>
      <c r="E616" s="91">
        <f t="shared" ref="E616:E654" si="90">F616+G616</f>
        <v>0</v>
      </c>
      <c r="F616" s="91">
        <f t="shared" si="86"/>
        <v>0</v>
      </c>
      <c r="G616" s="91">
        <f t="shared" si="87"/>
        <v>0</v>
      </c>
      <c r="H616" s="91">
        <f>T616</f>
        <v>0</v>
      </c>
      <c r="I616" s="91">
        <f t="shared" ref="I616:I646" si="91">0.5*C616</f>
        <v>0</v>
      </c>
      <c r="J616" s="22"/>
      <c r="K616" s="22"/>
      <c r="L616" s="22"/>
      <c r="M616" s="22"/>
      <c r="N616" s="22"/>
      <c r="O616" s="229">
        <v>45710</v>
      </c>
      <c r="P616" s="229">
        <v>45710</v>
      </c>
      <c r="Q616" s="22"/>
      <c r="R616" s="142"/>
      <c r="S616" s="151">
        <v>1</v>
      </c>
      <c r="T616" s="91">
        <f t="shared" si="88"/>
        <v>0</v>
      </c>
      <c r="U616" s="644">
        <v>5521045</v>
      </c>
      <c r="V616" s="761" t="s">
        <v>532</v>
      </c>
      <c r="W616" s="14" t="s">
        <v>43</v>
      </c>
      <c r="X616" s="7"/>
      <c r="Y616" s="7"/>
      <c r="Z616" s="7"/>
      <c r="AA616" s="7"/>
      <c r="AB616" s="7"/>
      <c r="AC616" s="7"/>
    </row>
    <row r="617" spans="1:29" ht="27" customHeight="1">
      <c r="A617" s="19"/>
      <c r="B617" s="148" t="s">
        <v>533</v>
      </c>
      <c r="C617" s="91">
        <f t="shared" si="89"/>
        <v>441.90999999999997</v>
      </c>
      <c r="D617" s="92"/>
      <c r="E617" s="91">
        <f t="shared" si="90"/>
        <v>28.909999999999997</v>
      </c>
      <c r="F617" s="91">
        <f t="shared" si="86"/>
        <v>16.52</v>
      </c>
      <c r="G617" s="91">
        <f t="shared" si="87"/>
        <v>12.389999999999999</v>
      </c>
      <c r="H617" s="91">
        <f t="shared" ref="H617:H650" si="92">T617</f>
        <v>413</v>
      </c>
      <c r="I617" s="91">
        <f t="shared" si="91"/>
        <v>220.95499999999998</v>
      </c>
      <c r="J617" s="22"/>
      <c r="K617" s="22"/>
      <c r="L617" s="22"/>
      <c r="M617" s="22"/>
      <c r="N617" s="22"/>
      <c r="O617" s="229">
        <v>37314</v>
      </c>
      <c r="P617" s="229">
        <v>37727</v>
      </c>
      <c r="Q617" s="122"/>
      <c r="R617" s="338"/>
      <c r="S617" s="151">
        <v>1</v>
      </c>
      <c r="T617" s="91">
        <f t="shared" si="88"/>
        <v>413</v>
      </c>
      <c r="U617" s="644">
        <v>2261340</v>
      </c>
      <c r="V617" s="761" t="s">
        <v>534</v>
      </c>
      <c r="W617" s="14" t="s">
        <v>43</v>
      </c>
      <c r="X617" s="7"/>
      <c r="Y617" s="7"/>
      <c r="Z617" s="7"/>
      <c r="AA617" s="7"/>
      <c r="AB617" s="7"/>
      <c r="AC617" s="7"/>
    </row>
    <row r="618" spans="1:29" ht="30" customHeight="1">
      <c r="A618" s="19"/>
      <c r="B618" s="148" t="s">
        <v>535</v>
      </c>
      <c r="C618" s="91">
        <f t="shared" si="89"/>
        <v>858.14</v>
      </c>
      <c r="D618" s="92"/>
      <c r="E618" s="91">
        <f t="shared" si="90"/>
        <v>56.14</v>
      </c>
      <c r="F618" s="91">
        <f t="shared" si="86"/>
        <v>32.08</v>
      </c>
      <c r="G618" s="91">
        <f t="shared" si="87"/>
        <v>24.06</v>
      </c>
      <c r="H618" s="91">
        <f t="shared" si="92"/>
        <v>802</v>
      </c>
      <c r="I618" s="91">
        <f t="shared" si="91"/>
        <v>429.07</v>
      </c>
      <c r="J618" s="22"/>
      <c r="K618" s="22"/>
      <c r="L618" s="22"/>
      <c r="M618" s="22"/>
      <c r="N618" s="22"/>
      <c r="O618" s="229">
        <v>46742</v>
      </c>
      <c r="P618" s="229">
        <v>47544</v>
      </c>
      <c r="Q618" s="122"/>
      <c r="R618" s="338"/>
      <c r="S618" s="151">
        <v>1</v>
      </c>
      <c r="T618" s="91">
        <f t="shared" si="88"/>
        <v>802</v>
      </c>
      <c r="U618" s="644">
        <v>5510929</v>
      </c>
      <c r="V618" s="761" t="s">
        <v>536</v>
      </c>
      <c r="W618" s="14" t="s">
        <v>43</v>
      </c>
      <c r="X618" s="7"/>
      <c r="Y618" s="7"/>
      <c r="Z618" s="7"/>
      <c r="AA618" s="7"/>
      <c r="AB618" s="7"/>
      <c r="AC618" s="7"/>
    </row>
    <row r="619" spans="1:29" ht="27.75" customHeight="1">
      <c r="A619" s="19"/>
      <c r="B619" s="148" t="s">
        <v>537</v>
      </c>
      <c r="C619" s="91">
        <f t="shared" si="89"/>
        <v>447.26</v>
      </c>
      <c r="D619" s="115"/>
      <c r="E619" s="91">
        <f t="shared" si="90"/>
        <v>29.259999999999998</v>
      </c>
      <c r="F619" s="91">
        <f t="shared" si="86"/>
        <v>16.72</v>
      </c>
      <c r="G619" s="91">
        <f t="shared" si="87"/>
        <v>12.54</v>
      </c>
      <c r="H619" s="91">
        <f t="shared" si="92"/>
        <v>418</v>
      </c>
      <c r="I619" s="91">
        <f t="shared" si="91"/>
        <v>223.63</v>
      </c>
      <c r="J619" s="22"/>
      <c r="K619" s="22"/>
      <c r="L619" s="22"/>
      <c r="M619" s="22"/>
      <c r="N619" s="22"/>
      <c r="O619" s="229">
        <v>69463</v>
      </c>
      <c r="P619" s="229">
        <v>69881</v>
      </c>
      <c r="Q619" s="122"/>
      <c r="R619" s="338"/>
      <c r="S619" s="151">
        <v>1</v>
      </c>
      <c r="T619" s="91">
        <f t="shared" si="88"/>
        <v>418</v>
      </c>
      <c r="U619" s="644">
        <v>5511505</v>
      </c>
      <c r="V619" s="761" t="s">
        <v>538</v>
      </c>
      <c r="W619" s="14" t="s">
        <v>43</v>
      </c>
      <c r="X619" s="7"/>
      <c r="Y619" s="7"/>
      <c r="Z619" s="7"/>
      <c r="AA619" s="7"/>
      <c r="AB619" s="7"/>
      <c r="AC619" s="7"/>
    </row>
    <row r="620" spans="1:29" ht="27" customHeight="1">
      <c r="A620" s="19"/>
      <c r="B620" s="148" t="s">
        <v>539</v>
      </c>
      <c r="C620" s="91">
        <f t="shared" si="89"/>
        <v>239.68</v>
      </c>
      <c r="D620" s="92"/>
      <c r="E620" s="91">
        <f t="shared" si="90"/>
        <v>15.68</v>
      </c>
      <c r="F620" s="91">
        <f t="shared" si="86"/>
        <v>8.9600000000000009</v>
      </c>
      <c r="G620" s="91">
        <f t="shared" si="87"/>
        <v>6.72</v>
      </c>
      <c r="H620" s="91">
        <f t="shared" si="92"/>
        <v>224</v>
      </c>
      <c r="I620" s="91">
        <f t="shared" si="91"/>
        <v>119.84</v>
      </c>
      <c r="J620" s="22"/>
      <c r="K620" s="22"/>
      <c r="L620" s="22"/>
      <c r="M620" s="22"/>
      <c r="N620" s="22"/>
      <c r="O620" s="229">
        <v>39393</v>
      </c>
      <c r="P620" s="229">
        <v>39617</v>
      </c>
      <c r="Q620" s="122"/>
      <c r="R620" s="338"/>
      <c r="S620" s="151">
        <v>1</v>
      </c>
      <c r="T620" s="91">
        <f t="shared" si="88"/>
        <v>224</v>
      </c>
      <c r="U620" s="644">
        <v>5510311</v>
      </c>
      <c r="V620" s="761" t="s">
        <v>540</v>
      </c>
      <c r="W620" s="14" t="s">
        <v>43</v>
      </c>
      <c r="X620" s="7"/>
      <c r="Y620" s="7"/>
      <c r="Z620" s="7"/>
      <c r="AA620" s="7"/>
      <c r="AB620" s="7"/>
      <c r="AC620" s="7"/>
    </row>
    <row r="621" spans="1:29" ht="25.5" customHeight="1">
      <c r="A621" s="19"/>
      <c r="B621" s="148" t="s">
        <v>890</v>
      </c>
      <c r="C621" s="91">
        <f t="shared" si="89"/>
        <v>341.33</v>
      </c>
      <c r="D621" s="92"/>
      <c r="E621" s="91">
        <f t="shared" si="90"/>
        <v>22.33</v>
      </c>
      <c r="F621" s="91">
        <f t="shared" si="86"/>
        <v>12.76</v>
      </c>
      <c r="G621" s="91">
        <f t="shared" si="87"/>
        <v>9.57</v>
      </c>
      <c r="H621" s="91">
        <f t="shared" si="92"/>
        <v>319</v>
      </c>
      <c r="I621" s="91">
        <f t="shared" si="91"/>
        <v>170.66499999999999</v>
      </c>
      <c r="J621" s="22"/>
      <c r="K621" s="22"/>
      <c r="L621" s="22"/>
      <c r="M621" s="22"/>
      <c r="N621" s="22"/>
      <c r="O621" s="229">
        <v>50086</v>
      </c>
      <c r="P621" s="229">
        <v>50405</v>
      </c>
      <c r="Q621" s="122"/>
      <c r="R621" s="338"/>
      <c r="S621" s="151">
        <v>1</v>
      </c>
      <c r="T621" s="91">
        <f t="shared" si="88"/>
        <v>319</v>
      </c>
      <c r="U621" s="644">
        <v>5510177</v>
      </c>
      <c r="V621" s="761" t="s">
        <v>542</v>
      </c>
      <c r="W621" s="14" t="s">
        <v>90</v>
      </c>
      <c r="X621" s="255"/>
      <c r="Y621" s="255"/>
      <c r="Z621" s="7"/>
      <c r="AA621" s="7"/>
      <c r="AB621" s="7"/>
      <c r="AC621" s="7"/>
    </row>
    <row r="622" spans="1:29" ht="31.5" customHeight="1">
      <c r="A622" s="19"/>
      <c r="B622" s="148" t="s">
        <v>880</v>
      </c>
      <c r="C622" s="91">
        <f t="shared" si="89"/>
        <v>389.48</v>
      </c>
      <c r="D622" s="92"/>
      <c r="E622" s="91">
        <f t="shared" si="90"/>
        <v>25.48</v>
      </c>
      <c r="F622" s="91">
        <f t="shared" si="86"/>
        <v>14.56</v>
      </c>
      <c r="G622" s="91">
        <f t="shared" si="87"/>
        <v>10.92</v>
      </c>
      <c r="H622" s="91">
        <f t="shared" si="92"/>
        <v>364</v>
      </c>
      <c r="I622" s="91">
        <f t="shared" si="91"/>
        <v>194.74</v>
      </c>
      <c r="J622" s="22"/>
      <c r="K622" s="22"/>
      <c r="L622" s="22"/>
      <c r="M622" s="22"/>
      <c r="N622" s="22"/>
      <c r="O622" s="229">
        <v>90103</v>
      </c>
      <c r="P622" s="229">
        <v>90467</v>
      </c>
      <c r="Q622" s="122"/>
      <c r="R622" s="338"/>
      <c r="S622" s="151">
        <v>1</v>
      </c>
      <c r="T622" s="91">
        <f t="shared" si="88"/>
        <v>364</v>
      </c>
      <c r="U622" s="644">
        <v>2262535</v>
      </c>
      <c r="V622" s="761" t="s">
        <v>543</v>
      </c>
      <c r="W622" s="14" t="s">
        <v>90</v>
      </c>
      <c r="X622" s="7"/>
      <c r="Y622" s="7"/>
      <c r="Z622" s="7"/>
      <c r="AA622" s="7"/>
      <c r="AB622" s="7"/>
      <c r="AC622" s="7"/>
    </row>
    <row r="623" spans="1:29" ht="25.5">
      <c r="A623" s="19"/>
      <c r="B623" s="148" t="s">
        <v>544</v>
      </c>
      <c r="C623" s="91">
        <f t="shared" si="89"/>
        <v>1027.2</v>
      </c>
      <c r="D623" s="92"/>
      <c r="E623" s="91">
        <f t="shared" si="90"/>
        <v>67.199999999999989</v>
      </c>
      <c r="F623" s="91">
        <f t="shared" si="86"/>
        <v>38.4</v>
      </c>
      <c r="G623" s="91">
        <f t="shared" si="87"/>
        <v>28.799999999999997</v>
      </c>
      <c r="H623" s="91">
        <f t="shared" si="92"/>
        <v>960</v>
      </c>
      <c r="I623" s="91">
        <f t="shared" si="91"/>
        <v>513.6</v>
      </c>
      <c r="J623" s="22"/>
      <c r="K623" s="22"/>
      <c r="L623" s="22"/>
      <c r="M623" s="22"/>
      <c r="N623" s="22"/>
      <c r="O623" s="229">
        <v>46428</v>
      </c>
      <c r="P623" s="229">
        <v>47388</v>
      </c>
      <c r="Q623" s="149"/>
      <c r="R623" s="150"/>
      <c r="S623" s="151">
        <v>1</v>
      </c>
      <c r="T623" s="91">
        <f t="shared" si="88"/>
        <v>960</v>
      </c>
      <c r="U623" s="644" t="s">
        <v>1037</v>
      </c>
      <c r="V623" s="761" t="s">
        <v>546</v>
      </c>
      <c r="W623" s="14" t="s">
        <v>90</v>
      </c>
      <c r="X623" s="7"/>
      <c r="Y623" s="7"/>
      <c r="Z623" s="7"/>
      <c r="AA623" s="7"/>
      <c r="AB623" s="7"/>
      <c r="AC623" s="7"/>
    </row>
    <row r="624" spans="1:29" ht="27" customHeight="1">
      <c r="A624" s="19"/>
      <c r="B624" s="812" t="s">
        <v>547</v>
      </c>
      <c r="C624" s="91">
        <f t="shared" si="89"/>
        <v>13142.81</v>
      </c>
      <c r="D624" s="92"/>
      <c r="E624" s="91">
        <f t="shared" si="90"/>
        <v>859.81</v>
      </c>
      <c r="F624" s="91">
        <f t="shared" si="86"/>
        <v>491.32</v>
      </c>
      <c r="G624" s="91">
        <f t="shared" si="87"/>
        <v>368.49</v>
      </c>
      <c r="H624" s="91">
        <f t="shared" si="92"/>
        <v>12283</v>
      </c>
      <c r="I624" s="91">
        <f t="shared" si="91"/>
        <v>6571.4049999999997</v>
      </c>
      <c r="J624" s="22"/>
      <c r="K624" s="22"/>
      <c r="L624" s="22"/>
      <c r="M624" s="22"/>
      <c r="N624" s="22"/>
      <c r="O624" s="229">
        <v>296809</v>
      </c>
      <c r="P624" s="229">
        <v>309092</v>
      </c>
      <c r="Q624" s="149"/>
      <c r="R624" s="150"/>
      <c r="S624" s="151">
        <v>1</v>
      </c>
      <c r="T624" s="91">
        <f t="shared" si="88"/>
        <v>12283</v>
      </c>
      <c r="U624" s="644" t="s">
        <v>1093</v>
      </c>
      <c r="V624" s="761" t="s">
        <v>548</v>
      </c>
      <c r="W624" s="14" t="s">
        <v>90</v>
      </c>
      <c r="X624" s="7"/>
      <c r="Y624" s="7"/>
      <c r="Z624" s="7"/>
      <c r="AA624" s="7"/>
      <c r="AB624" s="7"/>
      <c r="AC624" s="7"/>
    </row>
    <row r="625" spans="1:29" ht="26.25">
      <c r="A625" s="257"/>
      <c r="B625" s="857"/>
      <c r="C625" s="91">
        <f t="shared" si="89"/>
        <v>387.34</v>
      </c>
      <c r="D625" s="115"/>
      <c r="E625" s="91">
        <f t="shared" si="90"/>
        <v>25.34</v>
      </c>
      <c r="F625" s="91">
        <f t="shared" si="86"/>
        <v>14.48</v>
      </c>
      <c r="G625" s="91">
        <f t="shared" si="87"/>
        <v>10.86</v>
      </c>
      <c r="H625" s="91">
        <f>T625</f>
        <v>362</v>
      </c>
      <c r="I625" s="91">
        <f t="shared" si="91"/>
        <v>193.67</v>
      </c>
      <c r="J625" s="142"/>
      <c r="K625" s="142"/>
      <c r="L625" s="142"/>
      <c r="M625" s="142"/>
      <c r="N625" s="142"/>
      <c r="O625" s="258">
        <v>304</v>
      </c>
      <c r="P625" s="258">
        <v>666</v>
      </c>
      <c r="Q625" s="173"/>
      <c r="R625" s="173"/>
      <c r="S625" s="92">
        <v>1</v>
      </c>
      <c r="T625" s="91">
        <f>(P625-O625)*S625</f>
        <v>362</v>
      </c>
      <c r="U625" s="712" t="s">
        <v>1091</v>
      </c>
      <c r="V625" s="761" t="s">
        <v>548</v>
      </c>
      <c r="W625" s="14" t="s">
        <v>90</v>
      </c>
      <c r="X625" s="7"/>
      <c r="Y625" s="7"/>
      <c r="Z625" s="7"/>
      <c r="AA625" s="7"/>
      <c r="AB625" s="7"/>
      <c r="AC625" s="7"/>
    </row>
    <row r="626" spans="1:29" ht="26.25">
      <c r="A626" s="23"/>
      <c r="B626" s="813"/>
      <c r="C626" s="91">
        <f t="shared" si="89"/>
        <v>29.96</v>
      </c>
      <c r="D626" s="115"/>
      <c r="E626" s="91">
        <f t="shared" si="90"/>
        <v>1.96</v>
      </c>
      <c r="F626" s="91">
        <f t="shared" si="86"/>
        <v>1.1200000000000001</v>
      </c>
      <c r="G626" s="91">
        <f t="shared" si="87"/>
        <v>0.84</v>
      </c>
      <c r="H626" s="91">
        <f>T626</f>
        <v>28</v>
      </c>
      <c r="I626" s="91">
        <f t="shared" si="91"/>
        <v>14.98</v>
      </c>
      <c r="J626" s="142"/>
      <c r="K626" s="142"/>
      <c r="L626" s="142"/>
      <c r="M626" s="142"/>
      <c r="N626" s="142"/>
      <c r="O626" s="258">
        <v>283</v>
      </c>
      <c r="P626" s="258">
        <v>311</v>
      </c>
      <c r="Q626" s="173"/>
      <c r="R626" s="173"/>
      <c r="S626" s="92">
        <v>1</v>
      </c>
      <c r="T626" s="91">
        <f>(P626-O626)*S626</f>
        <v>28</v>
      </c>
      <c r="U626" s="644" t="s">
        <v>1092</v>
      </c>
      <c r="V626" s="761" t="s">
        <v>548</v>
      </c>
      <c r="W626" s="14" t="s">
        <v>90</v>
      </c>
      <c r="X626" s="7"/>
      <c r="Y626" s="7"/>
      <c r="Z626" s="7"/>
      <c r="AA626" s="7"/>
      <c r="AB626" s="7"/>
      <c r="AC626" s="7"/>
    </row>
    <row r="627" spans="1:29" ht="25.5">
      <c r="A627" s="23"/>
      <c r="B627" s="104" t="s">
        <v>553</v>
      </c>
      <c r="C627" s="91">
        <f t="shared" si="89"/>
        <v>432.28</v>
      </c>
      <c r="D627" s="92"/>
      <c r="E627" s="91">
        <f t="shared" si="90"/>
        <v>28.28</v>
      </c>
      <c r="F627" s="91">
        <f t="shared" si="86"/>
        <v>16.16</v>
      </c>
      <c r="G627" s="91">
        <f t="shared" si="87"/>
        <v>12.12</v>
      </c>
      <c r="H627" s="91">
        <f t="shared" si="92"/>
        <v>404</v>
      </c>
      <c r="I627" s="91">
        <f t="shared" si="91"/>
        <v>216.14</v>
      </c>
      <c r="J627" s="142"/>
      <c r="K627" s="142"/>
      <c r="L627" s="142"/>
      <c r="M627" s="142"/>
      <c r="N627" s="142"/>
      <c r="O627" s="258">
        <v>28244</v>
      </c>
      <c r="P627" s="258">
        <v>28648</v>
      </c>
      <c r="Q627" s="173"/>
      <c r="R627" s="173"/>
      <c r="S627" s="151">
        <v>1</v>
      </c>
      <c r="T627" s="91">
        <f t="shared" si="88"/>
        <v>404</v>
      </c>
      <c r="U627" s="644">
        <v>5510402</v>
      </c>
      <c r="V627" s="761" t="s">
        <v>554</v>
      </c>
      <c r="W627" s="14" t="s">
        <v>43</v>
      </c>
      <c r="X627" s="7"/>
      <c r="Y627" s="7"/>
      <c r="Z627" s="7"/>
      <c r="AA627" s="7"/>
      <c r="AB627" s="7"/>
      <c r="AC627" s="7"/>
    </row>
    <row r="628" spans="1:29" ht="25.5">
      <c r="A628" s="23"/>
      <c r="B628" s="104" t="s">
        <v>892</v>
      </c>
      <c r="C628" s="91">
        <f t="shared" si="89"/>
        <v>386.27</v>
      </c>
      <c r="D628" s="92"/>
      <c r="E628" s="91">
        <f t="shared" si="90"/>
        <v>25.27</v>
      </c>
      <c r="F628" s="91">
        <f t="shared" si="86"/>
        <v>14.44</v>
      </c>
      <c r="G628" s="91">
        <f t="shared" si="87"/>
        <v>10.83</v>
      </c>
      <c r="H628" s="91">
        <f t="shared" si="92"/>
        <v>361</v>
      </c>
      <c r="I628" s="91">
        <f t="shared" si="91"/>
        <v>193.13499999999999</v>
      </c>
      <c r="J628" s="142"/>
      <c r="K628" s="142"/>
      <c r="L628" s="142"/>
      <c r="M628" s="142"/>
      <c r="N628" s="142"/>
      <c r="O628" s="258">
        <v>38322</v>
      </c>
      <c r="P628" s="258">
        <v>38683</v>
      </c>
      <c r="Q628" s="173"/>
      <c r="R628" s="173"/>
      <c r="S628" s="151">
        <v>1</v>
      </c>
      <c r="T628" s="91">
        <f t="shared" si="88"/>
        <v>361</v>
      </c>
      <c r="U628" s="644">
        <v>5509256</v>
      </c>
      <c r="V628" s="761" t="s">
        <v>263</v>
      </c>
      <c r="W628" s="14" t="s">
        <v>43</v>
      </c>
      <c r="X628" s="7"/>
      <c r="Y628" s="7"/>
      <c r="Z628" s="7"/>
      <c r="AA628" s="7"/>
      <c r="AB628" s="7"/>
      <c r="AC628" s="7"/>
    </row>
    <row r="629" spans="1:29" ht="25.5">
      <c r="A629" s="23"/>
      <c r="B629" s="104" t="s">
        <v>556</v>
      </c>
      <c r="C629" s="91">
        <f>H629+E629</f>
        <v>656.98</v>
      </c>
      <c r="D629" s="92"/>
      <c r="E629" s="91">
        <f t="shared" si="90"/>
        <v>42.980000000000004</v>
      </c>
      <c r="F629" s="91">
        <f t="shared" si="86"/>
        <v>24.560000000000002</v>
      </c>
      <c r="G629" s="91">
        <f t="shared" si="87"/>
        <v>18.419999999999998</v>
      </c>
      <c r="H629" s="91">
        <f t="shared" si="92"/>
        <v>614</v>
      </c>
      <c r="I629" s="91">
        <f t="shared" si="91"/>
        <v>328.49</v>
      </c>
      <c r="J629" s="142"/>
      <c r="K629" s="142"/>
      <c r="L629" s="142"/>
      <c r="M629" s="142"/>
      <c r="N629" s="142"/>
      <c r="O629" s="258">
        <v>34057</v>
      </c>
      <c r="P629" s="258">
        <v>34671</v>
      </c>
      <c r="Q629" s="173"/>
      <c r="R629" s="173"/>
      <c r="S629" s="151">
        <v>1</v>
      </c>
      <c r="T629" s="91">
        <f>(P629-O629)*S629</f>
        <v>614</v>
      </c>
      <c r="U629" s="644">
        <v>5509265</v>
      </c>
      <c r="V629" s="761" t="s">
        <v>557</v>
      </c>
      <c r="W629" s="14" t="s">
        <v>43</v>
      </c>
      <c r="X629" s="7"/>
      <c r="Y629" s="7"/>
      <c r="Z629" s="7"/>
      <c r="AA629" s="7"/>
      <c r="AB629" s="7"/>
      <c r="AC629" s="7"/>
    </row>
    <row r="630" spans="1:29" ht="25.5">
      <c r="A630" s="23"/>
      <c r="B630" s="104" t="s">
        <v>558</v>
      </c>
      <c r="C630" s="91">
        <f t="shared" si="89"/>
        <v>311.37</v>
      </c>
      <c r="D630" s="92"/>
      <c r="E630" s="91">
        <f t="shared" si="90"/>
        <v>20.37</v>
      </c>
      <c r="F630" s="91">
        <f t="shared" si="86"/>
        <v>11.64</v>
      </c>
      <c r="G630" s="91">
        <f t="shared" si="87"/>
        <v>8.73</v>
      </c>
      <c r="H630" s="91">
        <f t="shared" si="92"/>
        <v>291</v>
      </c>
      <c r="I630" s="91">
        <f t="shared" si="91"/>
        <v>155.685</v>
      </c>
      <c r="J630" s="142"/>
      <c r="K630" s="142"/>
      <c r="L630" s="142"/>
      <c r="M630" s="142"/>
      <c r="N630" s="142"/>
      <c r="O630" s="258">
        <v>23350</v>
      </c>
      <c r="P630" s="258">
        <v>23641</v>
      </c>
      <c r="Q630" s="173"/>
      <c r="R630" s="173"/>
      <c r="S630" s="151">
        <v>1</v>
      </c>
      <c r="T630" s="91">
        <f t="shared" si="88"/>
        <v>291</v>
      </c>
      <c r="U630" s="644">
        <v>5518342</v>
      </c>
      <c r="V630" s="761" t="s">
        <v>559</v>
      </c>
      <c r="W630" s="14" t="s">
        <v>43</v>
      </c>
      <c r="X630" s="7"/>
      <c r="Y630" s="7"/>
      <c r="Z630" s="7"/>
      <c r="AA630" s="7"/>
      <c r="AB630" s="7"/>
      <c r="AC630" s="7"/>
    </row>
    <row r="631" spans="1:29" ht="25.5">
      <c r="A631" s="23"/>
      <c r="B631" s="104" t="s">
        <v>560</v>
      </c>
      <c r="C631" s="91">
        <f t="shared" si="89"/>
        <v>357.38</v>
      </c>
      <c r="D631" s="92"/>
      <c r="E631" s="91">
        <f t="shared" si="90"/>
        <v>23.38</v>
      </c>
      <c r="F631" s="91">
        <f t="shared" si="86"/>
        <v>13.36</v>
      </c>
      <c r="G631" s="91">
        <f t="shared" si="87"/>
        <v>10.02</v>
      </c>
      <c r="H631" s="91">
        <f t="shared" si="92"/>
        <v>334</v>
      </c>
      <c r="I631" s="91">
        <f t="shared" si="91"/>
        <v>178.69</v>
      </c>
      <c r="J631" s="142"/>
      <c r="K631" s="142"/>
      <c r="L631" s="142"/>
      <c r="M631" s="142"/>
      <c r="N631" s="142"/>
      <c r="O631" s="258">
        <v>25976</v>
      </c>
      <c r="P631" s="258">
        <v>26310</v>
      </c>
      <c r="Q631" s="173"/>
      <c r="R631" s="173"/>
      <c r="S631" s="151">
        <v>1</v>
      </c>
      <c r="T631" s="91">
        <f t="shared" si="88"/>
        <v>334</v>
      </c>
      <c r="U631" s="644">
        <v>2262004</v>
      </c>
      <c r="V631" s="761" t="s">
        <v>561</v>
      </c>
      <c r="W631" s="14" t="s">
        <v>43</v>
      </c>
      <c r="X631" s="7"/>
      <c r="Y631" s="7"/>
      <c r="Z631" s="7"/>
      <c r="AA631" s="7"/>
      <c r="AB631" s="7"/>
      <c r="AC631" s="7"/>
    </row>
    <row r="632" spans="1:29" ht="25.5">
      <c r="A632" s="23"/>
      <c r="B632" s="104" t="s">
        <v>893</v>
      </c>
      <c r="C632" s="91">
        <f t="shared" si="89"/>
        <v>444.05</v>
      </c>
      <c r="D632" s="92"/>
      <c r="E632" s="91">
        <f t="shared" si="90"/>
        <v>29.05</v>
      </c>
      <c r="F632" s="91">
        <f t="shared" si="86"/>
        <v>16.600000000000001</v>
      </c>
      <c r="G632" s="91">
        <f t="shared" si="87"/>
        <v>12.45</v>
      </c>
      <c r="H632" s="91">
        <f t="shared" si="92"/>
        <v>415</v>
      </c>
      <c r="I632" s="91">
        <f t="shared" si="91"/>
        <v>222.02500000000001</v>
      </c>
      <c r="J632" s="142"/>
      <c r="K632" s="142"/>
      <c r="L632" s="142"/>
      <c r="M632" s="142"/>
      <c r="N632" s="142"/>
      <c r="O632" s="258">
        <v>23356</v>
      </c>
      <c r="P632" s="258">
        <v>23771</v>
      </c>
      <c r="Q632" s="173"/>
      <c r="R632" s="173"/>
      <c r="S632" s="151">
        <v>1</v>
      </c>
      <c r="T632" s="91">
        <f t="shared" si="88"/>
        <v>415</v>
      </c>
      <c r="U632" s="644">
        <v>2262573</v>
      </c>
      <c r="V632" s="761" t="s">
        <v>813</v>
      </c>
      <c r="W632" s="14" t="s">
        <v>43</v>
      </c>
      <c r="X632" s="7"/>
      <c r="Y632" s="7"/>
      <c r="Z632" s="7"/>
      <c r="AA632" s="7"/>
      <c r="AB632" s="7"/>
      <c r="AC632" s="7"/>
    </row>
    <row r="633" spans="1:29" ht="25.5">
      <c r="A633" s="23"/>
      <c r="B633" s="104" t="s">
        <v>894</v>
      </c>
      <c r="C633" s="91">
        <f t="shared" si="89"/>
        <v>547.84</v>
      </c>
      <c r="D633" s="92"/>
      <c r="E633" s="91">
        <f t="shared" si="90"/>
        <v>35.840000000000003</v>
      </c>
      <c r="F633" s="91">
        <f t="shared" si="86"/>
        <v>20.48</v>
      </c>
      <c r="G633" s="91">
        <f t="shared" si="87"/>
        <v>15.36</v>
      </c>
      <c r="H633" s="91">
        <f t="shared" si="92"/>
        <v>512</v>
      </c>
      <c r="I633" s="91">
        <f t="shared" si="91"/>
        <v>273.92</v>
      </c>
      <c r="J633" s="142"/>
      <c r="K633" s="142"/>
      <c r="L633" s="142"/>
      <c r="M633" s="142"/>
      <c r="N633" s="142"/>
      <c r="O633" s="258">
        <v>62872</v>
      </c>
      <c r="P633" s="258">
        <v>63384</v>
      </c>
      <c r="Q633" s="173"/>
      <c r="R633" s="173"/>
      <c r="S633" s="151">
        <v>1</v>
      </c>
      <c r="T633" s="91">
        <f t="shared" si="88"/>
        <v>512</v>
      </c>
      <c r="U633" s="644">
        <v>2262504</v>
      </c>
      <c r="V633" s="761" t="s">
        <v>385</v>
      </c>
      <c r="W633" s="14" t="s">
        <v>43</v>
      </c>
      <c r="X633" s="7"/>
      <c r="Y633" s="7"/>
      <c r="Z633" s="7"/>
      <c r="AA633" s="7"/>
      <c r="AB633" s="7"/>
      <c r="AC633" s="7"/>
    </row>
    <row r="634" spans="1:29" ht="25.5">
      <c r="A634" s="23"/>
      <c r="B634" s="104" t="s">
        <v>564</v>
      </c>
      <c r="C634" s="91">
        <f t="shared" si="89"/>
        <v>194.74</v>
      </c>
      <c r="D634" s="92"/>
      <c r="E634" s="91">
        <f t="shared" si="90"/>
        <v>12.74</v>
      </c>
      <c r="F634" s="91">
        <f t="shared" si="86"/>
        <v>7.28</v>
      </c>
      <c r="G634" s="91">
        <f t="shared" si="87"/>
        <v>5.46</v>
      </c>
      <c r="H634" s="91">
        <f t="shared" si="92"/>
        <v>182</v>
      </c>
      <c r="I634" s="91">
        <f t="shared" si="91"/>
        <v>97.37</v>
      </c>
      <c r="J634" s="142"/>
      <c r="K634" s="142"/>
      <c r="L634" s="142"/>
      <c r="M634" s="142"/>
      <c r="N634" s="142"/>
      <c r="O634" s="258">
        <v>15065</v>
      </c>
      <c r="P634" s="258">
        <v>15247</v>
      </c>
      <c r="Q634" s="173"/>
      <c r="R634" s="173"/>
      <c r="S634" s="151">
        <v>1</v>
      </c>
      <c r="T634" s="91">
        <f t="shared" si="88"/>
        <v>182</v>
      </c>
      <c r="U634" s="644">
        <v>282333</v>
      </c>
      <c r="V634" s="761" t="s">
        <v>565</v>
      </c>
      <c r="W634" s="14" t="s">
        <v>43</v>
      </c>
      <c r="X634" s="7"/>
      <c r="Y634" s="7"/>
      <c r="Z634" s="7"/>
      <c r="AA634" s="7"/>
      <c r="AB634" s="7"/>
      <c r="AC634" s="7"/>
    </row>
    <row r="635" spans="1:29" ht="26.25">
      <c r="A635" s="23"/>
      <c r="B635" s="645" t="s">
        <v>549</v>
      </c>
      <c r="C635" s="91">
        <f>H635+E635</f>
        <v>607.76</v>
      </c>
      <c r="D635" s="110"/>
      <c r="E635" s="91">
        <f>F635+G635</f>
        <v>39.76</v>
      </c>
      <c r="F635" s="91">
        <f>0.04*H635</f>
        <v>22.72</v>
      </c>
      <c r="G635" s="91">
        <f>0.03*H635</f>
        <v>17.04</v>
      </c>
      <c r="H635" s="91">
        <f>T635</f>
        <v>568</v>
      </c>
      <c r="I635" s="91">
        <f>0.5*C635</f>
        <v>303.88</v>
      </c>
      <c r="J635" s="98"/>
      <c r="K635" s="22"/>
      <c r="L635" s="22"/>
      <c r="M635" s="22"/>
      <c r="N635" s="22"/>
      <c r="O635" s="646">
        <v>50297</v>
      </c>
      <c r="P635" s="646">
        <v>50865</v>
      </c>
      <c r="Q635" s="122"/>
      <c r="R635" s="647"/>
      <c r="S635" s="151">
        <v>1</v>
      </c>
      <c r="T635" s="91">
        <f>(P635-O635)*S635</f>
        <v>568</v>
      </c>
      <c r="U635" s="644">
        <v>2261380</v>
      </c>
      <c r="V635" s="761" t="s">
        <v>550</v>
      </c>
      <c r="W635" s="14" t="s">
        <v>90</v>
      </c>
      <c r="X635" s="7"/>
      <c r="Y635" s="7"/>
      <c r="Z635" s="7"/>
      <c r="AA635" s="7"/>
      <c r="AB635" s="7"/>
      <c r="AC635" s="7"/>
    </row>
    <row r="636" spans="1:29" s="195" customFormat="1" ht="25.5">
      <c r="A636" s="479"/>
      <c r="B636" s="104" t="s">
        <v>566</v>
      </c>
      <c r="C636" s="91">
        <f t="shared" si="89"/>
        <v>0</v>
      </c>
      <c r="D636" s="92"/>
      <c r="E636" s="91">
        <f t="shared" si="90"/>
        <v>0</v>
      </c>
      <c r="F636" s="91">
        <f t="shared" si="86"/>
        <v>0</v>
      </c>
      <c r="G636" s="91">
        <f t="shared" si="87"/>
        <v>0</v>
      </c>
      <c r="H636" s="91">
        <f t="shared" si="92"/>
        <v>0</v>
      </c>
      <c r="I636" s="91">
        <f t="shared" si="91"/>
        <v>0</v>
      </c>
      <c r="J636" s="142"/>
      <c r="K636" s="142"/>
      <c r="L636" s="142"/>
      <c r="M636" s="142"/>
      <c r="N636" s="142"/>
      <c r="O636" s="258">
        <v>42066</v>
      </c>
      <c r="P636" s="258">
        <v>42066</v>
      </c>
      <c r="Q636" s="173"/>
      <c r="R636" s="173"/>
      <c r="S636" s="151">
        <v>1</v>
      </c>
      <c r="T636" s="91">
        <f t="shared" si="88"/>
        <v>0</v>
      </c>
      <c r="U636" s="644">
        <v>3263</v>
      </c>
      <c r="V636" s="761" t="s">
        <v>567</v>
      </c>
      <c r="W636" s="191" t="s">
        <v>43</v>
      </c>
      <c r="X636" s="86"/>
      <c r="Y636" s="86"/>
      <c r="Z636" s="86"/>
      <c r="AA636" s="86"/>
      <c r="AB636" s="86"/>
      <c r="AC636" s="86"/>
    </row>
    <row r="637" spans="1:29" ht="25.5">
      <c r="A637" s="23"/>
      <c r="B637" s="104" t="s">
        <v>568</v>
      </c>
      <c r="C637" s="91">
        <f>H637+E637</f>
        <v>116.63</v>
      </c>
      <c r="D637" s="92"/>
      <c r="E637" s="91">
        <f t="shared" si="90"/>
        <v>7.6300000000000008</v>
      </c>
      <c r="F637" s="91">
        <f t="shared" si="86"/>
        <v>4.3600000000000003</v>
      </c>
      <c r="G637" s="91">
        <f t="shared" si="87"/>
        <v>3.27</v>
      </c>
      <c r="H637" s="91">
        <f t="shared" si="92"/>
        <v>109</v>
      </c>
      <c r="I637" s="91">
        <f t="shared" si="91"/>
        <v>58.314999999999998</v>
      </c>
      <c r="J637" s="142"/>
      <c r="K637" s="142"/>
      <c r="L637" s="142"/>
      <c r="M637" s="142"/>
      <c r="N637" s="142"/>
      <c r="O637" s="258">
        <v>802</v>
      </c>
      <c r="P637" s="258">
        <v>911</v>
      </c>
      <c r="Q637" s="173"/>
      <c r="R637" s="173"/>
      <c r="S637" s="151">
        <v>1</v>
      </c>
      <c r="T637" s="91">
        <f>(P637-O637)*S637</f>
        <v>109</v>
      </c>
      <c r="U637" s="644" t="s">
        <v>1039</v>
      </c>
      <c r="V637" s="761" t="s">
        <v>1038</v>
      </c>
      <c r="W637" s="14" t="s">
        <v>90</v>
      </c>
      <c r="X637" s="7"/>
      <c r="Y637" s="7"/>
      <c r="Z637" s="7"/>
      <c r="AA637" s="7"/>
      <c r="AB637" s="7"/>
      <c r="AC637" s="7"/>
    </row>
    <row r="638" spans="1:29" ht="25.5">
      <c r="A638" s="23"/>
      <c r="B638" s="104" t="s">
        <v>570</v>
      </c>
      <c r="C638" s="91">
        <f>H638+E638</f>
        <v>525.37</v>
      </c>
      <c r="D638" s="92"/>
      <c r="E638" s="91">
        <f t="shared" si="90"/>
        <v>34.369999999999997</v>
      </c>
      <c r="F638" s="91">
        <f t="shared" si="86"/>
        <v>19.64</v>
      </c>
      <c r="G638" s="91">
        <f t="shared" si="87"/>
        <v>14.729999999999999</v>
      </c>
      <c r="H638" s="91">
        <f t="shared" si="92"/>
        <v>491</v>
      </c>
      <c r="I638" s="91">
        <f t="shared" si="91"/>
        <v>262.685</v>
      </c>
      <c r="J638" s="142"/>
      <c r="K638" s="142"/>
      <c r="L638" s="142"/>
      <c r="M638" s="142"/>
      <c r="N638" s="142"/>
      <c r="O638" s="258">
        <v>10472</v>
      </c>
      <c r="P638" s="258">
        <v>10963</v>
      </c>
      <c r="Q638" s="173"/>
      <c r="R638" s="173"/>
      <c r="S638" s="151">
        <v>1</v>
      </c>
      <c r="T638" s="91">
        <f t="shared" si="88"/>
        <v>491</v>
      </c>
      <c r="U638" s="644" t="s">
        <v>1040</v>
      </c>
      <c r="V638" s="761" t="s">
        <v>571</v>
      </c>
      <c r="W638" s="14" t="s">
        <v>90</v>
      </c>
      <c r="X638" s="7"/>
      <c r="Y638" s="7"/>
      <c r="Z638" s="7"/>
      <c r="AA638" s="7"/>
      <c r="AB638" s="7"/>
      <c r="AC638" s="7"/>
    </row>
    <row r="639" spans="1:29" ht="25.5">
      <c r="A639" s="23"/>
      <c r="B639" s="104" t="s">
        <v>572</v>
      </c>
      <c r="C639" s="91">
        <f t="shared" si="89"/>
        <v>678.38</v>
      </c>
      <c r="D639" s="92"/>
      <c r="E639" s="91">
        <f t="shared" si="90"/>
        <v>44.379999999999995</v>
      </c>
      <c r="F639" s="91">
        <f t="shared" si="86"/>
        <v>25.36</v>
      </c>
      <c r="G639" s="91">
        <f t="shared" si="87"/>
        <v>19.02</v>
      </c>
      <c r="H639" s="91">
        <f t="shared" si="92"/>
        <v>634</v>
      </c>
      <c r="I639" s="91">
        <f t="shared" si="91"/>
        <v>339.19</v>
      </c>
      <c r="J639" s="142"/>
      <c r="K639" s="142"/>
      <c r="L639" s="142"/>
      <c r="M639" s="142"/>
      <c r="N639" s="142"/>
      <c r="O639" s="258">
        <v>109812</v>
      </c>
      <c r="P639" s="258">
        <v>110446</v>
      </c>
      <c r="Q639" s="173"/>
      <c r="R639" s="173"/>
      <c r="S639" s="151">
        <v>1</v>
      </c>
      <c r="T639" s="91">
        <f>(P639-O639)*S639</f>
        <v>634</v>
      </c>
      <c r="U639" s="644" t="s">
        <v>1041</v>
      </c>
      <c r="V639" s="761" t="s">
        <v>573</v>
      </c>
      <c r="W639" s="14" t="s">
        <v>90</v>
      </c>
      <c r="X639" s="7"/>
      <c r="Y639" s="7"/>
      <c r="Z639" s="7"/>
      <c r="AA639" s="7"/>
      <c r="AB639" s="7"/>
      <c r="AC639" s="7"/>
    </row>
    <row r="640" spans="1:29" ht="25.5">
      <c r="A640" s="23"/>
      <c r="B640" s="104" t="s">
        <v>701</v>
      </c>
      <c r="C640" s="91">
        <f t="shared" si="89"/>
        <v>2207.41</v>
      </c>
      <c r="D640" s="92"/>
      <c r="E640" s="91">
        <f t="shared" si="90"/>
        <v>144.41</v>
      </c>
      <c r="F640" s="91">
        <f t="shared" si="86"/>
        <v>82.52</v>
      </c>
      <c r="G640" s="91">
        <f t="shared" si="87"/>
        <v>61.89</v>
      </c>
      <c r="H640" s="91">
        <f t="shared" si="92"/>
        <v>2063</v>
      </c>
      <c r="I640" s="91">
        <f t="shared" si="91"/>
        <v>1103.7049999999999</v>
      </c>
      <c r="J640" s="142"/>
      <c r="K640" s="142"/>
      <c r="L640" s="142"/>
      <c r="M640" s="142"/>
      <c r="N640" s="142"/>
      <c r="O640" s="258">
        <v>257665</v>
      </c>
      <c r="P640" s="258">
        <v>259728</v>
      </c>
      <c r="Q640" s="173"/>
      <c r="R640" s="173"/>
      <c r="S640" s="151">
        <v>1</v>
      </c>
      <c r="T640" s="91">
        <f>(P640-O640)*S640</f>
        <v>2063</v>
      </c>
      <c r="U640" s="644" t="s">
        <v>1042</v>
      </c>
      <c r="V640" s="761" t="s">
        <v>574</v>
      </c>
      <c r="W640" s="14" t="s">
        <v>90</v>
      </c>
      <c r="X640" s="7"/>
      <c r="Y640" s="7"/>
      <c r="Z640" s="7"/>
      <c r="AA640" s="7"/>
      <c r="AB640" s="7"/>
      <c r="AC640" s="7"/>
    </row>
    <row r="641" spans="1:29" ht="25.5">
      <c r="A641" s="23"/>
      <c r="B641" s="104" t="s">
        <v>891</v>
      </c>
      <c r="C641" s="91">
        <f>H641+E641</f>
        <v>1721.63</v>
      </c>
      <c r="D641" s="271"/>
      <c r="E641" s="91">
        <f>F641+G641</f>
        <v>112.63</v>
      </c>
      <c r="F641" s="91">
        <f>0.04*H641</f>
        <v>64.36</v>
      </c>
      <c r="G641" s="91">
        <f>0.03*H641</f>
        <v>48.269999999999996</v>
      </c>
      <c r="H641" s="91">
        <f>T641</f>
        <v>1609</v>
      </c>
      <c r="I641" s="91">
        <f>0.5*C641</f>
        <v>860.81500000000005</v>
      </c>
      <c r="J641" s="142"/>
      <c r="K641" s="142"/>
      <c r="L641" s="142"/>
      <c r="M641" s="142"/>
      <c r="N641" s="142"/>
      <c r="O641" s="258">
        <v>70329</v>
      </c>
      <c r="P641" s="258">
        <v>71938</v>
      </c>
      <c r="Q641" s="173"/>
      <c r="R641" s="173"/>
      <c r="S641" s="151">
        <v>1</v>
      </c>
      <c r="T641" s="91">
        <f>(P641-O641)*S641</f>
        <v>1609</v>
      </c>
      <c r="U641" s="644">
        <v>2261167</v>
      </c>
      <c r="V641" s="761" t="s">
        <v>552</v>
      </c>
      <c r="W641" s="14"/>
      <c r="X641" s="7"/>
      <c r="Y641" s="7"/>
      <c r="Z641" s="7"/>
      <c r="AA641" s="7"/>
      <c r="AB641" s="7"/>
      <c r="AC641" s="7"/>
    </row>
    <row r="642" spans="1:29" ht="26.25">
      <c r="A642" s="23"/>
      <c r="B642" s="104" t="s">
        <v>575</v>
      </c>
      <c r="C642" s="91">
        <f t="shared" ref="C642" si="93">H642+E642</f>
        <v>539.28</v>
      </c>
      <c r="D642" s="115"/>
      <c r="E642" s="91">
        <f t="shared" ref="E642" si="94">F642+G642</f>
        <v>35.28</v>
      </c>
      <c r="F642" s="91">
        <f t="shared" ref="F642" si="95">0.04*H642</f>
        <v>20.16</v>
      </c>
      <c r="G642" s="91">
        <f t="shared" ref="G642" si="96">0.03*H642</f>
        <v>15.12</v>
      </c>
      <c r="H642" s="91">
        <f>T642</f>
        <v>504</v>
      </c>
      <c r="I642" s="91">
        <f t="shared" ref="I642" si="97">0.5*C642</f>
        <v>269.64</v>
      </c>
      <c r="J642" s="142"/>
      <c r="K642" s="142"/>
      <c r="L642" s="142"/>
      <c r="M642" s="142"/>
      <c r="N642" s="142"/>
      <c r="O642" s="258">
        <v>4202</v>
      </c>
      <c r="P642" s="258">
        <v>4706</v>
      </c>
      <c r="Q642" s="173"/>
      <c r="R642" s="173"/>
      <c r="S642" s="92">
        <v>1</v>
      </c>
      <c r="T642" s="91">
        <f>(P642-O642)*S642</f>
        <v>504</v>
      </c>
      <c r="U642" s="644" t="s">
        <v>1043</v>
      </c>
      <c r="V642" s="761" t="s">
        <v>814</v>
      </c>
      <c r="W642" s="14"/>
      <c r="X642" s="7"/>
      <c r="Y642" s="7"/>
      <c r="Z642" s="7"/>
      <c r="AA642" s="7"/>
      <c r="AB642" s="7"/>
      <c r="AC642" s="7"/>
    </row>
    <row r="643" spans="1:29" ht="26.25">
      <c r="A643" s="23"/>
      <c r="B643" s="104" t="s">
        <v>895</v>
      </c>
      <c r="C643" s="91">
        <f t="shared" si="89"/>
        <v>56.71</v>
      </c>
      <c r="D643" s="115"/>
      <c r="E643" s="91">
        <f t="shared" si="90"/>
        <v>3.71</v>
      </c>
      <c r="F643" s="91">
        <f t="shared" si="86"/>
        <v>2.12</v>
      </c>
      <c r="G643" s="91">
        <f t="shared" si="87"/>
        <v>1.5899999999999999</v>
      </c>
      <c r="H643" s="91">
        <f>T643</f>
        <v>53</v>
      </c>
      <c r="I643" s="91">
        <f t="shared" si="91"/>
        <v>28.355</v>
      </c>
      <c r="J643" s="142"/>
      <c r="K643" s="142"/>
      <c r="L643" s="142"/>
      <c r="M643" s="142"/>
      <c r="N643" s="142"/>
      <c r="O643" s="258">
        <v>13858</v>
      </c>
      <c r="P643" s="258">
        <v>13911</v>
      </c>
      <c r="Q643" s="173"/>
      <c r="R643" s="173"/>
      <c r="S643" s="92">
        <v>1</v>
      </c>
      <c r="T643" s="91">
        <f>(P643-O643)*S643</f>
        <v>53</v>
      </c>
      <c r="U643" s="644">
        <v>370293</v>
      </c>
      <c r="V643" s="761" t="s">
        <v>815</v>
      </c>
      <c r="W643" s="14" t="s">
        <v>90</v>
      </c>
      <c r="X643" s="7"/>
      <c r="Y643" s="7"/>
      <c r="Z643" s="7"/>
      <c r="AA643" s="7"/>
      <c r="AB643" s="7"/>
      <c r="AC643" s="7"/>
    </row>
    <row r="644" spans="1:29" ht="57" customHeight="1">
      <c r="A644" s="252"/>
      <c r="W644" s="14"/>
      <c r="X644" s="7"/>
      <c r="Y644" s="7"/>
      <c r="Z644" s="7"/>
      <c r="AA644" s="7"/>
      <c r="AB644" s="7"/>
      <c r="AC644" s="7"/>
    </row>
    <row r="645" spans="1:29" ht="25.5">
      <c r="A645" s="252"/>
      <c r="W645" s="14"/>
      <c r="X645" s="7"/>
      <c r="Y645" s="7"/>
      <c r="Z645" s="7"/>
      <c r="AA645" s="7"/>
      <c r="AB645" s="7"/>
      <c r="AC645" s="7"/>
    </row>
    <row r="646" spans="1:29" ht="26.25">
      <c r="A646" s="252"/>
      <c r="B646" s="104" t="s">
        <v>948</v>
      </c>
      <c r="C646" s="91">
        <f t="shared" si="89"/>
        <v>0</v>
      </c>
      <c r="D646" s="115"/>
      <c r="E646" s="91">
        <f t="shared" si="90"/>
        <v>0</v>
      </c>
      <c r="F646" s="91">
        <f t="shared" si="86"/>
        <v>0</v>
      </c>
      <c r="G646" s="91">
        <f t="shared" si="87"/>
        <v>0</v>
      </c>
      <c r="H646" s="91">
        <f t="shared" si="92"/>
        <v>0</v>
      </c>
      <c r="I646" s="91">
        <f t="shared" si="91"/>
        <v>0</v>
      </c>
      <c r="J646" s="142"/>
      <c r="K646" s="142"/>
      <c r="L646" s="142"/>
      <c r="M646" s="142"/>
      <c r="N646" s="142"/>
      <c r="O646" s="258">
        <v>6544</v>
      </c>
      <c r="P646" s="258">
        <v>6544</v>
      </c>
      <c r="Q646" s="173"/>
      <c r="R646" s="173"/>
      <c r="S646" s="92">
        <v>1</v>
      </c>
      <c r="T646" s="91">
        <f>(P646-O646)*S646</f>
        <v>0</v>
      </c>
      <c r="U646" s="644">
        <v>1940</v>
      </c>
      <c r="V646" s="761" t="s">
        <v>816</v>
      </c>
      <c r="W646" s="14" t="s">
        <v>90</v>
      </c>
      <c r="X646" s="7"/>
      <c r="Y646" s="7"/>
      <c r="Z646" s="7"/>
      <c r="AA646" s="7"/>
      <c r="AB646" s="7"/>
      <c r="AC646" s="7"/>
    </row>
    <row r="647" spans="1:29" ht="26.25">
      <c r="A647" s="268"/>
      <c r="B647" s="580" t="s">
        <v>703</v>
      </c>
      <c r="C647" s="91">
        <f>H647+E647</f>
        <v>465.45</v>
      </c>
      <c r="D647" s="91"/>
      <c r="E647" s="91">
        <f>G647+F647</f>
        <v>30.450000000000003</v>
      </c>
      <c r="F647" s="91">
        <f>0.04*H647</f>
        <v>17.400000000000002</v>
      </c>
      <c r="G647" s="91">
        <f>0.03*H647</f>
        <v>13.049999999999999</v>
      </c>
      <c r="H647" s="91">
        <f>T647</f>
        <v>435</v>
      </c>
      <c r="I647" s="91">
        <f>0.6*C647</f>
        <v>279.27</v>
      </c>
      <c r="J647" s="22"/>
      <c r="K647" s="22"/>
      <c r="L647" s="22"/>
      <c r="M647" s="22"/>
      <c r="N647" s="22"/>
      <c r="O647" s="91">
        <v>18329</v>
      </c>
      <c r="P647" s="91">
        <v>18764</v>
      </c>
      <c r="Q647" s="122"/>
      <c r="R647" s="232"/>
      <c r="S647" s="151">
        <v>1</v>
      </c>
      <c r="T647" s="91">
        <f>(P647-O647)*S647</f>
        <v>435</v>
      </c>
      <c r="U647" s="644" t="s">
        <v>1044</v>
      </c>
      <c r="V647" s="761" t="s">
        <v>751</v>
      </c>
      <c r="W647" s="14" t="s">
        <v>90</v>
      </c>
      <c r="X647" s="7"/>
      <c r="Y647" s="7"/>
      <c r="Z647" s="7"/>
      <c r="AA647" s="7"/>
      <c r="AB647" s="7"/>
      <c r="AC647" s="7"/>
    </row>
    <row r="648" spans="1:29" ht="26.25">
      <c r="A648" s="268"/>
      <c r="B648" s="104"/>
      <c r="C648" s="91"/>
      <c r="D648" s="91"/>
      <c r="E648" s="91"/>
      <c r="F648" s="91"/>
      <c r="G648" s="91"/>
      <c r="H648" s="91"/>
      <c r="I648" s="91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1"/>
      <c r="U648" s="644"/>
      <c r="V648" s="761"/>
      <c r="W648" s="14" t="s">
        <v>43</v>
      </c>
      <c r="X648" s="7"/>
      <c r="Y648" s="7"/>
      <c r="Z648" s="7"/>
      <c r="AA648" s="7"/>
      <c r="AB648" s="7"/>
      <c r="AC648" s="7"/>
    </row>
    <row r="649" spans="1:29" ht="26.25">
      <c r="A649" s="268"/>
      <c r="B649" s="339"/>
      <c r="C649" s="91"/>
      <c r="D649" s="91"/>
      <c r="E649" s="91"/>
      <c r="F649" s="91"/>
      <c r="G649" s="91"/>
      <c r="H649" s="91"/>
      <c r="I649" s="91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1"/>
      <c r="U649" s="644"/>
      <c r="V649" s="761"/>
      <c r="W649" s="14"/>
      <c r="X649" s="7"/>
      <c r="Y649" s="7"/>
      <c r="Z649" s="7"/>
      <c r="AA649" s="7"/>
      <c r="AB649" s="7"/>
      <c r="AC649" s="7"/>
    </row>
    <row r="650" spans="1:29" ht="26.25">
      <c r="A650" s="268"/>
      <c r="B650" s="104" t="s">
        <v>579</v>
      </c>
      <c r="C650" s="91">
        <f>H650+E650</f>
        <v>108.07</v>
      </c>
      <c r="D650" s="91"/>
      <c r="E650" s="91">
        <f t="shared" si="90"/>
        <v>7.07</v>
      </c>
      <c r="F650" s="91">
        <f t="shared" si="86"/>
        <v>4.04</v>
      </c>
      <c r="G650" s="91">
        <f t="shared" si="87"/>
        <v>3.03</v>
      </c>
      <c r="H650" s="91">
        <f t="shared" si="92"/>
        <v>101</v>
      </c>
      <c r="I650" s="91"/>
      <c r="J650" s="92"/>
      <c r="K650" s="92"/>
      <c r="L650" s="92"/>
      <c r="M650" s="92"/>
      <c r="N650" s="92"/>
      <c r="O650" s="92">
        <v>4459</v>
      </c>
      <c r="P650" s="92">
        <v>4560</v>
      </c>
      <c r="Q650" s="92"/>
      <c r="R650" s="92"/>
      <c r="S650" s="92">
        <v>1</v>
      </c>
      <c r="T650" s="91">
        <f>(P650-O650)*S650</f>
        <v>101</v>
      </c>
      <c r="U650" s="644" t="s">
        <v>1045</v>
      </c>
      <c r="V650" s="761" t="s">
        <v>581</v>
      </c>
      <c r="W650" s="795" t="s">
        <v>90</v>
      </c>
      <c r="X650" s="7"/>
      <c r="Y650" s="7"/>
      <c r="Z650" s="7"/>
      <c r="AA650" s="7"/>
      <c r="AB650" s="7"/>
      <c r="AC650" s="7"/>
    </row>
    <row r="651" spans="1:29" ht="26.25">
      <c r="A651" s="268"/>
      <c r="B651" s="486"/>
      <c r="C651" s="315"/>
      <c r="D651" s="315"/>
      <c r="E651" s="315"/>
      <c r="F651" s="315"/>
      <c r="G651" s="315"/>
      <c r="H651" s="315"/>
      <c r="I651" s="315"/>
      <c r="J651" s="512"/>
      <c r="K651" s="512"/>
      <c r="L651" s="512"/>
      <c r="M651" s="512"/>
      <c r="N651" s="512"/>
      <c r="O651" s="512"/>
      <c r="P651" s="512"/>
      <c r="Q651" s="512"/>
      <c r="R651" s="512"/>
      <c r="S651" s="512"/>
      <c r="T651" s="315"/>
      <c r="U651" s="712"/>
      <c r="V651" s="317"/>
      <c r="W651" s="796"/>
      <c r="X651" s="7"/>
      <c r="Y651" s="7"/>
      <c r="Z651" s="7"/>
      <c r="AA651" s="7"/>
      <c r="AB651" s="7"/>
      <c r="AC651" s="7"/>
    </row>
    <row r="652" spans="1:29" ht="26.25">
      <c r="A652" s="268"/>
      <c r="B652" s="104"/>
      <c r="C652" s="91"/>
      <c r="D652" s="91"/>
      <c r="E652" s="91"/>
      <c r="F652" s="91"/>
      <c r="G652" s="91"/>
      <c r="H652" s="91"/>
      <c r="I652" s="91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1"/>
      <c r="U652" s="644"/>
      <c r="V652" s="761"/>
      <c r="W652" s="797"/>
      <c r="X652" s="7"/>
      <c r="Y652" s="7"/>
      <c r="Z652" s="7"/>
      <c r="AA652" s="7"/>
      <c r="AB652" s="7"/>
      <c r="AC652" s="7"/>
    </row>
    <row r="653" spans="1:29" ht="26.25">
      <c r="A653" s="268"/>
      <c r="B653" s="580" t="s">
        <v>704</v>
      </c>
      <c r="C653" s="91">
        <f>H653+E653</f>
        <v>126.26</v>
      </c>
      <c r="D653" s="91"/>
      <c r="E653" s="91">
        <f>F653+G653</f>
        <v>8.26</v>
      </c>
      <c r="F653" s="91">
        <f>0.04*H653</f>
        <v>4.72</v>
      </c>
      <c r="G653" s="91">
        <f>0.03*H653</f>
        <v>3.54</v>
      </c>
      <c r="H653" s="91">
        <f>T653</f>
        <v>118</v>
      </c>
      <c r="I653" s="91">
        <f>0.6*C653</f>
        <v>75.756</v>
      </c>
      <c r="J653" s="22"/>
      <c r="K653" s="22"/>
      <c r="L653" s="22"/>
      <c r="M653" s="22"/>
      <c r="N653" s="22"/>
      <c r="O653" s="91">
        <v>9446</v>
      </c>
      <c r="P653" s="91">
        <v>9564</v>
      </c>
      <c r="Q653" s="22" t="s">
        <v>28</v>
      </c>
      <c r="R653" s="142"/>
      <c r="S653" s="151">
        <v>1</v>
      </c>
      <c r="T653" s="91">
        <f>(P653-O653)*S653</f>
        <v>118</v>
      </c>
      <c r="U653" s="644" t="s">
        <v>1046</v>
      </c>
      <c r="V653" s="761" t="s">
        <v>583</v>
      </c>
      <c r="W653" s="14" t="s">
        <v>90</v>
      </c>
      <c r="X653" s="7"/>
      <c r="Y653" s="7"/>
      <c r="Z653" s="7"/>
      <c r="AA653" s="7"/>
      <c r="AB653" s="7"/>
      <c r="AC653" s="7"/>
    </row>
    <row r="654" spans="1:29" ht="26.25">
      <c r="A654" s="271"/>
      <c r="B654" s="143" t="s">
        <v>584</v>
      </c>
      <c r="C654" s="115">
        <f>SUM(C615:C653)</f>
        <v>28065.029999999995</v>
      </c>
      <c r="D654" s="115"/>
      <c r="E654" s="115">
        <f t="shared" si="90"/>
        <v>1772.19</v>
      </c>
      <c r="F654" s="115">
        <f t="shared" si="86"/>
        <v>1012.6800000000001</v>
      </c>
      <c r="G654" s="115">
        <f t="shared" si="87"/>
        <v>759.51</v>
      </c>
      <c r="H654" s="115">
        <f>SUM(H616:H643)</f>
        <v>25317</v>
      </c>
      <c r="I654" s="115">
        <f>SUM(I616:I647)</f>
        <v>13823.864999999998</v>
      </c>
      <c r="J654" s="142"/>
      <c r="K654" s="142"/>
      <c r="L654" s="142"/>
      <c r="M654" s="142"/>
      <c r="N654" s="142"/>
      <c r="O654" s="94"/>
      <c r="P654" s="94"/>
      <c r="Q654" s="94"/>
      <c r="R654" s="94"/>
      <c r="S654" s="92"/>
      <c r="T654" s="91"/>
      <c r="U654" s="644"/>
      <c r="V654" s="759"/>
      <c r="W654" s="14"/>
      <c r="X654" s="7"/>
      <c r="Y654" s="7"/>
      <c r="Z654" s="7"/>
      <c r="AA654" s="7"/>
      <c r="AB654" s="7"/>
      <c r="AC654" s="7"/>
    </row>
    <row r="655" spans="1:29" ht="26.25">
      <c r="A655" s="271"/>
      <c r="B655" s="143"/>
      <c r="C655" s="115"/>
      <c r="D655" s="115"/>
      <c r="E655" s="115"/>
      <c r="F655" s="115"/>
      <c r="G655" s="115"/>
      <c r="H655" s="115"/>
      <c r="I655" s="115"/>
      <c r="J655" s="98"/>
      <c r="K655" s="98"/>
      <c r="L655" s="98"/>
      <c r="M655" s="98"/>
      <c r="N655" s="98"/>
      <c r="O655" s="94"/>
      <c r="P655" s="94"/>
      <c r="Q655" s="227"/>
      <c r="R655" s="228"/>
      <c r="S655" s="92"/>
      <c r="T655" s="91"/>
      <c r="U655" s="644"/>
      <c r="V655" s="759"/>
      <c r="W655" s="14"/>
      <c r="X655" s="7"/>
      <c r="Y655" s="7"/>
      <c r="Z655" s="7"/>
      <c r="AA655" s="7"/>
      <c r="AB655" s="7"/>
      <c r="AC655" s="7"/>
    </row>
    <row r="656" spans="1:29" ht="26.25">
      <c r="A656" s="271"/>
      <c r="B656" s="143" t="s">
        <v>585</v>
      </c>
      <c r="C656" s="117"/>
      <c r="D656" s="595"/>
      <c r="E656" s="117"/>
      <c r="F656" s="117"/>
      <c r="G656" s="117"/>
      <c r="H656" s="595"/>
      <c r="I656" s="595"/>
      <c r="J656" s="98"/>
      <c r="K656" s="98"/>
      <c r="L656" s="98"/>
      <c r="M656" s="98"/>
      <c r="N656" s="98"/>
      <c r="O656" s="595"/>
      <c r="P656" s="595"/>
      <c r="Q656" s="105"/>
      <c r="R656" s="597"/>
      <c r="S656" s="595"/>
      <c r="T656" s="117"/>
      <c r="U656" s="644"/>
      <c r="V656" s="759"/>
      <c r="W656" s="14"/>
      <c r="X656" s="7"/>
      <c r="Y656" s="7"/>
      <c r="Z656" s="7"/>
      <c r="AA656" s="7"/>
      <c r="AB656" s="7"/>
      <c r="AC656" s="7"/>
    </row>
    <row r="657" spans="1:29" ht="25.5">
      <c r="A657" s="252"/>
      <c r="B657" s="645" t="s">
        <v>705</v>
      </c>
      <c r="C657" s="91">
        <f>H657+E657</f>
        <v>2686.77</v>
      </c>
      <c r="D657" s="92"/>
      <c r="E657" s="91">
        <f>F657+G657</f>
        <v>175.76999999999998</v>
      </c>
      <c r="F657" s="91">
        <f>0.04*T657</f>
        <v>100.44</v>
      </c>
      <c r="G657" s="91">
        <f>0.03*T657</f>
        <v>75.33</v>
      </c>
      <c r="H657" s="91">
        <f>T657</f>
        <v>2511</v>
      </c>
      <c r="I657" s="91">
        <f>H657*0.5</f>
        <v>1255.5</v>
      </c>
      <c r="J657" s="142"/>
      <c r="K657" s="142"/>
      <c r="L657" s="142"/>
      <c r="M657" s="142"/>
      <c r="N657" s="142"/>
      <c r="O657" s="92">
        <v>46998</v>
      </c>
      <c r="P657" s="92">
        <v>49509</v>
      </c>
      <c r="Q657" s="92"/>
      <c r="R657" s="92"/>
      <c r="S657" s="92">
        <v>1</v>
      </c>
      <c r="T657" s="91">
        <f>(P657-O657)*S657</f>
        <v>2511</v>
      </c>
      <c r="U657" s="644" t="s">
        <v>1047</v>
      </c>
      <c r="V657" s="761" t="s">
        <v>587</v>
      </c>
      <c r="W657" s="14"/>
      <c r="X657" s="7"/>
      <c r="Y657" s="7"/>
      <c r="Z657" s="7"/>
      <c r="AA657" s="7"/>
      <c r="AB657" s="7"/>
      <c r="AC657" s="7"/>
    </row>
    <row r="658" spans="1:29" ht="25.5">
      <c r="A658" s="252"/>
      <c r="B658" s="852" t="s">
        <v>836</v>
      </c>
      <c r="C658" s="113">
        <f t="shared" ref="C658:C696" si="98">H658+E658</f>
        <v>3456.1</v>
      </c>
      <c r="D658" s="118"/>
      <c r="E658" s="113">
        <f t="shared" ref="E658:E696" si="99">F658+G658</f>
        <v>226.09999999999997</v>
      </c>
      <c r="F658" s="113">
        <f t="shared" ref="F658:F696" si="100">0.04*T658</f>
        <v>129.19999999999999</v>
      </c>
      <c r="G658" s="113">
        <f t="shared" ref="G658:G696" si="101">0.03*T658</f>
        <v>96.899999999999991</v>
      </c>
      <c r="H658" s="113">
        <f t="shared" ref="H658:H696" si="102">T658</f>
        <v>3230</v>
      </c>
      <c r="I658" s="113">
        <f t="shared" ref="I658:I696" si="103">H658*0.5</f>
        <v>1615</v>
      </c>
      <c r="J658" s="98"/>
      <c r="K658" s="98"/>
      <c r="L658" s="98"/>
      <c r="M658" s="98"/>
      <c r="N658" s="98"/>
      <c r="O658" s="118">
        <v>116620</v>
      </c>
      <c r="P658" s="118">
        <v>119850</v>
      </c>
      <c r="Q658" s="105"/>
      <c r="R658" s="775"/>
      <c r="S658" s="118">
        <v>1</v>
      </c>
      <c r="T658" s="113">
        <f t="shared" ref="T658:T694" si="104">(P658-O658)*S658</f>
        <v>3230</v>
      </c>
      <c r="U658" s="623">
        <v>3855</v>
      </c>
      <c r="V658" s="761" t="s">
        <v>753</v>
      </c>
      <c r="W658" s="14" t="s">
        <v>48</v>
      </c>
      <c r="X658" s="7"/>
      <c r="Y658" s="7"/>
      <c r="Z658" s="7"/>
      <c r="AA658" s="7"/>
      <c r="AB658" s="7"/>
      <c r="AC658" s="7"/>
    </row>
    <row r="659" spans="1:29" ht="25.5">
      <c r="A659" s="252"/>
      <c r="B659" s="853"/>
      <c r="C659" s="113">
        <f t="shared" si="98"/>
        <v>408.74</v>
      </c>
      <c r="D659" s="118"/>
      <c r="E659" s="113">
        <f t="shared" si="99"/>
        <v>26.740000000000002</v>
      </c>
      <c r="F659" s="113">
        <f t="shared" si="100"/>
        <v>15.280000000000001</v>
      </c>
      <c r="G659" s="113">
        <f t="shared" si="101"/>
        <v>11.459999999999999</v>
      </c>
      <c r="H659" s="113">
        <f t="shared" si="102"/>
        <v>382</v>
      </c>
      <c r="I659" s="113">
        <f t="shared" si="103"/>
        <v>191</v>
      </c>
      <c r="J659" s="98"/>
      <c r="K659" s="98"/>
      <c r="L659" s="98"/>
      <c r="M659" s="98"/>
      <c r="N659" s="98"/>
      <c r="O659" s="118">
        <v>50728</v>
      </c>
      <c r="P659" s="118">
        <v>51110</v>
      </c>
      <c r="Q659" s="105"/>
      <c r="R659" s="775"/>
      <c r="S659" s="118">
        <v>1</v>
      </c>
      <c r="T659" s="113">
        <f t="shared" si="104"/>
        <v>382</v>
      </c>
      <c r="U659" s="644" t="s">
        <v>1094</v>
      </c>
      <c r="V659" s="761" t="s">
        <v>753</v>
      </c>
      <c r="W659" s="14" t="s">
        <v>48</v>
      </c>
      <c r="X659" s="7"/>
      <c r="Y659" s="7"/>
      <c r="Z659" s="7"/>
      <c r="AA659" s="7"/>
      <c r="AB659" s="7"/>
      <c r="AC659" s="7"/>
    </row>
    <row r="660" spans="1:29" ht="25.5">
      <c r="A660" s="252"/>
      <c r="B660" s="104" t="s">
        <v>588</v>
      </c>
      <c r="C660" s="91">
        <f t="shared" si="98"/>
        <v>171.2</v>
      </c>
      <c r="D660" s="92"/>
      <c r="E660" s="91">
        <f t="shared" si="99"/>
        <v>11.2</v>
      </c>
      <c r="F660" s="91">
        <f t="shared" si="100"/>
        <v>6.4</v>
      </c>
      <c r="G660" s="91">
        <f t="shared" si="101"/>
        <v>4.8</v>
      </c>
      <c r="H660" s="91">
        <f t="shared" si="102"/>
        <v>160</v>
      </c>
      <c r="I660" s="91">
        <f t="shared" si="103"/>
        <v>80</v>
      </c>
      <c r="J660" s="98"/>
      <c r="K660" s="98"/>
      <c r="L660" s="98"/>
      <c r="M660" s="98"/>
      <c r="N660" s="98"/>
      <c r="O660" s="92">
        <v>15997</v>
      </c>
      <c r="P660" s="92">
        <v>16157</v>
      </c>
      <c r="Q660" s="105"/>
      <c r="R660" s="106"/>
      <c r="S660" s="92">
        <v>1</v>
      </c>
      <c r="T660" s="91">
        <f t="shared" si="104"/>
        <v>160</v>
      </c>
      <c r="U660" s="644" t="s">
        <v>1049</v>
      </c>
      <c r="V660" s="761" t="s">
        <v>589</v>
      </c>
      <c r="W660" s="14" t="s">
        <v>48</v>
      </c>
      <c r="X660" s="7"/>
      <c r="Y660" s="7"/>
      <c r="Z660" s="7"/>
      <c r="AA660" s="7"/>
      <c r="AB660" s="7"/>
      <c r="AC660" s="7"/>
    </row>
    <row r="661" spans="1:29" ht="25.5">
      <c r="A661" s="252"/>
      <c r="B661" s="104" t="s">
        <v>590</v>
      </c>
      <c r="C661" s="91">
        <f t="shared" si="98"/>
        <v>291.04000000000002</v>
      </c>
      <c r="D661" s="92"/>
      <c r="E661" s="91">
        <f t="shared" si="99"/>
        <v>19.04</v>
      </c>
      <c r="F661" s="91">
        <f t="shared" si="100"/>
        <v>10.88</v>
      </c>
      <c r="G661" s="91">
        <f t="shared" si="101"/>
        <v>8.16</v>
      </c>
      <c r="H661" s="91">
        <f t="shared" si="102"/>
        <v>272</v>
      </c>
      <c r="I661" s="91">
        <f t="shared" si="103"/>
        <v>136</v>
      </c>
      <c r="J661" s="98"/>
      <c r="K661" s="98"/>
      <c r="L661" s="98"/>
      <c r="M661" s="98"/>
      <c r="N661" s="98"/>
      <c r="O661" s="92">
        <v>18556</v>
      </c>
      <c r="P661" s="92">
        <v>18828</v>
      </c>
      <c r="Q661" s="105"/>
      <c r="R661" s="106"/>
      <c r="S661" s="92">
        <v>1</v>
      </c>
      <c r="T661" s="91">
        <f t="shared" si="104"/>
        <v>272</v>
      </c>
      <c r="U661" s="644" t="s">
        <v>1050</v>
      </c>
      <c r="V661" s="761" t="s">
        <v>591</v>
      </c>
      <c r="W661" s="14" t="s">
        <v>48</v>
      </c>
      <c r="X661" s="7"/>
      <c r="Y661" s="7"/>
      <c r="Z661" s="7"/>
      <c r="AA661" s="7"/>
      <c r="AB661" s="7"/>
      <c r="AC661" s="7"/>
    </row>
    <row r="662" spans="1:29" ht="25.5">
      <c r="A662" s="252"/>
      <c r="B662" s="104" t="s">
        <v>592</v>
      </c>
      <c r="C662" s="91">
        <f t="shared" si="98"/>
        <v>262.14999999999998</v>
      </c>
      <c r="D662" s="92"/>
      <c r="E662" s="91">
        <f t="shared" si="99"/>
        <v>17.149999999999999</v>
      </c>
      <c r="F662" s="91">
        <f t="shared" si="100"/>
        <v>9.8000000000000007</v>
      </c>
      <c r="G662" s="91">
        <f t="shared" si="101"/>
        <v>7.35</v>
      </c>
      <c r="H662" s="91">
        <f t="shared" si="102"/>
        <v>245</v>
      </c>
      <c r="I662" s="91">
        <f t="shared" si="103"/>
        <v>122.5</v>
      </c>
      <c r="J662" s="98"/>
      <c r="K662" s="98"/>
      <c r="L662" s="98"/>
      <c r="M662" s="98"/>
      <c r="N662" s="98"/>
      <c r="O662" s="92">
        <v>18396</v>
      </c>
      <c r="P662" s="92">
        <v>18641</v>
      </c>
      <c r="Q662" s="105"/>
      <c r="R662" s="106"/>
      <c r="S662" s="92">
        <v>1</v>
      </c>
      <c r="T662" s="91">
        <f t="shared" si="104"/>
        <v>245</v>
      </c>
      <c r="U662" s="644" t="s">
        <v>1051</v>
      </c>
      <c r="V662" s="761" t="s">
        <v>593</v>
      </c>
      <c r="W662" s="14" t="s">
        <v>48</v>
      </c>
      <c r="X662" s="7"/>
      <c r="Y662" s="7"/>
      <c r="Z662" s="7"/>
      <c r="AA662" s="7"/>
      <c r="AB662" s="7"/>
      <c r="AC662" s="7"/>
    </row>
    <row r="663" spans="1:29" ht="25.5">
      <c r="A663" s="252"/>
      <c r="B663" s="104" t="s">
        <v>594</v>
      </c>
      <c r="C663" s="91">
        <f t="shared" si="98"/>
        <v>297.45999999999998</v>
      </c>
      <c r="D663" s="92"/>
      <c r="E663" s="91">
        <f t="shared" si="99"/>
        <v>19.46</v>
      </c>
      <c r="F663" s="91">
        <f t="shared" si="100"/>
        <v>11.120000000000001</v>
      </c>
      <c r="G663" s="91">
        <f t="shared" si="101"/>
        <v>8.34</v>
      </c>
      <c r="H663" s="91">
        <f t="shared" si="102"/>
        <v>278</v>
      </c>
      <c r="I663" s="91">
        <f t="shared" si="103"/>
        <v>139</v>
      </c>
      <c r="J663" s="98"/>
      <c r="K663" s="98"/>
      <c r="L663" s="98"/>
      <c r="M663" s="98"/>
      <c r="N663" s="98"/>
      <c r="O663" s="92">
        <v>21813</v>
      </c>
      <c r="P663" s="92">
        <v>22091</v>
      </c>
      <c r="Q663" s="105"/>
      <c r="R663" s="106"/>
      <c r="S663" s="92">
        <v>1</v>
      </c>
      <c r="T663" s="91">
        <f t="shared" si="104"/>
        <v>278</v>
      </c>
      <c r="U663" s="644" t="s">
        <v>1052</v>
      </c>
      <c r="V663" s="761" t="s">
        <v>595</v>
      </c>
      <c r="W663" s="14" t="s">
        <v>48</v>
      </c>
      <c r="X663" s="7"/>
      <c r="Y663" s="7"/>
      <c r="Z663" s="7"/>
      <c r="AA663" s="7"/>
      <c r="AB663" s="7"/>
      <c r="AC663" s="7"/>
    </row>
    <row r="664" spans="1:29" ht="25.5">
      <c r="A664" s="252"/>
      <c r="B664" s="104" t="s">
        <v>596</v>
      </c>
      <c r="C664" s="91">
        <f t="shared" si="98"/>
        <v>215.07</v>
      </c>
      <c r="D664" s="92"/>
      <c r="E664" s="91">
        <f t="shared" si="99"/>
        <v>14.07</v>
      </c>
      <c r="F664" s="91">
        <f t="shared" si="100"/>
        <v>8.0400000000000009</v>
      </c>
      <c r="G664" s="91">
        <f t="shared" si="101"/>
        <v>6.0299999999999994</v>
      </c>
      <c r="H664" s="91">
        <f t="shared" si="102"/>
        <v>201</v>
      </c>
      <c r="I664" s="91">
        <f t="shared" si="103"/>
        <v>100.5</v>
      </c>
      <c r="J664" s="98"/>
      <c r="K664" s="98"/>
      <c r="L664" s="98"/>
      <c r="M664" s="98"/>
      <c r="N664" s="98"/>
      <c r="O664" s="92">
        <v>21184</v>
      </c>
      <c r="P664" s="92">
        <v>21385</v>
      </c>
      <c r="Q664" s="105"/>
      <c r="R664" s="106"/>
      <c r="S664" s="92">
        <v>1</v>
      </c>
      <c r="T664" s="91">
        <f t="shared" si="104"/>
        <v>201</v>
      </c>
      <c r="U664" s="644" t="s">
        <v>1053</v>
      </c>
      <c r="V664" s="761" t="s">
        <v>598</v>
      </c>
      <c r="W664" s="14" t="s">
        <v>48</v>
      </c>
      <c r="X664" s="7"/>
      <c r="Y664" s="7"/>
      <c r="Z664" s="7"/>
      <c r="AA664" s="7"/>
      <c r="AB664" s="7"/>
      <c r="AC664" s="7"/>
    </row>
    <row r="665" spans="1:29" ht="25.5">
      <c r="A665" s="252"/>
      <c r="B665" s="831" t="s">
        <v>599</v>
      </c>
      <c r="C665" s="91">
        <f t="shared" si="98"/>
        <v>535</v>
      </c>
      <c r="D665" s="92"/>
      <c r="E665" s="91">
        <f t="shared" si="99"/>
        <v>35</v>
      </c>
      <c r="F665" s="91">
        <f t="shared" si="100"/>
        <v>20</v>
      </c>
      <c r="G665" s="91">
        <f t="shared" si="101"/>
        <v>15</v>
      </c>
      <c r="H665" s="91">
        <f t="shared" si="102"/>
        <v>500</v>
      </c>
      <c r="I665" s="91">
        <f t="shared" si="103"/>
        <v>250</v>
      </c>
      <c r="J665" s="98"/>
      <c r="K665" s="98"/>
      <c r="L665" s="98"/>
      <c r="M665" s="98"/>
      <c r="N665" s="98"/>
      <c r="O665" s="92">
        <v>36950</v>
      </c>
      <c r="P665" s="92">
        <v>37450</v>
      </c>
      <c r="Q665" s="105"/>
      <c r="R665" s="106"/>
      <c r="S665" s="92">
        <v>1</v>
      </c>
      <c r="T665" s="91">
        <f t="shared" si="104"/>
        <v>500</v>
      </c>
      <c r="U665" s="644" t="s">
        <v>1054</v>
      </c>
      <c r="V665" s="761" t="s">
        <v>600</v>
      </c>
      <c r="W665" s="14" t="s">
        <v>48</v>
      </c>
      <c r="X665" s="7"/>
      <c r="Y665" s="7"/>
      <c r="Z665" s="7"/>
      <c r="AA665" s="7"/>
      <c r="AB665" s="7"/>
      <c r="AC665" s="7"/>
    </row>
    <row r="666" spans="1:29" ht="25.5">
      <c r="A666" s="252"/>
      <c r="B666" s="832"/>
      <c r="C666" s="91">
        <f t="shared" si="98"/>
        <v>165.85</v>
      </c>
      <c r="D666" s="92"/>
      <c r="E666" s="91">
        <f t="shared" si="99"/>
        <v>10.85</v>
      </c>
      <c r="F666" s="91">
        <f t="shared" si="100"/>
        <v>6.2</v>
      </c>
      <c r="G666" s="91">
        <f t="shared" si="101"/>
        <v>4.6499999999999995</v>
      </c>
      <c r="H666" s="91">
        <f t="shared" si="102"/>
        <v>155</v>
      </c>
      <c r="I666" s="91">
        <f t="shared" si="103"/>
        <v>77.5</v>
      </c>
      <c r="J666" s="98"/>
      <c r="K666" s="98"/>
      <c r="L666" s="98"/>
      <c r="M666" s="98"/>
      <c r="N666" s="98"/>
      <c r="O666" s="92">
        <v>9890</v>
      </c>
      <c r="P666" s="92">
        <v>10045</v>
      </c>
      <c r="Q666" s="105"/>
      <c r="R666" s="106"/>
      <c r="S666" s="92">
        <v>1</v>
      </c>
      <c r="T666" s="91">
        <f t="shared" si="104"/>
        <v>155</v>
      </c>
      <c r="U666" s="644" t="s">
        <v>1055</v>
      </c>
      <c r="V666" s="761" t="s">
        <v>602</v>
      </c>
      <c r="W666" s="14" t="s">
        <v>48</v>
      </c>
      <c r="X666" s="7"/>
      <c r="Y666" s="7"/>
      <c r="Z666" s="7"/>
      <c r="AA666" s="7"/>
      <c r="AB666" s="7"/>
      <c r="AC666" s="7"/>
    </row>
    <row r="667" spans="1:29" ht="25.5">
      <c r="A667" s="252"/>
      <c r="B667" s="104" t="s">
        <v>706</v>
      </c>
      <c r="C667" s="91">
        <f t="shared" si="98"/>
        <v>1287.21</v>
      </c>
      <c r="D667" s="92"/>
      <c r="E667" s="91">
        <f t="shared" si="99"/>
        <v>84.210000000000008</v>
      </c>
      <c r="F667" s="91">
        <f t="shared" si="100"/>
        <v>48.120000000000005</v>
      </c>
      <c r="G667" s="91">
        <f t="shared" si="101"/>
        <v>36.089999999999996</v>
      </c>
      <c r="H667" s="91">
        <f t="shared" si="102"/>
        <v>1203</v>
      </c>
      <c r="I667" s="91">
        <f t="shared" si="103"/>
        <v>601.5</v>
      </c>
      <c r="J667" s="98"/>
      <c r="K667" s="98"/>
      <c r="L667" s="98"/>
      <c r="M667" s="98"/>
      <c r="N667" s="98"/>
      <c r="O667" s="92">
        <v>90944</v>
      </c>
      <c r="P667" s="92">
        <v>92147</v>
      </c>
      <c r="Q667" s="105"/>
      <c r="R667" s="106"/>
      <c r="S667" s="92">
        <v>1</v>
      </c>
      <c r="T667" s="91">
        <f t="shared" si="104"/>
        <v>1203</v>
      </c>
      <c r="U667" s="644" t="s">
        <v>1056</v>
      </c>
      <c r="V667" s="761" t="s">
        <v>603</v>
      </c>
      <c r="W667" s="14" t="s">
        <v>48</v>
      </c>
      <c r="X667" s="7"/>
      <c r="Y667" s="7"/>
      <c r="Z667" s="7"/>
      <c r="AA667" s="7"/>
      <c r="AB667" s="7"/>
      <c r="AC667" s="7"/>
    </row>
    <row r="668" spans="1:29" ht="25.5">
      <c r="A668" s="252"/>
      <c r="B668" s="104" t="s">
        <v>604</v>
      </c>
      <c r="C668" s="91">
        <f t="shared" si="98"/>
        <v>569.24</v>
      </c>
      <c r="D668" s="92"/>
      <c r="E668" s="91">
        <f t="shared" si="99"/>
        <v>37.24</v>
      </c>
      <c r="F668" s="91">
        <f t="shared" si="100"/>
        <v>21.28</v>
      </c>
      <c r="G668" s="91">
        <f t="shared" si="101"/>
        <v>15.959999999999999</v>
      </c>
      <c r="H668" s="91">
        <f t="shared" si="102"/>
        <v>532</v>
      </c>
      <c r="I668" s="91">
        <f t="shared" si="103"/>
        <v>266</v>
      </c>
      <c r="J668" s="98"/>
      <c r="K668" s="98"/>
      <c r="L668" s="98"/>
      <c r="M668" s="98"/>
      <c r="N668" s="98"/>
      <c r="O668" s="92">
        <v>42368</v>
      </c>
      <c r="P668" s="92">
        <v>42900</v>
      </c>
      <c r="Q668" s="105"/>
      <c r="R668" s="106"/>
      <c r="S668" s="92">
        <v>1</v>
      </c>
      <c r="T668" s="91">
        <f t="shared" si="104"/>
        <v>532</v>
      </c>
      <c r="U668" s="644" t="s">
        <v>1057</v>
      </c>
      <c r="V668" s="761" t="s">
        <v>605</v>
      </c>
      <c r="W668" s="14" t="s">
        <v>48</v>
      </c>
      <c r="X668" s="7"/>
      <c r="Y668" s="7"/>
      <c r="Z668" s="7"/>
      <c r="AA668" s="7"/>
      <c r="AB668" s="7"/>
      <c r="AC668" s="7"/>
    </row>
    <row r="669" spans="1:29" ht="25.5">
      <c r="A669" s="252"/>
      <c r="B669" s="104" t="s">
        <v>606</v>
      </c>
      <c r="C669" s="91">
        <f t="shared" si="98"/>
        <v>123.05</v>
      </c>
      <c r="D669" s="92"/>
      <c r="E669" s="91">
        <f t="shared" si="99"/>
        <v>8.0500000000000007</v>
      </c>
      <c r="F669" s="91">
        <f t="shared" si="100"/>
        <v>4.6000000000000005</v>
      </c>
      <c r="G669" s="91">
        <f t="shared" si="101"/>
        <v>3.4499999999999997</v>
      </c>
      <c r="H669" s="91">
        <f t="shared" si="102"/>
        <v>115</v>
      </c>
      <c r="I669" s="91">
        <f t="shared" si="103"/>
        <v>57.5</v>
      </c>
      <c r="J669" s="98"/>
      <c r="K669" s="98"/>
      <c r="L669" s="98"/>
      <c r="M669" s="98"/>
      <c r="N669" s="98"/>
      <c r="O669" s="92">
        <v>9525</v>
      </c>
      <c r="P669" s="92">
        <v>9640</v>
      </c>
      <c r="Q669" s="105"/>
      <c r="R669" s="106"/>
      <c r="S669" s="92">
        <v>1</v>
      </c>
      <c r="T669" s="91">
        <f t="shared" si="104"/>
        <v>115</v>
      </c>
      <c r="U669" s="644" t="s">
        <v>1058</v>
      </c>
      <c r="V669" s="761" t="s">
        <v>607</v>
      </c>
      <c r="W669" s="14" t="s">
        <v>48</v>
      </c>
      <c r="X669" s="7"/>
      <c r="Y669" s="7"/>
      <c r="Z669" s="7"/>
      <c r="AA669" s="7"/>
      <c r="AB669" s="7"/>
      <c r="AC669" s="7"/>
    </row>
    <row r="670" spans="1:29" ht="25.5">
      <c r="A670" s="252"/>
      <c r="B670" s="104" t="s">
        <v>952</v>
      </c>
      <c r="C670" s="91">
        <f t="shared" si="98"/>
        <v>0</v>
      </c>
      <c r="D670" s="92"/>
      <c r="E670" s="91">
        <f t="shared" si="99"/>
        <v>0</v>
      </c>
      <c r="F670" s="91">
        <f t="shared" si="100"/>
        <v>0</v>
      </c>
      <c r="G670" s="91">
        <f t="shared" si="101"/>
        <v>0</v>
      </c>
      <c r="H670" s="91">
        <f t="shared" si="102"/>
        <v>0</v>
      </c>
      <c r="I670" s="91">
        <f t="shared" si="103"/>
        <v>0</v>
      </c>
      <c r="J670" s="98"/>
      <c r="K670" s="98"/>
      <c r="L670" s="98"/>
      <c r="M670" s="98"/>
      <c r="N670" s="98"/>
      <c r="O670" s="92">
        <v>15474</v>
      </c>
      <c r="P670" s="92">
        <v>15474</v>
      </c>
      <c r="Q670" s="105"/>
      <c r="R670" s="106"/>
      <c r="S670" s="92">
        <v>1</v>
      </c>
      <c r="T670" s="91">
        <f t="shared" si="104"/>
        <v>0</v>
      </c>
      <c r="U670" s="644" t="s">
        <v>1059</v>
      </c>
      <c r="V670" s="761" t="s">
        <v>951</v>
      </c>
      <c r="W670" s="14" t="s">
        <v>48</v>
      </c>
      <c r="X670" s="7"/>
      <c r="Y670" s="7"/>
      <c r="Z670" s="7"/>
      <c r="AA670" s="7"/>
      <c r="AB670" s="7"/>
      <c r="AC670" s="7"/>
    </row>
    <row r="671" spans="1:29" ht="25.5">
      <c r="A671" s="252"/>
      <c r="B671" s="104" t="s">
        <v>707</v>
      </c>
      <c r="C671" s="91">
        <f t="shared" si="98"/>
        <v>573.52</v>
      </c>
      <c r="D671" s="92"/>
      <c r="E671" s="91">
        <f t="shared" si="99"/>
        <v>37.519999999999996</v>
      </c>
      <c r="F671" s="91">
        <f t="shared" si="100"/>
        <v>21.44</v>
      </c>
      <c r="G671" s="91">
        <f t="shared" si="101"/>
        <v>16.079999999999998</v>
      </c>
      <c r="H671" s="91">
        <f t="shared" si="102"/>
        <v>536</v>
      </c>
      <c r="I671" s="91">
        <f t="shared" si="103"/>
        <v>268</v>
      </c>
      <c r="J671" s="98"/>
      <c r="K671" s="98"/>
      <c r="L671" s="98"/>
      <c r="M671" s="98"/>
      <c r="N671" s="98"/>
      <c r="O671" s="92">
        <v>24401</v>
      </c>
      <c r="P671" s="92">
        <v>24937</v>
      </c>
      <c r="Q671" s="105"/>
      <c r="R671" s="106"/>
      <c r="S671" s="92">
        <v>1</v>
      </c>
      <c r="T671" s="91">
        <f t="shared" si="104"/>
        <v>536</v>
      </c>
      <c r="U671" s="644" t="s">
        <v>1060</v>
      </c>
      <c r="V671" s="761" t="s">
        <v>687</v>
      </c>
      <c r="W671" s="14" t="s">
        <v>48</v>
      </c>
      <c r="X671" s="7"/>
      <c r="Y671" s="7"/>
      <c r="Z671" s="7"/>
      <c r="AA671" s="7"/>
      <c r="AB671" s="7"/>
      <c r="AC671" s="7"/>
    </row>
    <row r="672" spans="1:29" ht="27" customHeight="1">
      <c r="B672" s="104" t="s">
        <v>840</v>
      </c>
      <c r="C672" s="91">
        <f t="shared" si="98"/>
        <v>1274.3699999999999</v>
      </c>
      <c r="D672" s="92"/>
      <c r="E672" s="91">
        <f t="shared" si="99"/>
        <v>83.37</v>
      </c>
      <c r="F672" s="91">
        <f t="shared" si="100"/>
        <v>47.64</v>
      </c>
      <c r="G672" s="91">
        <f t="shared" si="101"/>
        <v>35.729999999999997</v>
      </c>
      <c r="H672" s="91">
        <f t="shared" si="102"/>
        <v>1191</v>
      </c>
      <c r="I672" s="91">
        <f t="shared" si="103"/>
        <v>595.5</v>
      </c>
      <c r="J672" s="98"/>
      <c r="K672" s="98"/>
      <c r="L672" s="98"/>
      <c r="M672" s="98"/>
      <c r="N672" s="98"/>
      <c r="O672" s="92">
        <v>13128</v>
      </c>
      <c r="P672" s="92">
        <v>14319</v>
      </c>
      <c r="Q672" s="105"/>
      <c r="R672" s="106"/>
      <c r="S672" s="92">
        <v>1</v>
      </c>
      <c r="T672" s="91">
        <f t="shared" si="104"/>
        <v>1191</v>
      </c>
      <c r="U672" s="644" t="s">
        <v>1061</v>
      </c>
      <c r="V672" s="761" t="s">
        <v>841</v>
      </c>
    </row>
    <row r="673" spans="1:29" ht="25.5">
      <c r="A673" s="252"/>
      <c r="B673" s="104" t="s">
        <v>896</v>
      </c>
      <c r="C673" s="91">
        <f t="shared" si="98"/>
        <v>307.08999999999997</v>
      </c>
      <c r="D673" s="92"/>
      <c r="E673" s="91">
        <f t="shared" si="99"/>
        <v>20.09</v>
      </c>
      <c r="F673" s="91">
        <f t="shared" si="100"/>
        <v>11.48</v>
      </c>
      <c r="G673" s="91">
        <f t="shared" si="101"/>
        <v>8.61</v>
      </c>
      <c r="H673" s="91">
        <f t="shared" si="102"/>
        <v>287</v>
      </c>
      <c r="I673" s="91">
        <f t="shared" si="103"/>
        <v>143.5</v>
      </c>
      <c r="J673" s="98"/>
      <c r="K673" s="98"/>
      <c r="L673" s="98"/>
      <c r="M673" s="98"/>
      <c r="N673" s="98"/>
      <c r="O673" s="92">
        <v>17071</v>
      </c>
      <c r="P673" s="92">
        <v>17358</v>
      </c>
      <c r="Q673" s="105"/>
      <c r="R673" s="106"/>
      <c r="S673" s="92">
        <v>1</v>
      </c>
      <c r="T673" s="91">
        <f t="shared" si="104"/>
        <v>287</v>
      </c>
      <c r="U673" s="644" t="s">
        <v>1062</v>
      </c>
      <c r="V673" s="761" t="s">
        <v>289</v>
      </c>
      <c r="W673" s="14" t="s">
        <v>48</v>
      </c>
      <c r="X673" s="7"/>
      <c r="Y673" s="7"/>
      <c r="Z673" s="7"/>
      <c r="AA673" s="7"/>
      <c r="AB673" s="7"/>
      <c r="AC673" s="7"/>
    </row>
    <row r="674" spans="1:29" ht="25.5">
      <c r="A674" s="252"/>
      <c r="B674" s="104" t="s">
        <v>612</v>
      </c>
      <c r="C674" s="91">
        <f t="shared" si="98"/>
        <v>377.71</v>
      </c>
      <c r="D674" s="92"/>
      <c r="E674" s="91">
        <f t="shared" si="99"/>
        <v>24.71</v>
      </c>
      <c r="F674" s="91">
        <f t="shared" si="100"/>
        <v>14.120000000000001</v>
      </c>
      <c r="G674" s="91">
        <f t="shared" si="101"/>
        <v>10.59</v>
      </c>
      <c r="H674" s="91">
        <f t="shared" si="102"/>
        <v>353</v>
      </c>
      <c r="I674" s="91">
        <f t="shared" si="103"/>
        <v>176.5</v>
      </c>
      <c r="J674" s="98"/>
      <c r="K674" s="98"/>
      <c r="L674" s="98"/>
      <c r="M674" s="98"/>
      <c r="N674" s="98"/>
      <c r="O674" s="92">
        <v>45722</v>
      </c>
      <c r="P674" s="92">
        <v>46075</v>
      </c>
      <c r="Q674" s="105"/>
      <c r="R674" s="106"/>
      <c r="S674" s="92">
        <v>1</v>
      </c>
      <c r="T674" s="91">
        <f t="shared" si="104"/>
        <v>353</v>
      </c>
      <c r="U674" s="644" t="s">
        <v>1063</v>
      </c>
      <c r="V674" s="761" t="s">
        <v>613</v>
      </c>
      <c r="W674" s="14" t="s">
        <v>48</v>
      </c>
      <c r="X674" s="7"/>
      <c r="Y674" s="7"/>
      <c r="Z674" s="7"/>
      <c r="AA674" s="7"/>
      <c r="AB674" s="7"/>
      <c r="AC674" s="7"/>
    </row>
    <row r="675" spans="1:29" ht="25.5">
      <c r="A675" s="252"/>
      <c r="B675" s="104" t="s">
        <v>614</v>
      </c>
      <c r="C675" s="91">
        <f t="shared" si="98"/>
        <v>423.72</v>
      </c>
      <c r="D675" s="92"/>
      <c r="E675" s="91">
        <f t="shared" si="99"/>
        <v>27.72</v>
      </c>
      <c r="F675" s="91">
        <f t="shared" si="100"/>
        <v>15.84</v>
      </c>
      <c r="G675" s="91">
        <f t="shared" si="101"/>
        <v>11.879999999999999</v>
      </c>
      <c r="H675" s="91">
        <f t="shared" si="102"/>
        <v>396</v>
      </c>
      <c r="I675" s="91">
        <f t="shared" si="103"/>
        <v>198</v>
      </c>
      <c r="J675" s="98"/>
      <c r="K675" s="98"/>
      <c r="L675" s="98"/>
      <c r="M675" s="98"/>
      <c r="N675" s="98"/>
      <c r="O675" s="92">
        <v>24377</v>
      </c>
      <c r="P675" s="92">
        <v>24773</v>
      </c>
      <c r="Q675" s="105"/>
      <c r="R675" s="106"/>
      <c r="S675" s="92">
        <v>1</v>
      </c>
      <c r="T675" s="91">
        <f t="shared" si="104"/>
        <v>396</v>
      </c>
      <c r="U675" s="644" t="s">
        <v>1064</v>
      </c>
      <c r="V675" s="761" t="s">
        <v>615</v>
      </c>
      <c r="W675" s="14" t="s">
        <v>48</v>
      </c>
      <c r="X675" s="7"/>
      <c r="Y675" s="7"/>
      <c r="Z675" s="7"/>
      <c r="AA675" s="7"/>
      <c r="AB675" s="7"/>
      <c r="AC675" s="7"/>
    </row>
    <row r="676" spans="1:29" ht="25.5">
      <c r="A676" s="252"/>
      <c r="B676" s="104" t="s">
        <v>616</v>
      </c>
      <c r="C676" s="91">
        <f t="shared" si="98"/>
        <v>455.82</v>
      </c>
      <c r="D676" s="92"/>
      <c r="E676" s="91">
        <f t="shared" si="99"/>
        <v>29.82</v>
      </c>
      <c r="F676" s="91">
        <f t="shared" si="100"/>
        <v>17.04</v>
      </c>
      <c r="G676" s="91">
        <f t="shared" si="101"/>
        <v>12.78</v>
      </c>
      <c r="H676" s="91">
        <f t="shared" si="102"/>
        <v>426</v>
      </c>
      <c r="I676" s="91">
        <f t="shared" si="103"/>
        <v>213</v>
      </c>
      <c r="J676" s="98"/>
      <c r="K676" s="98"/>
      <c r="L676" s="98"/>
      <c r="M676" s="98"/>
      <c r="N676" s="98"/>
      <c r="O676" s="92">
        <v>35747</v>
      </c>
      <c r="P676" s="92">
        <v>36173</v>
      </c>
      <c r="Q676" s="105"/>
      <c r="R676" s="106"/>
      <c r="S676" s="92">
        <v>1</v>
      </c>
      <c r="T676" s="91">
        <f t="shared" si="104"/>
        <v>426</v>
      </c>
      <c r="U676" s="644" t="s">
        <v>1065</v>
      </c>
      <c r="V676" s="761" t="s">
        <v>617</v>
      </c>
      <c r="W676" s="14" t="s">
        <v>48</v>
      </c>
      <c r="X676" s="7"/>
      <c r="Y676" s="7"/>
      <c r="Z676" s="7"/>
      <c r="AA676" s="7"/>
      <c r="AB676" s="7"/>
      <c r="AC676" s="7"/>
    </row>
    <row r="677" spans="1:29" ht="25.5">
      <c r="A677" s="252"/>
      <c r="B677" s="104" t="s">
        <v>837</v>
      </c>
      <c r="C677" s="91">
        <f t="shared" si="98"/>
        <v>0</v>
      </c>
      <c r="D677" s="92"/>
      <c r="E677" s="91">
        <f t="shared" si="99"/>
        <v>0</v>
      </c>
      <c r="F677" s="91">
        <f t="shared" si="100"/>
        <v>0</v>
      </c>
      <c r="G677" s="91">
        <f t="shared" si="101"/>
        <v>0</v>
      </c>
      <c r="H677" s="91">
        <f t="shared" si="102"/>
        <v>0</v>
      </c>
      <c r="I677" s="91">
        <f t="shared" si="103"/>
        <v>0</v>
      </c>
      <c r="J677" s="98"/>
      <c r="K677" s="98"/>
      <c r="L677" s="98"/>
      <c r="M677" s="98"/>
      <c r="N677" s="98"/>
      <c r="O677" s="648">
        <v>66445</v>
      </c>
      <c r="P677" s="648">
        <v>66445</v>
      </c>
      <c r="Q677" s="105"/>
      <c r="R677" s="106"/>
      <c r="S677" s="92">
        <v>1</v>
      </c>
      <c r="T677" s="91">
        <f t="shared" si="104"/>
        <v>0</v>
      </c>
      <c r="U677" s="644" t="s">
        <v>1066</v>
      </c>
      <c r="V677" s="761" t="s">
        <v>817</v>
      </c>
      <c r="W677" s="14" t="s">
        <v>48</v>
      </c>
      <c r="X677" s="7"/>
      <c r="Y677" s="7"/>
      <c r="Z677" s="7"/>
      <c r="AA677" s="7"/>
      <c r="AB677" s="7"/>
      <c r="AC677" s="7"/>
    </row>
    <row r="678" spans="1:29" ht="25.5">
      <c r="A678" s="252"/>
      <c r="B678" s="104" t="s">
        <v>618</v>
      </c>
      <c r="C678" s="91">
        <f t="shared" si="98"/>
        <v>1124.57</v>
      </c>
      <c r="D678" s="92"/>
      <c r="E678" s="91">
        <f t="shared" si="99"/>
        <v>73.569999999999993</v>
      </c>
      <c r="F678" s="91">
        <f t="shared" si="100"/>
        <v>42.04</v>
      </c>
      <c r="G678" s="91">
        <f t="shared" si="101"/>
        <v>31.529999999999998</v>
      </c>
      <c r="H678" s="91">
        <f t="shared" si="102"/>
        <v>1051</v>
      </c>
      <c r="I678" s="91">
        <f t="shared" si="103"/>
        <v>525.5</v>
      </c>
      <c r="J678" s="98"/>
      <c r="K678" s="98"/>
      <c r="L678" s="98"/>
      <c r="M678" s="98"/>
      <c r="N678" s="98"/>
      <c r="O678" s="92">
        <v>59894</v>
      </c>
      <c r="P678" s="92">
        <v>60945</v>
      </c>
      <c r="Q678" s="105"/>
      <c r="R678" s="106"/>
      <c r="S678" s="92">
        <v>1</v>
      </c>
      <c r="T678" s="91">
        <f t="shared" si="104"/>
        <v>1051</v>
      </c>
      <c r="U678" s="644" t="s">
        <v>1067</v>
      </c>
      <c r="V678" s="761" t="s">
        <v>838</v>
      </c>
      <c r="W678" s="14" t="s">
        <v>48</v>
      </c>
      <c r="X678" s="7"/>
      <c r="Y678" s="7"/>
      <c r="Z678" s="7"/>
      <c r="AA678" s="7"/>
      <c r="AB678" s="7"/>
      <c r="AC678" s="7"/>
    </row>
    <row r="679" spans="1:29" ht="25.5">
      <c r="A679" s="252"/>
      <c r="B679" s="104" t="s">
        <v>619</v>
      </c>
      <c r="C679" s="91">
        <f>H679+E679</f>
        <v>1529.03</v>
      </c>
      <c r="D679" s="91"/>
      <c r="E679" s="91">
        <f>F679+G679</f>
        <v>100.03</v>
      </c>
      <c r="F679" s="91">
        <f>0.04*H679</f>
        <v>57.160000000000004</v>
      </c>
      <c r="G679" s="91">
        <f>0.03*H679</f>
        <v>42.87</v>
      </c>
      <c r="H679" s="91">
        <f>T679</f>
        <v>1429</v>
      </c>
      <c r="I679" s="91">
        <f>0.5*C679</f>
        <v>764.51499999999999</v>
      </c>
      <c r="J679" s="22"/>
      <c r="K679" s="22"/>
      <c r="L679" s="22"/>
      <c r="M679" s="22"/>
      <c r="N679" s="22"/>
      <c r="O679" s="91">
        <v>75276</v>
      </c>
      <c r="P679" s="91">
        <v>76705</v>
      </c>
      <c r="Q679" s="122"/>
      <c r="R679" s="649"/>
      <c r="S679" s="91">
        <v>1</v>
      </c>
      <c r="T679" s="91">
        <f t="shared" si="104"/>
        <v>1429</v>
      </c>
      <c r="U679" s="644" t="s">
        <v>1068</v>
      </c>
      <c r="V679" s="761" t="s">
        <v>839</v>
      </c>
      <c r="W679" s="14" t="s">
        <v>48</v>
      </c>
      <c r="X679" s="7"/>
      <c r="Y679" s="7"/>
      <c r="Z679" s="7"/>
      <c r="AA679" s="7"/>
      <c r="AB679" s="7"/>
      <c r="AC679" s="7"/>
    </row>
    <row r="680" spans="1:29" ht="25.5">
      <c r="A680" s="252"/>
      <c r="B680" s="104" t="s">
        <v>949</v>
      </c>
      <c r="C680" s="91">
        <f t="shared" si="98"/>
        <v>1808.3</v>
      </c>
      <c r="D680" s="92"/>
      <c r="E680" s="91">
        <f t="shared" si="99"/>
        <v>118.29999999999998</v>
      </c>
      <c r="F680" s="91">
        <f t="shared" si="100"/>
        <v>67.599999999999994</v>
      </c>
      <c r="G680" s="91">
        <f t="shared" si="101"/>
        <v>50.699999999999996</v>
      </c>
      <c r="H680" s="91">
        <f t="shared" si="102"/>
        <v>1690</v>
      </c>
      <c r="I680" s="91">
        <f t="shared" si="103"/>
        <v>845</v>
      </c>
      <c r="J680" s="98"/>
      <c r="K680" s="98"/>
      <c r="L680" s="98"/>
      <c r="M680" s="98"/>
      <c r="N680" s="98"/>
      <c r="O680" s="92">
        <v>44547</v>
      </c>
      <c r="P680" s="92">
        <v>46237</v>
      </c>
      <c r="Q680" s="105"/>
      <c r="R680" s="106"/>
      <c r="S680" s="92">
        <v>1</v>
      </c>
      <c r="T680" s="91">
        <f t="shared" si="104"/>
        <v>1690</v>
      </c>
      <c r="U680" s="644" t="s">
        <v>1069</v>
      </c>
      <c r="V680" s="761" t="s">
        <v>620</v>
      </c>
      <c r="W680" s="14" t="s">
        <v>48</v>
      </c>
      <c r="X680" s="7"/>
      <c r="Y680" s="7"/>
      <c r="Z680" s="7"/>
      <c r="AA680" s="7"/>
      <c r="AB680" s="7"/>
      <c r="AC680" s="7"/>
    </row>
    <row r="681" spans="1:29" ht="25.5">
      <c r="A681" s="252"/>
      <c r="B681" s="104" t="s">
        <v>621</v>
      </c>
      <c r="C681" s="91">
        <f t="shared" si="98"/>
        <v>721.18</v>
      </c>
      <c r="D681" s="92"/>
      <c r="E681" s="91">
        <f t="shared" si="99"/>
        <v>47.18</v>
      </c>
      <c r="F681" s="91">
        <f t="shared" si="100"/>
        <v>26.96</v>
      </c>
      <c r="G681" s="91">
        <f t="shared" si="101"/>
        <v>20.22</v>
      </c>
      <c r="H681" s="91">
        <f t="shared" si="102"/>
        <v>674</v>
      </c>
      <c r="I681" s="91">
        <f t="shared" si="103"/>
        <v>337</v>
      </c>
      <c r="J681" s="98"/>
      <c r="K681" s="98"/>
      <c r="L681" s="98"/>
      <c r="M681" s="98"/>
      <c r="N681" s="98"/>
      <c r="O681" s="92">
        <v>56320</v>
      </c>
      <c r="P681" s="92">
        <v>56994</v>
      </c>
      <c r="Q681" s="105"/>
      <c r="R681" s="106"/>
      <c r="S681" s="92">
        <v>1</v>
      </c>
      <c r="T681" s="91">
        <f t="shared" si="104"/>
        <v>674</v>
      </c>
      <c r="U681" s="644" t="s">
        <v>1070</v>
      </c>
      <c r="V681" s="761" t="s">
        <v>622</v>
      </c>
      <c r="W681" s="14" t="s">
        <v>48</v>
      </c>
      <c r="X681" s="7"/>
      <c r="Y681" s="7"/>
      <c r="Z681" s="7"/>
      <c r="AA681" s="7"/>
      <c r="AB681" s="7"/>
      <c r="AC681" s="7"/>
    </row>
    <row r="682" spans="1:29" ht="25.5">
      <c r="A682" s="252"/>
      <c r="B682" s="104" t="s">
        <v>623</v>
      </c>
      <c r="C682" s="91">
        <f t="shared" si="98"/>
        <v>1105.31</v>
      </c>
      <c r="D682" s="92"/>
      <c r="E682" s="91">
        <f t="shared" si="99"/>
        <v>72.31</v>
      </c>
      <c r="F682" s="91">
        <f t="shared" si="100"/>
        <v>41.32</v>
      </c>
      <c r="G682" s="91">
        <f t="shared" si="101"/>
        <v>30.99</v>
      </c>
      <c r="H682" s="91">
        <f t="shared" si="102"/>
        <v>1033</v>
      </c>
      <c r="I682" s="91">
        <f t="shared" si="103"/>
        <v>516.5</v>
      </c>
      <c r="J682" s="98"/>
      <c r="K682" s="98"/>
      <c r="L682" s="98"/>
      <c r="M682" s="98"/>
      <c r="N682" s="98"/>
      <c r="O682" s="92">
        <v>179028</v>
      </c>
      <c r="P682" s="92">
        <v>180061</v>
      </c>
      <c r="Q682" s="105"/>
      <c r="R682" s="106"/>
      <c r="S682" s="92">
        <v>1</v>
      </c>
      <c r="T682" s="91">
        <f t="shared" si="104"/>
        <v>1033</v>
      </c>
      <c r="U682" s="644" t="s">
        <v>1071</v>
      </c>
      <c r="V682" s="761" t="s">
        <v>624</v>
      </c>
      <c r="W682" s="14" t="s">
        <v>48</v>
      </c>
      <c r="X682" s="7"/>
      <c r="Y682" s="7"/>
      <c r="Z682" s="7"/>
      <c r="AA682" s="7"/>
      <c r="AB682" s="7"/>
      <c r="AC682" s="7"/>
    </row>
    <row r="683" spans="1:29" ht="25.5">
      <c r="A683" s="252"/>
      <c r="B683" s="104" t="s">
        <v>625</v>
      </c>
      <c r="C683" s="91">
        <f t="shared" si="98"/>
        <v>481.5</v>
      </c>
      <c r="D683" s="92"/>
      <c r="E683" s="91">
        <f t="shared" si="99"/>
        <v>31.5</v>
      </c>
      <c r="F683" s="91">
        <f t="shared" si="100"/>
        <v>18</v>
      </c>
      <c r="G683" s="91">
        <f t="shared" si="101"/>
        <v>13.5</v>
      </c>
      <c r="H683" s="91">
        <f t="shared" si="102"/>
        <v>450</v>
      </c>
      <c r="I683" s="91">
        <f t="shared" si="103"/>
        <v>225</v>
      </c>
      <c r="J683" s="22"/>
      <c r="K683" s="22"/>
      <c r="L683" s="22"/>
      <c r="M683" s="22"/>
      <c r="N683" s="22"/>
      <c r="O683" s="91">
        <v>58716</v>
      </c>
      <c r="P683" s="91">
        <v>59166</v>
      </c>
      <c r="Q683" s="244"/>
      <c r="R683" s="106"/>
      <c r="S683" s="151">
        <v>1</v>
      </c>
      <c r="T683" s="91">
        <f t="shared" si="104"/>
        <v>450</v>
      </c>
      <c r="U683" s="644" t="s">
        <v>1072</v>
      </c>
      <c r="V683" s="761" t="s">
        <v>626</v>
      </c>
      <c r="W683" s="14" t="s">
        <v>48</v>
      </c>
      <c r="X683" s="7"/>
      <c r="Y683" s="7"/>
      <c r="Z683" s="7"/>
      <c r="AA683" s="7"/>
      <c r="AB683" s="7"/>
      <c r="AC683" s="7"/>
    </row>
    <row r="684" spans="1:29" ht="25.5">
      <c r="A684" s="252"/>
      <c r="B684" s="104" t="s">
        <v>627</v>
      </c>
      <c r="C684" s="91">
        <f t="shared" si="98"/>
        <v>426.93</v>
      </c>
      <c r="D684" s="92"/>
      <c r="E684" s="91">
        <f t="shared" si="99"/>
        <v>27.93</v>
      </c>
      <c r="F684" s="91">
        <f t="shared" si="100"/>
        <v>15.96</v>
      </c>
      <c r="G684" s="91">
        <f t="shared" si="101"/>
        <v>11.969999999999999</v>
      </c>
      <c r="H684" s="91">
        <f t="shared" si="102"/>
        <v>399</v>
      </c>
      <c r="I684" s="91">
        <f t="shared" si="103"/>
        <v>199.5</v>
      </c>
      <c r="J684" s="22"/>
      <c r="K684" s="22"/>
      <c r="L684" s="22"/>
      <c r="M684" s="22"/>
      <c r="N684" s="22"/>
      <c r="O684" s="91">
        <v>33637</v>
      </c>
      <c r="P684" s="91">
        <v>34036</v>
      </c>
      <c r="Q684" s="244"/>
      <c r="R684" s="106"/>
      <c r="S684" s="151">
        <v>1</v>
      </c>
      <c r="T684" s="91">
        <f t="shared" si="104"/>
        <v>399</v>
      </c>
      <c r="U684" s="644" t="s">
        <v>1073</v>
      </c>
      <c r="V684" s="761" t="s">
        <v>628</v>
      </c>
      <c r="W684" s="14" t="s">
        <v>48</v>
      </c>
      <c r="X684" s="7"/>
      <c r="Y684" s="7"/>
      <c r="Z684" s="7"/>
      <c r="AA684" s="7"/>
      <c r="AB684" s="7"/>
      <c r="AC684" s="7"/>
    </row>
    <row r="685" spans="1:29" ht="25.5">
      <c r="A685" s="252"/>
      <c r="B685" s="104" t="s">
        <v>629</v>
      </c>
      <c r="C685" s="91">
        <f t="shared" si="98"/>
        <v>404.46</v>
      </c>
      <c r="D685" s="92"/>
      <c r="E685" s="91">
        <f t="shared" si="99"/>
        <v>26.46</v>
      </c>
      <c r="F685" s="91">
        <f t="shared" si="100"/>
        <v>15.120000000000001</v>
      </c>
      <c r="G685" s="91">
        <f t="shared" si="101"/>
        <v>11.34</v>
      </c>
      <c r="H685" s="91">
        <f t="shared" si="102"/>
        <v>378</v>
      </c>
      <c r="I685" s="91">
        <f t="shared" si="103"/>
        <v>189</v>
      </c>
      <c r="J685" s="22"/>
      <c r="K685" s="22"/>
      <c r="L685" s="22"/>
      <c r="M685" s="22"/>
      <c r="N685" s="22"/>
      <c r="O685" s="91">
        <v>17047</v>
      </c>
      <c r="P685" s="91">
        <v>17425</v>
      </c>
      <c r="Q685" s="244"/>
      <c r="R685" s="106"/>
      <c r="S685" s="151">
        <v>1</v>
      </c>
      <c r="T685" s="91">
        <f t="shared" si="104"/>
        <v>378</v>
      </c>
      <c r="U685" s="644" t="s">
        <v>1074</v>
      </c>
      <c r="V685" s="761" t="s">
        <v>630</v>
      </c>
      <c r="W685" s="14" t="s">
        <v>48</v>
      </c>
      <c r="X685" s="7"/>
      <c r="Y685" s="7"/>
      <c r="Z685" s="7"/>
      <c r="AA685" s="7"/>
      <c r="AB685" s="7"/>
      <c r="AC685" s="7"/>
    </row>
    <row r="686" spans="1:29" ht="25.5">
      <c r="A686" s="252"/>
      <c r="B686" s="104" t="s">
        <v>950</v>
      </c>
      <c r="C686" s="91">
        <f t="shared" si="98"/>
        <v>1210.17</v>
      </c>
      <c r="D686" s="92"/>
      <c r="E686" s="91">
        <f t="shared" si="99"/>
        <v>79.17</v>
      </c>
      <c r="F686" s="91">
        <f t="shared" si="100"/>
        <v>45.24</v>
      </c>
      <c r="G686" s="91">
        <f t="shared" si="101"/>
        <v>33.93</v>
      </c>
      <c r="H686" s="91">
        <f t="shared" si="102"/>
        <v>1131</v>
      </c>
      <c r="I686" s="91">
        <f t="shared" si="103"/>
        <v>565.5</v>
      </c>
      <c r="J686" s="22"/>
      <c r="K686" s="22"/>
      <c r="L686" s="22"/>
      <c r="M686" s="22"/>
      <c r="N686" s="22"/>
      <c r="O686" s="91">
        <v>243501</v>
      </c>
      <c r="P686" s="91">
        <v>244632</v>
      </c>
      <c r="Q686" s="244"/>
      <c r="R686" s="106"/>
      <c r="S686" s="151">
        <v>1</v>
      </c>
      <c r="T686" s="91">
        <f t="shared" si="104"/>
        <v>1131</v>
      </c>
      <c r="U686" s="644" t="s">
        <v>1075</v>
      </c>
      <c r="V686" s="761" t="s">
        <v>930</v>
      </c>
      <c r="W686" s="14" t="s">
        <v>48</v>
      </c>
      <c r="X686" s="7"/>
      <c r="Y686" s="7"/>
      <c r="Z686" s="7"/>
      <c r="AA686" s="7"/>
      <c r="AB686" s="7"/>
      <c r="AC686" s="7"/>
    </row>
    <row r="687" spans="1:29" ht="25.5">
      <c r="A687" s="252"/>
      <c r="B687" s="104"/>
      <c r="C687" s="91"/>
      <c r="D687" s="92"/>
      <c r="E687" s="91"/>
      <c r="F687" s="91"/>
      <c r="G687" s="91"/>
      <c r="H687" s="91"/>
      <c r="I687" s="91"/>
      <c r="J687" s="22"/>
      <c r="K687" s="22"/>
      <c r="L687" s="22"/>
      <c r="M687" s="22"/>
      <c r="N687" s="22"/>
      <c r="O687" s="91"/>
      <c r="P687" s="91"/>
      <c r="Q687" s="244"/>
      <c r="R687" s="106"/>
      <c r="S687" s="151"/>
      <c r="T687" s="91"/>
      <c r="U687" s="644"/>
      <c r="V687" s="761"/>
      <c r="W687" s="14" t="s">
        <v>48</v>
      </c>
      <c r="X687" s="7"/>
      <c r="Y687" s="7"/>
      <c r="Z687" s="7"/>
      <c r="AA687" s="7"/>
      <c r="AB687" s="7"/>
      <c r="AC687" s="7"/>
    </row>
    <row r="688" spans="1:29" ht="30.75" customHeight="1">
      <c r="A688" s="252"/>
      <c r="B688" s="104"/>
      <c r="C688" s="91"/>
      <c r="D688" s="92"/>
      <c r="E688" s="91"/>
      <c r="F688" s="91"/>
      <c r="G688" s="91"/>
      <c r="H688" s="91"/>
      <c r="I688" s="91"/>
      <c r="J688" s="22"/>
      <c r="K688" s="22"/>
      <c r="L688" s="22"/>
      <c r="M688" s="22"/>
      <c r="N688" s="22"/>
      <c r="O688" s="91"/>
      <c r="P688" s="91"/>
      <c r="Q688" s="244"/>
      <c r="R688" s="106"/>
      <c r="S688" s="151"/>
      <c r="T688" s="91"/>
      <c r="U688" s="644"/>
      <c r="V688" s="761"/>
      <c r="W688" s="14" t="s">
        <v>48</v>
      </c>
      <c r="X688" s="7"/>
      <c r="Y688" s="7"/>
      <c r="Z688" s="7"/>
      <c r="AA688" s="7"/>
      <c r="AB688" s="7"/>
      <c r="AC688" s="7"/>
    </row>
    <row r="689" spans="1:29" ht="25.5">
      <c r="A689" s="252"/>
      <c r="B689" s="104" t="s">
        <v>631</v>
      </c>
      <c r="C689" s="91">
        <f t="shared" si="98"/>
        <v>720.11</v>
      </c>
      <c r="D689" s="92"/>
      <c r="E689" s="91">
        <f t="shared" si="99"/>
        <v>47.11</v>
      </c>
      <c r="F689" s="91">
        <f t="shared" si="100"/>
        <v>26.92</v>
      </c>
      <c r="G689" s="91">
        <f t="shared" si="101"/>
        <v>20.189999999999998</v>
      </c>
      <c r="H689" s="91">
        <f t="shared" si="102"/>
        <v>673</v>
      </c>
      <c r="I689" s="91">
        <f t="shared" si="103"/>
        <v>336.5</v>
      </c>
      <c r="J689" s="22"/>
      <c r="K689" s="22"/>
      <c r="L689" s="22"/>
      <c r="M689" s="22"/>
      <c r="N689" s="22"/>
      <c r="O689" s="91">
        <v>43618</v>
      </c>
      <c r="P689" s="91">
        <v>44291</v>
      </c>
      <c r="Q689" s="244"/>
      <c r="R689" s="106"/>
      <c r="S689" s="151">
        <v>1</v>
      </c>
      <c r="T689" s="91">
        <f t="shared" si="104"/>
        <v>673</v>
      </c>
      <c r="U689" s="644" t="s">
        <v>1076</v>
      </c>
      <c r="V689" s="761" t="s">
        <v>633</v>
      </c>
      <c r="W689" s="14" t="s">
        <v>48</v>
      </c>
      <c r="X689" s="7"/>
      <c r="Y689" s="7"/>
      <c r="Z689" s="7"/>
      <c r="AA689" s="7"/>
      <c r="AB689" s="7"/>
      <c r="AC689" s="7"/>
    </row>
    <row r="690" spans="1:29" ht="25.5">
      <c r="A690" s="252"/>
      <c r="B690" s="339"/>
      <c r="C690" s="91"/>
      <c r="D690" s="92"/>
      <c r="E690" s="91"/>
      <c r="F690" s="91"/>
      <c r="G690" s="91"/>
      <c r="H690" s="91"/>
      <c r="I690" s="91"/>
      <c r="J690" s="22"/>
      <c r="K690" s="22"/>
      <c r="L690" s="22"/>
      <c r="M690" s="22"/>
      <c r="N690" s="22"/>
      <c r="O690" s="91"/>
      <c r="P690" s="91"/>
      <c r="Q690" s="244"/>
      <c r="R690" s="106"/>
      <c r="S690" s="151"/>
      <c r="T690" s="91"/>
      <c r="U690" s="644"/>
      <c r="V690" s="761"/>
      <c r="W690" s="14" t="s">
        <v>48</v>
      </c>
      <c r="X690" s="7"/>
      <c r="Y690" s="7"/>
      <c r="Z690" s="7"/>
      <c r="AA690" s="7"/>
      <c r="AB690" s="7"/>
      <c r="AC690" s="7"/>
    </row>
    <row r="691" spans="1:29" ht="25.5">
      <c r="A691" s="252"/>
      <c r="B691" s="104"/>
      <c r="C691" s="91"/>
      <c r="D691" s="92"/>
      <c r="E691" s="91"/>
      <c r="F691" s="91"/>
      <c r="G691" s="91"/>
      <c r="H691" s="91"/>
      <c r="I691" s="91"/>
      <c r="J691" s="22"/>
      <c r="K691" s="22"/>
      <c r="L691" s="22"/>
      <c r="M691" s="22"/>
      <c r="N691" s="22"/>
      <c r="O691" s="91"/>
      <c r="P691" s="91"/>
      <c r="Q691" s="244"/>
      <c r="R691" s="106"/>
      <c r="S691" s="151"/>
      <c r="T691" s="91"/>
      <c r="U691" s="644"/>
      <c r="V691" s="761"/>
      <c r="W691" s="14" t="s">
        <v>48</v>
      </c>
      <c r="X691" s="7"/>
      <c r="Y691" s="7"/>
      <c r="Z691" s="7"/>
      <c r="AA691" s="7"/>
      <c r="AB691" s="7"/>
      <c r="AC691" s="7"/>
    </row>
    <row r="692" spans="1:29" ht="25.5">
      <c r="A692" s="252"/>
      <c r="B692" s="852" t="s">
        <v>634</v>
      </c>
      <c r="C692" s="91">
        <f t="shared" ref="C692" si="105">H692+E692</f>
        <v>2148.56</v>
      </c>
      <c r="D692" s="92"/>
      <c r="E692" s="91">
        <f t="shared" ref="E692" si="106">F692+G692</f>
        <v>140.56</v>
      </c>
      <c r="F692" s="91">
        <f t="shared" ref="F692" si="107">0.04*T692</f>
        <v>80.320000000000007</v>
      </c>
      <c r="G692" s="91">
        <f t="shared" ref="G692" si="108">0.03*T692</f>
        <v>60.239999999999995</v>
      </c>
      <c r="H692" s="91">
        <f t="shared" ref="H692" si="109">T692</f>
        <v>2008</v>
      </c>
      <c r="I692" s="91">
        <f t="shared" ref="I692" si="110">H692*0.5</f>
        <v>1004</v>
      </c>
      <c r="J692" s="22"/>
      <c r="K692" s="22"/>
      <c r="L692" s="22"/>
      <c r="M692" s="22"/>
      <c r="N692" s="22"/>
      <c r="O692" s="91">
        <v>25237</v>
      </c>
      <c r="P692" s="91">
        <v>27245</v>
      </c>
      <c r="Q692" s="244"/>
      <c r="R692" s="106"/>
      <c r="S692" s="151">
        <v>1</v>
      </c>
      <c r="T692" s="91">
        <f t="shared" ref="T692" si="111">(P692-O692)*S692</f>
        <v>2008</v>
      </c>
      <c r="U692" s="644" t="s">
        <v>1096</v>
      </c>
      <c r="V692" s="761" t="s">
        <v>1097</v>
      </c>
      <c r="W692" s="14" t="s">
        <v>48</v>
      </c>
      <c r="X692" s="7"/>
      <c r="Y692" s="7"/>
      <c r="Z692" s="7"/>
      <c r="AA692" s="7"/>
      <c r="AB692" s="7"/>
      <c r="AC692" s="7"/>
    </row>
    <row r="693" spans="1:29" ht="25.5">
      <c r="A693" s="252"/>
      <c r="B693" s="853"/>
      <c r="C693" s="91">
        <f t="shared" si="98"/>
        <v>1913.16</v>
      </c>
      <c r="D693" s="92"/>
      <c r="E693" s="91">
        <f t="shared" si="99"/>
        <v>125.16</v>
      </c>
      <c r="F693" s="91">
        <f t="shared" si="100"/>
        <v>71.52</v>
      </c>
      <c r="G693" s="91">
        <f t="shared" si="101"/>
        <v>53.64</v>
      </c>
      <c r="H693" s="91">
        <f t="shared" si="102"/>
        <v>1788</v>
      </c>
      <c r="I693" s="91">
        <f t="shared" si="103"/>
        <v>894</v>
      </c>
      <c r="J693" s="22"/>
      <c r="K693" s="22"/>
      <c r="L693" s="22"/>
      <c r="M693" s="22"/>
      <c r="N693" s="22"/>
      <c r="O693" s="91">
        <v>34620</v>
      </c>
      <c r="P693" s="91">
        <v>36408</v>
      </c>
      <c r="Q693" s="244"/>
      <c r="R693" s="106"/>
      <c r="S693" s="151">
        <v>1</v>
      </c>
      <c r="T693" s="91">
        <f t="shared" si="104"/>
        <v>1788</v>
      </c>
      <c r="U693" s="644" t="s">
        <v>1095</v>
      </c>
      <c r="V693" s="761" t="s">
        <v>1097</v>
      </c>
      <c r="W693" s="14" t="s">
        <v>48</v>
      </c>
      <c r="X693" s="7"/>
      <c r="Y693" s="7"/>
      <c r="Z693" s="7"/>
      <c r="AA693" s="7"/>
      <c r="AB693" s="7"/>
      <c r="AC693" s="7"/>
    </row>
    <row r="694" spans="1:29" ht="25.5">
      <c r="A694" s="252"/>
      <c r="B694" s="104" t="s">
        <v>767</v>
      </c>
      <c r="C694" s="91">
        <f t="shared" si="98"/>
        <v>9724.16</v>
      </c>
      <c r="D694" s="92"/>
      <c r="E694" s="91">
        <f t="shared" si="99"/>
        <v>636.16</v>
      </c>
      <c r="F694" s="91">
        <f t="shared" si="100"/>
        <v>363.52</v>
      </c>
      <c r="G694" s="91">
        <f t="shared" si="101"/>
        <v>272.64</v>
      </c>
      <c r="H694" s="91">
        <f t="shared" si="102"/>
        <v>9088</v>
      </c>
      <c r="I694" s="91">
        <f t="shared" si="103"/>
        <v>4544</v>
      </c>
      <c r="J694" s="22"/>
      <c r="K694" s="22"/>
      <c r="L694" s="22"/>
      <c r="M694" s="22"/>
      <c r="N694" s="22"/>
      <c r="O694" s="91">
        <v>100086</v>
      </c>
      <c r="P694" s="91">
        <v>109174</v>
      </c>
      <c r="Q694" s="244"/>
      <c r="R694" s="106"/>
      <c r="S694" s="151">
        <v>1</v>
      </c>
      <c r="T694" s="91">
        <f t="shared" si="104"/>
        <v>9088</v>
      </c>
      <c r="U694" s="644" t="s">
        <v>958</v>
      </c>
      <c r="V694" s="761" t="s">
        <v>760</v>
      </c>
      <c r="W694" s="14" t="s">
        <v>48</v>
      </c>
      <c r="X694" s="7"/>
      <c r="Y694" s="7"/>
      <c r="Z694" s="7"/>
      <c r="AA694" s="7"/>
      <c r="AB694" s="7"/>
      <c r="AC694" s="7"/>
    </row>
    <row r="695" spans="1:29" ht="25.5">
      <c r="A695" s="252"/>
      <c r="B695" s="104"/>
      <c r="C695" s="91"/>
      <c r="D695" s="92"/>
      <c r="E695" s="91"/>
      <c r="F695" s="91"/>
      <c r="G695" s="91"/>
      <c r="H695" s="91"/>
      <c r="I695" s="91"/>
      <c r="J695" s="22"/>
      <c r="K695" s="22"/>
      <c r="L695" s="22"/>
      <c r="M695" s="22"/>
      <c r="N695" s="22"/>
      <c r="O695" s="91"/>
      <c r="P695" s="91"/>
      <c r="Q695" s="244"/>
      <c r="R695" s="106"/>
      <c r="S695" s="151"/>
      <c r="T695" s="91"/>
      <c r="U695" s="644"/>
      <c r="V695" s="761"/>
      <c r="W695" s="14" t="s">
        <v>48</v>
      </c>
      <c r="X695" s="7"/>
      <c r="Y695" s="7"/>
      <c r="Z695" s="7"/>
      <c r="AA695" s="7"/>
      <c r="AB695" s="7"/>
      <c r="AC695" s="7"/>
    </row>
    <row r="696" spans="1:29" ht="25.5">
      <c r="A696" s="252"/>
      <c r="B696" s="104" t="s">
        <v>636</v>
      </c>
      <c r="C696" s="91">
        <f t="shared" si="98"/>
        <v>31.03</v>
      </c>
      <c r="D696" s="92"/>
      <c r="E696" s="91">
        <f t="shared" si="99"/>
        <v>2.0299999999999998</v>
      </c>
      <c r="F696" s="91">
        <f t="shared" si="100"/>
        <v>1.1599999999999999</v>
      </c>
      <c r="G696" s="91">
        <f t="shared" si="101"/>
        <v>0.87</v>
      </c>
      <c r="H696" s="91">
        <f t="shared" si="102"/>
        <v>29</v>
      </c>
      <c r="I696" s="91">
        <f t="shared" si="103"/>
        <v>14.5</v>
      </c>
      <c r="J696" s="22"/>
      <c r="K696" s="22"/>
      <c r="L696" s="22"/>
      <c r="M696" s="22"/>
      <c r="N696" s="22"/>
      <c r="O696" s="91">
        <v>65410</v>
      </c>
      <c r="P696" s="91">
        <v>65889</v>
      </c>
      <c r="Q696" s="244"/>
      <c r="R696" s="106"/>
      <c r="S696" s="151">
        <v>1</v>
      </c>
      <c r="T696" s="91">
        <f>(P696-O696)*S696-T683</f>
        <v>29</v>
      </c>
      <c r="U696" s="644" t="s">
        <v>1078</v>
      </c>
      <c r="V696" s="761" t="s">
        <v>638</v>
      </c>
      <c r="W696" s="14" t="s">
        <v>48</v>
      </c>
      <c r="X696" s="7"/>
      <c r="Y696" s="7"/>
      <c r="Z696" s="7"/>
      <c r="AA696" s="7"/>
      <c r="AB696" s="7"/>
      <c r="AC696" s="7"/>
    </row>
    <row r="697" spans="1:29" ht="25.5">
      <c r="A697" s="252"/>
      <c r="B697" s="430"/>
      <c r="C697" s="34"/>
      <c r="D697" s="370"/>
      <c r="E697" s="34"/>
      <c r="F697" s="34"/>
      <c r="G697" s="34"/>
      <c r="H697" s="34"/>
      <c r="I697" s="34"/>
      <c r="J697" s="36"/>
      <c r="K697" s="36"/>
      <c r="L697" s="36"/>
      <c r="M697" s="36"/>
      <c r="N697" s="36"/>
      <c r="O697" s="34"/>
      <c r="P697" s="34"/>
      <c r="Q697" s="371"/>
      <c r="R697" s="372"/>
      <c r="S697" s="373"/>
      <c r="T697" s="34"/>
      <c r="U697" s="718"/>
      <c r="V697" s="39"/>
      <c r="W697" s="14" t="s">
        <v>48</v>
      </c>
      <c r="X697" s="7"/>
      <c r="Y697" s="7"/>
      <c r="Z697" s="7"/>
      <c r="AA697" s="7"/>
      <c r="AB697" s="7"/>
      <c r="AC697" s="7"/>
    </row>
    <row r="698" spans="1:29" ht="25.5">
      <c r="A698" s="252"/>
      <c r="B698" s="430"/>
      <c r="C698" s="34"/>
      <c r="D698" s="370"/>
      <c r="E698" s="34"/>
      <c r="F698" s="34"/>
      <c r="G698" s="34"/>
      <c r="H698" s="34"/>
      <c r="I698" s="34"/>
      <c r="J698" s="36"/>
      <c r="K698" s="36"/>
      <c r="L698" s="36"/>
      <c r="M698" s="36"/>
      <c r="N698" s="36"/>
      <c r="O698" s="34"/>
      <c r="P698" s="34"/>
      <c r="Q698" s="371"/>
      <c r="R698" s="372"/>
      <c r="S698" s="373"/>
      <c r="T698" s="34"/>
      <c r="U698" s="718"/>
      <c r="V698" s="39"/>
      <c r="W698" s="14" t="s">
        <v>48</v>
      </c>
      <c r="X698" s="7"/>
      <c r="Y698" s="7"/>
      <c r="Z698" s="7"/>
      <c r="AA698" s="7"/>
      <c r="AB698" s="7"/>
      <c r="AC698" s="7"/>
    </row>
    <row r="699" spans="1:29" ht="25.5">
      <c r="A699" s="252"/>
      <c r="B699" s="314"/>
      <c r="C699" s="315"/>
      <c r="D699" s="315"/>
      <c r="E699" s="315"/>
      <c r="F699" s="315"/>
      <c r="G699" s="315"/>
      <c r="H699" s="315"/>
      <c r="I699" s="315"/>
      <c r="J699" s="316"/>
      <c r="K699" s="316"/>
      <c r="L699" s="316"/>
      <c r="M699" s="316"/>
      <c r="N699" s="316"/>
      <c r="O699" s="315"/>
      <c r="P699" s="315"/>
      <c r="Q699" s="344"/>
      <c r="R699" s="318"/>
      <c r="S699" s="315"/>
      <c r="T699" s="315"/>
      <c r="U699" s="712"/>
      <c r="V699" s="317"/>
      <c r="W699" s="14" t="s">
        <v>48</v>
      </c>
      <c r="X699" s="7"/>
      <c r="Y699" s="7"/>
      <c r="Z699" s="7"/>
      <c r="AA699" s="7"/>
      <c r="AB699" s="7"/>
      <c r="AC699" s="7"/>
    </row>
    <row r="700" spans="1:29" ht="25.5">
      <c r="A700" s="252"/>
      <c r="B700" s="459"/>
      <c r="C700" s="315"/>
      <c r="D700" s="315"/>
      <c r="E700" s="315"/>
      <c r="F700" s="315"/>
      <c r="G700" s="315"/>
      <c r="H700" s="315"/>
      <c r="I700" s="315"/>
      <c r="J700" s="316"/>
      <c r="K700" s="316"/>
      <c r="L700" s="316"/>
      <c r="M700" s="316"/>
      <c r="N700" s="316"/>
      <c r="O700" s="315"/>
      <c r="P700" s="315"/>
      <c r="Q700" s="344"/>
      <c r="R700" s="460"/>
      <c r="S700" s="315"/>
      <c r="T700" s="315"/>
      <c r="U700" s="712"/>
      <c r="V700" s="317"/>
      <c r="W700" s="14" t="s">
        <v>48</v>
      </c>
      <c r="X700" s="7"/>
      <c r="Y700" s="7"/>
      <c r="Z700" s="7"/>
      <c r="AA700" s="7"/>
      <c r="AB700" s="7"/>
      <c r="AC700" s="7"/>
    </row>
    <row r="701" spans="1:29" ht="25.5">
      <c r="A701" s="252"/>
      <c r="B701" s="430"/>
      <c r="C701" s="34"/>
      <c r="D701" s="34"/>
      <c r="E701" s="34"/>
      <c r="F701" s="34"/>
      <c r="G701" s="34"/>
      <c r="H701" s="34"/>
      <c r="I701" s="34"/>
      <c r="J701" s="36"/>
      <c r="K701" s="36"/>
      <c r="L701" s="36"/>
      <c r="M701" s="36"/>
      <c r="N701" s="36"/>
      <c r="O701" s="34"/>
      <c r="P701" s="34"/>
      <c r="Q701" s="437"/>
      <c r="R701" s="461"/>
      <c r="S701" s="373"/>
      <c r="T701" s="34"/>
      <c r="U701" s="718"/>
      <c r="V701" s="39"/>
      <c r="W701" s="14" t="s">
        <v>48</v>
      </c>
      <c r="X701" s="7"/>
      <c r="Y701" s="7"/>
      <c r="Z701" s="7"/>
      <c r="AA701" s="7"/>
      <c r="AB701" s="7"/>
      <c r="AC701" s="7"/>
    </row>
    <row r="702" spans="1:29" ht="25.5">
      <c r="A702" s="252"/>
      <c r="B702" s="430"/>
      <c r="C702" s="34"/>
      <c r="D702" s="34"/>
      <c r="E702" s="34"/>
      <c r="F702" s="34"/>
      <c r="G702" s="34"/>
      <c r="H702" s="34"/>
      <c r="I702" s="34"/>
      <c r="J702" s="36"/>
      <c r="K702" s="36"/>
      <c r="L702" s="36"/>
      <c r="M702" s="36"/>
      <c r="N702" s="36"/>
      <c r="O702" s="34"/>
      <c r="P702" s="34"/>
      <c r="Q702" s="437"/>
      <c r="R702" s="461"/>
      <c r="S702" s="373"/>
      <c r="T702" s="34"/>
      <c r="U702" s="718"/>
      <c r="V702" s="39"/>
      <c r="W702" s="14" t="s">
        <v>48</v>
      </c>
      <c r="X702" s="7"/>
      <c r="Y702" s="7"/>
      <c r="Z702" s="7"/>
      <c r="AA702" s="7"/>
      <c r="AB702" s="7"/>
      <c r="AC702" s="7"/>
    </row>
    <row r="703" spans="1:29" ht="25.5">
      <c r="A703" s="252"/>
      <c r="B703" s="430"/>
      <c r="C703" s="34"/>
      <c r="D703" s="34"/>
      <c r="E703" s="34"/>
      <c r="F703" s="34"/>
      <c r="G703" s="34"/>
      <c r="H703" s="34"/>
      <c r="I703" s="34"/>
      <c r="J703" s="36"/>
      <c r="K703" s="36"/>
      <c r="L703" s="36"/>
      <c r="M703" s="36"/>
      <c r="N703" s="36"/>
      <c r="O703" s="34"/>
      <c r="P703" s="34"/>
      <c r="Q703" s="437"/>
      <c r="R703" s="461"/>
      <c r="S703" s="373"/>
      <c r="T703" s="34"/>
      <c r="U703" s="718"/>
      <c r="V703" s="39"/>
      <c r="W703" s="14" t="s">
        <v>48</v>
      </c>
      <c r="X703" s="7"/>
      <c r="Y703" s="7"/>
      <c r="Z703" s="7"/>
      <c r="AA703" s="7"/>
      <c r="AB703" s="7"/>
      <c r="AC703" s="7"/>
    </row>
    <row r="704" spans="1:29" ht="25.5">
      <c r="A704" s="252"/>
      <c r="B704" s="430"/>
      <c r="C704" s="34"/>
      <c r="D704" s="34"/>
      <c r="E704" s="34"/>
      <c r="F704" s="34"/>
      <c r="G704" s="34"/>
      <c r="H704" s="34"/>
      <c r="I704" s="34"/>
      <c r="J704" s="36"/>
      <c r="K704" s="36"/>
      <c r="L704" s="36"/>
      <c r="M704" s="36"/>
      <c r="N704" s="36"/>
      <c r="O704" s="34"/>
      <c r="P704" s="34"/>
      <c r="Q704" s="437"/>
      <c r="R704" s="462"/>
      <c r="S704" s="34"/>
      <c r="T704" s="34"/>
      <c r="U704" s="718"/>
      <c r="V704" s="39"/>
      <c r="W704" s="14" t="s">
        <v>48</v>
      </c>
      <c r="X704" s="7"/>
      <c r="Y704" s="7"/>
      <c r="Z704" s="7"/>
      <c r="AA704" s="7"/>
      <c r="AB704" s="7"/>
      <c r="AC704" s="7"/>
    </row>
    <row r="705" spans="1:29" ht="25.5">
      <c r="A705" s="252"/>
      <c r="B705" s="104"/>
      <c r="C705" s="91"/>
      <c r="D705" s="91"/>
      <c r="E705" s="91"/>
      <c r="F705" s="91"/>
      <c r="G705" s="91"/>
      <c r="H705" s="91"/>
      <c r="I705" s="91"/>
      <c r="J705" s="22"/>
      <c r="K705" s="22"/>
      <c r="L705" s="22"/>
      <c r="M705" s="22"/>
      <c r="N705" s="22"/>
      <c r="O705" s="91"/>
      <c r="P705" s="91"/>
      <c r="Q705" s="7"/>
      <c r="R705" s="272"/>
      <c r="S705" s="151"/>
      <c r="T705" s="91"/>
      <c r="U705" s="644"/>
      <c r="V705" s="759"/>
      <c r="W705" s="14"/>
      <c r="X705" s="7"/>
      <c r="Y705" s="7"/>
      <c r="Z705" s="7"/>
      <c r="AA705" s="7"/>
      <c r="AB705" s="7"/>
      <c r="AC705" s="7"/>
    </row>
    <row r="706" spans="1:29" ht="26.25">
      <c r="A706" s="19"/>
      <c r="B706" s="143" t="s">
        <v>639</v>
      </c>
      <c r="C706" s="115">
        <f>SUM(C657:C705)</f>
        <v>37229.58</v>
      </c>
      <c r="D706" s="246"/>
      <c r="E706" s="115"/>
      <c r="F706" s="115"/>
      <c r="G706" s="115"/>
      <c r="H706" s="115"/>
      <c r="I706" s="115">
        <f>SUM(I657:I691)</f>
        <v>10990.514999999999</v>
      </c>
      <c r="J706" s="22"/>
      <c r="K706" s="22"/>
      <c r="L706" s="22"/>
      <c r="M706" s="22"/>
      <c r="N706" s="22"/>
      <c r="O706" s="91"/>
      <c r="P706" s="91"/>
      <c r="Q706" s="244"/>
      <c r="R706" s="106"/>
      <c r="S706" s="151"/>
      <c r="T706" s="91"/>
      <c r="U706" s="644"/>
      <c r="V706" s="759"/>
      <c r="W706" s="14"/>
      <c r="X706" s="7"/>
      <c r="Y706" s="7"/>
      <c r="Z706" s="7"/>
      <c r="AA706" s="7"/>
      <c r="AB706" s="7"/>
      <c r="AC706" s="7"/>
    </row>
    <row r="707" spans="1:29" ht="25.5">
      <c r="A707" s="19"/>
      <c r="B707" s="104"/>
      <c r="C707" s="91"/>
      <c r="D707" s="92"/>
      <c r="E707" s="91"/>
      <c r="F707" s="91"/>
      <c r="G707" s="91"/>
      <c r="H707" s="91"/>
      <c r="I707" s="91"/>
      <c r="J707" s="22"/>
      <c r="K707" s="22"/>
      <c r="L707" s="22"/>
      <c r="M707" s="22"/>
      <c r="N707" s="22"/>
      <c r="O707" s="91"/>
      <c r="P707" s="91"/>
      <c r="Q707" s="244"/>
      <c r="R707" s="106"/>
      <c r="S707" s="151"/>
      <c r="T707" s="91"/>
      <c r="U707" s="644"/>
      <c r="V707" s="759"/>
      <c r="W707" s="14"/>
      <c r="X707" s="7"/>
      <c r="Y707" s="7"/>
      <c r="Z707" s="7"/>
      <c r="AA707" s="7"/>
      <c r="AB707" s="7"/>
      <c r="AC707" s="7"/>
    </row>
    <row r="708" spans="1:29" ht="25.5">
      <c r="A708" s="19"/>
      <c r="B708" s="148"/>
      <c r="C708" s="91"/>
      <c r="D708" s="92"/>
      <c r="E708" s="91"/>
      <c r="F708" s="91"/>
      <c r="G708" s="91"/>
      <c r="H708" s="91"/>
      <c r="I708" s="91"/>
      <c r="J708" s="22"/>
      <c r="K708" s="22"/>
      <c r="L708" s="22"/>
      <c r="M708" s="22"/>
      <c r="N708" s="22"/>
      <c r="O708" s="91"/>
      <c r="P708" s="91"/>
      <c r="Q708" s="244"/>
      <c r="R708" s="106"/>
      <c r="S708" s="151"/>
      <c r="T708" s="91"/>
      <c r="U708" s="644"/>
      <c r="V708" s="759"/>
      <c r="W708" s="14"/>
      <c r="X708" s="7"/>
      <c r="Y708" s="7"/>
      <c r="Z708" s="7"/>
      <c r="AA708" s="7"/>
      <c r="AB708" s="7"/>
      <c r="AC708" s="7"/>
    </row>
    <row r="709" spans="1:29" ht="26.25">
      <c r="A709" s="19"/>
      <c r="B709" s="90" t="s">
        <v>640</v>
      </c>
      <c r="C709" s="115">
        <f>C85+C109+C132+C329+C379+C654+C706+C163+D142</f>
        <v>1244651.1819000028</v>
      </c>
      <c r="D709" s="115">
        <f>D109+D86+D613</f>
        <v>0</v>
      </c>
      <c r="E709" s="115" t="e">
        <f>#REF!+E86+E109+E613</f>
        <v>#REF!</v>
      </c>
      <c r="F709" s="115"/>
      <c r="G709" s="115"/>
      <c r="H709" s="115" t="e">
        <f>#REF!+H109+H92+H613+H656+#REF!+H659+H56+H663</f>
        <v>#REF!</v>
      </c>
      <c r="I709" s="115">
        <f>I654+I85+I109+I613+I706</f>
        <v>223470.9479999998</v>
      </c>
      <c r="J709" s="22"/>
      <c r="K709" s="22"/>
      <c r="L709" s="22"/>
      <c r="M709" s="22"/>
      <c r="N709" s="22"/>
      <c r="O709" s="91"/>
      <c r="P709" s="91"/>
      <c r="Q709" s="7"/>
      <c r="R709" s="228"/>
      <c r="S709" s="151"/>
      <c r="T709" s="91"/>
      <c r="U709" s="644"/>
      <c r="V709" s="759"/>
      <c r="W709" s="14"/>
      <c r="X709" s="7"/>
      <c r="Y709" s="7"/>
      <c r="Z709" s="7"/>
      <c r="AA709" s="7"/>
      <c r="AB709" s="7"/>
      <c r="AC709" s="7"/>
    </row>
    <row r="710" spans="1:29" ht="26.25">
      <c r="A710" s="19"/>
      <c r="B710" s="148"/>
      <c r="C710" s="91"/>
      <c r="D710" s="115"/>
      <c r="E710" s="91"/>
      <c r="F710" s="91"/>
      <c r="G710" s="91"/>
      <c r="H710" s="91"/>
      <c r="I710" s="91"/>
      <c r="J710" s="22"/>
      <c r="K710" s="22"/>
      <c r="L710" s="22"/>
      <c r="M710" s="22"/>
      <c r="N710" s="22"/>
      <c r="O710" s="91"/>
      <c r="P710" s="91"/>
      <c r="Q710" s="7"/>
      <c r="R710" s="228"/>
      <c r="S710" s="248"/>
      <c r="T710" s="91"/>
      <c r="U710" s="644"/>
      <c r="V710" s="759"/>
      <c r="W710" s="14"/>
      <c r="X710" s="7"/>
      <c r="Y710" s="7"/>
      <c r="Z710" s="7"/>
      <c r="AA710" s="7"/>
      <c r="AB710" s="7"/>
      <c r="AC710" s="7"/>
    </row>
    <row r="711" spans="1:29" ht="26.25">
      <c r="A711" s="19"/>
      <c r="B711" s="148"/>
      <c r="C711" s="115"/>
      <c r="D711" s="92"/>
      <c r="E711" s="91"/>
      <c r="F711" s="91"/>
      <c r="G711" s="91"/>
      <c r="H711" s="91"/>
      <c r="I711" s="91"/>
      <c r="J711" s="22"/>
      <c r="K711" s="22"/>
      <c r="L711" s="22"/>
      <c r="M711" s="22"/>
      <c r="N711" s="22"/>
      <c r="O711" s="91"/>
      <c r="P711" s="91"/>
      <c r="Q711" s="7"/>
      <c r="R711" s="228"/>
      <c r="S711" s="248"/>
      <c r="T711" s="91"/>
      <c r="U711" s="644"/>
      <c r="V711" s="759"/>
      <c r="W711" s="14"/>
      <c r="X711" s="7"/>
      <c r="Y711" s="7"/>
      <c r="Z711" s="7"/>
      <c r="AA711" s="7"/>
      <c r="AB711" s="7"/>
      <c r="AC711" s="7"/>
    </row>
    <row r="712" spans="1:29" ht="25.5">
      <c r="A712" s="19"/>
      <c r="B712" s="148"/>
      <c r="C712" s="91"/>
      <c r="D712" s="92"/>
      <c r="E712" s="91"/>
      <c r="F712" s="91"/>
      <c r="G712" s="91"/>
      <c r="H712" s="91"/>
      <c r="I712" s="91"/>
      <c r="J712" s="22"/>
      <c r="K712" s="22"/>
      <c r="L712" s="22"/>
      <c r="M712" s="22"/>
      <c r="N712" s="22"/>
      <c r="O712" s="91"/>
      <c r="P712" s="91"/>
      <c r="Q712" s="7"/>
      <c r="R712" s="228"/>
      <c r="S712" s="151"/>
      <c r="T712" s="91"/>
      <c r="U712" s="644"/>
      <c r="V712" s="759"/>
      <c r="W712" s="14"/>
      <c r="X712" s="7"/>
      <c r="Y712" s="7"/>
      <c r="Z712" s="7"/>
      <c r="AA712" s="7"/>
      <c r="AB712" s="7"/>
      <c r="AC712" s="7"/>
    </row>
    <row r="713" spans="1:29" ht="25.5">
      <c r="A713" s="19"/>
      <c r="B713" s="148"/>
      <c r="C713" s="28"/>
      <c r="D713" s="77"/>
      <c r="E713" s="28"/>
      <c r="F713" s="28"/>
      <c r="G713" s="28"/>
      <c r="H713" s="28"/>
      <c r="I713" s="28"/>
      <c r="J713" s="29"/>
      <c r="K713" s="29"/>
      <c r="L713" s="29"/>
      <c r="M713" s="29"/>
      <c r="N713" s="29"/>
      <c r="O713" s="91"/>
      <c r="P713" s="91"/>
      <c r="Q713" s="30"/>
      <c r="R713" s="256"/>
      <c r="S713" s="54"/>
      <c r="T713" s="28"/>
      <c r="U713" s="644"/>
      <c r="V713" s="759"/>
      <c r="W713" s="14"/>
      <c r="X713" s="7"/>
      <c r="Y713" s="7"/>
      <c r="Z713" s="7"/>
      <c r="AA713" s="7"/>
      <c r="AB713" s="7"/>
      <c r="AC713" s="7"/>
    </row>
    <row r="714" spans="1:29" ht="25.5">
      <c r="A714" s="19"/>
      <c r="B714" s="148"/>
      <c r="C714" s="28"/>
      <c r="D714" s="77"/>
      <c r="E714" s="28"/>
      <c r="F714" s="28"/>
      <c r="G714" s="28"/>
      <c r="H714" s="28"/>
      <c r="I714" s="28"/>
      <c r="J714" s="29"/>
      <c r="K714" s="29"/>
      <c r="L714" s="29"/>
      <c r="M714" s="29"/>
      <c r="N714" s="29"/>
      <c r="O714" s="28"/>
      <c r="P714" s="28"/>
      <c r="Q714" s="30"/>
      <c r="R714" s="256"/>
      <c r="S714" s="54"/>
      <c r="T714" s="28"/>
      <c r="U714" s="644"/>
      <c r="V714" s="759"/>
      <c r="W714" s="14"/>
      <c r="X714" s="7"/>
      <c r="Y714" s="7"/>
      <c r="Z714" s="7"/>
      <c r="AA714" s="7"/>
      <c r="AB714" s="7"/>
      <c r="AC714" s="7"/>
    </row>
    <row r="715" spans="1:29" ht="26.25">
      <c r="A715" s="19"/>
      <c r="B715" s="148"/>
      <c r="C715" s="115"/>
      <c r="D715" s="92"/>
      <c r="E715" s="91"/>
      <c r="F715" s="91"/>
      <c r="G715" s="91"/>
      <c r="H715" s="91"/>
      <c r="I715" s="91"/>
      <c r="J715" s="22"/>
      <c r="K715" s="22"/>
      <c r="L715" s="22"/>
      <c r="M715" s="22"/>
      <c r="N715" s="22"/>
      <c r="O715" s="91"/>
      <c r="P715" s="91"/>
      <c r="Q715" s="149"/>
      <c r="R715" s="150"/>
      <c r="S715" s="151"/>
      <c r="T715" s="91"/>
      <c r="U715" s="644"/>
      <c r="V715" s="759"/>
      <c r="W715" s="14"/>
      <c r="X715" s="7"/>
      <c r="Y715" s="7"/>
      <c r="Z715" s="7"/>
      <c r="AA715" s="7"/>
      <c r="AB715" s="7"/>
      <c r="AC715" s="7"/>
    </row>
    <row r="716" spans="1:29" ht="26.25">
      <c r="A716" s="19"/>
      <c r="B716" s="148"/>
      <c r="C716" s="115"/>
      <c r="D716" s="91"/>
      <c r="E716" s="91"/>
      <c r="F716" s="91"/>
      <c r="G716" s="91"/>
      <c r="H716" s="91"/>
      <c r="I716" s="91"/>
      <c r="J716" s="22"/>
      <c r="K716" s="22"/>
      <c r="L716" s="22"/>
      <c r="M716" s="22"/>
      <c r="N716" s="22"/>
      <c r="O716" s="91"/>
      <c r="P716" s="91"/>
      <c r="Q716" s="149"/>
      <c r="R716" s="150"/>
      <c r="S716" s="151"/>
      <c r="T716" s="91"/>
      <c r="U716" s="644"/>
      <c r="V716" s="759"/>
      <c r="W716" s="14"/>
      <c r="X716" s="7"/>
      <c r="Y716" s="7"/>
      <c r="Z716" s="7"/>
      <c r="AA716" s="7"/>
      <c r="AB716" s="7"/>
      <c r="AC716" s="7"/>
    </row>
    <row r="717" spans="1:29" ht="25.5">
      <c r="A717" s="19"/>
      <c r="B717" s="104"/>
      <c r="C717" s="92"/>
      <c r="D717" s="92"/>
      <c r="E717" s="92"/>
      <c r="F717" s="92"/>
      <c r="G717" s="92"/>
      <c r="H717" s="92"/>
      <c r="I717" s="92"/>
      <c r="J717" s="142"/>
      <c r="K717" s="142"/>
      <c r="L717" s="142"/>
      <c r="M717" s="142"/>
      <c r="N717" s="142"/>
      <c r="O717" s="94"/>
      <c r="P717" s="94"/>
      <c r="Q717" s="94"/>
      <c r="R717" s="94"/>
      <c r="S717" s="94"/>
      <c r="T717" s="94"/>
      <c r="U717" s="731"/>
      <c r="V717" s="274"/>
      <c r="W717" s="14"/>
      <c r="X717" s="7"/>
      <c r="Y717" s="7"/>
      <c r="Z717" s="7"/>
      <c r="AA717" s="7"/>
      <c r="AB717" s="7"/>
      <c r="AC717" s="7"/>
    </row>
    <row r="718" spans="1:29" ht="26.25">
      <c r="A718" s="19"/>
      <c r="B718" s="123" t="s">
        <v>641</v>
      </c>
      <c r="C718" s="115"/>
      <c r="D718" s="92"/>
      <c r="E718" s="91">
        <f>F718+G718</f>
        <v>0</v>
      </c>
      <c r="F718" s="91"/>
      <c r="G718" s="91"/>
      <c r="H718" s="91"/>
      <c r="I718" s="91"/>
      <c r="J718" s="22"/>
      <c r="K718" s="22"/>
      <c r="L718" s="22"/>
      <c r="M718" s="22"/>
      <c r="N718" s="22"/>
      <c r="O718" s="91"/>
      <c r="P718" s="91"/>
      <c r="Q718" s="7"/>
      <c r="R718" s="228"/>
      <c r="S718" s="151"/>
      <c r="T718" s="91"/>
      <c r="U718" s="644"/>
      <c r="V718" s="759"/>
      <c r="W718" s="14"/>
      <c r="X718" s="7"/>
      <c r="Y718" s="7"/>
      <c r="Z718" s="7"/>
      <c r="AA718" s="7"/>
      <c r="AB718" s="7"/>
      <c r="AC718" s="7"/>
    </row>
    <row r="719" spans="1:29" ht="26.25">
      <c r="A719" s="19"/>
      <c r="B719" s="148" t="s">
        <v>642</v>
      </c>
      <c r="C719" s="115">
        <f>T719</f>
        <v>54</v>
      </c>
      <c r="D719" s="92"/>
      <c r="E719" s="91"/>
      <c r="F719" s="91"/>
      <c r="G719" s="91"/>
      <c r="H719" s="91"/>
      <c r="I719" s="91"/>
      <c r="J719" s="22"/>
      <c r="K719" s="22"/>
      <c r="L719" s="22"/>
      <c r="M719" s="22"/>
      <c r="N719" s="22"/>
      <c r="O719" s="91">
        <v>8187</v>
      </c>
      <c r="P719" s="91">
        <v>8241</v>
      </c>
      <c r="Q719" s="122"/>
      <c r="R719" s="338"/>
      <c r="S719" s="151">
        <v>1</v>
      </c>
      <c r="T719" s="91">
        <f>(P719-O719)*S719</f>
        <v>54</v>
      </c>
      <c r="U719" s="644"/>
      <c r="V719" s="759"/>
      <c r="W719" s="14"/>
      <c r="X719" s="7"/>
      <c r="Y719" s="7"/>
      <c r="Z719" s="7"/>
      <c r="AA719" s="7"/>
      <c r="AB719" s="7"/>
      <c r="AC719" s="7"/>
    </row>
    <row r="720" spans="1:29" ht="26.25">
      <c r="A720" s="19"/>
      <c r="B720" s="148" t="s">
        <v>643</v>
      </c>
      <c r="C720" s="91"/>
      <c r="D720" s="115">
        <f>P720-O720</f>
        <v>340</v>
      </c>
      <c r="E720" s="91"/>
      <c r="F720" s="91"/>
      <c r="G720" s="91"/>
      <c r="H720" s="91"/>
      <c r="I720" s="91"/>
      <c r="J720" s="22"/>
      <c r="K720" s="22"/>
      <c r="L720" s="22"/>
      <c r="M720" s="22"/>
      <c r="N720" s="22"/>
      <c r="O720" s="91">
        <v>124660</v>
      </c>
      <c r="P720" s="91">
        <v>125000</v>
      </c>
      <c r="Q720" s="122"/>
      <c r="R720" s="338"/>
      <c r="S720" s="248">
        <v>1</v>
      </c>
      <c r="T720" s="91">
        <f>(P720-O720)*S720</f>
        <v>340</v>
      </c>
      <c r="U720" s="644"/>
      <c r="V720" s="759"/>
      <c r="W720" s="14"/>
      <c r="X720" s="7"/>
      <c r="Y720" s="7"/>
      <c r="Z720" s="7"/>
      <c r="AA720" s="7"/>
      <c r="AB720" s="7"/>
      <c r="AC720" s="7"/>
    </row>
    <row r="721" spans="1:29" ht="26.25">
      <c r="A721" s="19"/>
      <c r="B721" s="148" t="s">
        <v>644</v>
      </c>
      <c r="C721" s="115">
        <f>P721-O721</f>
        <v>35</v>
      </c>
      <c r="D721" s="92"/>
      <c r="E721" s="91"/>
      <c r="F721" s="91"/>
      <c r="G721" s="91"/>
      <c r="H721" s="91"/>
      <c r="I721" s="91"/>
      <c r="J721" s="22"/>
      <c r="K721" s="22"/>
      <c r="L721" s="22"/>
      <c r="M721" s="22"/>
      <c r="N721" s="22"/>
      <c r="O721" s="91">
        <v>14992</v>
      </c>
      <c r="P721" s="91">
        <v>15027</v>
      </c>
      <c r="Q721" s="122"/>
      <c r="R721" s="338"/>
      <c r="S721" s="248">
        <v>1</v>
      </c>
      <c r="T721" s="91">
        <f>(P721-O721)*S721</f>
        <v>35</v>
      </c>
      <c r="U721" s="644"/>
      <c r="V721" s="759"/>
      <c r="W721" s="14"/>
      <c r="X721" s="7"/>
      <c r="Y721" s="7"/>
      <c r="Z721" s="7"/>
      <c r="AA721" s="7"/>
      <c r="AB721" s="7"/>
      <c r="AC721" s="7"/>
    </row>
    <row r="722" spans="1:29" ht="26.25">
      <c r="A722" s="19"/>
      <c r="B722" s="148" t="s">
        <v>1099</v>
      </c>
      <c r="C722" s="115">
        <f>P722-O722</f>
        <v>677</v>
      </c>
      <c r="D722" s="92"/>
      <c r="E722" s="91"/>
      <c r="F722" s="91"/>
      <c r="G722" s="91"/>
      <c r="H722" s="91"/>
      <c r="I722" s="91"/>
      <c r="J722" s="22"/>
      <c r="K722" s="22"/>
      <c r="L722" s="22"/>
      <c r="M722" s="22"/>
      <c r="N722" s="22"/>
      <c r="O722" s="340">
        <v>91271</v>
      </c>
      <c r="P722" s="340">
        <v>91948</v>
      </c>
      <c r="Q722" s="122"/>
      <c r="R722" s="338"/>
      <c r="S722" s="248">
        <v>1</v>
      </c>
      <c r="T722" s="91">
        <f>(P722-O722)*S722</f>
        <v>677</v>
      </c>
      <c r="U722" s="644"/>
      <c r="V722" s="759"/>
      <c r="W722" s="14"/>
      <c r="X722" s="7"/>
      <c r="Y722" s="7"/>
      <c r="Z722" s="7"/>
      <c r="AA722" s="7"/>
      <c r="AB722" s="7"/>
      <c r="AC722" s="7"/>
    </row>
    <row r="723" spans="1:29" ht="25.5">
      <c r="A723" s="19"/>
      <c r="B723" s="148" t="s">
        <v>646</v>
      </c>
      <c r="C723" s="91">
        <f>T723</f>
        <v>74</v>
      </c>
      <c r="D723" s="92"/>
      <c r="E723" s="91"/>
      <c r="F723" s="91"/>
      <c r="G723" s="91"/>
      <c r="H723" s="91"/>
      <c r="I723" s="91"/>
      <c r="J723" s="22"/>
      <c r="K723" s="22"/>
      <c r="L723" s="22"/>
      <c r="M723" s="22"/>
      <c r="N723" s="22"/>
      <c r="O723" s="91">
        <v>51395</v>
      </c>
      <c r="P723" s="91">
        <v>51469</v>
      </c>
      <c r="Q723" s="122"/>
      <c r="R723" s="338"/>
      <c r="S723" s="151">
        <v>1</v>
      </c>
      <c r="T723" s="91">
        <f>(P723-O723)*S723</f>
        <v>74</v>
      </c>
      <c r="U723" s="644"/>
      <c r="V723" s="759"/>
      <c r="W723" s="14"/>
      <c r="X723" s="7"/>
      <c r="Y723" s="7"/>
      <c r="Z723" s="7"/>
      <c r="AA723" s="7"/>
      <c r="AB723" s="7"/>
      <c r="AC723" s="7"/>
    </row>
    <row r="724" spans="1:29" ht="26.25">
      <c r="A724" s="19"/>
      <c r="B724" s="148" t="s">
        <v>1100</v>
      </c>
      <c r="C724" s="115">
        <f>T724</f>
        <v>999</v>
      </c>
      <c r="D724" s="92">
        <v>0</v>
      </c>
      <c r="E724" s="91"/>
      <c r="F724" s="91"/>
      <c r="G724" s="91"/>
      <c r="H724" s="91"/>
      <c r="I724" s="91"/>
      <c r="J724" s="22"/>
      <c r="K724" s="22"/>
      <c r="L724" s="22"/>
      <c r="M724" s="22"/>
      <c r="N724" s="22"/>
      <c r="O724" s="91">
        <v>9742</v>
      </c>
      <c r="P724" s="91">
        <v>10741</v>
      </c>
      <c r="Q724" s="149"/>
      <c r="R724" s="150"/>
      <c r="S724" s="151">
        <v>1</v>
      </c>
      <c r="T724" s="91">
        <f>P724-O724</f>
        <v>999</v>
      </c>
      <c r="U724" s="644"/>
      <c r="V724" s="759"/>
      <c r="W724" s="14"/>
      <c r="X724" s="7"/>
      <c r="Y724" s="7"/>
      <c r="Z724" s="7"/>
      <c r="AA724" s="7"/>
      <c r="AB724" s="7"/>
      <c r="AC724" s="7"/>
    </row>
    <row r="725" spans="1:29" ht="26.25">
      <c r="A725" s="19"/>
      <c r="B725" s="218"/>
      <c r="C725" s="72"/>
      <c r="D725" s="77"/>
      <c r="E725" s="28"/>
      <c r="F725" s="28"/>
      <c r="G725" s="28"/>
      <c r="H725" s="28"/>
      <c r="I725" s="28"/>
      <c r="J725" s="29"/>
      <c r="K725" s="29"/>
      <c r="L725" s="29"/>
      <c r="M725" s="29"/>
      <c r="N725" s="29"/>
      <c r="O725" s="28"/>
      <c r="P725" s="28"/>
      <c r="Q725" s="146"/>
      <c r="R725" s="147"/>
      <c r="S725" s="54"/>
      <c r="T725" s="28"/>
      <c r="U725" s="644"/>
      <c r="V725" s="759"/>
      <c r="W725" s="14"/>
      <c r="X725" s="7"/>
      <c r="Y725" s="7"/>
      <c r="Z725" s="7"/>
      <c r="AA725" s="7"/>
      <c r="AB725" s="7"/>
      <c r="AC725" s="7"/>
    </row>
    <row r="726" spans="1:29" ht="26.25">
      <c r="A726" s="19"/>
      <c r="B726" s="148" t="s">
        <v>86</v>
      </c>
      <c r="C726" s="115">
        <f>C719+C721+C723+C722+C724</f>
        <v>1839</v>
      </c>
      <c r="D726" s="91">
        <f>D720+D724</f>
        <v>340</v>
      </c>
      <c r="E726" s="28"/>
      <c r="F726" s="28"/>
      <c r="G726" s="28"/>
      <c r="H726" s="28"/>
      <c r="I726" s="28"/>
      <c r="J726" s="29"/>
      <c r="K726" s="29"/>
      <c r="L726" s="29"/>
      <c r="M726" s="29"/>
      <c r="N726" s="29"/>
      <c r="O726" s="28"/>
      <c r="P726" s="28"/>
      <c r="Q726" s="146"/>
      <c r="R726" s="147"/>
      <c r="S726" s="54"/>
      <c r="T726" s="28"/>
      <c r="U726" s="644"/>
      <c r="V726" s="759"/>
      <c r="W726" s="14"/>
      <c r="X726" s="7"/>
      <c r="Y726" s="7"/>
      <c r="Z726" s="7"/>
      <c r="AA726" s="7"/>
      <c r="AB726" s="7"/>
      <c r="AC726" s="7"/>
    </row>
    <row r="727" spans="1:29" ht="25.5">
      <c r="A727" s="19"/>
      <c r="B727" s="104"/>
      <c r="C727" s="92"/>
      <c r="D727" s="92"/>
      <c r="E727" s="92"/>
      <c r="F727" s="92"/>
      <c r="G727" s="92"/>
      <c r="H727" s="92"/>
      <c r="I727" s="92"/>
      <c r="J727" s="142"/>
      <c r="K727" s="142"/>
      <c r="L727" s="142"/>
      <c r="M727" s="142"/>
      <c r="N727" s="142"/>
      <c r="O727" s="94"/>
      <c r="P727" s="91"/>
      <c r="Q727" s="94"/>
      <c r="R727" s="94"/>
      <c r="S727" s="94"/>
      <c r="T727" s="94"/>
      <c r="U727" s="731"/>
      <c r="V727" s="274"/>
      <c r="W727" s="14"/>
      <c r="X727" s="7"/>
      <c r="Y727" s="7"/>
      <c r="Z727" s="7"/>
      <c r="AA727" s="7"/>
      <c r="AB727" s="7"/>
      <c r="AC727" s="7"/>
    </row>
    <row r="728" spans="1:29" ht="26.25">
      <c r="A728" s="19"/>
      <c r="B728" s="143"/>
      <c r="C728" s="92"/>
      <c r="D728" s="92"/>
      <c r="E728" s="246"/>
      <c r="F728" s="246"/>
      <c r="G728" s="92"/>
      <c r="H728" s="92"/>
      <c r="I728" s="92"/>
      <c r="J728" s="142"/>
      <c r="K728" s="142"/>
      <c r="L728" s="142"/>
      <c r="M728" s="142"/>
      <c r="N728" s="142"/>
      <c r="O728" s="94"/>
      <c r="P728" s="94"/>
      <c r="Q728" s="94"/>
      <c r="R728" s="94"/>
      <c r="S728" s="94"/>
      <c r="T728" s="94"/>
      <c r="U728" s="731"/>
      <c r="V728" s="274"/>
      <c r="W728" s="14"/>
      <c r="X728" s="7"/>
      <c r="Y728" s="7"/>
      <c r="Z728" s="7"/>
      <c r="AA728" s="7"/>
      <c r="AB728" s="7"/>
      <c r="AC728" s="7"/>
    </row>
    <row r="729" spans="1:29" ht="26.25">
      <c r="A729" s="271"/>
      <c r="B729" s="143" t="s">
        <v>648</v>
      </c>
      <c r="C729" s="115">
        <f>C709+C92</f>
        <v>1270294.1099000028</v>
      </c>
      <c r="D729" s="115">
        <f>D709+D726</f>
        <v>340</v>
      </c>
      <c r="E729" s="115" t="e">
        <f>E709</f>
        <v>#REF!</v>
      </c>
      <c r="F729" s="91"/>
      <c r="G729" s="91"/>
      <c r="H729" s="248" t="e">
        <f>H709</f>
        <v>#REF!</v>
      </c>
      <c r="I729" s="115">
        <f>I709</f>
        <v>223470.9479999998</v>
      </c>
      <c r="J729" s="142"/>
      <c r="K729" s="142"/>
      <c r="L729" s="142"/>
      <c r="M729" s="142"/>
      <c r="N729" s="142"/>
      <c r="O729" s="94"/>
      <c r="P729" s="94"/>
      <c r="Q729" s="94"/>
      <c r="R729" s="94"/>
      <c r="S729" s="94"/>
      <c r="T729" s="94"/>
      <c r="U729" s="731"/>
      <c r="V729" s="274"/>
      <c r="W729" s="14"/>
      <c r="X729" s="7"/>
      <c r="Y729" s="7"/>
      <c r="Z729" s="7"/>
      <c r="AA729" s="7"/>
      <c r="AB729" s="7"/>
      <c r="AC729" s="7"/>
    </row>
    <row r="730" spans="1:29" ht="26.25">
      <c r="A730" s="271"/>
      <c r="B730" s="143"/>
      <c r="C730" s="246"/>
      <c r="D730" s="246"/>
      <c r="E730" s="246"/>
      <c r="F730" s="92"/>
      <c r="G730" s="92"/>
      <c r="H730" s="92"/>
      <c r="I730" s="92"/>
      <c r="J730" s="142"/>
      <c r="K730" s="142"/>
      <c r="L730" s="142"/>
      <c r="M730" s="142"/>
      <c r="N730" s="142"/>
      <c r="O730" s="94"/>
      <c r="P730" s="94"/>
      <c r="Q730" s="94"/>
      <c r="R730" s="94"/>
      <c r="S730" s="94"/>
      <c r="T730" s="94"/>
      <c r="U730" s="731"/>
      <c r="V730" s="274"/>
      <c r="W730" s="14"/>
      <c r="X730" s="7"/>
      <c r="Y730" s="7"/>
      <c r="Z730" s="7"/>
      <c r="AA730" s="7"/>
      <c r="AB730" s="7"/>
      <c r="AC730" s="7"/>
    </row>
    <row r="731" spans="1:29" ht="25.5">
      <c r="A731" s="271"/>
      <c r="B731" s="104"/>
      <c r="C731" s="92"/>
      <c r="D731" s="92"/>
      <c r="E731" s="92"/>
      <c r="F731" s="92"/>
      <c r="G731" s="92"/>
      <c r="H731" s="92"/>
      <c r="I731" s="92"/>
      <c r="J731" s="142"/>
      <c r="K731" s="142"/>
      <c r="L731" s="142"/>
      <c r="M731" s="142"/>
      <c r="N731" s="142"/>
      <c r="O731" s="94"/>
      <c r="P731" s="94"/>
      <c r="Q731" s="94"/>
      <c r="R731" s="94"/>
      <c r="S731" s="94"/>
      <c r="T731" s="94"/>
      <c r="U731" s="731"/>
      <c r="V731" s="274"/>
      <c r="W731" s="14"/>
      <c r="X731" s="7"/>
      <c r="Y731" s="7"/>
      <c r="Z731" s="7"/>
      <c r="AA731" s="7"/>
      <c r="AB731" s="7"/>
      <c r="AC731" s="7"/>
    </row>
    <row r="732" spans="1:29" ht="26.25">
      <c r="A732" s="271"/>
      <c r="B732" s="143" t="s">
        <v>649</v>
      </c>
      <c r="C732" s="246"/>
      <c r="D732" s="246"/>
      <c r="E732" s="246"/>
      <c r="F732" s="92"/>
      <c r="G732" s="275"/>
      <c r="H732" s="92"/>
      <c r="I732" s="92"/>
      <c r="J732" s="142"/>
      <c r="K732" s="142"/>
      <c r="L732" s="142"/>
      <c r="M732" s="142"/>
      <c r="N732" s="142"/>
      <c r="O732" s="94"/>
      <c r="P732" s="94"/>
      <c r="Q732" s="94"/>
      <c r="R732" s="94"/>
      <c r="S732" s="94"/>
      <c r="T732" s="94"/>
      <c r="U732" s="731"/>
      <c r="V732" s="274"/>
      <c r="W732" s="14"/>
      <c r="X732" s="7"/>
      <c r="Y732" s="7"/>
      <c r="Z732" s="7"/>
      <c r="AA732" s="7"/>
      <c r="AB732" s="7"/>
      <c r="AC732" s="7"/>
    </row>
    <row r="733" spans="1:29" ht="25.5">
      <c r="A733" s="271"/>
      <c r="B733" s="104"/>
      <c r="C733" s="92"/>
      <c r="D733" s="92"/>
      <c r="E733" s="92"/>
      <c r="F733" s="92"/>
      <c r="G733" s="275"/>
      <c r="H733" s="92"/>
      <c r="I733" s="92"/>
      <c r="J733" s="142"/>
      <c r="K733" s="142"/>
      <c r="L733" s="142"/>
      <c r="M733" s="142"/>
      <c r="N733" s="142"/>
      <c r="O733" s="94"/>
      <c r="P733" s="94"/>
      <c r="Q733" s="94"/>
      <c r="R733" s="94"/>
      <c r="S733" s="94"/>
      <c r="T733" s="94"/>
      <c r="U733" s="731"/>
      <c r="V733" s="274"/>
      <c r="W733" s="14"/>
      <c r="X733" s="7"/>
      <c r="Y733" s="7"/>
      <c r="Z733" s="7"/>
      <c r="AA733" s="7"/>
      <c r="AB733" s="7"/>
      <c r="AC733" s="7"/>
    </row>
    <row r="734" spans="1:29" ht="25.5">
      <c r="A734" s="276"/>
      <c r="B734" s="277"/>
      <c r="C734" s="105"/>
      <c r="D734" s="105"/>
      <c r="E734" s="105"/>
      <c r="F734" s="105"/>
      <c r="G734" s="105"/>
      <c r="H734" s="105"/>
      <c r="I734" s="105"/>
      <c r="J734" s="98"/>
      <c r="K734" s="98"/>
      <c r="L734" s="98"/>
      <c r="M734" s="98"/>
      <c r="N734" s="98"/>
      <c r="O734" s="227"/>
      <c r="P734" s="227"/>
      <c r="Q734" s="227"/>
      <c r="R734" s="227"/>
      <c r="S734" s="227"/>
      <c r="T734" s="227"/>
      <c r="U734" s="273"/>
      <c r="V734" s="274"/>
      <c r="W734" s="7"/>
      <c r="X734" s="7"/>
      <c r="Y734" s="7"/>
      <c r="Z734" s="7"/>
      <c r="AA734" s="7"/>
      <c r="AB734" s="7"/>
      <c r="AC734" s="7"/>
    </row>
    <row r="735" spans="1:29" ht="25.5">
      <c r="A735" s="276"/>
      <c r="B735" s="277"/>
      <c r="C735" s="105"/>
      <c r="D735" s="105"/>
      <c r="E735" s="105"/>
      <c r="F735" s="105"/>
      <c r="G735" s="105"/>
      <c r="H735" s="105"/>
      <c r="I735" s="105"/>
      <c r="J735" s="98"/>
      <c r="K735" s="98"/>
      <c r="L735" s="98"/>
      <c r="M735" s="98"/>
      <c r="N735" s="98"/>
      <c r="O735" s="227"/>
      <c r="P735" s="227"/>
      <c r="Q735" s="227"/>
      <c r="R735" s="227"/>
      <c r="S735" s="227"/>
      <c r="T735" s="227"/>
      <c r="U735" s="273"/>
      <c r="V735" s="274"/>
      <c r="W735" s="7"/>
      <c r="X735" s="7"/>
      <c r="Y735" s="7"/>
      <c r="Z735" s="7"/>
      <c r="AA735" s="7"/>
      <c r="AB735" s="7"/>
      <c r="AC735" s="7"/>
    </row>
    <row r="736" spans="1:29" ht="25.5">
      <c r="A736" s="276"/>
      <c r="B736" s="277"/>
      <c r="C736" s="105"/>
      <c r="D736" s="105"/>
      <c r="E736" s="105"/>
      <c r="F736" s="105"/>
      <c r="G736" s="105"/>
      <c r="H736" s="105"/>
      <c r="I736" s="105"/>
      <c r="J736" s="98"/>
      <c r="K736" s="98"/>
      <c r="L736" s="98"/>
      <c r="M736" s="98"/>
      <c r="N736" s="98"/>
      <c r="O736" s="227"/>
      <c r="P736" s="227"/>
      <c r="Q736" s="227"/>
      <c r="R736" s="227"/>
      <c r="S736" s="227"/>
      <c r="T736" s="227"/>
      <c r="U736" s="273"/>
      <c r="V736" s="274"/>
      <c r="W736" s="7"/>
      <c r="X736" s="7"/>
      <c r="Y736" s="7"/>
      <c r="Z736" s="7"/>
      <c r="AA736" s="7"/>
      <c r="AB736" s="7"/>
      <c r="AC736" s="7"/>
    </row>
    <row r="737" spans="1:29" ht="25.5">
      <c r="A737" s="276"/>
      <c r="B737" s="277"/>
      <c r="C737" s="105"/>
      <c r="D737" s="105"/>
      <c r="E737" s="105"/>
      <c r="F737" s="105"/>
      <c r="G737" s="105"/>
      <c r="H737" s="105"/>
      <c r="I737" s="105"/>
      <c r="J737" s="98"/>
      <c r="K737" s="98"/>
      <c r="L737" s="98"/>
      <c r="M737" s="98"/>
      <c r="N737" s="98"/>
      <c r="O737" s="227"/>
      <c r="P737" s="227"/>
      <c r="Q737" s="227"/>
      <c r="R737" s="227"/>
      <c r="S737" s="227"/>
      <c r="T737" s="227"/>
      <c r="U737" s="273"/>
      <c r="V737" s="274"/>
      <c r="W737" s="7"/>
      <c r="X737" s="7"/>
      <c r="Y737" s="7"/>
      <c r="Z737" s="7"/>
      <c r="AA737" s="7"/>
      <c r="AB737" s="7"/>
      <c r="AC737" s="7"/>
    </row>
    <row r="738" spans="1:29" ht="25.5">
      <c r="A738" s="276"/>
      <c r="B738" s="277"/>
      <c r="C738" s="105"/>
      <c r="D738" s="105"/>
      <c r="E738" s="105"/>
      <c r="F738" s="105"/>
      <c r="G738" s="105"/>
      <c r="H738" s="105"/>
      <c r="I738" s="105"/>
      <c r="J738" s="98"/>
      <c r="K738" s="98"/>
      <c r="L738" s="98"/>
      <c r="M738" s="98"/>
      <c r="N738" s="98"/>
      <c r="O738" s="227"/>
      <c r="P738" s="227"/>
      <c r="Q738" s="227"/>
      <c r="R738" s="227"/>
      <c r="S738" s="227"/>
      <c r="T738" s="227"/>
      <c r="U738" s="273"/>
      <c r="V738" s="274"/>
      <c r="W738" s="7"/>
      <c r="X738" s="7"/>
      <c r="Y738" s="7"/>
      <c r="Z738" s="7"/>
      <c r="AA738" s="7"/>
      <c r="AB738" s="7"/>
      <c r="AC738" s="7"/>
    </row>
    <row r="739" spans="1:29" ht="25.5">
      <c r="A739" s="276"/>
      <c r="B739" s="277"/>
      <c r="C739" s="105"/>
      <c r="D739" s="105"/>
      <c r="E739" s="105"/>
      <c r="F739" s="105"/>
      <c r="G739" s="105"/>
      <c r="H739" s="105"/>
      <c r="I739" s="105"/>
      <c r="J739" s="98"/>
      <c r="K739" s="98"/>
      <c r="L739" s="98"/>
      <c r="M739" s="98"/>
      <c r="N739" s="98"/>
      <c r="O739" s="227"/>
      <c r="P739" s="227"/>
      <c r="Q739" s="227"/>
      <c r="R739" s="227"/>
      <c r="S739" s="227"/>
      <c r="T739" s="227"/>
      <c r="U739" s="273"/>
      <c r="V739" s="274"/>
      <c r="W739" s="7"/>
      <c r="X739" s="7"/>
      <c r="Y739" s="7"/>
      <c r="Z739" s="7"/>
      <c r="AA739" s="7"/>
      <c r="AB739" s="7"/>
      <c r="AC739" s="7"/>
    </row>
    <row r="740" spans="1:29" ht="25.5">
      <c r="A740" s="276"/>
      <c r="B740" s="277"/>
      <c r="C740" s="105"/>
      <c r="D740" s="105"/>
      <c r="E740" s="105"/>
      <c r="F740" s="105"/>
      <c r="G740" s="105"/>
      <c r="H740" s="105"/>
      <c r="I740" s="105"/>
      <c r="J740" s="98"/>
      <c r="K740" s="98"/>
      <c r="L740" s="98"/>
      <c r="M740" s="98"/>
      <c r="N740" s="98"/>
      <c r="O740" s="227"/>
      <c r="P740" s="227"/>
      <c r="Q740" s="227"/>
      <c r="R740" s="227"/>
      <c r="S740" s="227"/>
      <c r="T740" s="227"/>
      <c r="U740" s="273"/>
      <c r="V740" s="274"/>
      <c r="W740" s="7"/>
      <c r="X740" s="7"/>
      <c r="Y740" s="7"/>
      <c r="Z740" s="7"/>
      <c r="AA740" s="7"/>
      <c r="AB740" s="7"/>
      <c r="AC740" s="7"/>
    </row>
    <row r="741" spans="1:29" ht="25.5">
      <c r="A741" s="276"/>
      <c r="B741" s="277"/>
      <c r="C741" s="105"/>
      <c r="D741" s="105"/>
      <c r="E741" s="105"/>
      <c r="F741" s="105"/>
      <c r="G741" s="105"/>
      <c r="H741" s="105"/>
      <c r="I741" s="105"/>
      <c r="J741" s="98"/>
      <c r="K741" s="98"/>
      <c r="L741" s="98"/>
      <c r="M741" s="98"/>
      <c r="N741" s="98"/>
      <c r="O741" s="227"/>
      <c r="P741" s="227"/>
      <c r="Q741" s="227"/>
      <c r="R741" s="227"/>
      <c r="S741" s="227"/>
      <c r="T741" s="227"/>
      <c r="U741" s="273"/>
      <c r="V741" s="274"/>
      <c r="W741" s="7"/>
      <c r="X741" s="7"/>
      <c r="Y741" s="7"/>
      <c r="Z741" s="7"/>
      <c r="AA741" s="7"/>
      <c r="AB741" s="7"/>
      <c r="AC741" s="7"/>
    </row>
    <row r="742" spans="1:29" ht="25.5">
      <c r="A742" s="276"/>
      <c r="B742" s="277"/>
      <c r="C742" s="105"/>
      <c r="D742" s="105"/>
      <c r="E742" s="105"/>
      <c r="F742" s="105"/>
      <c r="G742" s="105"/>
      <c r="H742" s="105"/>
      <c r="I742" s="105"/>
      <c r="J742" s="98"/>
      <c r="K742" s="98"/>
      <c r="L742" s="98"/>
      <c r="M742" s="98"/>
      <c r="N742" s="98"/>
      <c r="O742" s="227"/>
      <c r="P742" s="227"/>
      <c r="Q742" s="227"/>
      <c r="R742" s="227"/>
      <c r="S742" s="227"/>
      <c r="T742" s="227"/>
      <c r="U742" s="273"/>
      <c r="V742" s="274"/>
      <c r="W742" s="7"/>
      <c r="X742" s="7"/>
      <c r="Y742" s="7"/>
      <c r="Z742" s="7"/>
      <c r="AA742" s="7"/>
      <c r="AB742" s="7"/>
      <c r="AC742" s="7"/>
    </row>
    <row r="743" spans="1:29" ht="25.5">
      <c r="A743" s="276"/>
      <c r="B743" s="277"/>
      <c r="C743" s="105"/>
      <c r="D743" s="105"/>
      <c r="E743" s="105"/>
      <c r="F743" s="105"/>
      <c r="G743" s="105"/>
      <c r="H743" s="105"/>
      <c r="I743" s="105"/>
      <c r="J743" s="98"/>
      <c r="K743" s="98"/>
      <c r="L743" s="98"/>
      <c r="M743" s="98"/>
      <c r="N743" s="98"/>
      <c r="O743" s="227"/>
      <c r="P743" s="227"/>
      <c r="Q743" s="227"/>
      <c r="R743" s="227"/>
      <c r="S743" s="227"/>
      <c r="T743" s="227"/>
      <c r="U743" s="273"/>
      <c r="V743" s="274"/>
      <c r="W743" s="7"/>
      <c r="X743" s="7"/>
      <c r="Y743" s="7"/>
      <c r="Z743" s="7"/>
      <c r="AA743" s="7"/>
      <c r="AB743" s="7"/>
      <c r="AC743" s="7"/>
    </row>
    <row r="744" spans="1:29" ht="25.5">
      <c r="A744" s="276"/>
      <c r="B744" s="277"/>
      <c r="C744" s="105"/>
      <c r="D744" s="105"/>
      <c r="E744" s="105"/>
      <c r="F744" s="105"/>
      <c r="G744" s="105"/>
      <c r="H744" s="105"/>
      <c r="I744" s="105"/>
      <c r="J744" s="98"/>
      <c r="K744" s="98"/>
      <c r="L744" s="98"/>
      <c r="M744" s="98"/>
      <c r="N744" s="98"/>
      <c r="O744" s="227"/>
      <c r="P744" s="227"/>
      <c r="Q744" s="227"/>
      <c r="R744" s="227"/>
      <c r="S744" s="227"/>
      <c r="T744" s="227"/>
      <c r="U744" s="273"/>
      <c r="V744" s="274"/>
      <c r="W744" s="7"/>
      <c r="X744" s="7"/>
      <c r="Y744" s="7"/>
      <c r="Z744" s="7"/>
      <c r="AA744" s="7"/>
      <c r="AB744" s="7"/>
      <c r="AC744" s="7"/>
    </row>
    <row r="745" spans="1:29" ht="25.5">
      <c r="A745" s="276"/>
      <c r="B745" s="277"/>
      <c r="C745" s="105"/>
      <c r="D745" s="105"/>
      <c r="E745" s="105"/>
      <c r="F745" s="105"/>
      <c r="G745" s="105"/>
      <c r="H745" s="105"/>
      <c r="I745" s="105"/>
      <c r="J745" s="98"/>
      <c r="K745" s="98"/>
      <c r="L745" s="98"/>
      <c r="M745" s="98"/>
      <c r="N745" s="98"/>
      <c r="O745" s="227"/>
      <c r="P745" s="227"/>
      <c r="Q745" s="227"/>
      <c r="R745" s="227"/>
      <c r="S745" s="227"/>
      <c r="T745" s="227"/>
      <c r="U745" s="273"/>
      <c r="V745" s="274"/>
      <c r="W745" s="7"/>
      <c r="X745" s="7"/>
      <c r="Y745" s="7"/>
      <c r="Z745" s="7"/>
      <c r="AA745" s="7"/>
      <c r="AB745" s="7"/>
      <c r="AC745" s="7"/>
    </row>
    <row r="746" spans="1:29" ht="25.5">
      <c r="A746" s="276"/>
      <c r="B746" s="277"/>
      <c r="C746" s="105"/>
      <c r="D746" s="105"/>
      <c r="E746" s="105"/>
      <c r="F746" s="105"/>
      <c r="G746" s="105"/>
      <c r="H746" s="105"/>
      <c r="I746" s="105"/>
      <c r="J746" s="98"/>
      <c r="K746" s="98"/>
      <c r="L746" s="98"/>
      <c r="M746" s="98"/>
      <c r="N746" s="98"/>
      <c r="O746" s="227"/>
      <c r="P746" s="227"/>
      <c r="Q746" s="227"/>
      <c r="R746" s="227"/>
      <c r="S746" s="227"/>
      <c r="T746" s="227"/>
      <c r="U746" s="273"/>
      <c r="V746" s="274"/>
      <c r="W746" s="7"/>
      <c r="X746" s="7"/>
      <c r="Y746" s="7"/>
      <c r="Z746" s="7"/>
      <c r="AA746" s="7"/>
      <c r="AB746" s="7"/>
      <c r="AC746" s="7"/>
    </row>
    <row r="747" spans="1:29" ht="25.5">
      <c r="A747" s="276"/>
      <c r="B747" s="277"/>
      <c r="C747" s="105"/>
      <c r="D747" s="105"/>
      <c r="E747" s="105"/>
      <c r="F747" s="105"/>
      <c r="G747" s="105"/>
      <c r="H747" s="105"/>
      <c r="I747" s="105"/>
      <c r="J747" s="98"/>
      <c r="K747" s="98"/>
      <c r="L747" s="98"/>
      <c r="M747" s="98"/>
      <c r="N747" s="98"/>
      <c r="O747" s="227"/>
      <c r="P747" s="227"/>
      <c r="Q747" s="227"/>
      <c r="R747" s="227"/>
      <c r="S747" s="227"/>
      <c r="T747" s="227"/>
      <c r="U747" s="273"/>
      <c r="V747" s="274"/>
      <c r="W747" s="7"/>
      <c r="X747" s="7"/>
      <c r="Y747" s="7"/>
      <c r="Z747" s="7"/>
      <c r="AA747" s="7"/>
      <c r="AB747" s="7"/>
      <c r="AC747" s="7"/>
    </row>
  </sheetData>
  <mergeCells count="30">
    <mergeCell ref="AQ1:BJ1"/>
    <mergeCell ref="A3:T3"/>
    <mergeCell ref="A4:A5"/>
    <mergeCell ref="B4:B5"/>
    <mergeCell ref="C4:C5"/>
    <mergeCell ref="D4:D5"/>
    <mergeCell ref="E4:G4"/>
    <mergeCell ref="H4:H5"/>
    <mergeCell ref="I4:I5"/>
    <mergeCell ref="O4:O5"/>
    <mergeCell ref="B247:B248"/>
    <mergeCell ref="V247:V248"/>
    <mergeCell ref="P4:P5"/>
    <mergeCell ref="S4:S5"/>
    <mergeCell ref="T4:T5"/>
    <mergeCell ref="V61:V62"/>
    <mergeCell ref="A87:B87"/>
    <mergeCell ref="A94:B94"/>
    <mergeCell ref="B98:B99"/>
    <mergeCell ref="B176:B177"/>
    <mergeCell ref="B187:B188"/>
    <mergeCell ref="V200:V201"/>
    <mergeCell ref="V211:V212"/>
    <mergeCell ref="B692:B693"/>
    <mergeCell ref="V283:V284"/>
    <mergeCell ref="B297:B298"/>
    <mergeCell ref="B624:B626"/>
    <mergeCell ref="W650:W652"/>
    <mergeCell ref="B658:B659"/>
    <mergeCell ref="B665:B666"/>
  </mergeCells>
  <pageMargins left="0.27559055118110237" right="0" top="0.39370078740157483" bottom="0.39370078740157483" header="0.31496062992125984" footer="0.31496062992125984"/>
  <pageSetup paperSize="9" scale="43" orientation="landscape" r:id="rId1"/>
  <colBreaks count="1" manualBreakCount="1">
    <brk id="22" max="635" man="1"/>
  </col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7"/>
  <sheetViews>
    <sheetView topLeftCell="A51" zoomScale="55" zoomScaleNormal="55" workbookViewId="0">
      <selection activeCell="O82" sqref="O82"/>
    </sheetView>
  </sheetViews>
  <sheetFormatPr defaultRowHeight="26.25"/>
  <cols>
    <col min="1" max="1" width="90" style="282" customWidth="1"/>
    <col min="2" max="2" width="21" style="282" customWidth="1"/>
    <col min="3" max="3" width="0.140625" style="282" customWidth="1"/>
    <col min="4" max="4" width="19" style="282" customWidth="1"/>
    <col min="5" max="5" width="17.7109375" style="282" customWidth="1"/>
    <col min="6" max="6" width="18.5703125" style="282" customWidth="1"/>
    <col min="7" max="7" width="21.5703125" style="282" customWidth="1"/>
    <col min="8" max="8" width="19.5703125" style="282" customWidth="1"/>
    <col min="9" max="12" width="9.140625" style="282" hidden="1" customWidth="1"/>
    <col min="13" max="13" width="21.7109375" style="282" hidden="1" customWidth="1"/>
    <col min="14" max="14" width="22.7109375" style="282" customWidth="1"/>
    <col min="15" max="15" width="22.28515625" style="282" customWidth="1"/>
    <col min="16" max="16" width="9.140625" style="282" hidden="1" customWidth="1"/>
    <col min="17" max="17" width="14.85546875" style="282" hidden="1" customWidth="1"/>
    <col min="18" max="18" width="11.7109375" style="282" customWidth="1"/>
    <col min="19" max="19" width="21.5703125" style="282" customWidth="1"/>
    <col min="20" max="20" width="17.42578125" style="282" customWidth="1"/>
    <col min="21" max="16384" width="9.140625" style="282"/>
  </cols>
  <sheetData>
    <row r="1" spans="1:21">
      <c r="A1" s="278"/>
      <c r="B1" s="279"/>
      <c r="C1" s="279"/>
      <c r="D1" s="279"/>
      <c r="E1" s="279"/>
      <c r="F1" s="279"/>
      <c r="G1" s="279"/>
      <c r="H1" s="279"/>
      <c r="I1" s="280"/>
      <c r="J1" s="280"/>
      <c r="K1" s="280"/>
      <c r="L1" s="280"/>
      <c r="M1" s="280"/>
      <c r="N1" s="279"/>
      <c r="O1" s="279"/>
      <c r="P1" s="280"/>
      <c r="Q1" s="280"/>
      <c r="R1" s="279"/>
      <c r="S1" s="279"/>
      <c r="T1" s="281"/>
      <c r="U1" s="281"/>
    </row>
    <row r="2" spans="1:21">
      <c r="A2" s="278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</row>
    <row r="3" spans="1:21">
      <c r="A3" s="278"/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</row>
    <row r="4" spans="1:21">
      <c r="A4" s="278"/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</row>
    <row r="5" spans="1:21">
      <c r="A5" s="278"/>
      <c r="B5" s="281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</row>
    <row r="6" spans="1:21">
      <c r="A6" s="278"/>
      <c r="B6" s="281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</row>
    <row r="7" spans="1:21">
      <c r="A7" s="278"/>
      <c r="B7" s="281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</row>
    <row r="8" spans="1:21">
      <c r="A8" s="278"/>
      <c r="B8" s="281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</row>
    <row r="9" spans="1:21">
      <c r="A9" s="278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</row>
    <row r="10" spans="1:21">
      <c r="A10" s="278"/>
      <c r="B10" s="281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</row>
    <row r="11" spans="1:21">
      <c r="A11" s="278"/>
      <c r="B11" s="281"/>
      <c r="C11" s="279"/>
      <c r="D11" s="279"/>
      <c r="E11" s="279"/>
      <c r="F11" s="279"/>
      <c r="G11" s="279"/>
      <c r="H11" s="279"/>
      <c r="I11" s="279"/>
      <c r="J11" s="280"/>
      <c r="K11" s="280"/>
      <c r="L11" s="280"/>
      <c r="M11" s="280"/>
      <c r="N11" s="280"/>
      <c r="O11" s="279"/>
      <c r="P11" s="279"/>
      <c r="Q11" s="280"/>
      <c r="R11" s="280"/>
      <c r="S11" s="279"/>
      <c r="T11" s="279"/>
      <c r="U11" s="281"/>
    </row>
    <row r="12" spans="1:21">
      <c r="A12" s="278"/>
      <c r="B12" s="281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</row>
    <row r="13" spans="1:21">
      <c r="A13" s="278"/>
    </row>
    <row r="14" spans="1:21">
      <c r="A14" s="278"/>
    </row>
    <row r="15" spans="1:21">
      <c r="A15" s="278"/>
    </row>
    <row r="16" spans="1:21">
      <c r="A16" s="278"/>
    </row>
    <row r="17" spans="1:30">
      <c r="A17" s="278"/>
    </row>
    <row r="18" spans="1:30">
      <c r="A18" s="278"/>
    </row>
    <row r="19" spans="1:30">
      <c r="A19" s="278"/>
    </row>
    <row r="20" spans="1:30">
      <c r="A20" s="278"/>
    </row>
    <row r="21" spans="1:30">
      <c r="A21" s="278"/>
    </row>
    <row r="22" spans="1:30">
      <c r="A22" s="278"/>
    </row>
    <row r="23" spans="1:30">
      <c r="A23" s="278"/>
    </row>
    <row r="24" spans="1:30">
      <c r="A24" s="283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</row>
    <row r="25" spans="1:30">
      <c r="A25" s="284"/>
      <c r="B25" s="279"/>
      <c r="C25" s="279"/>
      <c r="D25" s="279"/>
      <c r="E25" s="279"/>
      <c r="F25" s="279"/>
      <c r="G25" s="279"/>
      <c r="H25" s="279"/>
      <c r="I25" s="280"/>
      <c r="J25" s="280"/>
      <c r="K25" s="280"/>
      <c r="L25" s="280"/>
      <c r="M25" s="280"/>
      <c r="N25" s="279"/>
      <c r="O25" s="279"/>
      <c r="P25" s="280"/>
      <c r="Q25" s="280"/>
      <c r="R25" s="279"/>
      <c r="S25" s="279"/>
    </row>
    <row r="26" spans="1:30">
      <c r="A26" s="283"/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</row>
    <row r="27" spans="1:30">
      <c r="A27" s="281"/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</row>
    <row r="28" spans="1:30" ht="15" customHeight="1" thickBot="1">
      <c r="A28" s="281"/>
      <c r="B28" s="281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</row>
    <row r="29" spans="1:30" ht="41.25" customHeight="1" thickBot="1">
      <c r="A29" s="285"/>
      <c r="B29" s="843" t="s">
        <v>1105</v>
      </c>
      <c r="C29" s="844"/>
      <c r="D29" s="844"/>
      <c r="E29" s="844"/>
      <c r="F29" s="844"/>
      <c r="G29" s="844"/>
      <c r="H29" s="844"/>
      <c r="I29" s="844"/>
      <c r="J29" s="844"/>
      <c r="K29" s="844"/>
      <c r="L29" s="844"/>
      <c r="M29" s="844"/>
      <c r="N29" s="845"/>
      <c r="O29" s="285"/>
      <c r="P29" s="285"/>
      <c r="Q29" s="285"/>
      <c r="R29" s="285"/>
      <c r="S29" s="285"/>
      <c r="T29" s="286"/>
      <c r="U29" s="286"/>
      <c r="V29" s="286"/>
      <c r="W29" s="286"/>
      <c r="X29" s="286"/>
      <c r="Y29" s="286"/>
      <c r="Z29" s="286"/>
      <c r="AA29" s="286"/>
      <c r="AB29" s="286"/>
      <c r="AC29" s="286"/>
      <c r="AD29" s="286"/>
    </row>
    <row r="30" spans="1:30" ht="9.75" customHeight="1">
      <c r="A30" s="285"/>
      <c r="B30" s="285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5"/>
      <c r="N30" s="285"/>
      <c r="O30" s="285"/>
      <c r="P30" s="285"/>
      <c r="Q30" s="285"/>
      <c r="R30" s="285"/>
      <c r="S30" s="285"/>
      <c r="T30" s="286"/>
      <c r="U30" s="286"/>
      <c r="V30" s="286"/>
      <c r="W30" s="286"/>
      <c r="X30" s="286"/>
      <c r="Y30" s="286"/>
      <c r="Z30" s="286"/>
      <c r="AA30" s="286"/>
      <c r="AB30" s="286"/>
      <c r="AC30" s="286"/>
      <c r="AD30" s="286"/>
    </row>
    <row r="31" spans="1:30" ht="33.75" customHeight="1">
      <c r="A31" s="829" t="s">
        <v>1</v>
      </c>
      <c r="B31" s="826" t="s">
        <v>2</v>
      </c>
      <c r="C31" s="826" t="s">
        <v>3</v>
      </c>
      <c r="D31" s="826" t="s">
        <v>4</v>
      </c>
      <c r="E31" s="826"/>
      <c r="F31" s="826"/>
      <c r="G31" s="826" t="s">
        <v>5</v>
      </c>
      <c r="H31" s="826" t="s">
        <v>6</v>
      </c>
      <c r="I31" s="206"/>
      <c r="J31" s="287"/>
      <c r="K31" s="287"/>
      <c r="L31" s="287"/>
      <c r="M31" s="287"/>
      <c r="N31" s="824" t="s">
        <v>7</v>
      </c>
      <c r="O31" s="826" t="s">
        <v>8</v>
      </c>
      <c r="P31" s="287"/>
      <c r="Q31" s="287"/>
      <c r="R31" s="826" t="s">
        <v>9</v>
      </c>
      <c r="S31" s="826" t="s">
        <v>2</v>
      </c>
      <c r="T31" s="858" t="s">
        <v>1123</v>
      </c>
      <c r="U31" s="286"/>
      <c r="V31" s="286"/>
      <c r="W31" s="286"/>
      <c r="X31" s="286"/>
      <c r="Y31" s="286"/>
      <c r="Z31" s="286"/>
      <c r="AA31" s="286"/>
      <c r="AB31" s="286"/>
      <c r="AC31" s="286"/>
      <c r="AD31" s="286"/>
    </row>
    <row r="32" spans="1:30" ht="51" customHeight="1">
      <c r="A32" s="829"/>
      <c r="B32" s="826"/>
      <c r="C32" s="826"/>
      <c r="D32" s="758" t="s">
        <v>10</v>
      </c>
      <c r="E32" s="758" t="s">
        <v>11</v>
      </c>
      <c r="F32" s="758" t="s">
        <v>12</v>
      </c>
      <c r="G32" s="826"/>
      <c r="H32" s="826"/>
      <c r="I32" s="206"/>
      <c r="J32" s="287"/>
      <c r="K32" s="287"/>
      <c r="L32" s="287"/>
      <c r="M32" s="287"/>
      <c r="N32" s="825"/>
      <c r="O32" s="826"/>
      <c r="P32" s="287"/>
      <c r="Q32" s="288"/>
      <c r="R32" s="826"/>
      <c r="S32" s="826"/>
      <c r="T32" s="859"/>
      <c r="U32" s="286"/>
      <c r="V32" s="286"/>
      <c r="W32" s="286"/>
      <c r="X32" s="286"/>
      <c r="Y32" s="286"/>
      <c r="Z32" s="286"/>
      <c r="AA32" s="286"/>
      <c r="AB32" s="286"/>
      <c r="AC32" s="286"/>
      <c r="AD32" s="286"/>
    </row>
    <row r="33" spans="1:30" ht="35.1" customHeight="1">
      <c r="A33" s="289" t="s">
        <v>650</v>
      </c>
      <c r="B33" s="206">
        <f t="shared" ref="B33:B60" si="0">G33+D33</f>
        <v>2439.6</v>
      </c>
      <c r="C33" s="206"/>
      <c r="D33" s="206">
        <f t="shared" ref="D33:D56" si="1">E33+F33</f>
        <v>159.6</v>
      </c>
      <c r="E33" s="206">
        <f t="shared" ref="E33:E56" si="2">0.04*G33</f>
        <v>91.2</v>
      </c>
      <c r="F33" s="206">
        <f t="shared" ref="F33:F56" si="3">0.03*G33</f>
        <v>68.399999999999991</v>
      </c>
      <c r="G33" s="206">
        <f t="shared" ref="G33:G56" si="4">S33</f>
        <v>2280</v>
      </c>
      <c r="H33" s="206">
        <f t="shared" ref="H33:H60" si="5">0.6*B33</f>
        <v>1463.76</v>
      </c>
      <c r="I33" s="290"/>
      <c r="J33" s="290"/>
      <c r="K33" s="290"/>
      <c r="L33" s="290"/>
      <c r="M33" s="290"/>
      <c r="N33" s="206">
        <v>4775</v>
      </c>
      <c r="O33" s="206">
        <v>4832</v>
      </c>
      <c r="P33" s="203"/>
      <c r="Q33" s="205"/>
      <c r="R33" s="291">
        <v>40</v>
      </c>
      <c r="S33" s="206">
        <f t="shared" ref="S33:S47" si="6">(O33-N33)*R33</f>
        <v>2280</v>
      </c>
      <c r="T33" s="765" t="s">
        <v>1124</v>
      </c>
      <c r="U33" s="286"/>
      <c r="V33" s="286"/>
      <c r="W33" s="286"/>
      <c r="X33" s="286"/>
      <c r="Y33" s="286"/>
      <c r="Z33" s="286"/>
      <c r="AA33" s="286"/>
      <c r="AB33" s="286"/>
      <c r="AC33" s="286"/>
      <c r="AD33" s="286"/>
    </row>
    <row r="34" spans="1:30" ht="35.1" customHeight="1">
      <c r="A34" s="289" t="s">
        <v>651</v>
      </c>
      <c r="B34" s="206">
        <f t="shared" si="0"/>
        <v>3038.8</v>
      </c>
      <c r="C34" s="206"/>
      <c r="D34" s="206">
        <f t="shared" si="1"/>
        <v>198.8</v>
      </c>
      <c r="E34" s="206">
        <f t="shared" si="2"/>
        <v>113.60000000000001</v>
      </c>
      <c r="F34" s="206">
        <f t="shared" si="3"/>
        <v>85.2</v>
      </c>
      <c r="G34" s="206">
        <f t="shared" si="4"/>
        <v>2840</v>
      </c>
      <c r="H34" s="206">
        <f t="shared" si="5"/>
        <v>1823.28</v>
      </c>
      <c r="I34" s="290"/>
      <c r="J34" s="290"/>
      <c r="K34" s="290"/>
      <c r="L34" s="290"/>
      <c r="M34" s="290"/>
      <c r="N34" s="206">
        <v>4370</v>
      </c>
      <c r="O34" s="206">
        <v>4441</v>
      </c>
      <c r="P34" s="203"/>
      <c r="Q34" s="205"/>
      <c r="R34" s="291">
        <v>40</v>
      </c>
      <c r="S34" s="206">
        <f t="shared" si="6"/>
        <v>2840</v>
      </c>
      <c r="T34" s="765" t="s">
        <v>1125</v>
      </c>
      <c r="U34" s="286"/>
      <c r="V34" s="286"/>
      <c r="W34" s="286"/>
      <c r="X34" s="286"/>
      <c r="Y34" s="286"/>
      <c r="Z34" s="286"/>
      <c r="AA34" s="286"/>
      <c r="AB34" s="286"/>
      <c r="AC34" s="286"/>
      <c r="AD34" s="286"/>
    </row>
    <row r="35" spans="1:30" ht="35.1" customHeight="1">
      <c r="A35" s="289" t="s">
        <v>652</v>
      </c>
      <c r="B35" s="206">
        <f t="shared" si="0"/>
        <v>3552.4</v>
      </c>
      <c r="C35" s="206"/>
      <c r="D35" s="206">
        <f t="shared" si="1"/>
        <v>232.4</v>
      </c>
      <c r="E35" s="206">
        <f t="shared" si="2"/>
        <v>132.80000000000001</v>
      </c>
      <c r="F35" s="206">
        <f t="shared" si="3"/>
        <v>99.6</v>
      </c>
      <c r="G35" s="206">
        <f t="shared" si="4"/>
        <v>3320</v>
      </c>
      <c r="H35" s="206">
        <f t="shared" si="5"/>
        <v>2131.44</v>
      </c>
      <c r="I35" s="290"/>
      <c r="J35" s="290"/>
      <c r="K35" s="290"/>
      <c r="L35" s="290"/>
      <c r="M35" s="290"/>
      <c r="N35" s="206">
        <v>4858</v>
      </c>
      <c r="O35" s="206">
        <v>4941</v>
      </c>
      <c r="P35" s="203"/>
      <c r="Q35" s="205"/>
      <c r="R35" s="291">
        <v>40</v>
      </c>
      <c r="S35" s="206">
        <f t="shared" si="6"/>
        <v>3320</v>
      </c>
      <c r="T35" s="765" t="s">
        <v>1126</v>
      </c>
      <c r="U35" s="286"/>
      <c r="V35" s="286"/>
      <c r="W35" s="286"/>
      <c r="X35" s="286"/>
      <c r="Y35" s="286"/>
      <c r="Z35" s="286"/>
      <c r="AA35" s="286"/>
      <c r="AB35" s="286"/>
      <c r="AC35" s="286"/>
      <c r="AD35" s="286"/>
    </row>
    <row r="36" spans="1:30" ht="35.1" customHeight="1">
      <c r="A36" s="289" t="s">
        <v>653</v>
      </c>
      <c r="B36" s="206">
        <f t="shared" si="0"/>
        <v>20330</v>
      </c>
      <c r="C36" s="206"/>
      <c r="D36" s="206">
        <f t="shared" si="1"/>
        <v>1330</v>
      </c>
      <c r="E36" s="206">
        <f t="shared" si="2"/>
        <v>760</v>
      </c>
      <c r="F36" s="206">
        <f t="shared" si="3"/>
        <v>570</v>
      </c>
      <c r="G36" s="206">
        <f t="shared" si="4"/>
        <v>19000</v>
      </c>
      <c r="H36" s="206">
        <f t="shared" si="5"/>
        <v>12198</v>
      </c>
      <c r="I36" s="290"/>
      <c r="J36" s="290"/>
      <c r="K36" s="290"/>
      <c r="L36" s="290"/>
      <c r="M36" s="290"/>
      <c r="N36" s="206">
        <v>16489</v>
      </c>
      <c r="O36" s="206">
        <v>16964</v>
      </c>
      <c r="P36" s="203"/>
      <c r="Q36" s="205"/>
      <c r="R36" s="291">
        <v>40</v>
      </c>
      <c r="S36" s="206">
        <f t="shared" si="6"/>
        <v>19000</v>
      </c>
      <c r="T36" s="765" t="s">
        <v>1127</v>
      </c>
      <c r="U36" s="286"/>
      <c r="V36" s="286"/>
      <c r="W36" s="286"/>
      <c r="X36" s="286"/>
      <c r="Y36" s="286"/>
      <c r="Z36" s="286"/>
      <c r="AA36" s="286"/>
      <c r="AB36" s="286"/>
      <c r="AC36" s="286"/>
      <c r="AD36" s="286"/>
    </row>
    <row r="37" spans="1:30" ht="35.1" customHeight="1">
      <c r="A37" s="289" t="s">
        <v>654</v>
      </c>
      <c r="B37" s="206">
        <f t="shared" si="0"/>
        <v>2140</v>
      </c>
      <c r="C37" s="206"/>
      <c r="D37" s="206">
        <f t="shared" si="1"/>
        <v>140</v>
      </c>
      <c r="E37" s="206">
        <f t="shared" si="2"/>
        <v>80</v>
      </c>
      <c r="F37" s="206">
        <f t="shared" si="3"/>
        <v>60</v>
      </c>
      <c r="G37" s="206">
        <f t="shared" si="4"/>
        <v>2000</v>
      </c>
      <c r="H37" s="206">
        <f t="shared" si="5"/>
        <v>1284</v>
      </c>
      <c r="I37" s="290"/>
      <c r="J37" s="290"/>
      <c r="K37" s="290"/>
      <c r="L37" s="290"/>
      <c r="M37" s="290"/>
      <c r="N37" s="206">
        <v>6558</v>
      </c>
      <c r="O37" s="206">
        <v>6608</v>
      </c>
      <c r="P37" s="203"/>
      <c r="Q37" s="205"/>
      <c r="R37" s="291">
        <v>40</v>
      </c>
      <c r="S37" s="206">
        <f t="shared" si="6"/>
        <v>2000</v>
      </c>
      <c r="T37" s="765" t="s">
        <v>1128</v>
      </c>
      <c r="U37" s="286"/>
      <c r="V37" s="286"/>
      <c r="W37" s="286"/>
      <c r="X37" s="286"/>
      <c r="Y37" s="286"/>
      <c r="Z37" s="286"/>
      <c r="AA37" s="286"/>
      <c r="AB37" s="286"/>
      <c r="AC37" s="286"/>
      <c r="AD37" s="286"/>
    </row>
    <row r="38" spans="1:30" ht="35.1" customHeight="1">
      <c r="A38" s="289" t="s">
        <v>764</v>
      </c>
      <c r="B38" s="206">
        <f t="shared" si="0"/>
        <v>481.5</v>
      </c>
      <c r="C38" s="206"/>
      <c r="D38" s="206">
        <f t="shared" si="1"/>
        <v>31.5</v>
      </c>
      <c r="E38" s="206">
        <f t="shared" si="2"/>
        <v>18</v>
      </c>
      <c r="F38" s="206">
        <f t="shared" si="3"/>
        <v>13.5</v>
      </c>
      <c r="G38" s="206">
        <f t="shared" si="4"/>
        <v>450</v>
      </c>
      <c r="H38" s="206">
        <f t="shared" si="5"/>
        <v>288.89999999999998</v>
      </c>
      <c r="I38" s="290"/>
      <c r="J38" s="290"/>
      <c r="K38" s="290"/>
      <c r="L38" s="290"/>
      <c r="M38" s="290"/>
      <c r="N38" s="206">
        <v>755</v>
      </c>
      <c r="O38" s="206">
        <v>770</v>
      </c>
      <c r="P38" s="203"/>
      <c r="Q38" s="205"/>
      <c r="R38" s="291">
        <v>30</v>
      </c>
      <c r="S38" s="206">
        <f t="shared" si="6"/>
        <v>450</v>
      </c>
      <c r="T38" s="765" t="s">
        <v>1129</v>
      </c>
      <c r="U38" s="286"/>
      <c r="V38" s="286"/>
      <c r="W38" s="286"/>
      <c r="X38" s="286"/>
      <c r="Y38" s="286"/>
      <c r="Z38" s="286"/>
      <c r="AA38" s="286"/>
      <c r="AB38" s="286"/>
      <c r="AC38" s="286"/>
      <c r="AD38" s="286"/>
    </row>
    <row r="39" spans="1:30" ht="35.1" customHeight="1">
      <c r="A39" s="289" t="s">
        <v>655</v>
      </c>
      <c r="B39" s="206">
        <f t="shared" si="0"/>
        <v>2568</v>
      </c>
      <c r="C39" s="206"/>
      <c r="D39" s="206">
        <f t="shared" si="1"/>
        <v>168</v>
      </c>
      <c r="E39" s="206">
        <f t="shared" si="2"/>
        <v>96</v>
      </c>
      <c r="F39" s="206">
        <f t="shared" si="3"/>
        <v>72</v>
      </c>
      <c r="G39" s="206">
        <f t="shared" si="4"/>
        <v>2400</v>
      </c>
      <c r="H39" s="206">
        <f t="shared" si="5"/>
        <v>1540.8</v>
      </c>
      <c r="I39" s="290"/>
      <c r="J39" s="290"/>
      <c r="K39" s="290"/>
      <c r="L39" s="290"/>
      <c r="M39" s="290"/>
      <c r="N39" s="206">
        <v>4262</v>
      </c>
      <c r="O39" s="206">
        <v>4322</v>
      </c>
      <c r="P39" s="203"/>
      <c r="Q39" s="205"/>
      <c r="R39" s="291">
        <v>40</v>
      </c>
      <c r="S39" s="206">
        <f t="shared" si="6"/>
        <v>2400</v>
      </c>
      <c r="T39" s="765" t="s">
        <v>1130</v>
      </c>
      <c r="U39" s="286"/>
      <c r="V39" s="286"/>
      <c r="W39" s="286"/>
      <c r="X39" s="286"/>
      <c r="Y39" s="286"/>
      <c r="Z39" s="286"/>
      <c r="AA39" s="286"/>
      <c r="AB39" s="286"/>
      <c r="AC39" s="286"/>
      <c r="AD39" s="286"/>
    </row>
    <row r="40" spans="1:30" ht="35.1" customHeight="1">
      <c r="A40" s="289" t="s">
        <v>765</v>
      </c>
      <c r="B40" s="206">
        <f t="shared" si="0"/>
        <v>4066</v>
      </c>
      <c r="C40" s="206"/>
      <c r="D40" s="206">
        <f t="shared" si="1"/>
        <v>266</v>
      </c>
      <c r="E40" s="206">
        <f t="shared" si="2"/>
        <v>152</v>
      </c>
      <c r="F40" s="206">
        <f t="shared" si="3"/>
        <v>114</v>
      </c>
      <c r="G40" s="206">
        <f t="shared" si="4"/>
        <v>3800</v>
      </c>
      <c r="H40" s="206">
        <f t="shared" si="5"/>
        <v>2439.6</v>
      </c>
      <c r="I40" s="290"/>
      <c r="J40" s="290"/>
      <c r="K40" s="290"/>
      <c r="L40" s="290"/>
      <c r="M40" s="290"/>
      <c r="N40" s="206">
        <v>5186</v>
      </c>
      <c r="O40" s="206">
        <v>5281</v>
      </c>
      <c r="P40" s="203"/>
      <c r="Q40" s="205"/>
      <c r="R40" s="291">
        <v>40</v>
      </c>
      <c r="S40" s="206">
        <f t="shared" si="6"/>
        <v>3800</v>
      </c>
      <c r="T40" s="765" t="s">
        <v>1131</v>
      </c>
      <c r="U40" s="286"/>
      <c r="V40" s="286"/>
      <c r="W40" s="286"/>
      <c r="X40" s="286"/>
      <c r="Y40" s="286"/>
      <c r="Z40" s="286"/>
      <c r="AA40" s="286"/>
      <c r="AB40" s="286"/>
      <c r="AC40" s="286"/>
      <c r="AD40" s="286"/>
    </row>
    <row r="41" spans="1:30" ht="35.1" customHeight="1">
      <c r="A41" s="289" t="s">
        <v>656</v>
      </c>
      <c r="B41" s="206">
        <f t="shared" si="0"/>
        <v>4151.6000000000004</v>
      </c>
      <c r="C41" s="206"/>
      <c r="D41" s="206">
        <f t="shared" si="1"/>
        <v>271.60000000000002</v>
      </c>
      <c r="E41" s="206">
        <f t="shared" si="2"/>
        <v>155.20000000000002</v>
      </c>
      <c r="F41" s="206">
        <f t="shared" si="3"/>
        <v>116.39999999999999</v>
      </c>
      <c r="G41" s="206">
        <f t="shared" si="4"/>
        <v>3880</v>
      </c>
      <c r="H41" s="206">
        <f t="shared" si="5"/>
        <v>2490.96</v>
      </c>
      <c r="I41" s="290"/>
      <c r="J41" s="290"/>
      <c r="K41" s="290"/>
      <c r="L41" s="290"/>
      <c r="M41" s="290"/>
      <c r="N41" s="206">
        <v>8797</v>
      </c>
      <c r="O41" s="206">
        <v>8894</v>
      </c>
      <c r="P41" s="203"/>
      <c r="Q41" s="205"/>
      <c r="R41" s="291">
        <v>40</v>
      </c>
      <c r="S41" s="206">
        <f t="shared" si="6"/>
        <v>3880</v>
      </c>
      <c r="T41" s="765" t="s">
        <v>1132</v>
      </c>
      <c r="U41" s="286"/>
      <c r="V41" s="286"/>
      <c r="W41" s="286"/>
      <c r="X41" s="286"/>
      <c r="Y41" s="286"/>
      <c r="Z41" s="286"/>
      <c r="AA41" s="286"/>
      <c r="AB41" s="286"/>
      <c r="AC41" s="286"/>
      <c r="AD41" s="286"/>
    </row>
    <row r="42" spans="1:30" ht="35.1" customHeight="1">
      <c r="A42" s="289" t="s">
        <v>657</v>
      </c>
      <c r="B42" s="206">
        <f t="shared" si="0"/>
        <v>1540.8</v>
      </c>
      <c r="C42" s="206"/>
      <c r="D42" s="206">
        <f t="shared" si="1"/>
        <v>100.8</v>
      </c>
      <c r="E42" s="206">
        <f t="shared" si="2"/>
        <v>57.6</v>
      </c>
      <c r="F42" s="206">
        <f t="shared" si="3"/>
        <v>43.199999999999996</v>
      </c>
      <c r="G42" s="206">
        <f t="shared" si="4"/>
        <v>1440</v>
      </c>
      <c r="H42" s="206">
        <f t="shared" si="5"/>
        <v>924.4799999999999</v>
      </c>
      <c r="I42" s="290"/>
      <c r="J42" s="290"/>
      <c r="K42" s="290"/>
      <c r="L42" s="290"/>
      <c r="M42" s="290"/>
      <c r="N42" s="206">
        <v>2067</v>
      </c>
      <c r="O42" s="206">
        <v>2103</v>
      </c>
      <c r="P42" s="203"/>
      <c r="Q42" s="205"/>
      <c r="R42" s="291">
        <v>40</v>
      </c>
      <c r="S42" s="206">
        <f t="shared" si="6"/>
        <v>1440</v>
      </c>
      <c r="T42" s="765" t="s">
        <v>1133</v>
      </c>
      <c r="U42" s="286"/>
      <c r="V42" s="286"/>
      <c r="W42" s="286"/>
      <c r="X42" s="286"/>
      <c r="Y42" s="286"/>
      <c r="Z42" s="286"/>
      <c r="AA42" s="286"/>
      <c r="AB42" s="286"/>
      <c r="AC42" s="286"/>
      <c r="AD42" s="286"/>
    </row>
    <row r="43" spans="1:30" ht="34.5" customHeight="1">
      <c r="A43" s="289" t="s">
        <v>658</v>
      </c>
      <c r="B43" s="206">
        <f t="shared" si="0"/>
        <v>1412.4</v>
      </c>
      <c r="C43" s="206"/>
      <c r="D43" s="206">
        <f t="shared" si="1"/>
        <v>92.4</v>
      </c>
      <c r="E43" s="206">
        <f t="shared" si="2"/>
        <v>52.800000000000004</v>
      </c>
      <c r="F43" s="206">
        <f t="shared" si="3"/>
        <v>39.6</v>
      </c>
      <c r="G43" s="206">
        <f t="shared" si="4"/>
        <v>1320</v>
      </c>
      <c r="H43" s="206">
        <f t="shared" si="5"/>
        <v>847.44</v>
      </c>
      <c r="I43" s="290"/>
      <c r="J43" s="290"/>
      <c r="K43" s="290"/>
      <c r="L43" s="290"/>
      <c r="M43" s="290"/>
      <c r="N43" s="206">
        <v>1562</v>
      </c>
      <c r="O43" s="206">
        <v>1595</v>
      </c>
      <c r="P43" s="203"/>
      <c r="Q43" s="205"/>
      <c r="R43" s="291">
        <v>40</v>
      </c>
      <c r="S43" s="206">
        <f t="shared" si="6"/>
        <v>1320</v>
      </c>
      <c r="T43" s="765" t="s">
        <v>1134</v>
      </c>
      <c r="U43" s="286"/>
      <c r="V43" s="286"/>
      <c r="W43" s="286"/>
      <c r="X43" s="286"/>
      <c r="Y43" s="286"/>
      <c r="Z43" s="286"/>
      <c r="AA43" s="286"/>
      <c r="AB43" s="286"/>
      <c r="AC43" s="286"/>
      <c r="AD43" s="286"/>
    </row>
    <row r="44" spans="1:30" ht="34.5" customHeight="1">
      <c r="A44" s="292" t="s">
        <v>659</v>
      </c>
      <c r="B44" s="293">
        <f>G44+D44</f>
        <v>10100.799999999999</v>
      </c>
      <c r="C44" s="293"/>
      <c r="D44" s="293">
        <f>E44+F44</f>
        <v>660.8</v>
      </c>
      <c r="E44" s="293">
        <f>0.04*G44</f>
        <v>377.6</v>
      </c>
      <c r="F44" s="293">
        <f>0.03*G44</f>
        <v>283.2</v>
      </c>
      <c r="G44" s="293">
        <f>S44</f>
        <v>9440</v>
      </c>
      <c r="H44" s="293">
        <f>0.6*B44</f>
        <v>6060.48</v>
      </c>
      <c r="I44" s="294"/>
      <c r="J44" s="294"/>
      <c r="K44" s="294"/>
      <c r="L44" s="294"/>
      <c r="M44" s="294"/>
      <c r="N44" s="293">
        <v>28484</v>
      </c>
      <c r="O44" s="293">
        <v>28720</v>
      </c>
      <c r="P44" s="295"/>
      <c r="Q44" s="296"/>
      <c r="R44" s="297">
        <v>40</v>
      </c>
      <c r="S44" s="293">
        <f>(O44-N44)*R44</f>
        <v>9440</v>
      </c>
      <c r="T44" s="765" t="s">
        <v>1111</v>
      </c>
      <c r="U44" s="286"/>
      <c r="V44" s="286"/>
      <c r="W44" s="286"/>
      <c r="X44" s="286"/>
      <c r="Y44" s="286"/>
      <c r="Z44" s="286"/>
      <c r="AA44" s="286"/>
      <c r="AB44" s="286"/>
      <c r="AC44" s="286"/>
      <c r="AD44" s="286"/>
    </row>
    <row r="45" spans="1:30" ht="35.1" customHeight="1">
      <c r="A45" s="289" t="s">
        <v>660</v>
      </c>
      <c r="B45" s="206">
        <f t="shared" si="0"/>
        <v>19046</v>
      </c>
      <c r="C45" s="206"/>
      <c r="D45" s="206">
        <f t="shared" si="1"/>
        <v>1246</v>
      </c>
      <c r="E45" s="206">
        <f t="shared" si="2"/>
        <v>712</v>
      </c>
      <c r="F45" s="206">
        <f t="shared" si="3"/>
        <v>534</v>
      </c>
      <c r="G45" s="206">
        <f t="shared" si="4"/>
        <v>17800</v>
      </c>
      <c r="H45" s="206">
        <f t="shared" si="5"/>
        <v>11427.6</v>
      </c>
      <c r="I45" s="290"/>
      <c r="J45" s="290"/>
      <c r="K45" s="290"/>
      <c r="L45" s="290"/>
      <c r="M45" s="290"/>
      <c r="N45" s="206">
        <v>24267</v>
      </c>
      <c r="O45" s="206">
        <v>24712</v>
      </c>
      <c r="P45" s="203"/>
      <c r="Q45" s="205"/>
      <c r="R45" s="291">
        <v>40</v>
      </c>
      <c r="S45" s="206">
        <f t="shared" si="6"/>
        <v>17800</v>
      </c>
      <c r="T45" s="765" t="s">
        <v>1135</v>
      </c>
      <c r="U45" s="286"/>
      <c r="V45" s="286"/>
      <c r="W45" s="286"/>
      <c r="X45" s="286"/>
      <c r="Y45" s="286"/>
      <c r="Z45" s="286"/>
      <c r="AA45" s="286"/>
      <c r="AB45" s="286"/>
      <c r="AC45" s="286"/>
      <c r="AD45" s="286"/>
    </row>
    <row r="46" spans="1:30" ht="35.1" customHeight="1">
      <c r="A46" s="289" t="s">
        <v>661</v>
      </c>
      <c r="B46" s="206">
        <f t="shared" si="0"/>
        <v>12198</v>
      </c>
      <c r="C46" s="206"/>
      <c r="D46" s="206">
        <f t="shared" si="1"/>
        <v>798</v>
      </c>
      <c r="E46" s="206">
        <f t="shared" si="2"/>
        <v>456</v>
      </c>
      <c r="F46" s="206">
        <f t="shared" si="3"/>
        <v>342</v>
      </c>
      <c r="G46" s="206">
        <f t="shared" si="4"/>
        <v>11400</v>
      </c>
      <c r="H46" s="206">
        <f t="shared" si="5"/>
        <v>7318.8</v>
      </c>
      <c r="I46" s="290"/>
      <c r="J46" s="290"/>
      <c r="K46" s="290"/>
      <c r="L46" s="290"/>
      <c r="M46" s="290"/>
      <c r="N46" s="206">
        <v>18382</v>
      </c>
      <c r="O46" s="206">
        <v>18667</v>
      </c>
      <c r="P46" s="203"/>
      <c r="Q46" s="205"/>
      <c r="R46" s="291">
        <v>40</v>
      </c>
      <c r="S46" s="206">
        <f t="shared" si="6"/>
        <v>11400</v>
      </c>
      <c r="T46" s="765" t="s">
        <v>1136</v>
      </c>
      <c r="U46" s="286"/>
      <c r="V46" s="286"/>
      <c r="W46" s="286"/>
      <c r="X46" s="286"/>
      <c r="Y46" s="286"/>
      <c r="Z46" s="286"/>
      <c r="AA46" s="286"/>
      <c r="AB46" s="286"/>
      <c r="AC46" s="286"/>
      <c r="AD46" s="286"/>
    </row>
    <row r="47" spans="1:30" ht="35.1" customHeight="1">
      <c r="A47" s="289" t="s">
        <v>662</v>
      </c>
      <c r="B47" s="206">
        <f t="shared" si="0"/>
        <v>1455.2</v>
      </c>
      <c r="C47" s="206"/>
      <c r="D47" s="206">
        <f t="shared" si="1"/>
        <v>95.199999999999989</v>
      </c>
      <c r="E47" s="206">
        <f t="shared" si="2"/>
        <v>54.4</v>
      </c>
      <c r="F47" s="206">
        <f t="shared" si="3"/>
        <v>40.799999999999997</v>
      </c>
      <c r="G47" s="206">
        <f t="shared" si="4"/>
        <v>1360</v>
      </c>
      <c r="H47" s="206">
        <f t="shared" si="5"/>
        <v>873.12</v>
      </c>
      <c r="I47" s="290"/>
      <c r="J47" s="290"/>
      <c r="K47" s="290"/>
      <c r="L47" s="290"/>
      <c r="M47" s="290"/>
      <c r="N47" s="206">
        <v>2717</v>
      </c>
      <c r="O47" s="206">
        <v>2751</v>
      </c>
      <c r="P47" s="203"/>
      <c r="Q47" s="205"/>
      <c r="R47" s="291">
        <v>40</v>
      </c>
      <c r="S47" s="206">
        <f t="shared" si="6"/>
        <v>1360</v>
      </c>
      <c r="T47" s="765" t="s">
        <v>1137</v>
      </c>
      <c r="U47" s="286"/>
      <c r="V47" s="286"/>
      <c r="W47" s="286"/>
      <c r="X47" s="286"/>
      <c r="Y47" s="286"/>
      <c r="Z47" s="286"/>
      <c r="AA47" s="286"/>
      <c r="AB47" s="286"/>
      <c r="AC47" s="286"/>
      <c r="AD47" s="286"/>
    </row>
    <row r="48" spans="1:30" ht="35.1" customHeight="1">
      <c r="A48" s="289"/>
      <c r="B48" s="206"/>
      <c r="C48" s="206"/>
      <c r="D48" s="206"/>
      <c r="E48" s="206"/>
      <c r="F48" s="206"/>
      <c r="G48" s="206"/>
      <c r="H48" s="206"/>
      <c r="I48" s="290"/>
      <c r="J48" s="290"/>
      <c r="K48" s="290"/>
      <c r="L48" s="290"/>
      <c r="M48" s="290"/>
      <c r="N48" s="206"/>
      <c r="O48" s="206"/>
      <c r="P48" s="203"/>
      <c r="Q48" s="205"/>
      <c r="R48" s="291"/>
      <c r="S48" s="206"/>
      <c r="T48" s="765"/>
      <c r="U48" s="286"/>
      <c r="V48" s="286"/>
      <c r="W48" s="286"/>
      <c r="X48" s="286"/>
      <c r="Y48" s="286"/>
      <c r="Z48" s="286"/>
      <c r="AA48" s="286"/>
      <c r="AB48" s="286"/>
      <c r="AC48" s="286"/>
      <c r="AD48" s="286"/>
    </row>
    <row r="49" spans="1:30" ht="35.1" customHeight="1">
      <c r="A49" s="289" t="s">
        <v>663</v>
      </c>
      <c r="B49" s="206">
        <f t="shared" si="0"/>
        <v>28504.799999999999</v>
      </c>
      <c r="C49" s="206"/>
      <c r="D49" s="206">
        <f t="shared" si="1"/>
        <v>1864.7999999999997</v>
      </c>
      <c r="E49" s="206">
        <f t="shared" si="2"/>
        <v>1065.5999999999999</v>
      </c>
      <c r="F49" s="206">
        <f t="shared" si="3"/>
        <v>799.19999999999993</v>
      </c>
      <c r="G49" s="206">
        <f t="shared" si="4"/>
        <v>26640</v>
      </c>
      <c r="H49" s="206">
        <f t="shared" si="5"/>
        <v>17102.879999999997</v>
      </c>
      <c r="I49" s="290"/>
      <c r="J49" s="290"/>
      <c r="K49" s="290"/>
      <c r="L49" s="290"/>
      <c r="M49" s="290"/>
      <c r="N49" s="206">
        <v>25951</v>
      </c>
      <c r="O49" s="206">
        <v>26395</v>
      </c>
      <c r="P49" s="203"/>
      <c r="Q49" s="205"/>
      <c r="R49" s="291">
        <v>60</v>
      </c>
      <c r="S49" s="206">
        <f t="shared" ref="S49:S61" si="7">(O49-N49)*R49</f>
        <v>26640</v>
      </c>
      <c r="T49" s="765" t="s">
        <v>1138</v>
      </c>
      <c r="U49" s="286"/>
      <c r="V49" s="286"/>
      <c r="W49" s="286"/>
      <c r="X49" s="286"/>
      <c r="Y49" s="286"/>
      <c r="Z49" s="286"/>
      <c r="AA49" s="286"/>
      <c r="AB49" s="286"/>
      <c r="AC49" s="286"/>
      <c r="AD49" s="286"/>
    </row>
    <row r="50" spans="1:30" ht="35.1" customHeight="1">
      <c r="A50" s="289" t="s">
        <v>664</v>
      </c>
      <c r="B50" s="206">
        <f t="shared" si="0"/>
        <v>3167.2</v>
      </c>
      <c r="C50" s="206"/>
      <c r="D50" s="206">
        <f t="shared" si="1"/>
        <v>207.2</v>
      </c>
      <c r="E50" s="206">
        <f t="shared" si="2"/>
        <v>118.4</v>
      </c>
      <c r="F50" s="206">
        <f t="shared" si="3"/>
        <v>88.8</v>
      </c>
      <c r="G50" s="206">
        <f t="shared" si="4"/>
        <v>2960</v>
      </c>
      <c r="H50" s="206">
        <f t="shared" si="5"/>
        <v>1900.3199999999997</v>
      </c>
      <c r="I50" s="290"/>
      <c r="J50" s="290"/>
      <c r="K50" s="290"/>
      <c r="L50" s="290"/>
      <c r="M50" s="290"/>
      <c r="N50" s="206">
        <v>3380</v>
      </c>
      <c r="O50" s="206">
        <v>3454</v>
      </c>
      <c r="P50" s="203"/>
      <c r="Q50" s="205"/>
      <c r="R50" s="291">
        <v>40</v>
      </c>
      <c r="S50" s="206">
        <f t="shared" si="7"/>
        <v>2960</v>
      </c>
      <c r="T50" s="765" t="s">
        <v>1139</v>
      </c>
      <c r="U50" s="286"/>
      <c r="V50" s="286"/>
      <c r="W50" s="286"/>
      <c r="X50" s="286"/>
      <c r="Y50" s="286"/>
      <c r="Z50" s="286"/>
      <c r="AA50" s="286"/>
      <c r="AB50" s="286"/>
      <c r="AC50" s="286"/>
      <c r="AD50" s="286"/>
    </row>
    <row r="51" spans="1:30" ht="35.1" customHeight="1">
      <c r="A51" s="289" t="s">
        <v>665</v>
      </c>
      <c r="B51" s="206">
        <f t="shared" si="0"/>
        <v>2140</v>
      </c>
      <c r="C51" s="206"/>
      <c r="D51" s="206">
        <f t="shared" si="1"/>
        <v>140</v>
      </c>
      <c r="E51" s="206">
        <f t="shared" si="2"/>
        <v>80</v>
      </c>
      <c r="F51" s="206">
        <f t="shared" si="3"/>
        <v>60</v>
      </c>
      <c r="G51" s="206">
        <f t="shared" si="4"/>
        <v>2000</v>
      </c>
      <c r="H51" s="206">
        <f t="shared" si="5"/>
        <v>1284</v>
      </c>
      <c r="I51" s="290"/>
      <c r="J51" s="290"/>
      <c r="K51" s="290"/>
      <c r="L51" s="290"/>
      <c r="M51" s="290"/>
      <c r="N51" s="206">
        <v>2647</v>
      </c>
      <c r="O51" s="206">
        <v>2697</v>
      </c>
      <c r="P51" s="203"/>
      <c r="Q51" s="205"/>
      <c r="R51" s="291">
        <v>40</v>
      </c>
      <c r="S51" s="206">
        <f t="shared" si="7"/>
        <v>2000</v>
      </c>
      <c r="T51" s="765" t="s">
        <v>1140</v>
      </c>
      <c r="U51" s="286"/>
      <c r="V51" s="286"/>
      <c r="W51" s="286"/>
      <c r="X51" s="286"/>
      <c r="Y51" s="286"/>
      <c r="Z51" s="286"/>
      <c r="AA51" s="286"/>
      <c r="AB51" s="286"/>
      <c r="AC51" s="286"/>
      <c r="AD51" s="286"/>
    </row>
    <row r="52" spans="1:30" ht="35.1" customHeight="1">
      <c r="A52" s="289" t="s">
        <v>666</v>
      </c>
      <c r="B52" s="206">
        <f t="shared" si="0"/>
        <v>1455.2</v>
      </c>
      <c r="C52" s="206"/>
      <c r="D52" s="206">
        <f t="shared" si="1"/>
        <v>95.199999999999989</v>
      </c>
      <c r="E52" s="206">
        <f t="shared" si="2"/>
        <v>54.4</v>
      </c>
      <c r="F52" s="206">
        <f t="shared" si="3"/>
        <v>40.799999999999997</v>
      </c>
      <c r="G52" s="206">
        <f t="shared" si="4"/>
        <v>1360</v>
      </c>
      <c r="H52" s="206">
        <f t="shared" si="5"/>
        <v>873.12</v>
      </c>
      <c r="I52" s="290"/>
      <c r="J52" s="290"/>
      <c r="K52" s="290"/>
      <c r="L52" s="290"/>
      <c r="M52" s="290"/>
      <c r="N52" s="206">
        <v>5365</v>
      </c>
      <c r="O52" s="206">
        <v>5399</v>
      </c>
      <c r="P52" s="203"/>
      <c r="Q52" s="205"/>
      <c r="R52" s="291">
        <v>40</v>
      </c>
      <c r="S52" s="206">
        <f t="shared" si="7"/>
        <v>1360</v>
      </c>
      <c r="T52" s="765" t="s">
        <v>1141</v>
      </c>
      <c r="U52" s="286"/>
      <c r="V52" s="286"/>
      <c r="W52" s="286"/>
      <c r="X52" s="286"/>
      <c r="Y52" s="286"/>
      <c r="Z52" s="286"/>
      <c r="AA52" s="286"/>
      <c r="AB52" s="286"/>
      <c r="AC52" s="286"/>
      <c r="AD52" s="286"/>
    </row>
    <row r="53" spans="1:30" ht="35.1" customHeight="1">
      <c r="A53" s="289" t="s">
        <v>667</v>
      </c>
      <c r="B53" s="206">
        <f t="shared" si="0"/>
        <v>14209.6</v>
      </c>
      <c r="C53" s="206"/>
      <c r="D53" s="206">
        <f t="shared" si="1"/>
        <v>929.6</v>
      </c>
      <c r="E53" s="206">
        <f t="shared" si="2"/>
        <v>531.20000000000005</v>
      </c>
      <c r="F53" s="206">
        <f t="shared" si="3"/>
        <v>398.4</v>
      </c>
      <c r="G53" s="206">
        <f t="shared" si="4"/>
        <v>13280</v>
      </c>
      <c r="H53" s="206">
        <f t="shared" si="5"/>
        <v>8525.76</v>
      </c>
      <c r="I53" s="290"/>
      <c r="J53" s="290"/>
      <c r="K53" s="290"/>
      <c r="L53" s="290"/>
      <c r="M53" s="290"/>
      <c r="N53" s="206">
        <v>30502</v>
      </c>
      <c r="O53" s="206">
        <v>30834</v>
      </c>
      <c r="P53" s="203"/>
      <c r="Q53" s="205"/>
      <c r="R53" s="291">
        <v>40</v>
      </c>
      <c r="S53" s="206">
        <f t="shared" si="7"/>
        <v>13280</v>
      </c>
      <c r="T53" s="765" t="s">
        <v>1142</v>
      </c>
      <c r="U53" s="286"/>
      <c r="V53" s="286"/>
      <c r="W53" s="286"/>
      <c r="X53" s="286"/>
      <c r="Y53" s="286"/>
      <c r="Z53" s="286"/>
      <c r="AA53" s="286"/>
      <c r="AB53" s="286"/>
      <c r="AC53" s="286"/>
      <c r="AD53" s="286"/>
    </row>
    <row r="54" spans="1:30" ht="35.1" customHeight="1">
      <c r="A54" s="289" t="s">
        <v>668</v>
      </c>
      <c r="B54" s="206">
        <f t="shared" si="0"/>
        <v>8945.2000000000007</v>
      </c>
      <c r="C54" s="206"/>
      <c r="D54" s="206">
        <f t="shared" si="1"/>
        <v>585.20000000000005</v>
      </c>
      <c r="E54" s="206">
        <f t="shared" si="2"/>
        <v>334.40000000000003</v>
      </c>
      <c r="F54" s="206">
        <f t="shared" si="3"/>
        <v>250.79999999999998</v>
      </c>
      <c r="G54" s="206">
        <f t="shared" si="4"/>
        <v>8360</v>
      </c>
      <c r="H54" s="206">
        <f t="shared" si="5"/>
        <v>5367.12</v>
      </c>
      <c r="I54" s="290"/>
      <c r="J54" s="290"/>
      <c r="K54" s="290"/>
      <c r="L54" s="290"/>
      <c r="M54" s="290"/>
      <c r="N54" s="206">
        <v>9731</v>
      </c>
      <c r="O54" s="206">
        <v>9940</v>
      </c>
      <c r="P54" s="203"/>
      <c r="Q54" s="205"/>
      <c r="R54" s="291">
        <v>40</v>
      </c>
      <c r="S54" s="206">
        <f t="shared" si="7"/>
        <v>8360</v>
      </c>
      <c r="T54" s="765" t="s">
        <v>1143</v>
      </c>
      <c r="U54" s="286"/>
      <c r="V54" s="286"/>
      <c r="W54" s="286"/>
      <c r="X54" s="286"/>
      <c r="Y54" s="286"/>
      <c r="Z54" s="286"/>
      <c r="AA54" s="286"/>
      <c r="AB54" s="286"/>
      <c r="AC54" s="286"/>
      <c r="AD54" s="286"/>
    </row>
    <row r="55" spans="1:30" ht="35.1" customHeight="1">
      <c r="A55" s="289" t="s">
        <v>669</v>
      </c>
      <c r="B55" s="206">
        <f t="shared" si="0"/>
        <v>1412.4</v>
      </c>
      <c r="C55" s="206"/>
      <c r="D55" s="206">
        <f t="shared" si="1"/>
        <v>92.4</v>
      </c>
      <c r="E55" s="206">
        <f t="shared" si="2"/>
        <v>52.800000000000004</v>
      </c>
      <c r="F55" s="206">
        <f t="shared" si="3"/>
        <v>39.6</v>
      </c>
      <c r="G55" s="206">
        <f t="shared" si="4"/>
        <v>1320</v>
      </c>
      <c r="H55" s="206">
        <f t="shared" si="5"/>
        <v>847.44</v>
      </c>
      <c r="I55" s="290"/>
      <c r="J55" s="290"/>
      <c r="K55" s="290"/>
      <c r="L55" s="290"/>
      <c r="M55" s="290"/>
      <c r="N55" s="206">
        <v>2153</v>
      </c>
      <c r="O55" s="206">
        <v>2186</v>
      </c>
      <c r="P55" s="203"/>
      <c r="Q55" s="205"/>
      <c r="R55" s="291">
        <v>40</v>
      </c>
      <c r="S55" s="206">
        <f t="shared" si="7"/>
        <v>1320</v>
      </c>
      <c r="T55" s="765" t="s">
        <v>1144</v>
      </c>
      <c r="U55" s="286"/>
      <c r="V55" s="286"/>
      <c r="W55" s="286"/>
      <c r="X55" s="286"/>
      <c r="Y55" s="286"/>
      <c r="Z55" s="286"/>
      <c r="AA55" s="286"/>
      <c r="AB55" s="286"/>
      <c r="AC55" s="286"/>
      <c r="AD55" s="286"/>
    </row>
    <row r="56" spans="1:30" ht="35.1" customHeight="1">
      <c r="A56" s="289" t="s">
        <v>670</v>
      </c>
      <c r="B56" s="206">
        <f t="shared" si="0"/>
        <v>31757.599999999999</v>
      </c>
      <c r="C56" s="206"/>
      <c r="D56" s="206">
        <f t="shared" si="1"/>
        <v>2077.6</v>
      </c>
      <c r="E56" s="206">
        <f t="shared" si="2"/>
        <v>1187.2</v>
      </c>
      <c r="F56" s="206">
        <f t="shared" si="3"/>
        <v>890.4</v>
      </c>
      <c r="G56" s="206">
        <f t="shared" si="4"/>
        <v>29680</v>
      </c>
      <c r="H56" s="206">
        <f t="shared" si="5"/>
        <v>19054.559999999998</v>
      </c>
      <c r="I56" s="290"/>
      <c r="J56" s="290"/>
      <c r="K56" s="290"/>
      <c r="L56" s="290"/>
      <c r="M56" s="290"/>
      <c r="N56" s="206">
        <v>43480</v>
      </c>
      <c r="O56" s="206">
        <v>44222</v>
      </c>
      <c r="P56" s="203"/>
      <c r="Q56" s="205"/>
      <c r="R56" s="291">
        <v>40</v>
      </c>
      <c r="S56" s="206">
        <f t="shared" si="7"/>
        <v>29680</v>
      </c>
      <c r="T56" s="765" t="s">
        <v>1145</v>
      </c>
      <c r="U56" s="286"/>
      <c r="V56" s="286"/>
      <c r="W56" s="286"/>
      <c r="X56" s="286"/>
      <c r="Y56" s="286"/>
      <c r="Z56" s="286"/>
      <c r="AA56" s="286"/>
      <c r="AB56" s="286"/>
      <c r="AC56" s="286"/>
      <c r="AD56" s="286"/>
    </row>
    <row r="57" spans="1:30" ht="35.1" customHeight="1">
      <c r="A57" s="289" t="s">
        <v>671</v>
      </c>
      <c r="B57" s="206">
        <f t="shared" si="0"/>
        <v>12925.6</v>
      </c>
      <c r="C57" s="206"/>
      <c r="D57" s="206">
        <f>E57+F57</f>
        <v>845.59999999999991</v>
      </c>
      <c r="E57" s="206">
        <f>0.04*G57</f>
        <v>483.2</v>
      </c>
      <c r="F57" s="206">
        <f>0.03*G57</f>
        <v>362.4</v>
      </c>
      <c r="G57" s="206">
        <f>S57</f>
        <v>12080</v>
      </c>
      <c r="H57" s="206">
        <f t="shared" si="5"/>
        <v>7755.36</v>
      </c>
      <c r="I57" s="290"/>
      <c r="J57" s="290"/>
      <c r="K57" s="290"/>
      <c r="L57" s="290"/>
      <c r="M57" s="290"/>
      <c r="N57" s="206">
        <v>12268</v>
      </c>
      <c r="O57" s="206">
        <v>12570</v>
      </c>
      <c r="P57" s="203"/>
      <c r="Q57" s="205"/>
      <c r="R57" s="291">
        <v>40</v>
      </c>
      <c r="S57" s="206">
        <f t="shared" si="7"/>
        <v>12080</v>
      </c>
      <c r="T57" s="765" t="s">
        <v>1146</v>
      </c>
      <c r="U57" s="286"/>
      <c r="V57" s="286"/>
      <c r="W57" s="286"/>
      <c r="X57" s="286"/>
      <c r="Y57" s="286"/>
      <c r="Z57" s="286"/>
      <c r="AA57" s="286"/>
      <c r="AB57" s="286"/>
      <c r="AC57" s="286"/>
      <c r="AD57" s="286"/>
    </row>
    <row r="58" spans="1:30" ht="35.1" customHeight="1">
      <c r="A58" s="289" t="s">
        <v>672</v>
      </c>
      <c r="B58" s="206">
        <f t="shared" si="0"/>
        <v>0</v>
      </c>
      <c r="C58" s="206"/>
      <c r="D58" s="206">
        <f>E58+F58</f>
        <v>0</v>
      </c>
      <c r="E58" s="206">
        <f>0.04*G58</f>
        <v>0</v>
      </c>
      <c r="F58" s="206">
        <f>0.03*G58</f>
        <v>0</v>
      </c>
      <c r="G58" s="206">
        <f>S58</f>
        <v>0</v>
      </c>
      <c r="H58" s="206">
        <f t="shared" si="5"/>
        <v>0</v>
      </c>
      <c r="I58" s="290"/>
      <c r="J58" s="290"/>
      <c r="K58" s="290"/>
      <c r="L58" s="290"/>
      <c r="M58" s="290"/>
      <c r="N58" s="487">
        <v>7</v>
      </c>
      <c r="O58" s="487">
        <v>7</v>
      </c>
      <c r="P58" s="203"/>
      <c r="Q58" s="205"/>
      <c r="R58" s="291">
        <v>40</v>
      </c>
      <c r="S58" s="206">
        <f t="shared" si="7"/>
        <v>0</v>
      </c>
      <c r="T58" s="765" t="s">
        <v>1147</v>
      </c>
      <c r="U58" s="286"/>
      <c r="V58" s="286"/>
      <c r="W58" s="286"/>
      <c r="X58" s="286"/>
      <c r="Y58" s="286"/>
      <c r="Z58" s="286"/>
      <c r="AA58" s="286"/>
      <c r="AB58" s="286"/>
      <c r="AC58" s="286"/>
      <c r="AD58" s="286"/>
    </row>
    <row r="59" spans="1:30" ht="35.1" customHeight="1">
      <c r="A59" s="289" t="s">
        <v>761</v>
      </c>
      <c r="B59" s="487">
        <f t="shared" si="0"/>
        <v>5992</v>
      </c>
      <c r="C59" s="487"/>
      <c r="D59" s="487">
        <f t="shared" ref="D59:D60" si="8">E59+F59</f>
        <v>392</v>
      </c>
      <c r="E59" s="487">
        <f t="shared" ref="E59:E60" si="9">0.04*G59</f>
        <v>224</v>
      </c>
      <c r="F59" s="487">
        <f t="shared" ref="F59:F60" si="10">0.03*G59</f>
        <v>168</v>
      </c>
      <c r="G59" s="487">
        <f t="shared" ref="G59:G61" si="11">S59</f>
        <v>5600</v>
      </c>
      <c r="H59" s="487">
        <f t="shared" si="5"/>
        <v>3595.2</v>
      </c>
      <c r="I59" s="290"/>
      <c r="J59" s="290"/>
      <c r="K59" s="290"/>
      <c r="L59" s="290"/>
      <c r="M59" s="290"/>
      <c r="N59" s="487">
        <v>1530</v>
      </c>
      <c r="O59" s="487">
        <v>1670</v>
      </c>
      <c r="P59" s="203"/>
      <c r="Q59" s="489"/>
      <c r="R59" s="490">
        <v>40</v>
      </c>
      <c r="S59" s="487">
        <f t="shared" si="7"/>
        <v>5600</v>
      </c>
      <c r="T59" s="765" t="s">
        <v>1148</v>
      </c>
      <c r="U59" s="286"/>
      <c r="V59" s="286"/>
      <c r="W59" s="286"/>
      <c r="X59" s="286"/>
      <c r="Y59" s="286"/>
      <c r="Z59" s="286"/>
      <c r="AA59" s="286"/>
      <c r="AB59" s="286"/>
      <c r="AC59" s="286"/>
      <c r="AD59" s="286"/>
    </row>
    <row r="60" spans="1:30" ht="35.1" customHeight="1">
      <c r="A60" s="289" t="s">
        <v>762</v>
      </c>
      <c r="B60" s="206">
        <f t="shared" si="0"/>
        <v>4879.2</v>
      </c>
      <c r="C60" s="206"/>
      <c r="D60" s="206">
        <f t="shared" si="8"/>
        <v>319.2</v>
      </c>
      <c r="E60" s="206">
        <f t="shared" si="9"/>
        <v>182.4</v>
      </c>
      <c r="F60" s="206">
        <f t="shared" si="10"/>
        <v>136.79999999999998</v>
      </c>
      <c r="G60" s="206">
        <f t="shared" si="11"/>
        <v>4560</v>
      </c>
      <c r="H60" s="206">
        <f t="shared" si="5"/>
        <v>2927.52</v>
      </c>
      <c r="I60" s="491"/>
      <c r="J60" s="491"/>
      <c r="K60" s="491"/>
      <c r="L60" s="491"/>
      <c r="M60" s="491"/>
      <c r="N60" s="206">
        <v>1985</v>
      </c>
      <c r="O60" s="206">
        <v>2137</v>
      </c>
      <c r="P60" s="492"/>
      <c r="Q60" s="205"/>
      <c r="R60" s="291">
        <v>30</v>
      </c>
      <c r="S60" s="206">
        <f t="shared" si="7"/>
        <v>4560</v>
      </c>
      <c r="T60" s="765" t="s">
        <v>1149</v>
      </c>
      <c r="U60" s="286"/>
      <c r="V60" s="286"/>
      <c r="W60" s="286"/>
      <c r="X60" s="286"/>
      <c r="Y60" s="286"/>
      <c r="Z60" s="286"/>
      <c r="AA60" s="286"/>
      <c r="AB60" s="286"/>
      <c r="AC60" s="286"/>
      <c r="AD60" s="286"/>
    </row>
    <row r="61" spans="1:30" ht="35.1" customHeight="1">
      <c r="A61" s="300" t="s">
        <v>801</v>
      </c>
      <c r="B61" s="124">
        <f>G61</f>
        <v>2453</v>
      </c>
      <c r="C61" s="125"/>
      <c r="D61" s="124">
        <f>E61+F61</f>
        <v>171.71</v>
      </c>
      <c r="E61" s="124">
        <f>0.04*G61</f>
        <v>98.12</v>
      </c>
      <c r="F61" s="124">
        <f>0.03*G61</f>
        <v>73.59</v>
      </c>
      <c r="G61" s="125">
        <f t="shared" si="11"/>
        <v>2453</v>
      </c>
      <c r="H61" s="345">
        <f>B61*0.4</f>
        <v>981.2</v>
      </c>
      <c r="I61" s="133"/>
      <c r="J61" s="133"/>
      <c r="K61" s="133"/>
      <c r="L61" s="133"/>
      <c r="M61" s="133"/>
      <c r="N61" s="125">
        <v>10804</v>
      </c>
      <c r="O61" s="125">
        <v>13257</v>
      </c>
      <c r="P61" s="546"/>
      <c r="Q61" s="547"/>
      <c r="R61" s="547">
        <v>1</v>
      </c>
      <c r="S61" s="125">
        <f t="shared" si="7"/>
        <v>2453</v>
      </c>
      <c r="T61" s="765" t="s">
        <v>1150</v>
      </c>
      <c r="U61" s="286"/>
      <c r="V61" s="286"/>
      <c r="W61" s="286"/>
      <c r="X61" s="286"/>
      <c r="Y61" s="286"/>
      <c r="Z61" s="286"/>
      <c r="AA61" s="286"/>
      <c r="AB61" s="286"/>
      <c r="AC61" s="286"/>
      <c r="AD61" s="286"/>
    </row>
    <row r="62" spans="1:30" ht="35.1" customHeight="1">
      <c r="A62" s="548" t="s">
        <v>673</v>
      </c>
      <c r="B62" s="208">
        <f>SUM(B33:B61)-B44</f>
        <v>196262.10000000003</v>
      </c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6"/>
      <c r="N62" s="488"/>
      <c r="O62" s="488"/>
      <c r="P62" s="286"/>
      <c r="Q62" s="286"/>
      <c r="R62" s="286"/>
      <c r="S62" s="286"/>
      <c r="T62" s="766"/>
      <c r="U62" s="286"/>
      <c r="V62" s="286"/>
      <c r="W62" s="286"/>
      <c r="X62" s="286"/>
      <c r="Y62" s="286"/>
      <c r="Z62" s="286"/>
      <c r="AA62" s="286"/>
      <c r="AB62" s="286"/>
      <c r="AC62" s="286"/>
      <c r="AD62" s="286"/>
    </row>
    <row r="63" spans="1:30" ht="35.1" customHeight="1">
      <c r="A63" s="286"/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6"/>
      <c r="P63" s="286"/>
      <c r="Q63" s="286"/>
      <c r="R63" s="286"/>
      <c r="S63" s="286"/>
      <c r="T63" s="767"/>
      <c r="U63" s="286"/>
      <c r="V63" s="286"/>
      <c r="W63" s="286"/>
      <c r="X63" s="286"/>
      <c r="Y63" s="286"/>
      <c r="Z63" s="286"/>
      <c r="AA63" s="286"/>
      <c r="AB63" s="286"/>
      <c r="AC63" s="286"/>
      <c r="AD63" s="286"/>
    </row>
    <row r="64" spans="1:30" ht="35.1" customHeight="1">
      <c r="A64" s="679" t="s">
        <v>775</v>
      </c>
      <c r="B64" s="124">
        <f>G64</f>
        <v>926</v>
      </c>
      <c r="C64" s="125"/>
      <c r="D64" s="124">
        <f>E64+F64</f>
        <v>64.819999999999993</v>
      </c>
      <c r="E64" s="124">
        <f>0.04*G64</f>
        <v>37.04</v>
      </c>
      <c r="F64" s="124">
        <f>0.03*G64</f>
        <v>27.779999999999998</v>
      </c>
      <c r="G64" s="125">
        <f t="shared" ref="G64" si="12">S64</f>
        <v>926</v>
      </c>
      <c r="H64" s="345">
        <f>B64*0.4</f>
        <v>370.40000000000003</v>
      </c>
      <c r="I64" s="133"/>
      <c r="J64" s="133"/>
      <c r="K64" s="133"/>
      <c r="L64" s="133"/>
      <c r="M64" s="133"/>
      <c r="N64" s="125">
        <v>23633</v>
      </c>
      <c r="O64" s="125">
        <v>24559</v>
      </c>
      <c r="P64" s="546"/>
      <c r="Q64" s="547"/>
      <c r="R64" s="547">
        <v>1</v>
      </c>
      <c r="S64" s="125">
        <f t="shared" ref="S64" si="13">(O64-N64)*R64</f>
        <v>926</v>
      </c>
      <c r="T64" s="765" t="s">
        <v>1151</v>
      </c>
      <c r="U64" s="286"/>
      <c r="V64" s="286"/>
      <c r="W64" s="286"/>
      <c r="X64" s="286"/>
      <c r="Y64" s="286"/>
      <c r="Z64" s="286"/>
      <c r="AA64" s="286"/>
      <c r="AB64" s="286"/>
      <c r="AC64" s="286"/>
      <c r="AD64" s="286"/>
    </row>
    <row r="65" spans="1:30" ht="35.1" customHeight="1">
      <c r="A65" s="298" t="s">
        <v>674</v>
      </c>
      <c r="B65" s="202">
        <f>(G65+D65)</f>
        <v>513468.39000000356</v>
      </c>
      <c r="C65" s="202"/>
      <c r="D65" s="202">
        <f>E65+F65</f>
        <v>33591.390000000232</v>
      </c>
      <c r="E65" s="202">
        <f>0.04*G65</f>
        <v>19195.080000000133</v>
      </c>
      <c r="F65" s="202">
        <f>0.03*G65</f>
        <v>14396.3100000001</v>
      </c>
      <c r="G65" s="202">
        <f>(S65+S66)</f>
        <v>479877.00000000332</v>
      </c>
      <c r="H65" s="202">
        <f>S67</f>
        <v>0</v>
      </c>
      <c r="I65" s="203"/>
      <c r="J65" s="203"/>
      <c r="K65" s="203"/>
      <c r="L65" s="203"/>
      <c r="M65" s="203" t="s">
        <v>675</v>
      </c>
      <c r="N65" s="204">
        <v>80327.8</v>
      </c>
      <c r="O65" s="204">
        <v>81177.41</v>
      </c>
      <c r="P65" s="203"/>
      <c r="Q65" s="205" t="s">
        <v>676</v>
      </c>
      <c r="R65" s="202">
        <v>300</v>
      </c>
      <c r="S65" s="206">
        <f>(O65-N65)*R65</f>
        <v>254883.00000000017</v>
      </c>
      <c r="T65" s="768" t="s">
        <v>1152</v>
      </c>
      <c r="U65" s="764"/>
      <c r="V65" s="764"/>
      <c r="W65" s="764"/>
      <c r="X65" s="764"/>
      <c r="Y65" s="764"/>
      <c r="Z65" s="764"/>
      <c r="AA65" s="764"/>
      <c r="AB65" s="764"/>
      <c r="AC65" s="764"/>
      <c r="AD65" s="764"/>
    </row>
    <row r="66" spans="1:30" ht="35.1" customHeight="1">
      <c r="A66" s="299" t="s">
        <v>677</v>
      </c>
      <c r="B66" s="202"/>
      <c r="C66" s="202"/>
      <c r="D66" s="208"/>
      <c r="E66" s="202"/>
      <c r="F66" s="202"/>
      <c r="G66" s="202"/>
      <c r="H66" s="202"/>
      <c r="I66" s="203"/>
      <c r="J66" s="203"/>
      <c r="K66" s="203"/>
      <c r="L66" s="203"/>
      <c r="M66" s="203"/>
      <c r="N66" s="204">
        <v>74484.929999999993</v>
      </c>
      <c r="O66" s="204">
        <v>75234.91</v>
      </c>
      <c r="P66" s="203"/>
      <c r="Q66" s="205" t="s">
        <v>676</v>
      </c>
      <c r="R66" s="202">
        <v>300</v>
      </c>
      <c r="S66" s="206">
        <f>(O66-N66)*R66</f>
        <v>224994.00000000314</v>
      </c>
      <c r="T66" s="765" t="s">
        <v>1153</v>
      </c>
      <c r="U66" s="286"/>
      <c r="V66" s="286"/>
      <c r="W66" s="286"/>
      <c r="X66" s="286"/>
      <c r="Y66" s="286"/>
      <c r="Z66" s="286"/>
      <c r="AA66" s="286"/>
      <c r="AB66" s="286"/>
      <c r="AC66" s="286"/>
      <c r="AD66" s="286"/>
    </row>
    <row r="67" spans="1:30">
      <c r="A67" s="286"/>
      <c r="B67" s="286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6"/>
      <c r="N67" s="286"/>
      <c r="O67" s="286"/>
      <c r="P67" s="286"/>
      <c r="Q67" s="286"/>
      <c r="R67" s="286"/>
      <c r="S67" s="286"/>
      <c r="T67" s="286"/>
      <c r="U67" s="286"/>
      <c r="V67" s="286"/>
      <c r="W67" s="286"/>
      <c r="X67" s="286"/>
      <c r="Y67" s="286"/>
      <c r="Z67" s="286"/>
      <c r="AA67" s="286"/>
      <c r="AB67" s="286"/>
      <c r="AC67" s="286"/>
      <c r="AD67" s="286"/>
    </row>
    <row r="68" spans="1:30">
      <c r="A68" s="286"/>
      <c r="B68" s="286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6"/>
      <c r="N68" s="286"/>
      <c r="O68" s="286"/>
      <c r="P68" s="286"/>
      <c r="Q68" s="286"/>
      <c r="R68" s="286"/>
      <c r="S68" s="286"/>
      <c r="T68" s="286"/>
      <c r="U68" s="286"/>
      <c r="V68" s="286"/>
      <c r="W68" s="286"/>
      <c r="X68" s="286"/>
      <c r="Y68" s="286"/>
      <c r="Z68" s="286"/>
      <c r="AA68" s="286"/>
      <c r="AB68" s="286"/>
      <c r="AC68" s="286"/>
      <c r="AD68" s="286"/>
    </row>
    <row r="69" spans="1:30">
      <c r="A69" s="286" t="s">
        <v>678</v>
      </c>
      <c r="B69" s="300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6"/>
      <c r="P69" s="286"/>
      <c r="Q69" s="286"/>
      <c r="R69" s="286"/>
      <c r="S69" s="286"/>
      <c r="T69" s="286"/>
      <c r="U69" s="286"/>
      <c r="V69" s="286"/>
      <c r="W69" s="286"/>
      <c r="X69" s="286"/>
      <c r="Y69" s="286"/>
      <c r="Z69" s="286"/>
      <c r="AA69" s="286"/>
      <c r="AB69" s="286"/>
      <c r="AC69" s="286"/>
      <c r="AD69" s="286"/>
    </row>
    <row r="70" spans="1:30">
      <c r="A70" s="286"/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6"/>
      <c r="P70" s="286"/>
      <c r="Q70" s="286"/>
      <c r="R70" s="286"/>
      <c r="S70" s="286"/>
      <c r="T70" s="286"/>
      <c r="U70" s="286"/>
      <c r="V70" s="286"/>
      <c r="W70" s="286"/>
      <c r="X70" s="286"/>
      <c r="Y70" s="286"/>
      <c r="Z70" s="286"/>
      <c r="AA70" s="286"/>
      <c r="AB70" s="286"/>
      <c r="AC70" s="286"/>
      <c r="AD70" s="286"/>
    </row>
    <row r="71" spans="1:30">
      <c r="A71" s="286"/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86"/>
      <c r="AB71" s="286"/>
      <c r="AC71" s="286"/>
      <c r="AD71" s="286"/>
    </row>
    <row r="72" spans="1:30">
      <c r="A72" s="286"/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86"/>
      <c r="AB72" s="286"/>
      <c r="AC72" s="286"/>
      <c r="AD72" s="286"/>
    </row>
    <row r="73" spans="1:30">
      <c r="A73" s="301" t="s">
        <v>338</v>
      </c>
      <c r="B73" s="302">
        <f>B65-(B62+B44+B86+'Май 2021'!C328)</f>
        <v>146185.3340000037</v>
      </c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  <c r="N73" s="286"/>
      <c r="O73" s="286"/>
      <c r="P73" s="286"/>
      <c r="Q73" s="286"/>
      <c r="R73" s="286"/>
      <c r="S73" s="286"/>
      <c r="T73" s="286"/>
      <c r="U73" s="286"/>
      <c r="V73" s="286"/>
      <c r="W73" s="286"/>
      <c r="X73" s="286"/>
      <c r="Y73" s="286"/>
      <c r="Z73" s="286"/>
      <c r="AA73" s="286"/>
      <c r="AB73" s="286"/>
      <c r="AC73" s="286"/>
      <c r="AD73" s="286"/>
    </row>
    <row r="74" spans="1:30">
      <c r="A74" s="303"/>
      <c r="B74" s="303"/>
      <c r="C74" s="303"/>
      <c r="D74" s="303"/>
      <c r="E74" s="303"/>
      <c r="F74" s="303"/>
      <c r="G74" s="303"/>
      <c r="H74" s="303"/>
      <c r="I74" s="303"/>
      <c r="J74" s="303"/>
      <c r="K74" s="303"/>
      <c r="L74" s="303"/>
      <c r="M74" s="303"/>
      <c r="N74" s="303"/>
      <c r="O74" s="303"/>
      <c r="P74" s="303"/>
      <c r="Q74" s="303"/>
      <c r="R74" s="303"/>
      <c r="S74" s="303"/>
      <c r="T74" s="303"/>
      <c r="U74" s="303"/>
      <c r="V74" s="286"/>
      <c r="W74" s="286"/>
      <c r="X74" s="286"/>
      <c r="Y74" s="286"/>
      <c r="Z74" s="286"/>
      <c r="AA74" s="286"/>
      <c r="AB74" s="286"/>
      <c r="AC74" s="286"/>
      <c r="AD74" s="286"/>
    </row>
    <row r="75" spans="1:30">
      <c r="A75" s="304"/>
      <c r="B75" s="91">
        <v>500</v>
      </c>
      <c r="C75" s="91"/>
      <c r="D75" s="91"/>
      <c r="E75" s="91"/>
      <c r="F75" s="91"/>
      <c r="G75" s="91"/>
      <c r="H75" s="91"/>
      <c r="I75" s="22"/>
      <c r="J75" s="22"/>
      <c r="K75" s="22"/>
      <c r="L75" s="22"/>
      <c r="M75" s="22"/>
      <c r="N75" s="206"/>
      <c r="O75" s="206"/>
      <c r="P75" s="22"/>
      <c r="Q75" s="142"/>
      <c r="R75" s="151"/>
      <c r="S75" s="91"/>
      <c r="T75" s="305" t="s">
        <v>679</v>
      </c>
      <c r="U75" s="306"/>
      <c r="V75" s="303"/>
      <c r="W75" s="303"/>
      <c r="X75" s="303"/>
      <c r="Y75" s="286"/>
      <c r="Z75" s="286"/>
      <c r="AA75" s="286"/>
      <c r="AB75" s="286"/>
      <c r="AC75" s="286"/>
      <c r="AD75" s="286"/>
    </row>
    <row r="76" spans="1:30">
      <c r="A76" s="304"/>
      <c r="B76" s="91"/>
      <c r="C76" s="91"/>
      <c r="D76" s="91"/>
      <c r="E76" s="91"/>
      <c r="F76" s="91"/>
      <c r="G76" s="91"/>
      <c r="H76" s="91"/>
      <c r="I76" s="22"/>
      <c r="J76" s="22"/>
      <c r="K76" s="22"/>
      <c r="L76" s="22"/>
      <c r="M76" s="22"/>
      <c r="N76" s="206"/>
      <c r="O76" s="206"/>
      <c r="P76" s="22"/>
      <c r="Q76" s="142"/>
      <c r="R76" s="151"/>
      <c r="S76" s="91"/>
      <c r="T76" s="305"/>
      <c r="U76" s="306"/>
      <c r="V76" s="303"/>
      <c r="W76" s="303"/>
      <c r="X76" s="303"/>
      <c r="Y76" s="286"/>
      <c r="Z76" s="286"/>
      <c r="AA76" s="286"/>
      <c r="AB76" s="286"/>
      <c r="AC76" s="286"/>
      <c r="AD76" s="286"/>
    </row>
    <row r="77" spans="1:30">
      <c r="A77" s="304"/>
      <c r="B77" s="124"/>
      <c r="C77" s="125"/>
      <c r="D77" s="124"/>
      <c r="E77" s="124"/>
      <c r="F77" s="124"/>
      <c r="G77" s="125"/>
      <c r="H77" s="345"/>
      <c r="I77" s="133"/>
      <c r="J77" s="133"/>
      <c r="K77" s="133"/>
      <c r="L77" s="133"/>
      <c r="M77" s="133"/>
      <c r="N77" s="125"/>
      <c r="O77" s="125"/>
      <c r="P77" s="544"/>
      <c r="Q77" s="545"/>
      <c r="R77" s="545"/>
      <c r="S77" s="85"/>
      <c r="T77" s="127"/>
      <c r="U77" s="128"/>
      <c r="V77" s="303"/>
      <c r="W77" s="303"/>
      <c r="X77" s="303"/>
      <c r="Y77" s="286"/>
      <c r="Z77" s="286"/>
      <c r="AA77" s="286"/>
      <c r="AB77" s="286"/>
      <c r="AC77" s="286"/>
      <c r="AD77" s="286"/>
    </row>
    <row r="78" spans="1:30">
      <c r="A78" s="304"/>
      <c r="B78" s="124">
        <f>G78</f>
        <v>9091</v>
      </c>
      <c r="C78" s="125"/>
      <c r="D78" s="124">
        <f>E78+F78</f>
        <v>636.37</v>
      </c>
      <c r="E78" s="124">
        <f>0.04*G78</f>
        <v>363.64</v>
      </c>
      <c r="F78" s="124">
        <f>0.03*G78</f>
        <v>272.73</v>
      </c>
      <c r="G78" s="125">
        <f t="shared" ref="G78" si="14">S78</f>
        <v>9091</v>
      </c>
      <c r="H78" s="345">
        <f>B78*0.4</f>
        <v>3636.4</v>
      </c>
      <c r="I78" s="133"/>
      <c r="J78" s="133"/>
      <c r="K78" s="133"/>
      <c r="L78" s="133"/>
      <c r="M78" s="133"/>
      <c r="N78" s="28">
        <v>120512</v>
      </c>
      <c r="O78" s="91">
        <v>129603</v>
      </c>
      <c r="P78" s="105"/>
      <c r="Q78" s="106"/>
      <c r="R78" s="106">
        <v>1</v>
      </c>
      <c r="S78" s="92">
        <f t="shared" ref="S78" si="15">(O78-N78)*R78</f>
        <v>9091</v>
      </c>
      <c r="T78" s="127">
        <v>5732</v>
      </c>
      <c r="U78" s="307" t="s">
        <v>688</v>
      </c>
      <c r="V78" s="303"/>
      <c r="W78" s="303"/>
      <c r="X78" s="303"/>
      <c r="Y78" s="286"/>
      <c r="Z78" s="286"/>
      <c r="AA78" s="286"/>
      <c r="AB78" s="286"/>
      <c r="AC78" s="286"/>
      <c r="AD78" s="286"/>
    </row>
    <row r="79" spans="1:30">
      <c r="A79" s="308"/>
      <c r="B79" s="124">
        <f>G79+D79</f>
        <v>2957.48</v>
      </c>
      <c r="C79" s="124"/>
      <c r="D79" s="124">
        <f t="shared" ref="D79:D85" si="16">E79+F79</f>
        <v>193.48000000000002</v>
      </c>
      <c r="E79" s="124">
        <f t="shared" ref="E79:E85" si="17">0.04*G79</f>
        <v>110.56</v>
      </c>
      <c r="F79" s="124">
        <f t="shared" ref="F79:F85" si="18">0.03*G79</f>
        <v>82.92</v>
      </c>
      <c r="G79" s="124">
        <f>S79</f>
        <v>2764</v>
      </c>
      <c r="H79" s="124">
        <f>0.6*B79</f>
        <v>1774.4880000000001</v>
      </c>
      <c r="I79" s="126"/>
      <c r="J79" s="126"/>
      <c r="K79" s="126"/>
      <c r="L79" s="126"/>
      <c r="M79" s="126" t="s">
        <v>146</v>
      </c>
      <c r="N79" s="28">
        <v>41961</v>
      </c>
      <c r="O79" s="91">
        <v>44725</v>
      </c>
      <c r="P79" s="122"/>
      <c r="Q79" s="173"/>
      <c r="R79" s="151">
        <v>1</v>
      </c>
      <c r="S79" s="91">
        <f>(O79-N79)*R79</f>
        <v>2764</v>
      </c>
      <c r="T79" s="95">
        <v>3275</v>
      </c>
      <c r="U79" s="759" t="s">
        <v>680</v>
      </c>
      <c r="V79" s="303"/>
      <c r="W79" s="303"/>
      <c r="X79" s="303"/>
      <c r="Y79" s="286"/>
      <c r="Z79" s="286"/>
      <c r="AA79" s="286"/>
      <c r="AB79" s="286"/>
      <c r="AC79" s="286"/>
      <c r="AD79" s="286"/>
    </row>
    <row r="80" spans="1:30">
      <c r="A80" s="304"/>
      <c r="B80" s="509">
        <f t="shared" ref="B80:B84" si="19">G80+D80</f>
        <v>1976.29</v>
      </c>
      <c r="C80" s="509"/>
      <c r="D80" s="509">
        <f t="shared" si="16"/>
        <v>129.29</v>
      </c>
      <c r="E80" s="509">
        <f t="shared" si="17"/>
        <v>73.88</v>
      </c>
      <c r="F80" s="509">
        <f t="shared" si="18"/>
        <v>55.41</v>
      </c>
      <c r="G80" s="509">
        <f t="shared" ref="G80:G85" si="20">S80</f>
        <v>1847</v>
      </c>
      <c r="H80" s="509"/>
      <c r="I80" s="126"/>
      <c r="J80" s="126"/>
      <c r="K80" s="126"/>
      <c r="L80" s="126"/>
      <c r="M80" s="126" t="s">
        <v>271</v>
      </c>
      <c r="N80" s="349">
        <v>33824</v>
      </c>
      <c r="O80" s="117">
        <v>35671</v>
      </c>
      <c r="P80" s="149"/>
      <c r="Q80" s="309"/>
      <c r="R80" s="117">
        <v>1</v>
      </c>
      <c r="S80" s="91">
        <f>(O80-N80)*R80</f>
        <v>1847</v>
      </c>
      <c r="T80" s="3"/>
      <c r="U80" s="759" t="s">
        <v>272</v>
      </c>
      <c r="V80" s="303"/>
      <c r="W80" s="303"/>
      <c r="X80" s="303"/>
      <c r="Y80" s="286"/>
      <c r="Z80" s="286"/>
      <c r="AA80" s="286"/>
      <c r="AB80" s="286"/>
      <c r="AC80" s="286"/>
      <c r="AD80" s="286"/>
    </row>
    <row r="81" spans="1:30">
      <c r="A81" s="104"/>
      <c r="B81" s="124"/>
      <c r="C81" s="124"/>
      <c r="D81" s="124"/>
      <c r="E81" s="124"/>
      <c r="F81" s="124"/>
      <c r="G81" s="124"/>
      <c r="H81" s="124"/>
      <c r="I81" s="126"/>
      <c r="J81" s="126"/>
      <c r="K81" s="126"/>
      <c r="L81" s="126"/>
      <c r="M81" s="126"/>
      <c r="N81" s="124"/>
      <c r="O81" s="124"/>
      <c r="P81" s="122"/>
      <c r="Q81" s="310"/>
      <c r="R81" s="151"/>
      <c r="S81" s="91"/>
      <c r="T81" s="305"/>
      <c r="U81" s="306"/>
      <c r="V81" s="303"/>
      <c r="W81" s="303"/>
      <c r="X81" s="303"/>
      <c r="Y81" s="286"/>
      <c r="Z81" s="286"/>
      <c r="AA81" s="286"/>
      <c r="AB81" s="286"/>
      <c r="AC81" s="286"/>
      <c r="AD81" s="286"/>
    </row>
    <row r="82" spans="1:30">
      <c r="A82" s="308"/>
      <c r="B82" s="509">
        <f t="shared" si="19"/>
        <v>278.2</v>
      </c>
      <c r="C82" s="509"/>
      <c r="D82" s="509">
        <f t="shared" si="16"/>
        <v>18.2</v>
      </c>
      <c r="E82" s="509">
        <f t="shared" si="17"/>
        <v>10.4</v>
      </c>
      <c r="F82" s="509">
        <f t="shared" si="18"/>
        <v>7.8</v>
      </c>
      <c r="G82" s="509">
        <f t="shared" si="20"/>
        <v>260</v>
      </c>
      <c r="H82" s="509"/>
      <c r="I82" s="126"/>
      <c r="J82" s="126"/>
      <c r="K82" s="126"/>
      <c r="L82" s="126"/>
      <c r="M82" s="126" t="s">
        <v>271</v>
      </c>
      <c r="N82" s="349">
        <v>5578</v>
      </c>
      <c r="O82" s="117">
        <v>5838</v>
      </c>
      <c r="P82" s="149"/>
      <c r="Q82" s="309"/>
      <c r="R82" s="117">
        <v>1</v>
      </c>
      <c r="S82" s="117">
        <f>O82-N82</f>
        <v>260</v>
      </c>
      <c r="T82" s="95"/>
      <c r="U82" s="759" t="s">
        <v>309</v>
      </c>
      <c r="V82" s="303"/>
      <c r="W82" s="303"/>
      <c r="X82" s="303"/>
      <c r="Y82" s="286"/>
      <c r="Z82" s="286"/>
      <c r="AA82" s="286"/>
      <c r="AB82" s="286"/>
      <c r="AC82" s="286"/>
      <c r="AD82" s="286"/>
    </row>
    <row r="83" spans="1:30">
      <c r="A83" s="132" t="s">
        <v>209</v>
      </c>
      <c r="B83" s="124">
        <f t="shared" si="19"/>
        <v>1232.6400000000001</v>
      </c>
      <c r="C83" s="124"/>
      <c r="D83" s="124">
        <f t="shared" si="16"/>
        <v>80.64</v>
      </c>
      <c r="E83" s="124">
        <f t="shared" si="17"/>
        <v>46.08</v>
      </c>
      <c r="F83" s="124">
        <f t="shared" si="18"/>
        <v>34.56</v>
      </c>
      <c r="G83" s="124">
        <f>S83</f>
        <v>1152</v>
      </c>
      <c r="H83" s="124">
        <f t="shared" ref="H83" si="21">0.6*B83</f>
        <v>739.58400000000006</v>
      </c>
      <c r="I83" s="126"/>
      <c r="J83" s="126"/>
      <c r="K83" s="126"/>
      <c r="L83" s="126"/>
      <c r="M83" s="126"/>
      <c r="N83" s="84">
        <v>27753</v>
      </c>
      <c r="O83" s="124">
        <v>28905</v>
      </c>
      <c r="P83" s="7"/>
      <c r="Q83" s="94"/>
      <c r="R83" s="124">
        <v>1</v>
      </c>
      <c r="S83" s="124">
        <f t="shared" ref="S83" si="22">(O83-N83)*R83</f>
        <v>1152</v>
      </c>
      <c r="T83" s="127">
        <v>179316</v>
      </c>
      <c r="U83" s="128" t="s">
        <v>210</v>
      </c>
      <c r="V83" s="303"/>
      <c r="W83" s="303"/>
      <c r="X83" s="303"/>
      <c r="Y83" s="286"/>
      <c r="Z83" s="286"/>
      <c r="AA83" s="286"/>
      <c r="AB83" s="286"/>
      <c r="AC83" s="286"/>
      <c r="AD83" s="286"/>
    </row>
    <row r="84" spans="1:30" ht="27">
      <c r="A84" s="304"/>
      <c r="B84" s="509">
        <f t="shared" si="19"/>
        <v>356.31</v>
      </c>
      <c r="C84" s="509"/>
      <c r="D84" s="509">
        <f t="shared" si="16"/>
        <v>23.310000000000002</v>
      </c>
      <c r="E84" s="509">
        <f t="shared" si="17"/>
        <v>13.32</v>
      </c>
      <c r="F84" s="509">
        <f t="shared" si="18"/>
        <v>9.99</v>
      </c>
      <c r="G84" s="509">
        <f t="shared" si="20"/>
        <v>333</v>
      </c>
      <c r="H84" s="509"/>
      <c r="I84" s="126"/>
      <c r="J84" s="126"/>
      <c r="K84" s="126"/>
      <c r="L84" s="126"/>
      <c r="M84" s="126" t="s">
        <v>271</v>
      </c>
      <c r="N84" s="349">
        <v>13888</v>
      </c>
      <c r="O84" s="117">
        <v>14221</v>
      </c>
      <c r="P84" s="149"/>
      <c r="Q84" s="309"/>
      <c r="R84" s="117">
        <v>1</v>
      </c>
      <c r="S84" s="117">
        <f>O84-N84</f>
        <v>333</v>
      </c>
      <c r="T84" s="311">
        <v>6292</v>
      </c>
      <c r="U84" s="759" t="s">
        <v>311</v>
      </c>
      <c r="V84" s="303"/>
      <c r="W84" s="303"/>
      <c r="X84" s="303"/>
      <c r="Y84" s="286"/>
      <c r="Z84" s="286"/>
      <c r="AA84" s="286"/>
      <c r="AB84" s="286"/>
      <c r="AC84" s="286"/>
      <c r="AD84" s="286"/>
    </row>
    <row r="85" spans="1:30">
      <c r="A85" s="312" t="s">
        <v>80</v>
      </c>
      <c r="B85" s="124">
        <f>G85</f>
        <v>7568</v>
      </c>
      <c r="C85" s="125"/>
      <c r="D85" s="124">
        <f t="shared" si="16"/>
        <v>529.76</v>
      </c>
      <c r="E85" s="124">
        <f t="shared" si="17"/>
        <v>302.72000000000003</v>
      </c>
      <c r="F85" s="124">
        <f t="shared" si="18"/>
        <v>227.04</v>
      </c>
      <c r="G85" s="125">
        <f t="shared" si="20"/>
        <v>7568</v>
      </c>
      <c r="H85" s="345">
        <f>B85*0.4</f>
        <v>3027.2000000000003</v>
      </c>
      <c r="I85" s="133"/>
      <c r="J85" s="133"/>
      <c r="K85" s="133"/>
      <c r="L85" s="133"/>
      <c r="M85" s="133"/>
      <c r="N85" s="77">
        <v>131707</v>
      </c>
      <c r="O85" s="92">
        <v>139275</v>
      </c>
      <c r="P85" s="105"/>
      <c r="Q85" s="106"/>
      <c r="R85" s="106">
        <v>1</v>
      </c>
      <c r="S85" s="92">
        <f>(O85-N85)*R85</f>
        <v>7568</v>
      </c>
      <c r="T85" s="95">
        <v>9148</v>
      </c>
      <c r="U85" s="759" t="s">
        <v>81</v>
      </c>
      <c r="V85" s="286"/>
      <c r="W85" s="286"/>
      <c r="X85" s="286"/>
      <c r="Y85" s="286"/>
      <c r="Z85" s="286"/>
      <c r="AA85" s="286"/>
      <c r="AB85" s="286"/>
      <c r="AC85" s="286"/>
      <c r="AD85" s="286"/>
    </row>
    <row r="86" spans="1:30" ht="24.75" customHeight="1">
      <c r="A86" s="313" t="s">
        <v>681</v>
      </c>
      <c r="B86" s="302">
        <f>SUM(B75:B85)+B64</f>
        <v>24885.920000000002</v>
      </c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06"/>
      <c r="P86" s="286"/>
      <c r="Q86" s="286"/>
      <c r="R86" s="286"/>
      <c r="S86" s="286"/>
      <c r="T86" s="286"/>
      <c r="U86" s="286"/>
      <c r="V86" s="286"/>
      <c r="W86" s="286"/>
      <c r="X86" s="286"/>
      <c r="Y86" s="286"/>
      <c r="Z86" s="286"/>
      <c r="AA86" s="286"/>
      <c r="AB86" s="286"/>
      <c r="AC86" s="286"/>
      <c r="AD86" s="286"/>
    </row>
    <row r="87" spans="1:30">
      <c r="A87" s="286"/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6"/>
      <c r="P87" s="286"/>
      <c r="Q87" s="286"/>
      <c r="R87" s="286"/>
      <c r="S87" s="286"/>
      <c r="T87" s="286"/>
      <c r="U87" s="286"/>
      <c r="V87" s="286"/>
      <c r="W87" s="286"/>
      <c r="X87" s="286"/>
      <c r="Y87" s="286"/>
      <c r="Z87" s="286"/>
      <c r="AA87" s="286"/>
      <c r="AB87" s="286"/>
      <c r="AC87" s="286"/>
      <c r="AD87" s="286"/>
    </row>
  </sheetData>
  <mergeCells count="12">
    <mergeCell ref="B29:N29"/>
    <mergeCell ref="H31:H32"/>
    <mergeCell ref="N31:N32"/>
    <mergeCell ref="T31:T32"/>
    <mergeCell ref="A31:A32"/>
    <mergeCell ref="B31:B32"/>
    <mergeCell ref="C31:C32"/>
    <mergeCell ref="D31:F31"/>
    <mergeCell ref="G31:G32"/>
    <mergeCell ref="O31:O32"/>
    <mergeCell ref="R31:R32"/>
    <mergeCell ref="S31:S32"/>
  </mergeCells>
  <pageMargins left="0.51181102362204722" right="0.51181102362204722" top="0.55118110236220474" bottom="0.74803149606299213" header="0.31496062992125984" footer="0.31496062992125984"/>
  <pageSetup paperSize="9" scale="2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747"/>
  <sheetViews>
    <sheetView tabSelected="1" zoomScale="55" zoomScaleNormal="55" workbookViewId="0">
      <pane xSplit="1" ySplit="6" topLeftCell="B92" activePane="bottomRight" state="frozen"/>
      <selection pane="topRight" activeCell="B1" sqref="B1"/>
      <selection pane="bottomLeft" activeCell="A7" sqref="A7"/>
      <selection pane="bottomRight" activeCell="V108" sqref="B102:V108"/>
    </sheetView>
  </sheetViews>
  <sheetFormatPr defaultRowHeight="15"/>
  <cols>
    <col min="1" max="1" width="0.28515625" style="1" customWidth="1"/>
    <col min="2" max="2" width="70.85546875" style="2" customWidth="1"/>
    <col min="3" max="3" width="22.7109375" style="1" customWidth="1"/>
    <col min="4" max="4" width="22.5703125" style="1" customWidth="1"/>
    <col min="5" max="5" width="18" style="1" customWidth="1"/>
    <col min="6" max="6" width="18.42578125" style="1" customWidth="1"/>
    <col min="7" max="7" width="18" style="1" customWidth="1"/>
    <col min="8" max="8" width="19.85546875" style="1" customWidth="1"/>
    <col min="9" max="9" width="15.85546875" style="1" customWidth="1"/>
    <col min="10" max="10" width="0.28515625" style="1" hidden="1" customWidth="1"/>
    <col min="11" max="11" width="31.140625" style="1" hidden="1" customWidth="1"/>
    <col min="12" max="12" width="29.5703125" style="1" hidden="1" customWidth="1"/>
    <col min="13" max="13" width="29.140625" style="1" hidden="1" customWidth="1"/>
    <col min="14" max="14" width="7.28515625" style="1" hidden="1" customWidth="1"/>
    <col min="15" max="15" width="30.42578125" style="1" customWidth="1"/>
    <col min="16" max="16" width="36.85546875" style="1" customWidth="1"/>
    <col min="17" max="17" width="40.28515625" style="1" hidden="1" customWidth="1"/>
    <col min="18" max="18" width="54.85546875" style="1" hidden="1" customWidth="1"/>
    <col min="19" max="19" width="11.42578125" style="1" customWidth="1"/>
    <col min="20" max="20" width="20.28515625" style="1" customWidth="1"/>
    <col min="21" max="21" width="40.140625" style="3" customWidth="1"/>
    <col min="22" max="22" width="161.42578125" style="4" customWidth="1"/>
    <col min="23" max="23" width="26" style="1" customWidth="1"/>
    <col min="24" max="24" width="16.7109375" style="1" customWidth="1"/>
    <col min="25" max="25" width="15.42578125" style="1" customWidth="1"/>
    <col min="26" max="26" width="10.5703125" style="1" bestFit="1" customWidth="1"/>
    <col min="27" max="16384" width="9.140625" style="1"/>
  </cols>
  <sheetData>
    <row r="1" spans="1:62" ht="25.5" customHeight="1"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810"/>
      <c r="AR1" s="810"/>
      <c r="AS1" s="810"/>
      <c r="AT1" s="810"/>
      <c r="AU1" s="810"/>
      <c r="AV1" s="810"/>
      <c r="AW1" s="810"/>
      <c r="AX1" s="810"/>
      <c r="AY1" s="810"/>
      <c r="AZ1" s="810"/>
      <c r="BA1" s="810"/>
      <c r="BB1" s="810"/>
      <c r="BC1" s="810"/>
      <c r="BD1" s="810"/>
      <c r="BE1" s="810"/>
      <c r="BF1" s="810"/>
      <c r="BG1" s="810"/>
      <c r="BH1" s="810"/>
      <c r="BI1" s="810"/>
      <c r="BJ1" s="810"/>
    </row>
    <row r="2" spans="1:62" ht="25.5">
      <c r="B2" s="5" t="s">
        <v>0</v>
      </c>
    </row>
    <row r="3" spans="1:62" ht="25.5" customHeight="1">
      <c r="A3" s="811" t="s">
        <v>1159</v>
      </c>
      <c r="B3" s="811"/>
      <c r="C3" s="811"/>
      <c r="D3" s="811"/>
      <c r="E3" s="811"/>
      <c r="F3" s="811"/>
      <c r="G3" s="811"/>
      <c r="H3" s="811"/>
      <c r="I3" s="811"/>
      <c r="J3" s="811"/>
      <c r="K3" s="811"/>
      <c r="L3" s="811"/>
      <c r="M3" s="811"/>
      <c r="N3" s="811"/>
      <c r="O3" s="811"/>
      <c r="P3" s="811"/>
      <c r="Q3" s="811"/>
      <c r="R3" s="811"/>
      <c r="S3" s="811"/>
      <c r="T3" s="811"/>
      <c r="U3" s="778"/>
      <c r="V3" s="6"/>
      <c r="W3" s="7"/>
      <c r="X3" s="7"/>
      <c r="Y3" s="7"/>
      <c r="Z3" s="7"/>
      <c r="AA3" s="7"/>
      <c r="AB3" s="7"/>
      <c r="AC3" s="7"/>
    </row>
    <row r="4" spans="1:62" ht="25.5" customHeight="1">
      <c r="A4" s="812"/>
      <c r="B4" s="814" t="s">
        <v>1</v>
      </c>
      <c r="C4" s="816" t="s">
        <v>2</v>
      </c>
      <c r="D4" s="816" t="s">
        <v>3</v>
      </c>
      <c r="E4" s="818" t="s">
        <v>4</v>
      </c>
      <c r="F4" s="819"/>
      <c r="G4" s="820"/>
      <c r="H4" s="816" t="s">
        <v>5</v>
      </c>
      <c r="I4" s="816" t="s">
        <v>6</v>
      </c>
      <c r="J4" s="8"/>
      <c r="K4" s="9"/>
      <c r="L4" s="9"/>
      <c r="M4" s="9"/>
      <c r="N4" s="9"/>
      <c r="O4" s="816" t="s">
        <v>7</v>
      </c>
      <c r="P4" s="816" t="s">
        <v>8</v>
      </c>
      <c r="Q4" s="10"/>
      <c r="R4" s="11"/>
      <c r="S4" s="816" t="s">
        <v>9</v>
      </c>
      <c r="T4" s="816" t="s">
        <v>2</v>
      </c>
      <c r="U4" s="12"/>
      <c r="V4" s="13"/>
      <c r="W4" s="14"/>
      <c r="X4" s="7"/>
      <c r="Y4" s="7"/>
      <c r="Z4" s="7"/>
      <c r="AA4" s="7"/>
      <c r="AB4" s="7"/>
      <c r="AC4" s="7"/>
      <c r="AD4" s="7"/>
    </row>
    <row r="5" spans="1:62" ht="76.5" customHeight="1">
      <c r="A5" s="813"/>
      <c r="B5" s="815"/>
      <c r="C5" s="817"/>
      <c r="D5" s="817"/>
      <c r="E5" s="15" t="s">
        <v>10</v>
      </c>
      <c r="F5" s="15" t="s">
        <v>11</v>
      </c>
      <c r="G5" s="15" t="s">
        <v>12</v>
      </c>
      <c r="H5" s="817"/>
      <c r="I5" s="817"/>
      <c r="J5" s="8"/>
      <c r="K5" s="9"/>
      <c r="L5" s="9"/>
      <c r="M5" s="9"/>
      <c r="N5" s="9"/>
      <c r="O5" s="817"/>
      <c r="P5" s="817"/>
      <c r="Q5" s="10"/>
      <c r="R5" s="16"/>
      <c r="S5" s="817"/>
      <c r="T5" s="817"/>
      <c r="U5" s="17" t="s">
        <v>13</v>
      </c>
      <c r="V5" s="18" t="s">
        <v>14</v>
      </c>
      <c r="W5" s="14"/>
      <c r="X5" s="7"/>
      <c r="Y5" s="7"/>
      <c r="Z5" s="7"/>
      <c r="AA5" s="7"/>
      <c r="AB5" s="7"/>
      <c r="AC5" s="7"/>
    </row>
    <row r="6" spans="1:62" ht="25.5">
      <c r="A6" s="19" t="s">
        <v>15</v>
      </c>
      <c r="B6" s="20">
        <v>2</v>
      </c>
      <c r="C6" s="19">
        <v>3</v>
      </c>
      <c r="D6" s="19">
        <v>4</v>
      </c>
      <c r="E6" s="19">
        <v>5</v>
      </c>
      <c r="F6" s="19">
        <v>6</v>
      </c>
      <c r="G6" s="19">
        <v>7</v>
      </c>
      <c r="H6" s="19">
        <v>8</v>
      </c>
      <c r="I6" s="19">
        <v>9</v>
      </c>
      <c r="J6" s="21"/>
      <c r="K6" s="22"/>
      <c r="L6" s="22"/>
      <c r="M6" s="22"/>
      <c r="N6" s="22"/>
      <c r="O6" s="19">
        <v>10</v>
      </c>
      <c r="P6" s="19">
        <v>11</v>
      </c>
      <c r="Q6" s="7"/>
      <c r="R6" s="23">
        <v>12</v>
      </c>
      <c r="S6" s="19">
        <v>13</v>
      </c>
      <c r="T6" s="19">
        <v>14</v>
      </c>
      <c r="U6" s="24"/>
      <c r="V6" s="25"/>
      <c r="W6" s="14"/>
      <c r="X6" s="7"/>
      <c r="Y6" s="7"/>
      <c r="Z6" s="7"/>
      <c r="AA6" s="7"/>
      <c r="AB6" s="7"/>
      <c r="AC6" s="7"/>
    </row>
    <row r="7" spans="1:62" ht="26.25">
      <c r="A7" s="19"/>
      <c r="B7" s="26" t="s">
        <v>933</v>
      </c>
      <c r="C7" s="19"/>
      <c r="D7" s="781"/>
      <c r="E7" s="19"/>
      <c r="F7" s="19"/>
      <c r="G7" s="19"/>
      <c r="H7" s="19"/>
      <c r="I7" s="19"/>
      <c r="J7" s="21"/>
      <c r="K7" s="22"/>
      <c r="L7" s="22"/>
      <c r="M7" s="22"/>
      <c r="N7" s="22"/>
      <c r="O7" s="19"/>
      <c r="P7" s="19"/>
      <c r="Q7" s="7"/>
      <c r="R7" s="23"/>
      <c r="S7" s="19"/>
      <c r="T7" s="19"/>
      <c r="U7" s="711"/>
      <c r="V7" s="25"/>
      <c r="W7" s="14"/>
      <c r="X7" s="7"/>
      <c r="Y7" s="7"/>
      <c r="Z7" s="7"/>
      <c r="AA7" s="7"/>
      <c r="AB7" s="7"/>
      <c r="AC7" s="7"/>
    </row>
    <row r="8" spans="1:62" ht="25.5">
      <c r="A8" s="19"/>
      <c r="B8" s="27" t="s">
        <v>17</v>
      </c>
      <c r="C8" s="28">
        <f>H8+E8</f>
        <v>4211</v>
      </c>
      <c r="D8" s="28"/>
      <c r="E8" s="28">
        <v>0</v>
      </c>
      <c r="F8" s="28">
        <v>0</v>
      </c>
      <c r="G8" s="28">
        <v>0</v>
      </c>
      <c r="H8" s="28">
        <f>T8+T9</f>
        <v>4211</v>
      </c>
      <c r="I8" s="28">
        <f>0.4*C8</f>
        <v>1684.4</v>
      </c>
      <c r="J8" s="346"/>
      <c r="K8" s="346"/>
      <c r="L8" s="346"/>
      <c r="M8" s="347"/>
      <c r="N8" s="29"/>
      <c r="O8" s="28">
        <v>610005</v>
      </c>
      <c r="P8" s="28">
        <v>613079</v>
      </c>
      <c r="Q8" s="30"/>
      <c r="R8" s="348"/>
      <c r="S8" s="28">
        <v>1</v>
      </c>
      <c r="T8" s="28">
        <f>(P8-O8)*S8</f>
        <v>3074</v>
      </c>
      <c r="U8" s="455">
        <v>108076</v>
      </c>
      <c r="V8" s="783" t="s">
        <v>18</v>
      </c>
      <c r="W8" s="14" t="s">
        <v>19</v>
      </c>
      <c r="X8" s="7"/>
      <c r="Y8" s="7"/>
      <c r="Z8" s="7"/>
      <c r="AA8" s="7"/>
      <c r="AB8" s="7"/>
      <c r="AC8" s="7"/>
    </row>
    <row r="9" spans="1:62" ht="25.5">
      <c r="A9" s="19"/>
      <c r="B9" s="27"/>
      <c r="C9" s="28"/>
      <c r="D9" s="28"/>
      <c r="E9" s="28"/>
      <c r="F9" s="28"/>
      <c r="G9" s="28"/>
      <c r="H9" s="28"/>
      <c r="I9" s="28"/>
      <c r="J9" s="346"/>
      <c r="K9" s="346"/>
      <c r="L9" s="346"/>
      <c r="M9" s="346"/>
      <c r="N9" s="29"/>
      <c r="O9" s="349">
        <v>278786</v>
      </c>
      <c r="P9" s="349">
        <v>279923</v>
      </c>
      <c r="Q9" s="30"/>
      <c r="R9" s="350"/>
      <c r="S9" s="349">
        <v>1</v>
      </c>
      <c r="T9" s="28">
        <f>(P9-O9)*S9</f>
        <v>1137</v>
      </c>
      <c r="U9" s="455">
        <v>108093</v>
      </c>
      <c r="V9" s="783"/>
      <c r="W9" s="14" t="s">
        <v>19</v>
      </c>
      <c r="X9" s="7"/>
      <c r="Y9" s="7"/>
      <c r="Z9" s="7"/>
      <c r="AA9" s="7"/>
      <c r="AB9" s="7"/>
      <c r="AC9" s="7"/>
    </row>
    <row r="10" spans="1:62" ht="25.5">
      <c r="A10" s="19"/>
      <c r="B10" s="27" t="s">
        <v>20</v>
      </c>
      <c r="C10" s="28">
        <f>H10+E10</f>
        <v>4974.0000000000164</v>
      </c>
      <c r="D10" s="28"/>
      <c r="E10" s="28">
        <f>F10+G10</f>
        <v>0</v>
      </c>
      <c r="F10" s="28">
        <v>0</v>
      </c>
      <c r="G10" s="28">
        <v>0</v>
      </c>
      <c r="H10" s="28">
        <f>T10+T11</f>
        <v>4974.0000000000164</v>
      </c>
      <c r="I10" s="28">
        <f>0.4*C10</f>
        <v>1989.6000000000067</v>
      </c>
      <c r="J10" s="346"/>
      <c r="K10" s="346"/>
      <c r="L10" s="346"/>
      <c r="M10" s="346"/>
      <c r="N10" s="29"/>
      <c r="O10" s="349">
        <v>8411.2999999999993</v>
      </c>
      <c r="P10" s="349">
        <v>8640.1</v>
      </c>
      <c r="Q10" s="30"/>
      <c r="R10" s="351"/>
      <c r="S10" s="349">
        <v>15</v>
      </c>
      <c r="T10" s="28">
        <f>(P10-O10)*S10</f>
        <v>3432.0000000000164</v>
      </c>
      <c r="U10" s="455">
        <v>798111</v>
      </c>
      <c r="V10" s="783" t="s">
        <v>21</v>
      </c>
      <c r="W10" s="14" t="s">
        <v>22</v>
      </c>
      <c r="X10" s="7"/>
      <c r="Y10" s="7"/>
      <c r="Z10" s="7"/>
      <c r="AA10" s="7"/>
      <c r="AB10" s="7"/>
      <c r="AC10" s="7"/>
    </row>
    <row r="11" spans="1:62" ht="25.5">
      <c r="A11" s="19"/>
      <c r="B11" s="27" t="s">
        <v>23</v>
      </c>
      <c r="C11" s="28"/>
      <c r="D11" s="28"/>
      <c r="E11" s="28"/>
      <c r="F11" s="28"/>
      <c r="G11" s="28"/>
      <c r="H11" s="28"/>
      <c r="I11" s="28"/>
      <c r="J11" s="346"/>
      <c r="K11" s="346"/>
      <c r="L11" s="346"/>
      <c r="M11" s="346"/>
      <c r="N11" s="29"/>
      <c r="O11" s="349">
        <v>68537</v>
      </c>
      <c r="P11" s="349">
        <v>70079</v>
      </c>
      <c r="Q11" s="30"/>
      <c r="R11" s="351"/>
      <c r="S11" s="349">
        <v>1</v>
      </c>
      <c r="T11" s="28">
        <f>(P11-O11)*S11</f>
        <v>1542</v>
      </c>
      <c r="U11" s="455" t="s">
        <v>1110</v>
      </c>
      <c r="V11" s="783" t="s">
        <v>24</v>
      </c>
      <c r="W11" s="14" t="s">
        <v>22</v>
      </c>
      <c r="X11" s="7"/>
      <c r="Y11" s="7"/>
      <c r="Z11" s="7"/>
      <c r="AA11" s="7"/>
      <c r="AB11" s="7"/>
      <c r="AC11" s="7"/>
    </row>
    <row r="12" spans="1:62" s="42" customFormat="1" ht="26.25">
      <c r="A12" s="32"/>
      <c r="B12" s="387" t="s">
        <v>1174</v>
      </c>
      <c r="C12" s="154">
        <f>H12+E12</f>
        <v>123</v>
      </c>
      <c r="D12" s="84"/>
      <c r="E12" s="84"/>
      <c r="F12" s="84">
        <f t="shared" ref="F12" si="0">0.04*H12</f>
        <v>4.92</v>
      </c>
      <c r="G12" s="84">
        <f t="shared" ref="G12" si="1">0.03*H12</f>
        <v>3.69</v>
      </c>
      <c r="H12" s="84">
        <f>T12</f>
        <v>123</v>
      </c>
      <c r="I12" s="84">
        <f>0.6*C12</f>
        <v>73.8</v>
      </c>
      <c r="J12" s="130"/>
      <c r="K12" s="130"/>
      <c r="L12" s="130"/>
      <c r="M12" s="130"/>
      <c r="N12" s="130" t="s">
        <v>146</v>
      </c>
      <c r="O12" s="84">
        <v>0</v>
      </c>
      <c r="P12" s="84">
        <v>123</v>
      </c>
      <c r="Q12" s="86"/>
      <c r="R12" s="87"/>
      <c r="S12" s="156">
        <v>1</v>
      </c>
      <c r="T12" s="84">
        <f>(P12-O12)*S12</f>
        <v>123</v>
      </c>
      <c r="U12" s="722" t="s">
        <v>1163</v>
      </c>
      <c r="V12" s="387" t="s">
        <v>1174</v>
      </c>
      <c r="W12" s="40"/>
      <c r="X12" s="41"/>
      <c r="Y12" s="41"/>
      <c r="Z12" s="41"/>
      <c r="AA12" s="41"/>
      <c r="AB12" s="41"/>
      <c r="AC12" s="41"/>
    </row>
    <row r="13" spans="1:62" s="42" customFormat="1" ht="25.5" customHeight="1">
      <c r="A13" s="32"/>
      <c r="B13" s="352" t="s">
        <v>25</v>
      </c>
      <c r="C13" s="43">
        <f>(C98-C46-C14-C95-C96)</f>
        <v>7291.2000000000407</v>
      </c>
      <c r="D13" s="315"/>
      <c r="E13" s="315"/>
      <c r="F13" s="315"/>
      <c r="G13" s="315"/>
      <c r="H13" s="315"/>
      <c r="I13" s="315"/>
      <c r="J13" s="577"/>
      <c r="K13" s="578"/>
      <c r="L13" s="578"/>
      <c r="M13" s="316"/>
      <c r="N13" s="316"/>
      <c r="O13" s="315"/>
      <c r="P13" s="315"/>
      <c r="Q13" s="579"/>
      <c r="R13" s="579"/>
      <c r="S13" s="315"/>
      <c r="T13" s="315"/>
      <c r="U13" s="713" t="s">
        <v>773</v>
      </c>
      <c r="V13" s="317"/>
      <c r="W13" s="40"/>
      <c r="X13" s="45"/>
      <c r="Y13" s="45"/>
      <c r="Z13" s="45"/>
      <c r="AA13" s="45"/>
      <c r="AB13" s="45"/>
      <c r="AC13" s="41"/>
    </row>
    <row r="14" spans="1:62" ht="25.5">
      <c r="A14" s="19"/>
      <c r="B14" s="357" t="s">
        <v>791</v>
      </c>
      <c r="C14" s="28">
        <f>H14</f>
        <v>20</v>
      </c>
      <c r="D14" s="28"/>
      <c r="E14" s="28">
        <v>0</v>
      </c>
      <c r="F14" s="28">
        <v>0</v>
      </c>
      <c r="G14" s="28">
        <v>0</v>
      </c>
      <c r="H14" s="28">
        <f>T14</f>
        <v>20</v>
      </c>
      <c r="I14" s="28">
        <f>0.4*C14</f>
        <v>8</v>
      </c>
      <c r="J14" s="46" t="s">
        <v>15</v>
      </c>
      <c r="K14" s="46"/>
      <c r="L14" s="46"/>
      <c r="M14" s="29"/>
      <c r="N14" s="29"/>
      <c r="O14" s="28">
        <v>3918.9</v>
      </c>
      <c r="P14" s="28">
        <v>3919.9</v>
      </c>
      <c r="Q14" s="348" t="s">
        <v>26</v>
      </c>
      <c r="R14" s="348"/>
      <c r="S14" s="28">
        <v>20</v>
      </c>
      <c r="T14" s="28">
        <f>(P14-O14)*S14</f>
        <v>20</v>
      </c>
      <c r="U14" s="455">
        <v>182341</v>
      </c>
      <c r="V14" s="783" t="s">
        <v>27</v>
      </c>
      <c r="W14" s="47" t="s">
        <v>27</v>
      </c>
      <c r="X14" s="48"/>
      <c r="Y14" s="48"/>
      <c r="Z14" s="48"/>
      <c r="AA14" s="48"/>
      <c r="AB14" s="48"/>
      <c r="AC14" s="7"/>
    </row>
    <row r="15" spans="1:62" s="42" customFormat="1" ht="28.5" customHeight="1">
      <c r="A15" s="32"/>
      <c r="B15" s="357" t="s">
        <v>921</v>
      </c>
      <c r="C15" s="43">
        <f t="shared" ref="C15" si="2">H15+E15</f>
        <v>0</v>
      </c>
      <c r="D15" s="43"/>
      <c r="E15" s="43"/>
      <c r="F15" s="43"/>
      <c r="G15" s="43"/>
      <c r="H15" s="43">
        <f>T15</f>
        <v>0</v>
      </c>
      <c r="I15" s="43">
        <f>0.2*C15</f>
        <v>0</v>
      </c>
      <c r="J15" s="354"/>
      <c r="K15" s="354"/>
      <c r="L15" s="354"/>
      <c r="M15" s="355"/>
      <c r="N15" s="355"/>
      <c r="O15" s="43">
        <v>1182</v>
      </c>
      <c r="P15" s="43">
        <v>1182</v>
      </c>
      <c r="Q15" s="359" t="s">
        <v>33</v>
      </c>
      <c r="R15" s="359"/>
      <c r="S15" s="43">
        <v>1</v>
      </c>
      <c r="T15" s="43">
        <f>P15-O15</f>
        <v>0</v>
      </c>
      <c r="U15" s="736">
        <v>1152</v>
      </c>
      <c r="V15" s="357" t="s">
        <v>921</v>
      </c>
      <c r="W15" s="40"/>
      <c r="X15" s="45"/>
      <c r="Y15" s="45"/>
      <c r="Z15" s="45"/>
      <c r="AA15" s="45"/>
      <c r="AB15" s="45"/>
      <c r="AC15" s="41"/>
    </row>
    <row r="16" spans="1:62" ht="33" customHeight="1">
      <c r="A16" s="19"/>
      <c r="B16" s="27" t="s">
        <v>792</v>
      </c>
      <c r="C16" s="28">
        <f>H16</f>
        <v>0</v>
      </c>
      <c r="D16" s="28"/>
      <c r="E16" s="28">
        <f>F16+G16</f>
        <v>0</v>
      </c>
      <c r="F16" s="28">
        <f>0.04*H16</f>
        <v>0</v>
      </c>
      <c r="G16" s="28">
        <f>0.03*H16</f>
        <v>0</v>
      </c>
      <c r="H16" s="28">
        <f>T16</f>
        <v>0</v>
      </c>
      <c r="I16" s="28">
        <f>0.6*C16</f>
        <v>0</v>
      </c>
      <c r="J16" s="29"/>
      <c r="K16" s="29"/>
      <c r="L16" s="29"/>
      <c r="M16" s="29"/>
      <c r="N16" s="29"/>
      <c r="O16" s="28">
        <v>55900</v>
      </c>
      <c r="P16" s="28">
        <v>55900</v>
      </c>
      <c r="Q16" s="30"/>
      <c r="R16" s="358"/>
      <c r="S16" s="54">
        <v>1</v>
      </c>
      <c r="T16" s="28">
        <f>(P16-O16)*S16</f>
        <v>0</v>
      </c>
      <c r="U16" s="455">
        <v>84036</v>
      </c>
      <c r="V16" s="783" t="s">
        <v>30</v>
      </c>
      <c r="W16" s="14" t="s">
        <v>31</v>
      </c>
      <c r="X16" s="48"/>
      <c r="Y16" s="48"/>
      <c r="Z16" s="48"/>
      <c r="AA16" s="48"/>
      <c r="AB16" s="48"/>
      <c r="AC16" s="7"/>
    </row>
    <row r="17" spans="1:29" ht="30" customHeight="1">
      <c r="A17" s="19"/>
      <c r="B17" s="352" t="s">
        <v>32</v>
      </c>
      <c r="C17" s="43">
        <f t="shared" ref="C17:C22" si="3">H17+E17</f>
        <v>0</v>
      </c>
      <c r="D17" s="43"/>
      <c r="E17" s="43"/>
      <c r="F17" s="43"/>
      <c r="G17" s="43"/>
      <c r="H17" s="43">
        <f>T17</f>
        <v>0</v>
      </c>
      <c r="I17" s="43">
        <f>0.2*C17</f>
        <v>0</v>
      </c>
      <c r="J17" s="354"/>
      <c r="K17" s="354"/>
      <c r="L17" s="354"/>
      <c r="M17" s="355"/>
      <c r="N17" s="355"/>
      <c r="O17" s="43">
        <v>626181</v>
      </c>
      <c r="P17" s="43">
        <v>626181</v>
      </c>
      <c r="Q17" s="359" t="s">
        <v>33</v>
      </c>
      <c r="R17" s="359"/>
      <c r="S17" s="43">
        <v>1</v>
      </c>
      <c r="T17" s="43">
        <f>P17-O17</f>
        <v>0</v>
      </c>
      <c r="U17" s="736">
        <v>2648</v>
      </c>
      <c r="V17" s="44" t="s">
        <v>34</v>
      </c>
      <c r="W17" s="14" t="s">
        <v>35</v>
      </c>
      <c r="X17" s="48"/>
      <c r="Y17" s="48"/>
      <c r="Z17" s="48"/>
      <c r="AA17" s="48"/>
      <c r="AB17" s="48"/>
      <c r="AC17" s="7"/>
    </row>
    <row r="18" spans="1:29" ht="28.5" customHeight="1">
      <c r="A18" s="19"/>
      <c r="B18" s="27" t="s">
        <v>36</v>
      </c>
      <c r="C18" s="28">
        <f t="shared" si="3"/>
        <v>282.08000000000084</v>
      </c>
      <c r="D18" s="28"/>
      <c r="E18" s="28">
        <f>F18+G18</f>
        <v>0</v>
      </c>
      <c r="F18" s="28">
        <v>0</v>
      </c>
      <c r="G18" s="28">
        <v>0</v>
      </c>
      <c r="H18" s="28">
        <f>T18</f>
        <v>282.08000000000084</v>
      </c>
      <c r="I18" s="28">
        <f>T20</f>
        <v>0</v>
      </c>
      <c r="J18" s="29"/>
      <c r="K18" s="46"/>
      <c r="L18" s="46"/>
      <c r="M18" s="29"/>
      <c r="N18" s="29"/>
      <c r="O18" s="360">
        <v>945.49950000000001</v>
      </c>
      <c r="P18" s="360">
        <v>952.55150000000003</v>
      </c>
      <c r="Q18" s="348" t="s">
        <v>37</v>
      </c>
      <c r="R18" s="348"/>
      <c r="S18" s="28">
        <v>40</v>
      </c>
      <c r="T18" s="28">
        <f>(P18-O18)*S18</f>
        <v>282.08000000000084</v>
      </c>
      <c r="U18" s="455">
        <v>28377662</v>
      </c>
      <c r="V18" s="783" t="s">
        <v>38</v>
      </c>
      <c r="W18" s="14"/>
      <c r="X18" s="48"/>
      <c r="Y18" s="48"/>
      <c r="Z18" s="48"/>
      <c r="AA18" s="48"/>
      <c r="AB18" s="48"/>
      <c r="AC18" s="7"/>
    </row>
    <row r="19" spans="1:29" ht="28.5" customHeight="1">
      <c r="A19" s="19"/>
      <c r="B19" s="63" t="s">
        <v>36</v>
      </c>
      <c r="C19" s="49">
        <f t="shared" si="3"/>
        <v>0</v>
      </c>
      <c r="D19" s="49"/>
      <c r="E19" s="49">
        <f>F19+G19</f>
        <v>0</v>
      </c>
      <c r="F19" s="49"/>
      <c r="G19" s="49"/>
      <c r="H19" s="49"/>
      <c r="I19" s="49"/>
      <c r="J19" s="51"/>
      <c r="K19" s="50"/>
      <c r="L19" s="50"/>
      <c r="M19" s="51"/>
      <c r="N19" s="51"/>
      <c r="O19" s="49">
        <v>0.95</v>
      </c>
      <c r="P19" s="49">
        <v>0.95</v>
      </c>
      <c r="Q19" s="52"/>
      <c r="R19" s="52"/>
      <c r="S19" s="49">
        <v>40</v>
      </c>
      <c r="T19" s="49">
        <f>(P19-O19)*S19</f>
        <v>0</v>
      </c>
      <c r="U19" s="714">
        <v>28392412</v>
      </c>
      <c r="V19" s="64" t="s">
        <v>39</v>
      </c>
      <c r="W19" s="14"/>
      <c r="X19" s="48"/>
      <c r="Y19" s="48"/>
      <c r="Z19" s="48"/>
      <c r="AA19" s="48"/>
      <c r="AB19" s="48"/>
      <c r="AC19" s="7"/>
    </row>
    <row r="20" spans="1:29" ht="31.5" customHeight="1">
      <c r="A20" s="19"/>
      <c r="B20" s="27" t="s">
        <v>40</v>
      </c>
      <c r="C20" s="28">
        <f t="shared" si="3"/>
        <v>0</v>
      </c>
      <c r="D20" s="28"/>
      <c r="E20" s="28">
        <f>F20+G20</f>
        <v>0</v>
      </c>
      <c r="F20" s="28">
        <f>0.04*H20</f>
        <v>0</v>
      </c>
      <c r="G20" s="28">
        <f>0.03*H20</f>
        <v>0</v>
      </c>
      <c r="H20" s="28">
        <f>T20</f>
        <v>0</v>
      </c>
      <c r="I20" s="28">
        <f>0.6*C20</f>
        <v>0</v>
      </c>
      <c r="J20" s="29"/>
      <c r="K20" s="29"/>
      <c r="L20" s="29"/>
      <c r="M20" s="29"/>
      <c r="N20" s="29"/>
      <c r="O20" s="28">
        <f>13159+2088+1399</f>
        <v>16646</v>
      </c>
      <c r="P20" s="28">
        <f>13159+2088+1399</f>
        <v>16646</v>
      </c>
      <c r="Q20" s="30"/>
      <c r="R20" s="358"/>
      <c r="S20" s="54">
        <v>1</v>
      </c>
      <c r="T20" s="28">
        <f>(P20-O20)*S20</f>
        <v>0</v>
      </c>
      <c r="U20" s="455" t="s">
        <v>41</v>
      </c>
      <c r="V20" s="783" t="s">
        <v>42</v>
      </c>
      <c r="W20" s="14" t="s">
        <v>43</v>
      </c>
      <c r="X20" s="48"/>
      <c r="Y20" s="48"/>
      <c r="Z20" s="48"/>
      <c r="AA20" s="48"/>
      <c r="AB20" s="48"/>
      <c r="AC20" s="7"/>
    </row>
    <row r="21" spans="1:29" ht="31.5" customHeight="1">
      <c r="A21" s="19"/>
      <c r="B21" s="27" t="s">
        <v>44</v>
      </c>
      <c r="C21" s="28">
        <f t="shared" si="3"/>
        <v>1833.9999999999964</v>
      </c>
      <c r="D21" s="28"/>
      <c r="E21" s="28">
        <v>0</v>
      </c>
      <c r="F21" s="28">
        <v>0</v>
      </c>
      <c r="G21" s="28">
        <v>0</v>
      </c>
      <c r="H21" s="28">
        <f>T21</f>
        <v>1833.9999999999964</v>
      </c>
      <c r="I21" s="28">
        <f t="shared" ref="I21:I28" si="4">0.4*C21</f>
        <v>733.59999999999854</v>
      </c>
      <c r="J21" s="29"/>
      <c r="K21" s="46"/>
      <c r="L21" s="46"/>
      <c r="M21" s="29"/>
      <c r="N21" s="29"/>
      <c r="O21" s="28">
        <v>5230</v>
      </c>
      <c r="P21" s="28">
        <v>5321.7</v>
      </c>
      <c r="Q21" s="61"/>
      <c r="R21" s="61"/>
      <c r="S21" s="28">
        <v>20</v>
      </c>
      <c r="T21" s="28">
        <f>(P21-O21)*S21</f>
        <v>1833.9999999999964</v>
      </c>
      <c r="U21" s="455">
        <v>88154</v>
      </c>
      <c r="V21" s="783" t="s">
        <v>45</v>
      </c>
      <c r="W21" s="14" t="s">
        <v>31</v>
      </c>
      <c r="X21" s="48"/>
      <c r="Y21" s="48"/>
      <c r="Z21" s="48"/>
      <c r="AA21" s="48"/>
      <c r="AB21" s="48"/>
      <c r="AC21" s="7"/>
    </row>
    <row r="22" spans="1:29" s="42" customFormat="1" ht="24" customHeight="1">
      <c r="A22" s="32"/>
      <c r="B22" s="62" t="s">
        <v>46</v>
      </c>
      <c r="C22" s="28">
        <f t="shared" si="3"/>
        <v>121.98</v>
      </c>
      <c r="D22" s="28"/>
      <c r="E22" s="28">
        <f>F22+G22</f>
        <v>7.98</v>
      </c>
      <c r="F22" s="28">
        <f>0.04*H22</f>
        <v>4.5600000000000005</v>
      </c>
      <c r="G22" s="28">
        <f>0.03*H22</f>
        <v>3.42</v>
      </c>
      <c r="H22" s="28">
        <f>T22</f>
        <v>114</v>
      </c>
      <c r="I22" s="28">
        <f>0.6*C22</f>
        <v>73.188000000000002</v>
      </c>
      <c r="J22" s="29"/>
      <c r="K22" s="29"/>
      <c r="L22" s="29"/>
      <c r="M22" s="29"/>
      <c r="N22" s="29"/>
      <c r="O22" s="28">
        <v>27122</v>
      </c>
      <c r="P22" s="28">
        <v>27236</v>
      </c>
      <c r="Q22" s="30"/>
      <c r="R22" s="358"/>
      <c r="S22" s="54">
        <v>1</v>
      </c>
      <c r="T22" s="28">
        <f>(P22-O22)*S22</f>
        <v>114</v>
      </c>
      <c r="U22" s="455">
        <v>7862</v>
      </c>
      <c r="V22" s="783" t="s">
        <v>47</v>
      </c>
      <c r="W22" s="40" t="s">
        <v>48</v>
      </c>
      <c r="X22" s="45"/>
      <c r="Y22" s="45"/>
      <c r="Z22" s="45"/>
      <c r="AA22" s="45"/>
      <c r="AB22" s="45"/>
      <c r="AC22" s="41"/>
    </row>
    <row r="23" spans="1:29" s="42" customFormat="1" ht="24.75" customHeight="1">
      <c r="A23" s="32"/>
      <c r="B23" s="314"/>
      <c r="C23" s="581"/>
      <c r="D23" s="315"/>
      <c r="E23" s="315"/>
      <c r="F23" s="315"/>
      <c r="G23" s="315"/>
      <c r="H23" s="315"/>
      <c r="I23" s="581"/>
      <c r="J23" s="578"/>
      <c r="K23" s="578"/>
      <c r="L23" s="578"/>
      <c r="M23" s="316"/>
      <c r="N23" s="316"/>
      <c r="O23" s="315"/>
      <c r="P23" s="315"/>
      <c r="Q23" s="582"/>
      <c r="R23" s="582"/>
      <c r="S23" s="315"/>
      <c r="T23" s="315"/>
      <c r="U23" s="712"/>
      <c r="V23" s="317" t="s">
        <v>15</v>
      </c>
      <c r="W23" s="40"/>
      <c r="X23" s="41"/>
      <c r="Y23" s="41"/>
      <c r="Z23" s="41"/>
      <c r="AA23" s="41"/>
      <c r="AB23" s="41"/>
      <c r="AC23" s="41"/>
    </row>
    <row r="24" spans="1:29" s="42" customFormat="1" ht="26.25" customHeight="1">
      <c r="A24" s="32"/>
      <c r="B24" s="314"/>
      <c r="C24" s="581"/>
      <c r="D24" s="315"/>
      <c r="E24" s="315"/>
      <c r="F24" s="315"/>
      <c r="G24" s="315"/>
      <c r="H24" s="315"/>
      <c r="I24" s="581"/>
      <c r="J24" s="578"/>
      <c r="K24" s="578"/>
      <c r="L24" s="578"/>
      <c r="M24" s="316"/>
      <c r="N24" s="316"/>
      <c r="O24" s="315"/>
      <c r="P24" s="315"/>
      <c r="Q24" s="582"/>
      <c r="R24" s="582"/>
      <c r="S24" s="315"/>
      <c r="T24" s="315"/>
      <c r="U24" s="712"/>
      <c r="V24" s="317"/>
      <c r="W24" s="40"/>
      <c r="X24" s="41"/>
      <c r="Y24" s="41"/>
      <c r="Z24" s="41"/>
      <c r="AA24" s="41"/>
      <c r="AB24" s="41"/>
      <c r="AC24" s="41"/>
    </row>
    <row r="25" spans="1:29" ht="51">
      <c r="A25" s="19"/>
      <c r="B25" s="320" t="s">
        <v>49</v>
      </c>
      <c r="C25" s="321">
        <f t="shared" ref="C25:C30" si="5">H25+E25</f>
        <v>68970.000000000437</v>
      </c>
      <c r="D25" s="321"/>
      <c r="E25" s="321">
        <v>0</v>
      </c>
      <c r="F25" s="321">
        <v>0</v>
      </c>
      <c r="G25" s="321">
        <v>0</v>
      </c>
      <c r="H25" s="321">
        <f>T25</f>
        <v>68970.000000000437</v>
      </c>
      <c r="I25" s="321">
        <f t="shared" si="4"/>
        <v>27588.000000000175</v>
      </c>
      <c r="J25" s="322"/>
      <c r="K25" s="322"/>
      <c r="L25" s="322"/>
      <c r="M25" s="323"/>
      <c r="N25" s="323"/>
      <c r="O25" s="321">
        <v>47731.4</v>
      </c>
      <c r="P25" s="321">
        <v>47961.3</v>
      </c>
      <c r="Q25" s="326" t="s">
        <v>50</v>
      </c>
      <c r="R25" s="326"/>
      <c r="S25" s="321">
        <v>300</v>
      </c>
      <c r="T25" s="321">
        <f>(P25-O25)*S25</f>
        <v>68970.000000000437</v>
      </c>
      <c r="U25" s="787" t="s">
        <v>51</v>
      </c>
      <c r="V25" s="328" t="s">
        <v>52</v>
      </c>
      <c r="W25" s="14" t="s">
        <v>53</v>
      </c>
      <c r="X25" s="7"/>
      <c r="Y25" s="7"/>
      <c r="Z25" s="7"/>
      <c r="AA25" s="7"/>
      <c r="AB25" s="7"/>
      <c r="AC25" s="7"/>
    </row>
    <row r="26" spans="1:29" s="42" customFormat="1" ht="24" customHeight="1">
      <c r="A26" s="32"/>
      <c r="B26" s="788"/>
      <c r="C26" s="500"/>
      <c r="D26" s="500"/>
      <c r="E26" s="500"/>
      <c r="F26" s="500"/>
      <c r="G26" s="500"/>
      <c r="H26" s="500"/>
      <c r="I26" s="500"/>
      <c r="J26" s="518"/>
      <c r="K26" s="518"/>
      <c r="L26" s="518"/>
      <c r="M26" s="519"/>
      <c r="N26" s="519"/>
      <c r="O26" s="789"/>
      <c r="P26" s="789"/>
      <c r="Q26" s="790"/>
      <c r="R26" s="520"/>
      <c r="S26" s="789"/>
      <c r="T26" s="789"/>
      <c r="U26" s="723"/>
      <c r="V26" s="507"/>
      <c r="W26" s="40"/>
      <c r="X26" s="41"/>
      <c r="Y26" s="41"/>
      <c r="Z26" s="41"/>
      <c r="AA26" s="41"/>
      <c r="AB26" s="41"/>
      <c r="AC26" s="41"/>
    </row>
    <row r="27" spans="1:29" s="68" customFormat="1" ht="55.5" customHeight="1">
      <c r="A27" s="65"/>
      <c r="B27" s="788" t="s">
        <v>54</v>
      </c>
      <c r="C27" s="321">
        <f t="shared" si="5"/>
        <v>57353.999999999978</v>
      </c>
      <c r="D27" s="321"/>
      <c r="E27" s="321">
        <v>0</v>
      </c>
      <c r="F27" s="321">
        <v>0</v>
      </c>
      <c r="G27" s="321">
        <v>0</v>
      </c>
      <c r="H27" s="321">
        <f t="shared" ref="H27:H32" si="6">T27</f>
        <v>57353.999999999978</v>
      </c>
      <c r="I27" s="321">
        <f t="shared" si="4"/>
        <v>22941.599999999991</v>
      </c>
      <c r="J27" s="322"/>
      <c r="K27" s="322"/>
      <c r="L27" s="322"/>
      <c r="M27" s="323"/>
      <c r="N27" s="323"/>
      <c r="O27" s="321">
        <v>3601.3</v>
      </c>
      <c r="P27" s="321">
        <v>4079.25</v>
      </c>
      <c r="Q27" s="325"/>
      <c r="R27" s="791"/>
      <c r="S27" s="321">
        <v>120</v>
      </c>
      <c r="T27" s="321">
        <f>(P27-O27)*S27</f>
        <v>57353.999999999978</v>
      </c>
      <c r="U27" s="792">
        <v>470</v>
      </c>
      <c r="V27" s="328" t="s">
        <v>52</v>
      </c>
      <c r="W27" s="66" t="s">
        <v>48</v>
      </c>
      <c r="X27" s="67"/>
      <c r="Y27" s="67"/>
      <c r="Z27" s="67"/>
      <c r="AA27" s="67"/>
      <c r="AB27" s="67"/>
      <c r="AC27" s="67"/>
    </row>
    <row r="28" spans="1:29" ht="50.25" customHeight="1">
      <c r="A28" s="19"/>
      <c r="B28" s="793" t="s">
        <v>55</v>
      </c>
      <c r="C28" s="321">
        <f t="shared" si="5"/>
        <v>-36977.999999999658</v>
      </c>
      <c r="D28" s="321"/>
      <c r="E28" s="321">
        <v>0</v>
      </c>
      <c r="F28" s="321">
        <v>0</v>
      </c>
      <c r="G28" s="321">
        <v>0</v>
      </c>
      <c r="H28" s="321">
        <f t="shared" si="6"/>
        <v>-36977.999999999658</v>
      </c>
      <c r="I28" s="321">
        <f t="shared" si="4"/>
        <v>-14791.199999999864</v>
      </c>
      <c r="J28" s="322"/>
      <c r="K28" s="322"/>
      <c r="L28" s="322"/>
      <c r="M28" s="323"/>
      <c r="N28" s="323"/>
      <c r="O28" s="321">
        <v>15337.8</v>
      </c>
      <c r="P28" s="321">
        <v>15510.1</v>
      </c>
      <c r="Q28" s="325"/>
      <c r="R28" s="791"/>
      <c r="S28" s="321">
        <v>300</v>
      </c>
      <c r="T28" s="321">
        <f>(P28-O28)*S28-T32-T27</f>
        <v>-36977.999999999658</v>
      </c>
      <c r="U28" s="787" t="s">
        <v>56</v>
      </c>
      <c r="V28" s="328" t="s">
        <v>52</v>
      </c>
      <c r="W28" s="14" t="s">
        <v>57</v>
      </c>
      <c r="X28" s="7"/>
      <c r="Y28" s="7"/>
      <c r="Z28" s="7"/>
      <c r="AA28" s="7"/>
      <c r="AB28" s="7"/>
      <c r="AC28" s="7"/>
    </row>
    <row r="29" spans="1:29" s="42" customFormat="1" ht="24" customHeight="1">
      <c r="A29" s="32"/>
      <c r="B29" s="523" t="s">
        <v>58</v>
      </c>
      <c r="C29" s="524">
        <f t="shared" si="5"/>
        <v>0</v>
      </c>
      <c r="D29" s="524"/>
      <c r="E29" s="524">
        <v>0</v>
      </c>
      <c r="F29" s="524">
        <v>0</v>
      </c>
      <c r="G29" s="524">
        <v>0</v>
      </c>
      <c r="H29" s="524">
        <f t="shared" si="6"/>
        <v>0</v>
      </c>
      <c r="I29" s="524">
        <f>0.4*C29</f>
        <v>0</v>
      </c>
      <c r="J29" s="525"/>
      <c r="K29" s="525"/>
      <c r="L29" s="525"/>
      <c r="M29" s="526"/>
      <c r="N29" s="526"/>
      <c r="O29" s="524">
        <v>2357</v>
      </c>
      <c r="P29" s="524">
        <v>2357</v>
      </c>
      <c r="Q29" s="527"/>
      <c r="R29" s="528"/>
      <c r="S29" s="524">
        <v>300</v>
      </c>
      <c r="T29" s="524">
        <f t="shared" ref="T29:T35" si="7">(P29-O29)*S29</f>
        <v>0</v>
      </c>
      <c r="U29" s="716" t="s">
        <v>59</v>
      </c>
      <c r="V29" s="530" t="s">
        <v>52</v>
      </c>
      <c r="W29" s="40"/>
      <c r="X29" s="41"/>
      <c r="Y29" s="41"/>
      <c r="Z29" s="41"/>
      <c r="AA29" s="41"/>
      <c r="AB29" s="41"/>
      <c r="AC29" s="41"/>
    </row>
    <row r="30" spans="1:29" ht="30" customHeight="1">
      <c r="A30" s="19"/>
      <c r="B30" s="27" t="s">
        <v>793</v>
      </c>
      <c r="C30" s="28">
        <f t="shared" si="5"/>
        <v>28491.253799999809</v>
      </c>
      <c r="D30" s="28"/>
      <c r="E30" s="28">
        <f>F30+G30</f>
        <v>1863.9137999999875</v>
      </c>
      <c r="F30" s="28">
        <f>0.04*H30</f>
        <v>1065.0935999999929</v>
      </c>
      <c r="G30" s="28">
        <f>0.03*H30</f>
        <v>798.82019999999466</v>
      </c>
      <c r="H30" s="28">
        <f t="shared" si="6"/>
        <v>26627.339999999822</v>
      </c>
      <c r="I30" s="28">
        <f>T31</f>
        <v>89120</v>
      </c>
      <c r="J30" s="46"/>
      <c r="K30" s="46"/>
      <c r="L30" s="46"/>
      <c r="M30" s="29"/>
      <c r="N30" s="29"/>
      <c r="O30" s="28">
        <v>42373.006000000001</v>
      </c>
      <c r="P30" s="28">
        <v>42816.794999999998</v>
      </c>
      <c r="Q30" s="30"/>
      <c r="R30" s="71"/>
      <c r="S30" s="28">
        <v>60</v>
      </c>
      <c r="T30" s="28">
        <f t="shared" si="7"/>
        <v>26627.339999999822</v>
      </c>
      <c r="U30" s="455" t="s">
        <v>60</v>
      </c>
      <c r="V30" s="783" t="s">
        <v>61</v>
      </c>
      <c r="W30" s="14" t="s">
        <v>57</v>
      </c>
      <c r="X30" s="7"/>
      <c r="Y30" s="7"/>
      <c r="Z30" s="7"/>
      <c r="AA30" s="7"/>
      <c r="AB30" s="7"/>
      <c r="AC30" s="7"/>
    </row>
    <row r="31" spans="1:29" ht="25.5">
      <c r="A31" s="19"/>
      <c r="B31" s="27" t="s">
        <v>62</v>
      </c>
      <c r="C31" s="28">
        <f>T31</f>
        <v>89120</v>
      </c>
      <c r="D31" s="28"/>
      <c r="E31" s="28">
        <f>F31+G31</f>
        <v>6238.4</v>
      </c>
      <c r="F31" s="28">
        <f>0.04*H31</f>
        <v>3564.8</v>
      </c>
      <c r="G31" s="28">
        <f>0.03*H31</f>
        <v>2673.6</v>
      </c>
      <c r="H31" s="28">
        <f t="shared" si="6"/>
        <v>89120</v>
      </c>
      <c r="I31" s="28">
        <f>0.6*C31</f>
        <v>53472</v>
      </c>
      <c r="J31" s="29"/>
      <c r="K31" s="29"/>
      <c r="L31" s="29"/>
      <c r="M31" s="29"/>
      <c r="N31" s="29"/>
      <c r="O31" s="28">
        <v>10046</v>
      </c>
      <c r="P31" s="28">
        <v>10603</v>
      </c>
      <c r="Q31" s="30"/>
      <c r="R31" s="358"/>
      <c r="S31" s="54">
        <v>160</v>
      </c>
      <c r="T31" s="28">
        <f t="shared" si="7"/>
        <v>89120</v>
      </c>
      <c r="U31" s="455">
        <v>4435</v>
      </c>
      <c r="V31" s="783" t="s">
        <v>63</v>
      </c>
      <c r="W31" s="14" t="s">
        <v>53</v>
      </c>
      <c r="X31" s="7"/>
      <c r="Y31" s="7"/>
      <c r="Z31" s="7"/>
      <c r="AA31" s="7"/>
      <c r="AB31" s="7"/>
      <c r="AC31" s="7"/>
    </row>
    <row r="32" spans="1:29" ht="51" customHeight="1">
      <c r="A32" s="19"/>
      <c r="B32" s="363" t="s">
        <v>954</v>
      </c>
      <c r="C32" s="28">
        <f>H32+E32</f>
        <v>33505.98000000001</v>
      </c>
      <c r="D32" s="28"/>
      <c r="E32" s="28">
        <f>F32+G32</f>
        <v>2191.9800000000005</v>
      </c>
      <c r="F32" s="28">
        <f>0.04*H32</f>
        <v>1252.5600000000004</v>
      </c>
      <c r="G32" s="28">
        <f>0.03*H32</f>
        <v>939.42000000000019</v>
      </c>
      <c r="H32" s="28">
        <f t="shared" si="6"/>
        <v>31314.000000000007</v>
      </c>
      <c r="I32" s="72">
        <f>T34</f>
        <v>1863</v>
      </c>
      <c r="J32" s="46"/>
      <c r="K32" s="46"/>
      <c r="L32" s="46"/>
      <c r="M32" s="29"/>
      <c r="N32" s="29"/>
      <c r="O32" s="28">
        <v>1607.1</v>
      </c>
      <c r="P32" s="28">
        <v>2129</v>
      </c>
      <c r="Q32" s="30"/>
      <c r="R32" s="71"/>
      <c r="S32" s="28">
        <v>60</v>
      </c>
      <c r="T32" s="28">
        <f t="shared" si="7"/>
        <v>31314.000000000007</v>
      </c>
      <c r="U32" s="455" t="s">
        <v>1109</v>
      </c>
      <c r="V32" s="783" t="s">
        <v>795</v>
      </c>
      <c r="W32" s="73" t="s">
        <v>57</v>
      </c>
      <c r="X32" s="74"/>
      <c r="Y32" s="74"/>
      <c r="Z32" s="74"/>
      <c r="AA32" s="75"/>
      <c r="AB32" s="7"/>
      <c r="AC32" s="7"/>
    </row>
    <row r="33" spans="1:29" ht="26.25">
      <c r="A33" s="19"/>
      <c r="B33" s="363"/>
      <c r="C33" s="28"/>
      <c r="D33" s="28"/>
      <c r="E33" s="28"/>
      <c r="F33" s="28"/>
      <c r="G33" s="28"/>
      <c r="H33" s="28"/>
      <c r="I33" s="72"/>
      <c r="J33" s="46"/>
      <c r="K33" s="46"/>
      <c r="L33" s="46"/>
      <c r="M33" s="29"/>
      <c r="N33" s="29"/>
      <c r="O33" s="28"/>
      <c r="P33" s="28"/>
      <c r="Q33" s="30"/>
      <c r="R33" s="71"/>
      <c r="S33" s="28"/>
      <c r="T33" s="28"/>
      <c r="U33" s="455"/>
      <c r="V33" s="780"/>
      <c r="W33" s="14" t="s">
        <v>48</v>
      </c>
      <c r="X33" s="7"/>
      <c r="Y33" s="7"/>
      <c r="Z33" s="7"/>
      <c r="AA33" s="7"/>
      <c r="AB33" s="7"/>
      <c r="AC33" s="7"/>
    </row>
    <row r="34" spans="1:29" s="42" customFormat="1" ht="31.5" customHeight="1">
      <c r="A34" s="32"/>
      <c r="B34" s="62" t="s">
        <v>64</v>
      </c>
      <c r="C34" s="28">
        <f>H34+E34</f>
        <v>1993.41</v>
      </c>
      <c r="D34" s="28"/>
      <c r="E34" s="28">
        <f>F34+G34</f>
        <v>130.41</v>
      </c>
      <c r="F34" s="28">
        <f>0.04*H34</f>
        <v>74.52</v>
      </c>
      <c r="G34" s="28">
        <f>0.03*H34</f>
        <v>55.89</v>
      </c>
      <c r="H34" s="28">
        <f>T34</f>
        <v>1863</v>
      </c>
      <c r="I34" s="28">
        <f>0.6*C34</f>
        <v>1196.046</v>
      </c>
      <c r="J34" s="29"/>
      <c r="K34" s="29"/>
      <c r="L34" s="29"/>
      <c r="M34" s="29"/>
      <c r="N34" s="29"/>
      <c r="O34" s="28">
        <v>32902</v>
      </c>
      <c r="P34" s="28">
        <v>34765</v>
      </c>
      <c r="Q34" s="30"/>
      <c r="R34" s="358"/>
      <c r="S34" s="54">
        <v>1</v>
      </c>
      <c r="T34" s="28">
        <f t="shared" si="7"/>
        <v>1863</v>
      </c>
      <c r="U34" s="455" t="s">
        <v>1107</v>
      </c>
      <c r="V34" s="783" t="s">
        <v>65</v>
      </c>
      <c r="W34" s="40"/>
      <c r="X34" s="41"/>
      <c r="Y34" s="41"/>
      <c r="Z34" s="41"/>
      <c r="AA34" s="41"/>
      <c r="AB34" s="41"/>
      <c r="AC34" s="41"/>
    </row>
    <row r="35" spans="1:29" s="68" customFormat="1" ht="31.5" customHeight="1">
      <c r="A35" s="65"/>
      <c r="B35" s="352" t="s">
        <v>682</v>
      </c>
      <c r="C35" s="28">
        <f t="shared" ref="C35:C40" si="8">H35+E35</f>
        <v>525</v>
      </c>
      <c r="D35" s="28"/>
      <c r="E35" s="28">
        <v>0</v>
      </c>
      <c r="F35" s="28">
        <v>0</v>
      </c>
      <c r="G35" s="28">
        <v>0</v>
      </c>
      <c r="H35" s="28">
        <f>T35</f>
        <v>525</v>
      </c>
      <c r="I35" s="28">
        <f t="shared" ref="I35:I43" si="9">0.4*C35</f>
        <v>210</v>
      </c>
      <c r="J35" s="46"/>
      <c r="K35" s="46"/>
      <c r="L35" s="46"/>
      <c r="M35" s="29"/>
      <c r="N35" s="29"/>
      <c r="O35" s="28">
        <v>6866</v>
      </c>
      <c r="P35" s="28">
        <v>7391</v>
      </c>
      <c r="Q35" s="30"/>
      <c r="R35" s="361"/>
      <c r="S35" s="28">
        <v>1</v>
      </c>
      <c r="T35" s="28">
        <f t="shared" si="7"/>
        <v>525</v>
      </c>
      <c r="U35" s="736" t="s">
        <v>1108</v>
      </c>
      <c r="V35" s="44" t="s">
        <v>683</v>
      </c>
      <c r="W35" s="66"/>
      <c r="X35" s="67"/>
      <c r="Y35" s="67"/>
      <c r="Z35" s="67"/>
      <c r="AA35" s="67"/>
      <c r="AB35" s="67"/>
      <c r="AC35" s="67"/>
    </row>
    <row r="36" spans="1:29" ht="30" customHeight="1">
      <c r="A36" s="19"/>
      <c r="B36" s="27" t="s">
        <v>66</v>
      </c>
      <c r="C36" s="28">
        <f t="shared" si="8"/>
        <v>14622</v>
      </c>
      <c r="D36" s="28"/>
      <c r="E36" s="28">
        <v>0</v>
      </c>
      <c r="F36" s="28">
        <v>0</v>
      </c>
      <c r="G36" s="28">
        <v>0</v>
      </c>
      <c r="H36" s="28">
        <f>T36</f>
        <v>14622</v>
      </c>
      <c r="I36" s="28">
        <f t="shared" si="9"/>
        <v>5848.8</v>
      </c>
      <c r="J36" s="46"/>
      <c r="K36" s="46"/>
      <c r="L36" s="46"/>
      <c r="M36" s="29"/>
      <c r="N36" s="29"/>
      <c r="O36" s="28">
        <v>29630</v>
      </c>
      <c r="P36" s="28">
        <v>29826.5</v>
      </c>
      <c r="Q36" s="30"/>
      <c r="R36" s="351"/>
      <c r="S36" s="28">
        <v>80</v>
      </c>
      <c r="T36" s="28">
        <f>(P36-O36)*S36-T35-T271-T272-T270-T279-T280-T282-T284</f>
        <v>14622</v>
      </c>
      <c r="U36" s="455">
        <v>81596396</v>
      </c>
      <c r="V36" s="783" t="s">
        <v>61</v>
      </c>
      <c r="W36" s="14" t="s">
        <v>57</v>
      </c>
      <c r="X36" s="7"/>
      <c r="Y36" s="7"/>
      <c r="Z36" s="7"/>
      <c r="AA36" s="7"/>
      <c r="AB36" s="7"/>
      <c r="AC36" s="7"/>
    </row>
    <row r="37" spans="1:29" ht="30" customHeight="1">
      <c r="A37" s="19"/>
      <c r="B37" s="27" t="s">
        <v>67</v>
      </c>
      <c r="C37" s="28">
        <f t="shared" si="8"/>
        <v>278.2</v>
      </c>
      <c r="D37" s="28"/>
      <c r="E37" s="28">
        <f>F37+G37</f>
        <v>18.2</v>
      </c>
      <c r="F37" s="28">
        <f>0.04*H37</f>
        <v>10.4</v>
      </c>
      <c r="G37" s="28">
        <f>0.03*H37</f>
        <v>7.8</v>
      </c>
      <c r="H37" s="28">
        <f>T37</f>
        <v>260</v>
      </c>
      <c r="I37" s="28">
        <f>0.6*C37</f>
        <v>166.92</v>
      </c>
      <c r="J37" s="29"/>
      <c r="K37" s="29"/>
      <c r="L37" s="29"/>
      <c r="M37" s="29"/>
      <c r="N37" s="29"/>
      <c r="O37" s="28">
        <v>79360</v>
      </c>
      <c r="P37" s="28">
        <v>79620</v>
      </c>
      <c r="Q37" s="30"/>
      <c r="R37" s="358"/>
      <c r="S37" s="54">
        <v>1</v>
      </c>
      <c r="T37" s="28">
        <f>(P37-O37)*S37</f>
        <v>260</v>
      </c>
      <c r="U37" s="455">
        <v>15737.0376</v>
      </c>
      <c r="V37" s="783" t="s">
        <v>68</v>
      </c>
      <c r="W37" s="14" t="s">
        <v>57</v>
      </c>
      <c r="X37" s="7"/>
      <c r="Y37" s="7"/>
      <c r="Z37" s="7"/>
      <c r="AA37" s="7"/>
      <c r="AB37" s="7"/>
      <c r="AC37" s="7"/>
    </row>
    <row r="38" spans="1:29" ht="28.5" customHeight="1">
      <c r="A38" s="19"/>
      <c r="B38" s="148"/>
      <c r="C38" s="91"/>
      <c r="D38" s="91"/>
      <c r="E38" s="91"/>
      <c r="F38" s="91"/>
      <c r="G38" s="91"/>
      <c r="H38" s="91"/>
      <c r="I38" s="91"/>
      <c r="J38" s="98"/>
      <c r="K38" s="98"/>
      <c r="L38" s="98"/>
      <c r="M38" s="22"/>
      <c r="N38" s="22"/>
      <c r="O38" s="250"/>
      <c r="P38" s="250"/>
      <c r="Q38" s="122"/>
      <c r="R38" s="142"/>
      <c r="S38" s="91"/>
      <c r="T38" s="91"/>
      <c r="U38" s="644"/>
      <c r="V38" s="782"/>
      <c r="W38" s="14" t="s">
        <v>48</v>
      </c>
      <c r="X38" s="7"/>
      <c r="Y38" s="7"/>
      <c r="Z38" s="7"/>
      <c r="AA38" s="7"/>
      <c r="AB38" s="7"/>
      <c r="AC38" s="7"/>
    </row>
    <row r="39" spans="1:29" ht="60" customHeight="1">
      <c r="A39" s="19"/>
      <c r="B39" s="27" t="s">
        <v>69</v>
      </c>
      <c r="C39" s="28">
        <f t="shared" si="8"/>
        <v>7786.3899999999376</v>
      </c>
      <c r="D39" s="28"/>
      <c r="E39" s="28">
        <f>F39+G39</f>
        <v>509.38999999999589</v>
      </c>
      <c r="F39" s="28">
        <f>0.04*H39</f>
        <v>291.07999999999765</v>
      </c>
      <c r="G39" s="77">
        <f>0.03*H39</f>
        <v>218.30999999999824</v>
      </c>
      <c r="H39" s="28">
        <f>T39-H214-H216-H215-H213-H188-H169-H232-H233</f>
        <v>7276.9999999999418</v>
      </c>
      <c r="I39" s="28">
        <f t="shared" si="9"/>
        <v>3114.555999999975</v>
      </c>
      <c r="J39" s="46"/>
      <c r="K39" s="46"/>
      <c r="L39" s="46"/>
      <c r="M39" s="29"/>
      <c r="N39" s="29"/>
      <c r="O39" s="365">
        <v>16449.400000000001</v>
      </c>
      <c r="P39" s="365">
        <v>16708</v>
      </c>
      <c r="Q39" s="30"/>
      <c r="R39" s="348"/>
      <c r="S39" s="28">
        <v>40</v>
      </c>
      <c r="T39" s="28">
        <f>(P39-O39)*S39</f>
        <v>10343.999999999942</v>
      </c>
      <c r="U39" s="455">
        <v>81596438</v>
      </c>
      <c r="V39" s="783" t="s">
        <v>796</v>
      </c>
      <c r="W39" s="14" t="s">
        <v>48</v>
      </c>
      <c r="X39" s="7"/>
      <c r="Y39" s="7"/>
      <c r="Z39" s="7"/>
      <c r="AA39" s="7"/>
      <c r="AB39" s="7"/>
      <c r="AC39" s="7"/>
    </row>
    <row r="40" spans="1:29" ht="30" customHeight="1">
      <c r="A40" s="19"/>
      <c r="B40" s="27" t="s">
        <v>70</v>
      </c>
      <c r="C40" s="28">
        <f t="shared" si="8"/>
        <v>3739.6500000000624</v>
      </c>
      <c r="D40" s="28"/>
      <c r="E40" s="28">
        <f>F40+G40</f>
        <v>244.65000000000407</v>
      </c>
      <c r="F40" s="28">
        <f>0.04*H40</f>
        <v>139.80000000000234</v>
      </c>
      <c r="G40" s="77">
        <f>0.03*H40</f>
        <v>104.85000000000174</v>
      </c>
      <c r="H40" s="28">
        <f>T40-T232</f>
        <v>3495.0000000000582</v>
      </c>
      <c r="I40" s="28">
        <f t="shared" si="9"/>
        <v>1495.8600000000251</v>
      </c>
      <c r="J40" s="46"/>
      <c r="K40" s="46"/>
      <c r="L40" s="46"/>
      <c r="M40" s="29"/>
      <c r="N40" s="29"/>
      <c r="O40" s="28">
        <v>35224.6</v>
      </c>
      <c r="P40" s="28">
        <v>35322</v>
      </c>
      <c r="Q40" s="30"/>
      <c r="R40" s="348"/>
      <c r="S40" s="28">
        <v>40</v>
      </c>
      <c r="T40" s="28">
        <f>(P40-O40)*S40</f>
        <v>3896.0000000000582</v>
      </c>
      <c r="U40" s="455">
        <v>218822</v>
      </c>
      <c r="V40" s="783" t="s">
        <v>797</v>
      </c>
      <c r="W40" s="78" t="s">
        <v>48</v>
      </c>
      <c r="X40" s="7"/>
      <c r="Y40" s="7"/>
      <c r="Z40" s="7"/>
      <c r="AA40" s="7"/>
      <c r="AB40" s="7"/>
      <c r="AC40" s="7"/>
    </row>
    <row r="41" spans="1:29" ht="51" customHeight="1">
      <c r="A41" s="19"/>
      <c r="B41" s="89" t="s">
        <v>775</v>
      </c>
      <c r="C41" s="84">
        <f>H41</f>
        <v>791</v>
      </c>
      <c r="D41" s="85"/>
      <c r="E41" s="84">
        <f>F41+G41</f>
        <v>55.370000000000005</v>
      </c>
      <c r="F41" s="84">
        <f>0.04*H41</f>
        <v>31.64</v>
      </c>
      <c r="G41" s="84">
        <f>0.03*H41</f>
        <v>23.73</v>
      </c>
      <c r="H41" s="85">
        <f t="shared" ref="H41:H49" si="10">T41</f>
        <v>791</v>
      </c>
      <c r="I41" s="484">
        <f>C41*0.4</f>
        <v>316.40000000000003</v>
      </c>
      <c r="J41" s="131"/>
      <c r="K41" s="131"/>
      <c r="L41" s="131"/>
      <c r="M41" s="131"/>
      <c r="N41" s="131"/>
      <c r="O41" s="85">
        <v>24559</v>
      </c>
      <c r="P41" s="85">
        <v>25350</v>
      </c>
      <c r="Q41" s="544"/>
      <c r="R41" s="545"/>
      <c r="S41" s="545">
        <v>1</v>
      </c>
      <c r="T41" s="85">
        <f t="shared" ref="T41:T47" si="11">(P41-O41)*S41</f>
        <v>791</v>
      </c>
      <c r="U41" s="722">
        <v>2406</v>
      </c>
      <c r="V41" s="89" t="s">
        <v>776</v>
      </c>
      <c r="W41" s="14"/>
      <c r="X41" s="7"/>
      <c r="Y41" s="7"/>
      <c r="Z41" s="7"/>
      <c r="AA41" s="7"/>
      <c r="AB41" s="7"/>
      <c r="AC41" s="7"/>
    </row>
    <row r="42" spans="1:29" ht="24.75" customHeight="1">
      <c r="A42" s="19"/>
      <c r="B42" s="366" t="s">
        <v>71</v>
      </c>
      <c r="C42" s="28">
        <f>H42</f>
        <v>2808</v>
      </c>
      <c r="D42" s="77"/>
      <c r="E42" s="28">
        <f>F42+G42</f>
        <v>196.56</v>
      </c>
      <c r="F42" s="28">
        <f>0.04*H42</f>
        <v>112.32000000000001</v>
      </c>
      <c r="G42" s="28">
        <f>0.03*H42</f>
        <v>84.24</v>
      </c>
      <c r="H42" s="77">
        <f t="shared" si="10"/>
        <v>2808</v>
      </c>
      <c r="I42" s="365">
        <f>C42*0.4</f>
        <v>1123.2</v>
      </c>
      <c r="J42" s="46"/>
      <c r="K42" s="46"/>
      <c r="L42" s="46"/>
      <c r="M42" s="46"/>
      <c r="N42" s="46"/>
      <c r="O42" s="77">
        <v>45873</v>
      </c>
      <c r="P42" s="77">
        <v>48681</v>
      </c>
      <c r="Q42" s="79"/>
      <c r="R42" s="80"/>
      <c r="S42" s="80">
        <v>1</v>
      </c>
      <c r="T42" s="77">
        <f t="shared" si="11"/>
        <v>2808</v>
      </c>
      <c r="U42" s="455">
        <v>6249</v>
      </c>
      <c r="V42" s="783" t="s">
        <v>72</v>
      </c>
      <c r="W42" s="14" t="s">
        <v>48</v>
      </c>
      <c r="X42" s="7"/>
      <c r="Y42" s="7"/>
      <c r="Z42" s="7"/>
      <c r="AA42" s="7"/>
      <c r="AB42" s="7"/>
      <c r="AC42" s="7"/>
    </row>
    <row r="43" spans="1:29" ht="33" customHeight="1">
      <c r="A43" s="19"/>
      <c r="B43" s="27" t="s">
        <v>73</v>
      </c>
      <c r="C43" s="28">
        <f>H43</f>
        <v>351</v>
      </c>
      <c r="D43" s="28"/>
      <c r="E43" s="28"/>
      <c r="F43" s="28"/>
      <c r="G43" s="77">
        <v>0</v>
      </c>
      <c r="H43" s="28">
        <f t="shared" si="10"/>
        <v>351</v>
      </c>
      <c r="I43" s="28">
        <f t="shared" si="9"/>
        <v>140.4</v>
      </c>
      <c r="J43" s="28">
        <f>0.55*D43</f>
        <v>0</v>
      </c>
      <c r="K43" s="28">
        <f>0.55*E43</f>
        <v>0</v>
      </c>
      <c r="L43" s="28">
        <f>0.55*F43</f>
        <v>0</v>
      </c>
      <c r="M43" s="28">
        <f>0.55*G43</f>
        <v>0</v>
      </c>
      <c r="N43" s="28">
        <f>0.55*H43</f>
        <v>193.05</v>
      </c>
      <c r="O43" s="28">
        <v>47639</v>
      </c>
      <c r="P43" s="28">
        <v>47990</v>
      </c>
      <c r="Q43" s="30"/>
      <c r="R43" s="351"/>
      <c r="S43" s="28">
        <v>1</v>
      </c>
      <c r="T43" s="28">
        <f t="shared" si="11"/>
        <v>351</v>
      </c>
      <c r="U43" s="455" t="s">
        <v>74</v>
      </c>
      <c r="V43" s="783" t="s">
        <v>75</v>
      </c>
      <c r="W43" s="47" t="s">
        <v>57</v>
      </c>
      <c r="X43" s="7"/>
      <c r="Y43" s="7"/>
      <c r="Z43" s="7"/>
      <c r="AA43" s="7"/>
      <c r="AB43" s="7"/>
      <c r="AC43" s="7"/>
    </row>
    <row r="44" spans="1:29" ht="27.75" customHeight="1">
      <c r="A44" s="19"/>
      <c r="B44" s="367" t="s">
        <v>76</v>
      </c>
      <c r="C44" s="72">
        <f>H44+E44</f>
        <v>22295.375999999924</v>
      </c>
      <c r="D44" s="72"/>
      <c r="E44" s="72">
        <f>F44+G44</f>
        <v>1458.575999999995</v>
      </c>
      <c r="F44" s="72">
        <f>0.04*H44</f>
        <v>833.47199999999725</v>
      </c>
      <c r="G44" s="72">
        <f>0.03*H44</f>
        <v>625.10399999999788</v>
      </c>
      <c r="H44" s="72">
        <f t="shared" si="10"/>
        <v>20836.79999999993</v>
      </c>
      <c r="I44" s="72">
        <f>T492</f>
        <v>0</v>
      </c>
      <c r="J44" s="81"/>
      <c r="K44" s="81"/>
      <c r="L44" s="81"/>
      <c r="M44" s="81"/>
      <c r="N44" s="81"/>
      <c r="O44" s="28">
        <v>40561.324000000001</v>
      </c>
      <c r="P44" s="28">
        <v>40734.964</v>
      </c>
      <c r="Q44" s="29" t="s">
        <v>33</v>
      </c>
      <c r="R44" s="348"/>
      <c r="S44" s="54">
        <v>120</v>
      </c>
      <c r="T44" s="28">
        <f t="shared" si="11"/>
        <v>20836.79999999993</v>
      </c>
      <c r="U44" s="455">
        <v>42000</v>
      </c>
      <c r="V44" s="783" t="s">
        <v>1161</v>
      </c>
      <c r="W44" s="82" t="s">
        <v>57</v>
      </c>
      <c r="X44" s="7"/>
      <c r="Y44" s="7"/>
      <c r="Z44" s="7"/>
      <c r="AA44" s="7"/>
      <c r="AB44" s="7"/>
      <c r="AC44" s="7"/>
    </row>
    <row r="45" spans="1:29" ht="27.75" customHeight="1">
      <c r="A45" s="19"/>
      <c r="B45" s="83" t="s">
        <v>78</v>
      </c>
      <c r="C45" s="84">
        <f>H45</f>
        <v>900</v>
      </c>
      <c r="D45" s="84"/>
      <c r="E45" s="84"/>
      <c r="F45" s="84"/>
      <c r="G45" s="85">
        <v>0</v>
      </c>
      <c r="H45" s="84">
        <f t="shared" si="10"/>
        <v>900</v>
      </c>
      <c r="I45" s="84">
        <f>0.4*C45</f>
        <v>360</v>
      </c>
      <c r="J45" s="84">
        <f>0.55*D45</f>
        <v>0</v>
      </c>
      <c r="K45" s="84">
        <f>0.55*E45</f>
        <v>0</v>
      </c>
      <c r="L45" s="84">
        <f>0.55*F45</f>
        <v>0</v>
      </c>
      <c r="M45" s="84">
        <f>0.55*G45</f>
        <v>0</v>
      </c>
      <c r="N45" s="84">
        <f>0.55*H45</f>
        <v>495.00000000000006</v>
      </c>
      <c r="O45" s="84">
        <v>292378</v>
      </c>
      <c r="P45" s="84">
        <v>293278</v>
      </c>
      <c r="Q45" s="86"/>
      <c r="R45" s="87"/>
      <c r="S45" s="84">
        <v>1</v>
      </c>
      <c r="T45" s="84">
        <f>(P45-O45)*S45</f>
        <v>900</v>
      </c>
      <c r="U45" s="722">
        <v>15695</v>
      </c>
      <c r="V45" s="89" t="s">
        <v>844</v>
      </c>
      <c r="W45" s="47" t="s">
        <v>48</v>
      </c>
      <c r="X45" s="7"/>
      <c r="Y45" s="7"/>
      <c r="Z45" s="7"/>
      <c r="AA45" s="7"/>
      <c r="AB45" s="7"/>
      <c r="AC45" s="7"/>
    </row>
    <row r="46" spans="1:29" ht="26.25" customHeight="1">
      <c r="A46" s="19"/>
      <c r="B46" s="368" t="s">
        <v>79</v>
      </c>
      <c r="C46" s="28">
        <f>H46</f>
        <v>74</v>
      </c>
      <c r="D46" s="77"/>
      <c r="E46" s="28">
        <f>F46+G46</f>
        <v>5.18</v>
      </c>
      <c r="F46" s="28">
        <f>0.04*H46</f>
        <v>2.96</v>
      </c>
      <c r="G46" s="28">
        <f>0.03*H46</f>
        <v>2.2199999999999998</v>
      </c>
      <c r="H46" s="77">
        <f t="shared" si="10"/>
        <v>74</v>
      </c>
      <c r="I46" s="365">
        <f>C46*0.4</f>
        <v>29.6</v>
      </c>
      <c r="J46" s="46"/>
      <c r="K46" s="46"/>
      <c r="L46" s="46"/>
      <c r="M46" s="46"/>
      <c r="N46" s="46"/>
      <c r="O46" s="77">
        <v>2639</v>
      </c>
      <c r="P46" s="77">
        <v>2713</v>
      </c>
      <c r="Q46" s="79"/>
      <c r="R46" s="80"/>
      <c r="S46" s="80">
        <v>1</v>
      </c>
      <c r="T46" s="77">
        <f t="shared" si="11"/>
        <v>74</v>
      </c>
      <c r="U46" s="455">
        <v>364814</v>
      </c>
      <c r="V46" s="783" t="s">
        <v>27</v>
      </c>
      <c r="W46" s="47" t="s">
        <v>27</v>
      </c>
      <c r="X46" s="7"/>
      <c r="Y46" s="7"/>
      <c r="Z46" s="7"/>
      <c r="AA46" s="7"/>
      <c r="AB46" s="7"/>
      <c r="AC46" s="7"/>
    </row>
    <row r="47" spans="1:29" ht="27.75" customHeight="1">
      <c r="A47" s="19"/>
      <c r="B47" s="366" t="s">
        <v>80</v>
      </c>
      <c r="C47" s="28">
        <f>H47</f>
        <v>7970</v>
      </c>
      <c r="D47" s="77"/>
      <c r="E47" s="28">
        <f>F47+G47</f>
        <v>557.9</v>
      </c>
      <c r="F47" s="28">
        <f>0.04*H47</f>
        <v>318.8</v>
      </c>
      <c r="G47" s="28">
        <f>0.03*H47</f>
        <v>239.1</v>
      </c>
      <c r="H47" s="77">
        <f t="shared" si="10"/>
        <v>7970</v>
      </c>
      <c r="I47" s="365">
        <f>C47*0.4</f>
        <v>3188</v>
      </c>
      <c r="J47" s="46"/>
      <c r="K47" s="46"/>
      <c r="L47" s="46"/>
      <c r="M47" s="46"/>
      <c r="N47" s="46"/>
      <c r="O47" s="77">
        <v>139275</v>
      </c>
      <c r="P47" s="77">
        <v>147245</v>
      </c>
      <c r="Q47" s="79"/>
      <c r="R47" s="80"/>
      <c r="S47" s="80">
        <v>1</v>
      </c>
      <c r="T47" s="77">
        <f t="shared" si="11"/>
        <v>7970</v>
      </c>
      <c r="U47" s="455">
        <v>9148</v>
      </c>
      <c r="V47" s="783" t="s">
        <v>81</v>
      </c>
      <c r="W47" s="47" t="s">
        <v>82</v>
      </c>
      <c r="X47" s="7"/>
      <c r="Y47" s="7"/>
      <c r="Z47" s="7"/>
      <c r="AA47" s="7"/>
      <c r="AB47" s="7"/>
      <c r="AC47" s="7"/>
    </row>
    <row r="48" spans="1:29" ht="27.75" customHeight="1">
      <c r="A48" s="19"/>
      <c r="B48" s="352" t="s">
        <v>882</v>
      </c>
      <c r="C48" s="28">
        <f t="shared" ref="C48" si="12">H48+E48</f>
        <v>9915</v>
      </c>
      <c r="D48" s="28"/>
      <c r="E48" s="28">
        <v>0</v>
      </c>
      <c r="F48" s="28">
        <v>0</v>
      </c>
      <c r="G48" s="28">
        <v>0</v>
      </c>
      <c r="H48" s="28">
        <f>T48</f>
        <v>9915</v>
      </c>
      <c r="I48" s="28">
        <f t="shared" ref="I48" si="13">0.4*C48</f>
        <v>3966</v>
      </c>
      <c r="J48" s="46"/>
      <c r="K48" s="46"/>
      <c r="L48" s="46"/>
      <c r="M48" s="29"/>
      <c r="N48" s="29"/>
      <c r="O48" s="28">
        <v>129603</v>
      </c>
      <c r="P48" s="28">
        <v>139518</v>
      </c>
      <c r="Q48" s="30"/>
      <c r="R48" s="361"/>
      <c r="S48" s="28">
        <v>1</v>
      </c>
      <c r="T48" s="28">
        <f>(P48-O48)*S48</f>
        <v>9915</v>
      </c>
      <c r="U48" s="736">
        <v>5732</v>
      </c>
      <c r="V48" s="44" t="s">
        <v>1162</v>
      </c>
      <c r="W48" s="47"/>
      <c r="X48" s="7"/>
      <c r="Y48" s="7"/>
      <c r="Z48" s="7"/>
      <c r="AA48" s="7"/>
      <c r="AB48" s="7"/>
      <c r="AC48" s="7"/>
    </row>
    <row r="49" spans="1:29" ht="38.25" customHeight="1">
      <c r="A49" s="19"/>
      <c r="B49" s="366" t="s">
        <v>83</v>
      </c>
      <c r="C49" s="28">
        <f>H49</f>
        <v>3760</v>
      </c>
      <c r="D49" s="77"/>
      <c r="E49" s="28">
        <f>F49+G49</f>
        <v>263.2</v>
      </c>
      <c r="F49" s="28">
        <f>0.04*H49</f>
        <v>150.4</v>
      </c>
      <c r="G49" s="28">
        <f>0.03*H49</f>
        <v>112.8</v>
      </c>
      <c r="H49" s="77">
        <f t="shared" si="10"/>
        <v>3760</v>
      </c>
      <c r="I49" s="365">
        <f>C49*0.4</f>
        <v>1504</v>
      </c>
      <c r="J49" s="46"/>
      <c r="K49" s="46"/>
      <c r="L49" s="46"/>
      <c r="M49" s="46"/>
      <c r="N49" s="46"/>
      <c r="O49" s="77">
        <v>83059</v>
      </c>
      <c r="P49" s="77">
        <v>87941</v>
      </c>
      <c r="Q49" s="79"/>
      <c r="R49" s="80"/>
      <c r="S49" s="80">
        <v>1</v>
      </c>
      <c r="T49" s="77">
        <f>(P49-O49)*S49-T225-T223-T227-T226-T228</f>
        <v>3760</v>
      </c>
      <c r="U49" s="455">
        <v>6252</v>
      </c>
      <c r="V49" s="783" t="s">
        <v>72</v>
      </c>
      <c r="W49" s="47" t="s">
        <v>48</v>
      </c>
      <c r="X49" s="7"/>
      <c r="Y49" s="7"/>
      <c r="Z49" s="7"/>
      <c r="AA49" s="7"/>
      <c r="AB49" s="7"/>
      <c r="AC49" s="7"/>
    </row>
    <row r="50" spans="1:29" ht="33" hidden="1" customHeight="1">
      <c r="A50" s="19"/>
      <c r="B50" s="90"/>
      <c r="C50" s="91"/>
      <c r="D50" s="91"/>
      <c r="E50" s="91"/>
      <c r="F50" s="91"/>
      <c r="G50" s="92"/>
      <c r="H50" s="91"/>
      <c r="I50" s="91"/>
      <c r="J50" s="93"/>
      <c r="K50" s="93"/>
      <c r="L50" s="93"/>
      <c r="M50" s="93"/>
      <c r="N50" s="93"/>
      <c r="O50" s="91"/>
      <c r="P50" s="91"/>
      <c r="Q50" s="7"/>
      <c r="R50" s="94"/>
      <c r="S50" s="91"/>
      <c r="T50" s="91"/>
      <c r="U50" s="644"/>
      <c r="V50" s="782"/>
      <c r="W50" s="47"/>
      <c r="X50" s="7"/>
      <c r="Y50" s="7"/>
      <c r="Z50" s="7"/>
      <c r="AA50" s="7"/>
      <c r="AB50" s="7"/>
      <c r="AC50" s="7"/>
    </row>
    <row r="51" spans="1:29" ht="33" hidden="1" customHeight="1">
      <c r="A51" s="19"/>
      <c r="B51" s="90"/>
      <c r="C51" s="91"/>
      <c r="D51" s="91"/>
      <c r="E51" s="91"/>
      <c r="F51" s="91"/>
      <c r="G51" s="92"/>
      <c r="H51" s="91"/>
      <c r="I51" s="91"/>
      <c r="J51" s="93"/>
      <c r="K51" s="93"/>
      <c r="L51" s="93"/>
      <c r="M51" s="93"/>
      <c r="N51" s="93"/>
      <c r="O51" s="91"/>
      <c r="P51" s="91"/>
      <c r="Q51" s="7"/>
      <c r="R51" s="94"/>
      <c r="S51" s="91"/>
      <c r="T51" s="91"/>
      <c r="U51" s="644"/>
      <c r="V51" s="782"/>
      <c r="W51" s="47"/>
      <c r="X51" s="7"/>
      <c r="Y51" s="7"/>
      <c r="Z51" s="7"/>
      <c r="AA51" s="7"/>
      <c r="AB51" s="7"/>
      <c r="AC51" s="7"/>
    </row>
    <row r="52" spans="1:29" ht="33" hidden="1" customHeight="1">
      <c r="A52" s="19"/>
      <c r="B52" s="90"/>
      <c r="C52" s="91"/>
      <c r="D52" s="91"/>
      <c r="E52" s="91"/>
      <c r="F52" s="91"/>
      <c r="G52" s="92"/>
      <c r="H52" s="91"/>
      <c r="I52" s="91"/>
      <c r="J52" s="93"/>
      <c r="K52" s="93"/>
      <c r="L52" s="93"/>
      <c r="M52" s="93"/>
      <c r="N52" s="93"/>
      <c r="O52" s="91"/>
      <c r="P52" s="91"/>
      <c r="Q52" s="7"/>
      <c r="R52" s="94"/>
      <c r="S52" s="91"/>
      <c r="T52" s="91"/>
      <c r="U52" s="644"/>
      <c r="V52" s="782"/>
      <c r="W52" s="47"/>
      <c r="X52" s="7"/>
      <c r="Y52" s="7"/>
      <c r="Z52" s="7"/>
      <c r="AA52" s="7"/>
      <c r="AB52" s="7"/>
      <c r="AC52" s="7"/>
    </row>
    <row r="53" spans="1:29" ht="61.5" customHeight="1">
      <c r="A53" s="19"/>
      <c r="B53" s="485" t="s">
        <v>84</v>
      </c>
      <c r="C53" s="445">
        <f>H53+E53</f>
        <v>9719.8799999999374</v>
      </c>
      <c r="D53" s="445"/>
      <c r="E53" s="445">
        <f>F53+G53</f>
        <v>635.8799999999959</v>
      </c>
      <c r="F53" s="445">
        <f>0.04*H53</f>
        <v>363.35999999999768</v>
      </c>
      <c r="G53" s="445">
        <f>0.03*H53</f>
        <v>272.51999999999822</v>
      </c>
      <c r="H53" s="445">
        <f>T53</f>
        <v>9083.9999999999418</v>
      </c>
      <c r="I53" s="445">
        <f>0.6*C53</f>
        <v>5831.9279999999626</v>
      </c>
      <c r="J53" s="480"/>
      <c r="K53" s="480"/>
      <c r="L53" s="480"/>
      <c r="M53" s="480"/>
      <c r="N53" s="480"/>
      <c r="O53" s="445">
        <v>28720.9</v>
      </c>
      <c r="P53" s="445">
        <v>28948</v>
      </c>
      <c r="Q53" s="481"/>
      <c r="R53" s="482"/>
      <c r="S53" s="483">
        <v>40</v>
      </c>
      <c r="T53" s="445">
        <f>(P53-O53)*S53</f>
        <v>9083.9999999999418</v>
      </c>
      <c r="U53" s="455" t="s">
        <v>1111</v>
      </c>
      <c r="V53" s="783" t="s">
        <v>85</v>
      </c>
      <c r="W53" s="47" t="s">
        <v>82</v>
      </c>
      <c r="X53" s="7"/>
      <c r="Y53" s="7"/>
      <c r="Z53" s="7"/>
      <c r="AA53" s="7"/>
      <c r="AB53" s="7"/>
      <c r="AC53" s="7"/>
    </row>
    <row r="54" spans="1:29" ht="30.75" customHeight="1">
      <c r="A54" s="19"/>
      <c r="B54" s="96" t="s">
        <v>86</v>
      </c>
      <c r="C54" s="97">
        <f>SUM(C8:C53)-C15</f>
        <v>346849.3998000006</v>
      </c>
      <c r="D54" s="91"/>
      <c r="E54" s="91"/>
      <c r="F54" s="91"/>
      <c r="G54" s="92"/>
      <c r="H54" s="91"/>
      <c r="I54" s="91"/>
      <c r="J54" s="93"/>
      <c r="K54" s="93"/>
      <c r="L54" s="93"/>
      <c r="M54" s="93"/>
      <c r="N54" s="93"/>
      <c r="O54" s="91"/>
      <c r="P54" s="91"/>
      <c r="Q54" s="7"/>
      <c r="R54" s="94"/>
      <c r="S54" s="91"/>
      <c r="T54" s="91"/>
      <c r="U54" s="644"/>
      <c r="V54" s="782"/>
      <c r="W54" s="47"/>
      <c r="X54" s="7"/>
      <c r="Y54" s="7"/>
      <c r="Z54" s="7"/>
      <c r="AA54" s="7"/>
      <c r="AB54" s="7"/>
      <c r="AC54" s="7"/>
    </row>
    <row r="55" spans="1:29" ht="26.25">
      <c r="A55" s="19"/>
      <c r="B55" s="26" t="s">
        <v>87</v>
      </c>
      <c r="C55" s="91"/>
      <c r="D55" s="91"/>
      <c r="E55" s="91"/>
      <c r="F55" s="91"/>
      <c r="G55" s="92"/>
      <c r="H55" s="91"/>
      <c r="I55" s="91"/>
      <c r="J55" s="98"/>
      <c r="K55" s="98"/>
      <c r="L55" s="98"/>
      <c r="M55" s="22"/>
      <c r="N55" s="22"/>
      <c r="O55" s="91"/>
      <c r="P55" s="91"/>
      <c r="Q55" s="7"/>
      <c r="R55" s="94"/>
      <c r="S55" s="91"/>
      <c r="T55" s="91"/>
      <c r="U55" s="644"/>
      <c r="V55" s="782"/>
      <c r="W55" s="47"/>
      <c r="X55" s="7"/>
      <c r="Y55" s="7"/>
      <c r="Z55" s="7"/>
      <c r="AA55" s="7"/>
      <c r="AB55" s="7"/>
      <c r="AC55" s="7"/>
    </row>
    <row r="56" spans="1:29" s="42" customFormat="1" ht="25.5">
      <c r="A56" s="99"/>
      <c r="B56" s="430"/>
      <c r="C56" s="34"/>
      <c r="D56" s="370"/>
      <c r="E56" s="34"/>
      <c r="F56" s="34"/>
      <c r="G56" s="34"/>
      <c r="H56" s="370"/>
      <c r="I56" s="431"/>
      <c r="J56" s="432"/>
      <c r="K56" s="432"/>
      <c r="L56" s="432"/>
      <c r="M56" s="432"/>
      <c r="N56" s="432"/>
      <c r="O56" s="370"/>
      <c r="P56" s="370"/>
      <c r="Q56" s="370"/>
      <c r="R56" s="370"/>
      <c r="S56" s="370"/>
      <c r="T56" s="34"/>
      <c r="U56" s="718"/>
      <c r="V56" s="39"/>
      <c r="W56" s="100"/>
      <c r="X56" s="41"/>
      <c r="Y56" s="41"/>
      <c r="Z56" s="41"/>
      <c r="AA56" s="41"/>
      <c r="AB56" s="41"/>
      <c r="AC56" s="41"/>
    </row>
    <row r="57" spans="1:29" ht="25.5">
      <c r="A57" s="101"/>
      <c r="B57" s="62" t="s">
        <v>88</v>
      </c>
      <c r="C57" s="28">
        <f>H57</f>
        <v>3378</v>
      </c>
      <c r="D57" s="77"/>
      <c r="E57" s="28">
        <f>F57+G57</f>
        <v>236.45999999999998</v>
      </c>
      <c r="F57" s="28">
        <f>0.04*H57</f>
        <v>135.12</v>
      </c>
      <c r="G57" s="28">
        <f>0.03*H57</f>
        <v>101.33999999999999</v>
      </c>
      <c r="H57" s="77">
        <f t="shared" ref="H57:H62" si="14">T57</f>
        <v>3378</v>
      </c>
      <c r="I57" s="365">
        <f>C57*0.4</f>
        <v>1351.2</v>
      </c>
      <c r="J57" s="46"/>
      <c r="K57" s="46"/>
      <c r="L57" s="46"/>
      <c r="M57" s="46"/>
      <c r="N57" s="46"/>
      <c r="O57" s="77">
        <v>393914</v>
      </c>
      <c r="P57" s="77">
        <v>397292</v>
      </c>
      <c r="Q57" s="79"/>
      <c r="R57" s="80"/>
      <c r="S57" s="80">
        <v>1</v>
      </c>
      <c r="T57" s="77">
        <f>(P57-O57)*S57</f>
        <v>3378</v>
      </c>
      <c r="U57" s="455">
        <v>4786</v>
      </c>
      <c r="V57" s="369" t="s">
        <v>89</v>
      </c>
      <c r="W57" s="47" t="s">
        <v>90</v>
      </c>
      <c r="X57" s="7"/>
      <c r="Y57" s="7"/>
      <c r="Z57" s="7"/>
      <c r="AA57" s="7"/>
      <c r="AB57" s="7"/>
      <c r="AC57" s="7"/>
    </row>
    <row r="58" spans="1:29" ht="25.5">
      <c r="A58" s="101"/>
      <c r="B58" s="62" t="s">
        <v>711</v>
      </c>
      <c r="C58" s="28">
        <f>H58</f>
        <v>23084.20000000007</v>
      </c>
      <c r="D58" s="77"/>
      <c r="E58" s="28"/>
      <c r="F58" s="28"/>
      <c r="G58" s="28"/>
      <c r="H58" s="77">
        <f t="shared" si="14"/>
        <v>23084.20000000007</v>
      </c>
      <c r="I58" s="77">
        <f>T59</f>
        <v>1833</v>
      </c>
      <c r="J58" s="46"/>
      <c r="K58" s="46"/>
      <c r="L58" s="46"/>
      <c r="M58" s="46"/>
      <c r="N58" s="46"/>
      <c r="O58" s="77">
        <v>22133.777999999998</v>
      </c>
      <c r="P58" s="77">
        <v>22572.942999999999</v>
      </c>
      <c r="Q58" s="79"/>
      <c r="R58" s="80"/>
      <c r="S58" s="80">
        <v>80</v>
      </c>
      <c r="T58" s="77">
        <f>(P58-O58)*S58-T624</f>
        <v>23084.20000000007</v>
      </c>
      <c r="U58" s="455" t="s">
        <v>91</v>
      </c>
      <c r="V58" s="369" t="s">
        <v>92</v>
      </c>
      <c r="W58" s="47" t="s">
        <v>90</v>
      </c>
      <c r="X58" s="7"/>
      <c r="Y58" s="7"/>
      <c r="Z58" s="7"/>
      <c r="AA58" s="7"/>
      <c r="AB58" s="7"/>
      <c r="AC58" s="7"/>
    </row>
    <row r="59" spans="1:29" ht="25.5">
      <c r="A59" s="101"/>
      <c r="B59" s="62" t="s">
        <v>93</v>
      </c>
      <c r="C59" s="28">
        <f>H59</f>
        <v>1833</v>
      </c>
      <c r="D59" s="77"/>
      <c r="E59" s="28">
        <f>F59+G59</f>
        <v>128.31</v>
      </c>
      <c r="F59" s="28">
        <f>0.04*H59</f>
        <v>73.320000000000007</v>
      </c>
      <c r="G59" s="28">
        <f>0.03*H59</f>
        <v>54.989999999999995</v>
      </c>
      <c r="H59" s="77">
        <f t="shared" si="14"/>
        <v>1833</v>
      </c>
      <c r="I59" s="365">
        <f>C59*0.4</f>
        <v>733.2</v>
      </c>
      <c r="J59" s="46"/>
      <c r="K59" s="46"/>
      <c r="L59" s="46"/>
      <c r="M59" s="46"/>
      <c r="N59" s="46"/>
      <c r="O59" s="77">
        <v>17038</v>
      </c>
      <c r="P59" s="77">
        <v>18871</v>
      </c>
      <c r="Q59" s="79"/>
      <c r="R59" s="80"/>
      <c r="S59" s="80">
        <v>1</v>
      </c>
      <c r="T59" s="77">
        <f>(P59-O59)*S59</f>
        <v>1833</v>
      </c>
      <c r="U59" s="455">
        <v>6221</v>
      </c>
      <c r="V59" s="369" t="s">
        <v>94</v>
      </c>
      <c r="W59" s="47" t="s">
        <v>43</v>
      </c>
      <c r="X59" s="7"/>
      <c r="Y59" s="7"/>
      <c r="Z59" s="7"/>
      <c r="AA59" s="7"/>
      <c r="AB59" s="7"/>
      <c r="AC59" s="7"/>
    </row>
    <row r="60" spans="1:29" ht="76.5">
      <c r="A60" s="101"/>
      <c r="B60" s="27" t="s">
        <v>756</v>
      </c>
      <c r="C60" s="28">
        <f>T60</f>
        <v>12631.799999999985</v>
      </c>
      <c r="D60" s="77"/>
      <c r="E60" s="28"/>
      <c r="F60" s="28"/>
      <c r="G60" s="28"/>
      <c r="H60" s="77">
        <f t="shared" si="14"/>
        <v>12631.799999999985</v>
      </c>
      <c r="I60" s="77">
        <f>T61</f>
        <v>15283.000000000015</v>
      </c>
      <c r="J60" s="46"/>
      <c r="K60" s="46"/>
      <c r="L60" s="46"/>
      <c r="M60" s="46"/>
      <c r="N60" s="46"/>
      <c r="O60" s="77">
        <v>5921.47</v>
      </c>
      <c r="P60" s="77">
        <v>6132</v>
      </c>
      <c r="Q60" s="79"/>
      <c r="R60" s="80"/>
      <c r="S60" s="80">
        <v>60</v>
      </c>
      <c r="T60" s="77">
        <f>(P60-O60)*S60</f>
        <v>12631.799999999985</v>
      </c>
      <c r="U60" s="455" t="s">
        <v>95</v>
      </c>
      <c r="V60" s="369" t="s">
        <v>96</v>
      </c>
      <c r="W60" s="103" t="s">
        <v>90</v>
      </c>
      <c r="X60" s="7"/>
      <c r="Y60" s="7"/>
      <c r="Z60" s="7"/>
      <c r="AA60" s="7"/>
      <c r="AB60" s="7"/>
      <c r="AC60" s="7"/>
    </row>
    <row r="61" spans="1:29" ht="52.5" customHeight="1">
      <c r="A61" s="101"/>
      <c r="B61" s="27" t="s">
        <v>757</v>
      </c>
      <c r="C61" s="28">
        <f>H61</f>
        <v>15283.000000000015</v>
      </c>
      <c r="D61" s="77"/>
      <c r="E61" s="28"/>
      <c r="F61" s="28"/>
      <c r="G61" s="28"/>
      <c r="H61" s="77">
        <f t="shared" si="14"/>
        <v>15283.000000000015</v>
      </c>
      <c r="I61" s="77">
        <f>T62</f>
        <v>2805</v>
      </c>
      <c r="J61" s="46"/>
      <c r="K61" s="46"/>
      <c r="L61" s="46"/>
      <c r="M61" s="46"/>
      <c r="N61" s="46"/>
      <c r="O61" s="77">
        <v>1417.6</v>
      </c>
      <c r="P61" s="77">
        <v>1611.7</v>
      </c>
      <c r="Q61" s="79"/>
      <c r="R61" s="80"/>
      <c r="S61" s="80">
        <v>120</v>
      </c>
      <c r="T61" s="77">
        <f>(P61-O61)*S61-T636-T59-T65-T62</f>
        <v>15283.000000000015</v>
      </c>
      <c r="U61" s="455" t="s">
        <v>1112</v>
      </c>
      <c r="V61" s="821" t="s">
        <v>712</v>
      </c>
      <c r="W61" s="103"/>
      <c r="X61" s="7"/>
      <c r="Y61" s="7"/>
      <c r="Z61" s="7"/>
      <c r="AA61" s="7"/>
      <c r="AB61" s="7"/>
      <c r="AC61" s="7"/>
    </row>
    <row r="62" spans="1:29" s="42" customFormat="1" ht="30" customHeight="1">
      <c r="A62" s="99"/>
      <c r="B62" s="352" t="s">
        <v>758</v>
      </c>
      <c r="C62" s="28">
        <f>T62</f>
        <v>2805</v>
      </c>
      <c r="D62" s="77"/>
      <c r="E62" s="28"/>
      <c r="F62" s="28"/>
      <c r="G62" s="28"/>
      <c r="H62" s="77">
        <f t="shared" si="14"/>
        <v>2805</v>
      </c>
      <c r="I62" s="77">
        <f>T63</f>
        <v>0</v>
      </c>
      <c r="J62" s="46"/>
      <c r="K62" s="46"/>
      <c r="L62" s="46"/>
      <c r="M62" s="46"/>
      <c r="N62" s="46"/>
      <c r="O62" s="77">
        <v>22162</v>
      </c>
      <c r="P62" s="77">
        <v>24967</v>
      </c>
      <c r="Q62" s="79"/>
      <c r="R62" s="80"/>
      <c r="S62" s="80">
        <v>1</v>
      </c>
      <c r="T62" s="77">
        <f>(P62-O62)*S62</f>
        <v>2805</v>
      </c>
      <c r="U62" s="736" t="s">
        <v>1113</v>
      </c>
      <c r="V62" s="821"/>
      <c r="W62" s="100"/>
      <c r="X62" s="41"/>
      <c r="Y62" s="41"/>
      <c r="Z62" s="41"/>
      <c r="AA62" s="41"/>
      <c r="AB62" s="41"/>
      <c r="AC62" s="41"/>
    </row>
    <row r="63" spans="1:29" s="42" customFormat="1" ht="25.5">
      <c r="A63" s="99"/>
      <c r="B63" s="352"/>
      <c r="C63" s="43"/>
      <c r="D63" s="270"/>
      <c r="E63" s="43"/>
      <c r="F63" s="43"/>
      <c r="G63" s="43"/>
      <c r="H63" s="270"/>
      <c r="I63" s="270"/>
      <c r="J63" s="355"/>
      <c r="K63" s="355"/>
      <c r="L63" s="355"/>
      <c r="M63" s="355"/>
      <c r="N63" s="355"/>
      <c r="O63" s="43"/>
      <c r="P63" s="43"/>
      <c r="Q63" s="531"/>
      <c r="R63" s="532"/>
      <c r="S63" s="477"/>
      <c r="T63" s="270"/>
      <c r="U63" s="736"/>
      <c r="V63" s="533"/>
      <c r="W63" s="100"/>
      <c r="X63" s="41"/>
      <c r="Y63" s="41"/>
      <c r="Z63" s="41"/>
      <c r="AA63" s="41"/>
      <c r="AB63" s="41"/>
      <c r="AC63" s="41"/>
    </row>
    <row r="64" spans="1:29" ht="25.5">
      <c r="A64" s="101"/>
      <c r="B64" s="375" t="s">
        <v>97</v>
      </c>
      <c r="C64" s="349">
        <f>H64</f>
        <v>956.00000000000364</v>
      </c>
      <c r="D64" s="376"/>
      <c r="E64" s="349"/>
      <c r="F64" s="349"/>
      <c r="G64" s="349"/>
      <c r="H64" s="376">
        <f>T64</f>
        <v>956.00000000000364</v>
      </c>
      <c r="I64" s="376">
        <f>T64*0.3</f>
        <v>286.80000000000109</v>
      </c>
      <c r="J64" s="46"/>
      <c r="K64" s="46"/>
      <c r="L64" s="46"/>
      <c r="M64" s="46"/>
      <c r="N64" s="46"/>
      <c r="O64" s="377">
        <v>4053.5</v>
      </c>
      <c r="P64" s="377">
        <v>4101.3</v>
      </c>
      <c r="Q64" s="79"/>
      <c r="R64" s="378"/>
      <c r="S64" s="379">
        <v>20</v>
      </c>
      <c r="T64" s="376">
        <f>(P64-O64)*S64</f>
        <v>956.00000000000364</v>
      </c>
      <c r="U64" s="455">
        <v>5621</v>
      </c>
      <c r="V64" s="369" t="s">
        <v>98</v>
      </c>
      <c r="W64" s="47" t="s">
        <v>90</v>
      </c>
      <c r="X64" s="7"/>
      <c r="Y64" s="7"/>
      <c r="Z64" s="7"/>
      <c r="AA64" s="7"/>
      <c r="AB64" s="7"/>
      <c r="AC64" s="7"/>
    </row>
    <row r="65" spans="1:29" ht="25.5">
      <c r="A65" s="101"/>
      <c r="B65" s="27" t="s">
        <v>99</v>
      </c>
      <c r="C65" s="349">
        <f>H65</f>
        <v>3371</v>
      </c>
      <c r="D65" s="77"/>
      <c r="E65" s="28"/>
      <c r="F65" s="28"/>
      <c r="G65" s="28"/>
      <c r="H65" s="77">
        <f>T65</f>
        <v>3371</v>
      </c>
      <c r="I65" s="77">
        <f>T65*0.3</f>
        <v>1011.3</v>
      </c>
      <c r="J65" s="348"/>
      <c r="K65" s="348"/>
      <c r="L65" s="348"/>
      <c r="M65" s="348"/>
      <c r="N65" s="348"/>
      <c r="O65" s="28">
        <v>226460</v>
      </c>
      <c r="P65" s="28">
        <v>229831</v>
      </c>
      <c r="Q65" s="77"/>
      <c r="R65" s="77"/>
      <c r="S65" s="28">
        <v>1</v>
      </c>
      <c r="T65" s="77">
        <f>(P65-O65)*S65</f>
        <v>3371</v>
      </c>
      <c r="U65" s="455">
        <v>4785</v>
      </c>
      <c r="V65" s="369" t="s">
        <v>89</v>
      </c>
      <c r="W65" s="47" t="s">
        <v>43</v>
      </c>
      <c r="X65" s="7"/>
      <c r="Y65" s="7"/>
      <c r="Z65" s="7"/>
      <c r="AA65" s="7"/>
      <c r="AB65" s="7"/>
      <c r="AC65" s="7"/>
    </row>
    <row r="66" spans="1:29" ht="26.25">
      <c r="A66" s="108"/>
      <c r="B66" s="109" t="s">
        <v>100</v>
      </c>
      <c r="C66" s="110">
        <f>SUM(C56:C65)</f>
        <v>63342.000000000073</v>
      </c>
      <c r="D66" s="111"/>
      <c r="E66" s="112"/>
      <c r="F66" s="112"/>
      <c r="G66" s="112"/>
      <c r="H66" s="111"/>
      <c r="I66" s="113">
        <f>SUM(I56:I65)</f>
        <v>23303.500000000018</v>
      </c>
      <c r="J66" s="114"/>
      <c r="K66" s="114"/>
      <c r="L66" s="114"/>
      <c r="M66" s="114"/>
      <c r="N66" s="114"/>
      <c r="O66" s="115"/>
      <c r="P66" s="115"/>
      <c r="Q66" s="92"/>
      <c r="R66" s="92"/>
      <c r="S66" s="91"/>
      <c r="T66" s="92"/>
      <c r="U66" s="644"/>
      <c r="V66" s="107"/>
      <c r="W66" s="14"/>
      <c r="X66" s="7"/>
      <c r="Y66" s="7"/>
      <c r="Z66" s="7"/>
      <c r="AA66" s="7"/>
      <c r="AB66" s="7"/>
      <c r="AC66" s="7"/>
    </row>
    <row r="67" spans="1:29" ht="26.25">
      <c r="A67" s="779"/>
      <c r="B67" s="109" t="s">
        <v>101</v>
      </c>
      <c r="C67" s="117"/>
      <c r="D67" s="118"/>
      <c r="E67" s="113"/>
      <c r="F67" s="113"/>
      <c r="G67" s="113"/>
      <c r="H67" s="118"/>
      <c r="I67" s="118"/>
      <c r="J67" s="98"/>
      <c r="K67" s="98"/>
      <c r="L67" s="98"/>
      <c r="M67" s="98"/>
      <c r="N67" s="98"/>
      <c r="O67" s="91"/>
      <c r="P67" s="91"/>
      <c r="Q67" s="92"/>
      <c r="R67" s="92"/>
      <c r="S67" s="91"/>
      <c r="T67" s="92"/>
      <c r="U67" s="644"/>
      <c r="V67" s="107"/>
      <c r="W67" s="14"/>
      <c r="X67" s="7"/>
      <c r="Y67" s="7"/>
      <c r="Z67" s="7"/>
      <c r="AA67" s="7"/>
      <c r="AB67" s="7"/>
      <c r="AC67" s="7"/>
    </row>
    <row r="68" spans="1:29" ht="31.5" customHeight="1">
      <c r="A68" s="779"/>
      <c r="B68" s="380" t="s">
        <v>102</v>
      </c>
      <c r="C68" s="349">
        <v>1521</v>
      </c>
      <c r="D68" s="381"/>
      <c r="E68" s="382"/>
      <c r="F68" s="382"/>
      <c r="G68" s="382"/>
      <c r="H68" s="381"/>
      <c r="I68" s="381"/>
      <c r="J68" s="46"/>
      <c r="K68" s="46"/>
      <c r="L68" s="46"/>
      <c r="M68" s="46"/>
      <c r="N68" s="46"/>
      <c r="O68" s="28">
        <f>13419.43+32703.61</f>
        <v>46123.040000000001</v>
      </c>
      <c r="P68" s="28">
        <f>13650.24+33076.37</f>
        <v>46726.61</v>
      </c>
      <c r="Q68" s="77"/>
      <c r="R68" s="77"/>
      <c r="S68" s="28">
        <v>80</v>
      </c>
      <c r="T68" s="77">
        <f>(P68-O68)*S68-T72-T73</f>
        <v>43614.599999999977</v>
      </c>
      <c r="U68" s="455" t="s">
        <v>1114</v>
      </c>
      <c r="V68" s="369" t="s">
        <v>104</v>
      </c>
      <c r="W68" s="14" t="s">
        <v>48</v>
      </c>
      <c r="X68" s="48"/>
      <c r="Y68" s="7"/>
      <c r="Z68" s="7"/>
      <c r="AA68" s="7"/>
      <c r="AB68" s="7"/>
      <c r="AC68" s="7"/>
    </row>
    <row r="69" spans="1:29" ht="51.75" customHeight="1">
      <c r="A69" s="779"/>
      <c r="B69" s="383" t="s">
        <v>105</v>
      </c>
      <c r="C69" s="349">
        <f>T71</f>
        <v>20364.000000000087</v>
      </c>
      <c r="D69" s="381"/>
      <c r="E69" s="382"/>
      <c r="F69" s="382"/>
      <c r="G69" s="382"/>
      <c r="H69" s="381"/>
      <c r="I69" s="381"/>
      <c r="J69" s="46"/>
      <c r="K69" s="46"/>
      <c r="L69" s="46"/>
      <c r="M69" s="46"/>
      <c r="N69" s="46"/>
      <c r="O69" s="28"/>
      <c r="P69" s="28"/>
      <c r="Q69" s="77"/>
      <c r="R69" s="77"/>
      <c r="S69" s="28"/>
      <c r="T69" s="77"/>
      <c r="U69" s="455"/>
      <c r="V69" s="369"/>
      <c r="W69" s="14" t="s">
        <v>48</v>
      </c>
      <c r="X69" s="48"/>
      <c r="Y69" s="7"/>
      <c r="Z69" s="7"/>
      <c r="AA69" s="7"/>
      <c r="AB69" s="7"/>
      <c r="AC69" s="7"/>
    </row>
    <row r="70" spans="1:29" ht="25.5">
      <c r="A70" s="779"/>
      <c r="B70" s="384" t="s">
        <v>106</v>
      </c>
      <c r="C70" s="28">
        <f>H70</f>
        <v>7848</v>
      </c>
      <c r="D70" s="28"/>
      <c r="E70" s="28">
        <f>F70+G70</f>
        <v>549.36</v>
      </c>
      <c r="F70" s="28">
        <f>0.04*H70</f>
        <v>313.92</v>
      </c>
      <c r="G70" s="28">
        <f>0.03*H70</f>
        <v>235.44</v>
      </c>
      <c r="H70" s="28">
        <f>T70</f>
        <v>7848</v>
      </c>
      <c r="I70" s="28">
        <f>0.6*C70</f>
        <v>4708.8</v>
      </c>
      <c r="J70" s="29"/>
      <c r="K70" s="29"/>
      <c r="L70" s="29"/>
      <c r="M70" s="29"/>
      <c r="N70" s="29"/>
      <c r="O70" s="28">
        <f>194204+18642</f>
        <v>212846</v>
      </c>
      <c r="P70" s="28">
        <f>200294+20400</f>
        <v>220694</v>
      </c>
      <c r="Q70" s="30"/>
      <c r="R70" s="351"/>
      <c r="S70" s="54">
        <v>1</v>
      </c>
      <c r="T70" s="28">
        <f>(P70-O70)*S70</f>
        <v>7848</v>
      </c>
      <c r="U70" s="455" t="s">
        <v>1115</v>
      </c>
      <c r="V70" s="783" t="s">
        <v>106</v>
      </c>
      <c r="W70" s="14" t="s">
        <v>48</v>
      </c>
      <c r="X70" s="48"/>
      <c r="Y70" s="7"/>
      <c r="Z70" s="7"/>
      <c r="AA70" s="7"/>
      <c r="AB70" s="7"/>
      <c r="AC70" s="7"/>
    </row>
    <row r="71" spans="1:29" ht="28.5" customHeight="1">
      <c r="A71" s="779"/>
      <c r="B71" s="380" t="s">
        <v>107</v>
      </c>
      <c r="C71" s="349">
        <f>T68-C706</f>
        <v>9102.8199999999779</v>
      </c>
      <c r="D71" s="381"/>
      <c r="E71" s="382"/>
      <c r="F71" s="382"/>
      <c r="G71" s="382"/>
      <c r="H71" s="381"/>
      <c r="I71" s="382">
        <f>T69-I707</f>
        <v>0</v>
      </c>
      <c r="J71" s="46"/>
      <c r="K71" s="46"/>
      <c r="L71" s="46"/>
      <c r="M71" s="46"/>
      <c r="N71" s="46"/>
      <c r="O71" s="28">
        <f>4823.54+3924.68</f>
        <v>8748.2199999999993</v>
      </c>
      <c r="P71" s="28">
        <f>4927.66+4075.11</f>
        <v>9002.77</v>
      </c>
      <c r="Q71" s="77"/>
      <c r="R71" s="77"/>
      <c r="S71" s="28">
        <v>80</v>
      </c>
      <c r="T71" s="77">
        <f>(P71-O71)*S71</f>
        <v>20364.000000000087</v>
      </c>
      <c r="U71" s="455" t="s">
        <v>1116</v>
      </c>
      <c r="V71" s="369" t="s">
        <v>109</v>
      </c>
      <c r="W71" s="14" t="s">
        <v>48</v>
      </c>
      <c r="X71" s="48"/>
      <c r="Y71" s="7"/>
      <c r="Z71" s="7"/>
      <c r="AA71" s="7"/>
      <c r="AB71" s="7"/>
      <c r="AC71" s="7"/>
    </row>
    <row r="72" spans="1:29" ht="28.5" customHeight="1">
      <c r="A72" s="779"/>
      <c r="B72" s="352" t="s">
        <v>684</v>
      </c>
      <c r="C72" s="28">
        <f t="shared" ref="C72" si="15">H72+E72</f>
        <v>3815</v>
      </c>
      <c r="D72" s="28"/>
      <c r="E72" s="28">
        <v>0</v>
      </c>
      <c r="F72" s="28">
        <v>0</v>
      </c>
      <c r="G72" s="28">
        <v>0</v>
      </c>
      <c r="H72" s="28">
        <f>T72</f>
        <v>3815</v>
      </c>
      <c r="I72" s="28">
        <f t="shared" ref="I72" si="16">0.4*C72</f>
        <v>1526</v>
      </c>
      <c r="J72" s="46"/>
      <c r="K72" s="46"/>
      <c r="L72" s="46"/>
      <c r="M72" s="29"/>
      <c r="N72" s="29"/>
      <c r="O72" s="28">
        <v>67829</v>
      </c>
      <c r="P72" s="28">
        <v>71644</v>
      </c>
      <c r="Q72" s="30"/>
      <c r="R72" s="361"/>
      <c r="S72" s="28">
        <v>1</v>
      </c>
      <c r="T72" s="28">
        <f>(P72-O72)*S72</f>
        <v>3815</v>
      </c>
      <c r="U72" s="736">
        <v>5837</v>
      </c>
      <c r="V72" s="44" t="s">
        <v>713</v>
      </c>
      <c r="W72" s="14"/>
      <c r="X72" s="48"/>
      <c r="Y72" s="7"/>
      <c r="Z72" s="7"/>
      <c r="AA72" s="7"/>
      <c r="AB72" s="7"/>
      <c r="AC72" s="7"/>
    </row>
    <row r="73" spans="1:29" ht="28.5" customHeight="1">
      <c r="A73" s="779"/>
      <c r="B73" s="380" t="s">
        <v>110</v>
      </c>
      <c r="C73" s="28">
        <f>H73+E73</f>
        <v>915.92</v>
      </c>
      <c r="D73" s="28"/>
      <c r="E73" s="28">
        <f>F73+G73</f>
        <v>59.92</v>
      </c>
      <c r="F73" s="28">
        <f>0.04*H73</f>
        <v>34.24</v>
      </c>
      <c r="G73" s="28">
        <f>0.03*H73</f>
        <v>25.68</v>
      </c>
      <c r="H73" s="28">
        <f>T73</f>
        <v>856</v>
      </c>
      <c r="I73" s="28">
        <f>0.6*C73</f>
        <v>549.55199999999991</v>
      </c>
      <c r="J73" s="46"/>
      <c r="K73" s="46"/>
      <c r="L73" s="46"/>
      <c r="M73" s="46"/>
      <c r="N73" s="46"/>
      <c r="O73" s="28">
        <v>18531</v>
      </c>
      <c r="P73" s="28">
        <v>19387</v>
      </c>
      <c r="Q73" s="77"/>
      <c r="R73" s="77"/>
      <c r="S73" s="28">
        <v>1</v>
      </c>
      <c r="T73" s="28">
        <f>(P73-O73)*S73</f>
        <v>856</v>
      </c>
      <c r="U73" s="455" t="s">
        <v>1117</v>
      </c>
      <c r="V73" s="369" t="s">
        <v>111</v>
      </c>
      <c r="W73" s="14" t="s">
        <v>48</v>
      </c>
      <c r="X73" s="48"/>
      <c r="Y73" s="7"/>
      <c r="Z73" s="7"/>
      <c r="AA73" s="7"/>
      <c r="AB73" s="7"/>
      <c r="AC73" s="7"/>
    </row>
    <row r="74" spans="1:29" ht="26.25">
      <c r="A74" s="108"/>
      <c r="B74" s="119" t="s">
        <v>112</v>
      </c>
      <c r="C74" s="97">
        <f>SUM(C68:C73)</f>
        <v>43566.740000000063</v>
      </c>
      <c r="D74" s="120"/>
      <c r="E74" s="121"/>
      <c r="F74" s="121"/>
      <c r="G74" s="121"/>
      <c r="H74" s="120"/>
      <c r="I74" s="121"/>
      <c r="J74" s="98"/>
      <c r="K74" s="98"/>
      <c r="L74" s="98"/>
      <c r="M74" s="98"/>
      <c r="N74" s="98"/>
      <c r="O74" s="91"/>
      <c r="P74" s="91"/>
      <c r="Q74" s="92"/>
      <c r="R74" s="92"/>
      <c r="S74" s="91"/>
      <c r="T74" s="92"/>
      <c r="U74" s="644"/>
      <c r="V74" s="107"/>
      <c r="W74" s="14" t="s">
        <v>48</v>
      </c>
      <c r="X74" s="48"/>
      <c r="Y74" s="122"/>
      <c r="Z74" s="122"/>
      <c r="AA74" s="122"/>
      <c r="AB74" s="122"/>
      <c r="AC74" s="122"/>
    </row>
    <row r="75" spans="1:29" ht="25.5">
      <c r="A75" s="779"/>
      <c r="B75" s="1"/>
      <c r="U75" s="719"/>
      <c r="V75" s="1"/>
      <c r="W75" s="14"/>
      <c r="X75" s="48"/>
      <c r="Y75" s="7"/>
      <c r="Z75" s="7"/>
      <c r="AA75" s="7"/>
      <c r="AB75" s="7"/>
      <c r="AC75" s="7"/>
    </row>
    <row r="76" spans="1:29" ht="26.25">
      <c r="A76" s="779"/>
      <c r="B76" s="123" t="s">
        <v>113</v>
      </c>
      <c r="C76" s="124"/>
      <c r="D76" s="125"/>
      <c r="E76" s="124"/>
      <c r="F76" s="124"/>
      <c r="G76" s="124"/>
      <c r="H76" s="124"/>
      <c r="I76" s="124"/>
      <c r="J76" s="126"/>
      <c r="K76" s="126"/>
      <c r="L76" s="126"/>
      <c r="M76" s="126"/>
      <c r="N76" s="126"/>
      <c r="O76" s="124"/>
      <c r="P76" s="124"/>
      <c r="Q76" s="125"/>
      <c r="R76" s="125"/>
      <c r="S76" s="124"/>
      <c r="T76" s="124"/>
      <c r="U76" s="717"/>
      <c r="V76" s="128"/>
      <c r="W76" s="14"/>
      <c r="X76" s="7"/>
      <c r="Y76" s="7"/>
      <c r="Z76" s="7"/>
      <c r="AA76" s="7"/>
      <c r="AB76" s="7"/>
      <c r="AC76" s="7"/>
    </row>
    <row r="77" spans="1:29" ht="25.5">
      <c r="A77" s="19"/>
      <c r="B77" s="129" t="s">
        <v>114</v>
      </c>
      <c r="C77" s="84">
        <f>(T77+T78)</f>
        <v>30894.999999999982</v>
      </c>
      <c r="D77" s="84"/>
      <c r="E77" s="84">
        <f>F77+G77</f>
        <v>0</v>
      </c>
      <c r="F77" s="84">
        <v>0</v>
      </c>
      <c r="G77" s="84">
        <v>0</v>
      </c>
      <c r="H77" s="84">
        <f>T77</f>
        <v>0</v>
      </c>
      <c r="I77" s="84">
        <f>T79</f>
        <v>0</v>
      </c>
      <c r="J77" s="130"/>
      <c r="K77" s="131"/>
      <c r="L77" s="131"/>
      <c r="M77" s="130"/>
      <c r="N77" s="130"/>
      <c r="O77" s="84">
        <v>4067.02</v>
      </c>
      <c r="P77" s="84">
        <v>4067.02</v>
      </c>
      <c r="Q77" s="385" t="s">
        <v>37</v>
      </c>
      <c r="R77" s="385"/>
      <c r="S77" s="84">
        <v>40</v>
      </c>
      <c r="T77" s="84">
        <f>(P77-O77)*S77</f>
        <v>0</v>
      </c>
      <c r="U77" s="722">
        <v>7163</v>
      </c>
      <c r="V77" s="386" t="s">
        <v>115</v>
      </c>
      <c r="W77" s="14" t="s">
        <v>116</v>
      </c>
      <c r="X77" s="7"/>
      <c r="Y77" s="7"/>
      <c r="Z77" s="7"/>
      <c r="AA77" s="7"/>
      <c r="AB77" s="7"/>
      <c r="AC77" s="7"/>
    </row>
    <row r="78" spans="1:29" ht="26.25" customHeight="1">
      <c r="A78" s="19"/>
      <c r="B78" s="129"/>
      <c r="C78" s="84"/>
      <c r="D78" s="84"/>
      <c r="E78" s="84">
        <f>F78+G78</f>
        <v>0</v>
      </c>
      <c r="F78" s="84">
        <v>0</v>
      </c>
      <c r="G78" s="84">
        <v>0</v>
      </c>
      <c r="H78" s="84">
        <f>T78</f>
        <v>30894.999999999982</v>
      </c>
      <c r="I78" s="84">
        <f>T81</f>
        <v>0</v>
      </c>
      <c r="J78" s="130"/>
      <c r="K78" s="131"/>
      <c r="L78" s="131"/>
      <c r="M78" s="130"/>
      <c r="N78" s="130"/>
      <c r="O78" s="84">
        <v>12431.57</v>
      </c>
      <c r="P78" s="84">
        <v>13049.47</v>
      </c>
      <c r="Q78" s="385" t="s">
        <v>37</v>
      </c>
      <c r="R78" s="385"/>
      <c r="S78" s="84">
        <v>50</v>
      </c>
      <c r="T78" s="84">
        <f>(P78-O78)*S78-T98</f>
        <v>30894.999999999982</v>
      </c>
      <c r="U78" s="722">
        <v>7215</v>
      </c>
      <c r="V78" s="386" t="s">
        <v>117</v>
      </c>
      <c r="W78" s="14" t="s">
        <v>27</v>
      </c>
      <c r="X78" s="7"/>
      <c r="Y78" s="7"/>
      <c r="Z78" s="7"/>
      <c r="AA78" s="7"/>
      <c r="AB78" s="7"/>
      <c r="AC78" s="7"/>
    </row>
    <row r="79" spans="1:29" ht="25.5">
      <c r="A79" s="19"/>
      <c r="B79" s="129"/>
      <c r="C79" s="84"/>
      <c r="D79" s="84"/>
      <c r="E79" s="84"/>
      <c r="F79" s="84"/>
      <c r="G79" s="84"/>
      <c r="H79" s="84"/>
      <c r="I79" s="84"/>
      <c r="J79" s="131"/>
      <c r="K79" s="131"/>
      <c r="L79" s="131"/>
      <c r="M79" s="131"/>
      <c r="N79" s="131"/>
      <c r="O79" s="84"/>
      <c r="P79" s="84"/>
      <c r="Q79" s="85"/>
      <c r="R79" s="85"/>
      <c r="S79" s="84"/>
      <c r="T79" s="84"/>
      <c r="U79" s="722"/>
      <c r="V79" s="89"/>
      <c r="W79" s="134" t="s">
        <v>118</v>
      </c>
      <c r="X79" s="7"/>
      <c r="Y79" s="7"/>
      <c r="Z79" s="7"/>
      <c r="AA79" s="7"/>
      <c r="AB79" s="7"/>
      <c r="AC79" s="7"/>
    </row>
    <row r="80" spans="1:29" ht="25.5">
      <c r="A80" s="19"/>
      <c r="B80" s="129" t="s">
        <v>119</v>
      </c>
      <c r="C80" s="84">
        <f>H80+E80</f>
        <v>321</v>
      </c>
      <c r="D80" s="84"/>
      <c r="E80" s="84">
        <f>F80+G80</f>
        <v>21</v>
      </c>
      <c r="F80" s="84">
        <f>0.04*H80</f>
        <v>12</v>
      </c>
      <c r="G80" s="84">
        <f>0.03*H80</f>
        <v>9</v>
      </c>
      <c r="H80" s="84">
        <f>T80</f>
        <v>300</v>
      </c>
      <c r="I80" s="84">
        <f>0.6*C80</f>
        <v>192.6</v>
      </c>
      <c r="J80" s="131"/>
      <c r="K80" s="131"/>
      <c r="L80" s="131"/>
      <c r="M80" s="131"/>
      <c r="N80" s="131"/>
      <c r="O80" s="84">
        <v>5400</v>
      </c>
      <c r="P80" s="84">
        <v>5700</v>
      </c>
      <c r="Q80" s="85"/>
      <c r="R80" s="85"/>
      <c r="S80" s="84">
        <v>1</v>
      </c>
      <c r="T80" s="84">
        <f>(P80-O80)*S80</f>
        <v>300</v>
      </c>
      <c r="U80" s="722"/>
      <c r="V80" s="89" t="s">
        <v>120</v>
      </c>
      <c r="W80" s="134" t="s">
        <v>116</v>
      </c>
      <c r="X80" s="7"/>
      <c r="Y80" s="7"/>
      <c r="Z80" s="7"/>
      <c r="AA80" s="7"/>
      <c r="AB80" s="7"/>
      <c r="AC80" s="7"/>
    </row>
    <row r="81" spans="1:29" ht="26.25">
      <c r="A81" s="135"/>
      <c r="B81" s="136" t="s">
        <v>121</v>
      </c>
      <c r="C81" s="97">
        <f>C77+C79</f>
        <v>30894.999999999982</v>
      </c>
      <c r="D81" s="137"/>
      <c r="E81" s="97"/>
      <c r="F81" s="97"/>
      <c r="G81" s="97"/>
      <c r="H81" s="97"/>
      <c r="I81" s="124">
        <f>I79+I77</f>
        <v>0</v>
      </c>
      <c r="J81" s="126"/>
      <c r="K81" s="126"/>
      <c r="L81" s="126"/>
      <c r="M81" s="126"/>
      <c r="N81" s="126"/>
      <c r="O81" s="124"/>
      <c r="P81" s="124"/>
      <c r="Q81" s="138"/>
      <c r="R81" s="139"/>
      <c r="S81" s="140"/>
      <c r="T81" s="124"/>
      <c r="U81" s="717"/>
      <c r="V81" s="128"/>
      <c r="W81" s="14"/>
      <c r="X81" s="7"/>
      <c r="Y81" s="7"/>
      <c r="Z81" s="7"/>
      <c r="AA81" s="7"/>
      <c r="AB81" s="7"/>
      <c r="AC81" s="7"/>
    </row>
    <row r="82" spans="1:29" ht="26.25">
      <c r="A82" s="135"/>
      <c r="B82" s="136" t="s">
        <v>122</v>
      </c>
      <c r="C82" s="97"/>
      <c r="D82" s="137"/>
      <c r="E82" s="97"/>
      <c r="F82" s="97"/>
      <c r="G82" s="97"/>
      <c r="H82" s="97"/>
      <c r="I82" s="124"/>
      <c r="J82" s="126"/>
      <c r="K82" s="126"/>
      <c r="L82" s="126"/>
      <c r="M82" s="126"/>
      <c r="N82" s="126"/>
      <c r="O82" s="124"/>
      <c r="P82" s="124"/>
      <c r="Q82" s="138"/>
      <c r="R82" s="139"/>
      <c r="S82" s="140"/>
      <c r="T82" s="124"/>
      <c r="U82" s="717"/>
      <c r="V82" s="128"/>
      <c r="W82" s="14"/>
      <c r="X82" s="7"/>
      <c r="Y82" s="7"/>
      <c r="Z82" s="7"/>
      <c r="AA82" s="7"/>
      <c r="AB82" s="7"/>
      <c r="AC82" s="7"/>
    </row>
    <row r="83" spans="1:29" ht="26.25">
      <c r="A83" s="19"/>
      <c r="B83" s="387" t="s">
        <v>123</v>
      </c>
      <c r="C83" s="84">
        <f>H83+E83</f>
        <v>4208.0000000000109</v>
      </c>
      <c r="D83" s="84"/>
      <c r="E83" s="84">
        <f>F83+G83</f>
        <v>0</v>
      </c>
      <c r="F83" s="84">
        <v>0</v>
      </c>
      <c r="G83" s="84">
        <v>0</v>
      </c>
      <c r="H83" s="84">
        <f>T83</f>
        <v>4208.0000000000109</v>
      </c>
      <c r="I83" s="84">
        <f>T86</f>
        <v>0</v>
      </c>
      <c r="J83" s="130"/>
      <c r="K83" s="131"/>
      <c r="L83" s="131"/>
      <c r="M83" s="130"/>
      <c r="N83" s="130"/>
      <c r="O83" s="84">
        <v>4055.4</v>
      </c>
      <c r="P83" s="84">
        <v>4160.6000000000004</v>
      </c>
      <c r="Q83" s="385" t="s">
        <v>37</v>
      </c>
      <c r="R83" s="385"/>
      <c r="S83" s="84">
        <v>40</v>
      </c>
      <c r="T83" s="84">
        <f>(P83-O83)*S83</f>
        <v>4208.0000000000109</v>
      </c>
      <c r="U83" s="722">
        <v>5669</v>
      </c>
      <c r="V83" s="89" t="s">
        <v>124</v>
      </c>
      <c r="W83" s="14" t="s">
        <v>19</v>
      </c>
      <c r="X83" s="7"/>
      <c r="Y83" s="7"/>
      <c r="Z83" s="7"/>
      <c r="AA83" s="7"/>
      <c r="AB83" s="7"/>
      <c r="AC83" s="7"/>
    </row>
    <row r="84" spans="1:29" ht="30.75" customHeight="1">
      <c r="A84" s="19"/>
      <c r="B84" s="83" t="s">
        <v>125</v>
      </c>
      <c r="C84" s="84">
        <f>H84+E84</f>
        <v>13671.999999999989</v>
      </c>
      <c r="D84" s="84"/>
      <c r="E84" s="84">
        <f>F84+G84</f>
        <v>0</v>
      </c>
      <c r="F84" s="84">
        <v>0</v>
      </c>
      <c r="G84" s="84">
        <v>0</v>
      </c>
      <c r="H84" s="84">
        <f>T84</f>
        <v>13671.999999999989</v>
      </c>
      <c r="I84" s="84">
        <f>T87</f>
        <v>0</v>
      </c>
      <c r="J84" s="130"/>
      <c r="K84" s="131"/>
      <c r="L84" s="131"/>
      <c r="M84" s="130"/>
      <c r="N84" s="130"/>
      <c r="O84" s="84">
        <v>3775.5</v>
      </c>
      <c r="P84" s="84">
        <v>4029</v>
      </c>
      <c r="Q84" s="385" t="s">
        <v>37</v>
      </c>
      <c r="R84" s="385"/>
      <c r="S84" s="84">
        <v>120</v>
      </c>
      <c r="T84" s="84">
        <f>(P84-O84)*S84-T377-T343-T83-T362-T376-T172</f>
        <v>13671.999999999989</v>
      </c>
      <c r="U84" s="722">
        <v>1152</v>
      </c>
      <c r="V84" s="89" t="s">
        <v>124</v>
      </c>
      <c r="W84" s="14" t="s">
        <v>19</v>
      </c>
      <c r="X84" s="7"/>
      <c r="Y84" s="7"/>
      <c r="Z84" s="7"/>
      <c r="AA84" s="7"/>
      <c r="AB84" s="7"/>
      <c r="AC84" s="7"/>
    </row>
    <row r="85" spans="1:29" ht="27.75">
      <c r="A85" s="19"/>
      <c r="B85" s="141" t="s">
        <v>932</v>
      </c>
      <c r="C85" s="115">
        <f>SUM(C54+C74+C81+C66+C83+C84)</f>
        <v>502533.1398000007</v>
      </c>
      <c r="D85" s="91"/>
      <c r="E85" s="115"/>
      <c r="F85" s="91"/>
      <c r="G85" s="91"/>
      <c r="H85" s="115"/>
      <c r="I85" s="91">
        <f>SUM(I8:I43)+I74+I81+I66</f>
        <v>221671.67000000033</v>
      </c>
      <c r="J85" s="22"/>
      <c r="K85" s="22"/>
      <c r="L85" s="22"/>
      <c r="M85" s="22"/>
      <c r="N85" s="22"/>
      <c r="O85" s="91"/>
      <c r="P85" s="91"/>
      <c r="Q85" s="22"/>
      <c r="R85" s="142"/>
      <c r="S85" s="91"/>
      <c r="T85" s="91"/>
      <c r="U85" s="644"/>
      <c r="V85" s="782"/>
      <c r="W85" s="14"/>
      <c r="X85" s="7"/>
      <c r="Y85" s="7"/>
      <c r="Z85" s="7"/>
      <c r="AA85" s="7"/>
      <c r="AB85" s="7"/>
      <c r="AC85" s="7"/>
    </row>
    <row r="86" spans="1:29" ht="26.25">
      <c r="A86" s="19"/>
      <c r="B86" s="143"/>
      <c r="C86" s="115"/>
      <c r="D86" s="91"/>
      <c r="E86" s="115"/>
      <c r="F86" s="91"/>
      <c r="G86" s="91"/>
      <c r="H86" s="91"/>
      <c r="I86" s="91"/>
      <c r="J86" s="22"/>
      <c r="K86" s="22"/>
      <c r="L86" s="22"/>
      <c r="M86" s="22"/>
      <c r="N86" s="22"/>
      <c r="O86" s="91"/>
      <c r="P86" s="91"/>
      <c r="Q86" s="22"/>
      <c r="R86" s="142"/>
      <c r="S86" s="91"/>
      <c r="T86" s="91"/>
      <c r="U86" s="644"/>
      <c r="V86" s="782"/>
      <c r="W86" s="14"/>
      <c r="X86" s="7"/>
      <c r="Y86" s="7"/>
      <c r="Z86" s="7"/>
      <c r="AA86" s="7"/>
      <c r="AB86" s="7"/>
      <c r="AC86" s="7"/>
    </row>
    <row r="87" spans="1:29" ht="25.5">
      <c r="A87" s="822"/>
      <c r="B87" s="823"/>
      <c r="C87" s="91"/>
      <c r="D87" s="91"/>
      <c r="E87" s="92"/>
      <c r="F87" s="91"/>
      <c r="G87" s="91"/>
      <c r="H87" s="91"/>
      <c r="I87" s="91"/>
      <c r="J87" s="22"/>
      <c r="K87" s="22"/>
      <c r="L87" s="22"/>
      <c r="M87" s="22"/>
      <c r="N87" s="22"/>
      <c r="O87" s="91"/>
      <c r="P87" s="91"/>
      <c r="Q87" s="22"/>
      <c r="R87" s="142"/>
      <c r="S87" s="91"/>
      <c r="T87" s="91"/>
      <c r="U87" s="644"/>
      <c r="V87" s="782"/>
      <c r="W87" s="14"/>
      <c r="X87" s="7"/>
      <c r="Y87" s="7"/>
      <c r="Z87" s="7"/>
      <c r="AA87" s="7"/>
      <c r="AB87" s="7"/>
      <c r="AC87" s="7"/>
    </row>
    <row r="88" spans="1:29" ht="25.5">
      <c r="A88" s="19"/>
      <c r="B88" s="62" t="s">
        <v>127</v>
      </c>
      <c r="C88" s="28">
        <f>H88-C89-C90-C726-D720</f>
        <v>21938.072000000044</v>
      </c>
      <c r="D88" s="28"/>
      <c r="E88" s="28"/>
      <c r="F88" s="28"/>
      <c r="G88" s="28"/>
      <c r="H88" s="28">
        <f>T88</f>
        <v>28677.072000000044</v>
      </c>
      <c r="I88" s="28">
        <v>0</v>
      </c>
      <c r="J88" s="29"/>
      <c r="K88" s="29"/>
      <c r="L88" s="29"/>
      <c r="M88" s="29"/>
      <c r="N88" s="29"/>
      <c r="O88" s="28">
        <v>42548.073199999999</v>
      </c>
      <c r="P88" s="28">
        <v>43265</v>
      </c>
      <c r="Q88" s="30"/>
      <c r="R88" s="351"/>
      <c r="S88" s="28">
        <v>40</v>
      </c>
      <c r="T88" s="28">
        <f>(P88-O88)*S88</f>
        <v>28677.072000000044</v>
      </c>
      <c r="U88" s="455">
        <v>95964307</v>
      </c>
      <c r="V88" s="783" t="s">
        <v>128</v>
      </c>
      <c r="W88" s="14"/>
      <c r="X88" s="7"/>
      <c r="Y88" s="7"/>
      <c r="Z88" s="93"/>
      <c r="AA88" s="93"/>
      <c r="AB88" s="93"/>
      <c r="AC88" s="7"/>
    </row>
    <row r="89" spans="1:29" s="42" customFormat="1" ht="25.5">
      <c r="A89" s="32"/>
      <c r="B89" s="69" t="s">
        <v>129</v>
      </c>
      <c r="C89" s="49">
        <f>H89</f>
        <v>1200</v>
      </c>
      <c r="D89" s="49"/>
      <c r="E89" s="49"/>
      <c r="F89" s="49"/>
      <c r="G89" s="49"/>
      <c r="H89" s="49">
        <v>1200</v>
      </c>
      <c r="I89" s="49">
        <v>0</v>
      </c>
      <c r="J89" s="51"/>
      <c r="K89" s="51"/>
      <c r="L89" s="51"/>
      <c r="M89" s="51"/>
      <c r="N89" s="51"/>
      <c r="O89" s="49"/>
      <c r="P89" s="49"/>
      <c r="Q89" s="70"/>
      <c r="R89" s="76"/>
      <c r="S89" s="49"/>
      <c r="T89" s="49"/>
      <c r="U89" s="714" t="s">
        <v>29</v>
      </c>
      <c r="V89" s="64"/>
      <c r="W89" s="144"/>
      <c r="X89" s="41"/>
      <c r="Y89" s="41"/>
      <c r="Z89" s="145"/>
      <c r="AA89" s="145"/>
      <c r="AB89" s="145"/>
      <c r="AC89" s="41"/>
    </row>
    <row r="90" spans="1:29" ht="26.25">
      <c r="A90" s="19"/>
      <c r="B90" s="27" t="s">
        <v>130</v>
      </c>
      <c r="C90" s="72">
        <f>H90+E90</f>
        <v>2317</v>
      </c>
      <c r="D90" s="77"/>
      <c r="E90" s="28">
        <f>247</f>
        <v>247</v>
      </c>
      <c r="F90" s="28"/>
      <c r="G90" s="28"/>
      <c r="H90" s="28">
        <f>T90</f>
        <v>2070</v>
      </c>
      <c r="I90" s="28"/>
      <c r="J90" s="29"/>
      <c r="K90" s="29"/>
      <c r="L90" s="29"/>
      <c r="M90" s="29"/>
      <c r="N90" s="29"/>
      <c r="O90" s="28">
        <v>15698</v>
      </c>
      <c r="P90" s="28">
        <v>15767</v>
      </c>
      <c r="Q90" s="146"/>
      <c r="R90" s="147"/>
      <c r="S90" s="54">
        <v>30</v>
      </c>
      <c r="T90" s="28">
        <f>(P90-O90)*S90</f>
        <v>2070</v>
      </c>
      <c r="U90" s="455"/>
      <c r="V90" s="783" t="s">
        <v>131</v>
      </c>
      <c r="W90" s="14"/>
      <c r="X90" s="7"/>
      <c r="Y90" s="7"/>
      <c r="Z90" s="93"/>
      <c r="AA90" s="93"/>
      <c r="AB90" s="93"/>
      <c r="AC90" s="7"/>
    </row>
    <row r="91" spans="1:29" ht="25.5" customHeight="1">
      <c r="A91" s="19"/>
      <c r="B91" s="148"/>
      <c r="C91" s="115"/>
      <c r="D91" s="92"/>
      <c r="E91" s="91"/>
      <c r="F91" s="91"/>
      <c r="G91" s="91"/>
      <c r="H91" s="91"/>
      <c r="I91" s="91"/>
      <c r="J91" s="22"/>
      <c r="K91" s="22"/>
      <c r="L91" s="22"/>
      <c r="M91" s="22"/>
      <c r="N91" s="22"/>
      <c r="O91" s="91"/>
      <c r="P91" s="91"/>
      <c r="Q91" s="149"/>
      <c r="R91" s="150"/>
      <c r="S91" s="151"/>
      <c r="T91" s="91"/>
      <c r="U91" s="644"/>
      <c r="V91" s="782"/>
      <c r="W91" s="14"/>
      <c r="X91" s="7"/>
      <c r="Y91" s="7"/>
      <c r="Z91" s="7"/>
      <c r="AA91" s="7"/>
      <c r="AB91" s="7"/>
      <c r="AC91" s="7"/>
    </row>
    <row r="92" spans="1:29" ht="26.25">
      <c r="A92" s="19"/>
      <c r="B92" s="96" t="s">
        <v>86</v>
      </c>
      <c r="C92" s="115">
        <f>C88+C89+C90+C726+D726</f>
        <v>28677.072000000044</v>
      </c>
      <c r="D92" s="28"/>
      <c r="E92" s="72"/>
      <c r="F92" s="28"/>
      <c r="G92" s="28"/>
      <c r="H92" s="72"/>
      <c r="I92" s="91">
        <v>0</v>
      </c>
      <c r="J92" s="22"/>
      <c r="K92" s="22"/>
      <c r="L92" s="22"/>
      <c r="M92" s="22"/>
      <c r="N92" s="22"/>
      <c r="O92" s="91"/>
      <c r="P92" s="91"/>
      <c r="Q92" s="22" t="s">
        <v>26</v>
      </c>
      <c r="R92" s="142"/>
      <c r="S92" s="91"/>
      <c r="T92" s="91">
        <v>0</v>
      </c>
      <c r="U92" s="455"/>
      <c r="V92" s="780"/>
      <c r="W92" s="14"/>
      <c r="X92" s="7"/>
      <c r="Y92" s="7"/>
      <c r="Z92" s="149"/>
      <c r="AA92" s="149"/>
      <c r="AB92" s="149"/>
      <c r="AC92" s="149"/>
    </row>
    <row r="93" spans="1:29" ht="26.25">
      <c r="A93" s="19"/>
      <c r="B93" s="143"/>
      <c r="C93" s="115"/>
      <c r="D93" s="91"/>
      <c r="E93" s="115"/>
      <c r="F93" s="91"/>
      <c r="G93" s="91"/>
      <c r="H93" s="91"/>
      <c r="I93" s="91"/>
      <c r="J93" s="22"/>
      <c r="K93" s="22"/>
      <c r="L93" s="22"/>
      <c r="M93" s="22"/>
      <c r="N93" s="22"/>
      <c r="O93" s="91"/>
      <c r="P93" s="91"/>
      <c r="Q93" s="22" t="s">
        <v>28</v>
      </c>
      <c r="R93" s="142"/>
      <c r="S93" s="91"/>
      <c r="T93" s="91"/>
      <c r="U93" s="644"/>
      <c r="V93" s="782"/>
      <c r="W93" s="14"/>
      <c r="X93" s="7"/>
      <c r="Y93" s="7"/>
      <c r="Z93" s="149"/>
      <c r="AA93" s="149"/>
      <c r="AB93" s="149"/>
      <c r="AC93" s="149"/>
    </row>
    <row r="94" spans="1:29" ht="25.5" customHeight="1">
      <c r="A94" s="808" t="s">
        <v>132</v>
      </c>
      <c r="B94" s="809"/>
      <c r="C94" s="91"/>
      <c r="D94" s="91"/>
      <c r="E94" s="92"/>
      <c r="F94" s="91"/>
      <c r="G94" s="91"/>
      <c r="H94" s="91"/>
      <c r="I94" s="91"/>
      <c r="J94" s="22"/>
      <c r="K94" s="22"/>
      <c r="L94" s="22"/>
      <c r="M94" s="22"/>
      <c r="N94" s="22"/>
      <c r="O94" s="91"/>
      <c r="P94" s="91"/>
      <c r="Q94" s="22" t="s">
        <v>33</v>
      </c>
      <c r="R94" s="142"/>
      <c r="S94" s="91"/>
      <c r="T94" s="91"/>
      <c r="U94" s="644"/>
      <c r="V94" s="782"/>
      <c r="W94" s="14"/>
      <c r="X94" s="7"/>
      <c r="Y94" s="7"/>
      <c r="Z94" s="149"/>
      <c r="AA94" s="149"/>
      <c r="AB94" s="149"/>
      <c r="AC94" s="149"/>
    </row>
    <row r="95" spans="1:29" s="42" customFormat="1" ht="25.5" customHeight="1">
      <c r="A95" s="152"/>
      <c r="B95" s="553"/>
      <c r="C95" s="554"/>
      <c r="D95" s="554"/>
      <c r="E95" s="554"/>
      <c r="F95" s="554"/>
      <c r="G95" s="554"/>
      <c r="H95" s="554"/>
      <c r="I95" s="554"/>
      <c r="J95" s="555"/>
      <c r="K95" s="555"/>
      <c r="L95" s="555"/>
      <c r="M95" s="555"/>
      <c r="N95" s="555"/>
      <c r="O95" s="554"/>
      <c r="P95" s="554"/>
      <c r="Q95" s="556"/>
      <c r="R95" s="556"/>
      <c r="S95" s="554"/>
      <c r="T95" s="554"/>
      <c r="U95" s="720"/>
      <c r="V95" s="558"/>
      <c r="W95" s="40"/>
      <c r="X95" s="41"/>
      <c r="Y95" s="41"/>
      <c r="Z95" s="153"/>
      <c r="AA95" s="153"/>
      <c r="AB95" s="153"/>
      <c r="AC95" s="153"/>
    </row>
    <row r="96" spans="1:29" ht="25.5" customHeight="1">
      <c r="A96" s="777"/>
      <c r="B96" s="387" t="s">
        <v>133</v>
      </c>
      <c r="C96" s="154">
        <f>H96+E96</f>
        <v>3974.7999999999593</v>
      </c>
      <c r="D96" s="85"/>
      <c r="E96" s="84">
        <f>F96+G96</f>
        <v>0</v>
      </c>
      <c r="F96" s="84">
        <v>0</v>
      </c>
      <c r="G96" s="84">
        <v>0</v>
      </c>
      <c r="H96" s="84">
        <f>T96</f>
        <v>3974.7999999999593</v>
      </c>
      <c r="I96" s="84">
        <f>0.5*C96</f>
        <v>1987.3999999999796</v>
      </c>
      <c r="J96" s="130"/>
      <c r="K96" s="130"/>
      <c r="L96" s="130"/>
      <c r="M96" s="130"/>
      <c r="N96" s="130"/>
      <c r="O96" s="155">
        <v>14572.074000000001</v>
      </c>
      <c r="P96" s="155">
        <v>14671.444</v>
      </c>
      <c r="Q96" s="86"/>
      <c r="R96" s="388"/>
      <c r="S96" s="156">
        <v>40</v>
      </c>
      <c r="T96" s="84">
        <f>(P96-O96)*S96</f>
        <v>3974.7999999999593</v>
      </c>
      <c r="U96" s="722" t="s">
        <v>134</v>
      </c>
      <c r="V96" s="89" t="s">
        <v>135</v>
      </c>
      <c r="W96" s="14" t="s">
        <v>27</v>
      </c>
      <c r="X96" s="7"/>
      <c r="Y96" s="7"/>
      <c r="Z96" s="149"/>
      <c r="AA96" s="149"/>
      <c r="AB96" s="149"/>
      <c r="AC96" s="149"/>
    </row>
    <row r="97" spans="1:29" ht="25.5" customHeight="1">
      <c r="A97" s="777"/>
      <c r="B97" s="83"/>
      <c r="C97" s="84"/>
      <c r="D97" s="84"/>
      <c r="E97" s="84"/>
      <c r="F97" s="84"/>
      <c r="G97" s="84"/>
      <c r="H97" s="84"/>
      <c r="I97" s="84">
        <f>0.5*C97</f>
        <v>0</v>
      </c>
      <c r="J97" s="130"/>
      <c r="K97" s="130"/>
      <c r="L97" s="130"/>
      <c r="M97" s="130"/>
      <c r="N97" s="130"/>
      <c r="O97" s="84"/>
      <c r="P97" s="84"/>
      <c r="Q97" s="389"/>
      <c r="R97" s="390"/>
      <c r="S97" s="156"/>
      <c r="T97" s="84"/>
      <c r="U97" s="722"/>
      <c r="V97" s="89"/>
      <c r="W97" s="14"/>
      <c r="X97" s="7"/>
      <c r="Y97" s="7"/>
      <c r="Z97" s="149"/>
      <c r="AA97" s="149"/>
      <c r="AB97" s="149"/>
      <c r="AC97" s="149"/>
    </row>
    <row r="98" spans="1:29" ht="25.5" customHeight="1">
      <c r="A98" s="777"/>
      <c r="B98" s="798" t="s">
        <v>136</v>
      </c>
      <c r="C98" s="84">
        <f>H98+E98</f>
        <v>11360</v>
      </c>
      <c r="D98" s="84"/>
      <c r="E98" s="84">
        <f>F98+G98</f>
        <v>0</v>
      </c>
      <c r="F98" s="84">
        <v>0</v>
      </c>
      <c r="G98" s="84">
        <v>0</v>
      </c>
      <c r="H98" s="84">
        <f>T98+T99</f>
        <v>11360</v>
      </c>
      <c r="I98" s="84">
        <f>0.6*C98</f>
        <v>6816</v>
      </c>
      <c r="J98" s="130"/>
      <c r="K98" s="130"/>
      <c r="L98" s="130"/>
      <c r="M98" s="130"/>
      <c r="N98" s="130"/>
      <c r="O98" s="84">
        <v>64090.84</v>
      </c>
      <c r="P98" s="84">
        <v>64090.84</v>
      </c>
      <c r="Q98" s="389"/>
      <c r="R98" s="390"/>
      <c r="S98" s="156">
        <v>80</v>
      </c>
      <c r="T98" s="84">
        <f>(P98-O98)*S98</f>
        <v>0</v>
      </c>
      <c r="U98" s="722" t="s">
        <v>1118</v>
      </c>
      <c r="V98" s="89" t="s">
        <v>137</v>
      </c>
      <c r="W98" s="14" t="s">
        <v>27</v>
      </c>
      <c r="X98" s="7"/>
      <c r="Y98" s="7"/>
      <c r="Z98" s="149"/>
      <c r="AA98" s="149"/>
      <c r="AB98" s="149"/>
      <c r="AC98" s="149"/>
    </row>
    <row r="99" spans="1:29" ht="25.5">
      <c r="A99" s="19"/>
      <c r="B99" s="799"/>
      <c r="C99" s="84"/>
      <c r="D99" s="84"/>
      <c r="E99" s="84"/>
      <c r="F99" s="84"/>
      <c r="G99" s="84"/>
      <c r="H99" s="84"/>
      <c r="I99" s="84">
        <f>0.6*C99</f>
        <v>0</v>
      </c>
      <c r="J99" s="130"/>
      <c r="K99" s="130"/>
      <c r="L99" s="130"/>
      <c r="M99" s="130"/>
      <c r="N99" s="130"/>
      <c r="O99" s="84">
        <v>3389.6</v>
      </c>
      <c r="P99" s="84">
        <v>3460.6</v>
      </c>
      <c r="Q99" s="389"/>
      <c r="R99" s="390"/>
      <c r="S99" s="156">
        <v>80</v>
      </c>
      <c r="T99" s="84">
        <f>(P99-O99)*S99*2</f>
        <v>11360</v>
      </c>
      <c r="U99" s="722" t="s">
        <v>1119</v>
      </c>
      <c r="V99" s="89" t="s">
        <v>138</v>
      </c>
      <c r="W99" s="14" t="s">
        <v>27</v>
      </c>
      <c r="X99" s="93"/>
      <c r="Y99" s="93"/>
      <c r="Z99" s="149"/>
      <c r="AA99" s="149"/>
      <c r="AB99" s="149"/>
      <c r="AC99" s="149"/>
    </row>
    <row r="100" spans="1:29" ht="25.5">
      <c r="A100" s="157"/>
      <c r="B100" s="158"/>
      <c r="C100" s="124"/>
      <c r="D100" s="124"/>
      <c r="E100" s="125"/>
      <c r="F100" s="125"/>
      <c r="G100" s="125"/>
      <c r="H100" s="124"/>
      <c r="I100" s="125"/>
      <c r="J100" s="126"/>
      <c r="K100" s="126"/>
      <c r="L100" s="126"/>
      <c r="M100" s="126"/>
      <c r="N100" s="126"/>
      <c r="O100" s="124"/>
      <c r="P100" s="124"/>
      <c r="Q100" s="126"/>
      <c r="R100" s="159"/>
      <c r="S100" s="124"/>
      <c r="T100" s="124"/>
      <c r="U100" s="717"/>
      <c r="V100" s="128"/>
      <c r="W100" s="47"/>
      <c r="X100" s="93"/>
      <c r="Y100" s="93"/>
      <c r="Z100" s="149"/>
      <c r="AA100" s="149"/>
      <c r="AB100" s="149"/>
      <c r="AC100" s="149"/>
    </row>
    <row r="101" spans="1:29" ht="26.25">
      <c r="A101" s="157"/>
      <c r="B101" s="123" t="s">
        <v>710</v>
      </c>
      <c r="C101" s="97">
        <f>H101+E101</f>
        <v>8797</v>
      </c>
      <c r="D101" s="124"/>
      <c r="E101" s="124">
        <f>F101+G101</f>
        <v>0</v>
      </c>
      <c r="F101" s="124">
        <f>X101</f>
        <v>0</v>
      </c>
      <c r="G101" s="124">
        <f>Y101</f>
        <v>0</v>
      </c>
      <c r="H101" s="124">
        <f>T102+T105+T108</f>
        <v>8797</v>
      </c>
      <c r="I101" s="124">
        <f>T12+0.5*(T108+T105)</f>
        <v>2423</v>
      </c>
      <c r="J101" s="126"/>
      <c r="K101" s="126"/>
      <c r="L101" s="126"/>
      <c r="M101" s="126"/>
      <c r="N101" s="126" t="s">
        <v>139</v>
      </c>
      <c r="O101" s="124"/>
      <c r="P101" s="124"/>
      <c r="Q101" s="138"/>
      <c r="R101" s="159"/>
      <c r="S101" s="124">
        <v>1</v>
      </c>
      <c r="T101" s="124">
        <f t="shared" ref="T101:T108" si="17">(P101-O101)*S101</f>
        <v>0</v>
      </c>
      <c r="U101" s="717"/>
      <c r="V101" s="128"/>
      <c r="W101" s="47" t="s">
        <v>31</v>
      </c>
      <c r="X101" s="93"/>
      <c r="Y101" s="93"/>
      <c r="Z101" s="7"/>
      <c r="AA101" s="7"/>
      <c r="AB101" s="7"/>
      <c r="AC101" s="7"/>
    </row>
    <row r="102" spans="1:29" ht="25.5">
      <c r="A102" s="157"/>
      <c r="B102" s="83" t="s">
        <v>140</v>
      </c>
      <c r="C102" s="84"/>
      <c r="D102" s="84"/>
      <c r="E102" s="84"/>
      <c r="F102" s="84"/>
      <c r="G102" s="84"/>
      <c r="H102" s="84"/>
      <c r="I102" s="85"/>
      <c r="J102" s="130"/>
      <c r="K102" s="130"/>
      <c r="L102" s="130"/>
      <c r="M102" s="130"/>
      <c r="N102" s="130"/>
      <c r="O102" s="84">
        <v>29260</v>
      </c>
      <c r="P102" s="84">
        <v>29332</v>
      </c>
      <c r="Q102" s="389"/>
      <c r="R102" s="385"/>
      <c r="S102" s="84">
        <v>60</v>
      </c>
      <c r="T102" s="84">
        <f>(P102-O102)*S102-T12</f>
        <v>4197</v>
      </c>
      <c r="U102" s="722">
        <v>36259</v>
      </c>
      <c r="V102" s="89" t="s">
        <v>141</v>
      </c>
      <c r="W102" s="14"/>
      <c r="X102" s="7"/>
      <c r="Y102" s="7"/>
      <c r="Z102" s="7"/>
      <c r="AA102" s="7"/>
      <c r="AB102" s="7"/>
      <c r="AC102" s="7"/>
    </row>
    <row r="103" spans="1:29" ht="25.5">
      <c r="A103" s="157"/>
      <c r="B103" s="218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408"/>
      <c r="V103" s="89"/>
      <c r="W103" s="134"/>
      <c r="X103" s="149"/>
      <c r="Y103" s="149"/>
      <c r="Z103" s="7"/>
      <c r="AA103" s="7"/>
      <c r="AB103" s="7"/>
      <c r="AC103" s="7"/>
    </row>
    <row r="104" spans="1:29" ht="25.5">
      <c r="A104" s="157"/>
      <c r="B104" s="83"/>
      <c r="C104" s="84"/>
      <c r="D104" s="84"/>
      <c r="E104" s="84"/>
      <c r="F104" s="84"/>
      <c r="G104" s="84"/>
      <c r="H104" s="84"/>
      <c r="I104" s="85"/>
      <c r="J104" s="130"/>
      <c r="K104" s="130"/>
      <c r="L104" s="130"/>
      <c r="M104" s="130"/>
      <c r="N104" s="130"/>
      <c r="O104" s="84"/>
      <c r="P104" s="84"/>
      <c r="Q104" s="389"/>
      <c r="R104" s="385"/>
      <c r="S104" s="84">
        <v>60</v>
      </c>
      <c r="T104" s="84">
        <f t="shared" si="17"/>
        <v>0</v>
      </c>
      <c r="U104" s="722"/>
      <c r="V104" s="89"/>
      <c r="W104" s="134"/>
      <c r="X104" s="149"/>
      <c r="Y104" s="149"/>
      <c r="Z104" s="7"/>
      <c r="AA104" s="7"/>
      <c r="AB104" s="7"/>
      <c r="AC104" s="7"/>
    </row>
    <row r="105" spans="1:29" ht="25.5">
      <c r="A105" s="157"/>
      <c r="B105" s="83" t="s">
        <v>142</v>
      </c>
      <c r="C105" s="84"/>
      <c r="D105" s="84"/>
      <c r="E105" s="84"/>
      <c r="F105" s="84"/>
      <c r="G105" s="84"/>
      <c r="H105" s="84"/>
      <c r="I105" s="85"/>
      <c r="J105" s="130"/>
      <c r="K105" s="130"/>
      <c r="L105" s="130"/>
      <c r="M105" s="130"/>
      <c r="N105" s="130"/>
      <c r="O105" s="84">
        <v>6096</v>
      </c>
      <c r="P105" s="84">
        <v>6130</v>
      </c>
      <c r="Q105" s="389"/>
      <c r="R105" s="390"/>
      <c r="S105" s="84">
        <v>40</v>
      </c>
      <c r="T105" s="84">
        <f t="shared" si="17"/>
        <v>1360</v>
      </c>
      <c r="U105" s="722">
        <v>580023</v>
      </c>
      <c r="V105" s="89"/>
      <c r="W105" s="134"/>
      <c r="X105" s="149"/>
      <c r="Y105" s="149"/>
      <c r="Z105" s="7"/>
      <c r="AA105" s="7"/>
      <c r="AB105" s="7"/>
      <c r="AC105" s="7"/>
    </row>
    <row r="106" spans="1:29" ht="25.5">
      <c r="A106" s="157"/>
      <c r="B106" s="83"/>
      <c r="C106" s="84"/>
      <c r="D106" s="84"/>
      <c r="E106" s="84"/>
      <c r="F106" s="84"/>
      <c r="G106" s="84"/>
      <c r="H106" s="84"/>
      <c r="I106" s="85"/>
      <c r="J106" s="130"/>
      <c r="K106" s="130"/>
      <c r="L106" s="130"/>
      <c r="M106" s="130"/>
      <c r="N106" s="130"/>
      <c r="O106" s="84"/>
      <c r="P106" s="84"/>
      <c r="Q106" s="389"/>
      <c r="R106" s="385"/>
      <c r="S106" s="84">
        <v>20</v>
      </c>
      <c r="T106" s="84">
        <f t="shared" si="17"/>
        <v>0</v>
      </c>
      <c r="U106" s="722"/>
      <c r="V106" s="89"/>
      <c r="W106" s="134"/>
      <c r="X106" s="149"/>
      <c r="Y106" s="149"/>
      <c r="Z106" s="7"/>
      <c r="AA106" s="7"/>
      <c r="AB106" s="7"/>
      <c r="AC106" s="7"/>
    </row>
    <row r="107" spans="1:29" ht="25.5">
      <c r="A107" s="157"/>
      <c r="B107" s="83"/>
      <c r="C107" s="84"/>
      <c r="D107" s="84"/>
      <c r="E107" s="84"/>
      <c r="F107" s="84"/>
      <c r="G107" s="84"/>
      <c r="H107" s="84"/>
      <c r="I107" s="85"/>
      <c r="J107" s="130"/>
      <c r="K107" s="130"/>
      <c r="L107" s="130"/>
      <c r="M107" s="130"/>
      <c r="N107" s="130"/>
      <c r="O107" s="84"/>
      <c r="P107" s="84"/>
      <c r="Q107" s="389"/>
      <c r="R107" s="385"/>
      <c r="S107" s="84">
        <v>40</v>
      </c>
      <c r="T107" s="84">
        <f t="shared" si="17"/>
        <v>0</v>
      </c>
      <c r="U107" s="722"/>
      <c r="V107" s="89"/>
      <c r="W107" s="134"/>
      <c r="X107" s="149"/>
      <c r="Y107" s="149"/>
      <c r="Z107" s="7"/>
      <c r="AA107" s="7"/>
      <c r="AB107" s="7"/>
      <c r="AC107" s="7"/>
    </row>
    <row r="108" spans="1:29" ht="25.5">
      <c r="A108" s="157"/>
      <c r="B108" s="83" t="s">
        <v>143</v>
      </c>
      <c r="C108" s="84"/>
      <c r="D108" s="84"/>
      <c r="E108" s="84"/>
      <c r="F108" s="84"/>
      <c r="G108" s="84"/>
      <c r="H108" s="84"/>
      <c r="I108" s="85"/>
      <c r="J108" s="130"/>
      <c r="K108" s="130"/>
      <c r="L108" s="130"/>
      <c r="M108" s="130"/>
      <c r="N108" s="130"/>
      <c r="O108" s="84">
        <v>5398</v>
      </c>
      <c r="P108" s="84">
        <v>5479</v>
      </c>
      <c r="Q108" s="389"/>
      <c r="R108" s="385"/>
      <c r="S108" s="84">
        <v>40</v>
      </c>
      <c r="T108" s="84">
        <f t="shared" si="17"/>
        <v>3240</v>
      </c>
      <c r="U108" s="722">
        <v>951989</v>
      </c>
      <c r="V108" s="89"/>
      <c r="W108" s="14"/>
      <c r="X108" s="7"/>
      <c r="Y108" s="7"/>
      <c r="Z108" s="7"/>
      <c r="AA108" s="7"/>
      <c r="AB108" s="7"/>
      <c r="AC108" s="7"/>
    </row>
    <row r="109" spans="1:29" ht="27.75">
      <c r="A109" s="19"/>
      <c r="B109" s="141" t="s">
        <v>86</v>
      </c>
      <c r="C109" s="115">
        <f>C96+C101</f>
        <v>12771.799999999959</v>
      </c>
      <c r="D109" s="115"/>
      <c r="E109" s="115"/>
      <c r="F109" s="91"/>
      <c r="G109" s="91"/>
      <c r="H109" s="115">
        <f>SUM(H99:H108)</f>
        <v>8797</v>
      </c>
      <c r="I109" s="115">
        <f>I101+I99</f>
        <v>2423</v>
      </c>
      <c r="J109" s="160">
        <f>SUM(J99:J105)</f>
        <v>0</v>
      </c>
      <c r="K109" s="160">
        <f>SUM(K99:K105)</f>
        <v>0</v>
      </c>
      <c r="L109" s="160">
        <f>SUM(L99:L105)</f>
        <v>0</v>
      </c>
      <c r="M109" s="160">
        <f>SUM(M99:M105)</f>
        <v>0</v>
      </c>
      <c r="N109" s="22"/>
      <c r="O109" s="91"/>
      <c r="P109" s="91"/>
      <c r="Q109" s="149"/>
      <c r="R109" s="161"/>
      <c r="S109" s="91"/>
      <c r="T109" s="91"/>
      <c r="U109" s="644"/>
      <c r="V109" s="782"/>
      <c r="W109" s="14"/>
      <c r="X109" s="7"/>
      <c r="Y109" s="7"/>
      <c r="Z109" s="7"/>
      <c r="AA109" s="7"/>
      <c r="AB109" s="7"/>
      <c r="AC109" s="7"/>
    </row>
    <row r="110" spans="1:29" ht="26.25">
      <c r="A110" s="19"/>
      <c r="B110" s="143"/>
      <c r="C110" s="115"/>
      <c r="D110" s="115"/>
      <c r="E110" s="115"/>
      <c r="F110" s="91"/>
      <c r="G110" s="91"/>
      <c r="H110" s="91"/>
      <c r="I110" s="115"/>
      <c r="J110" s="162"/>
      <c r="K110" s="162"/>
      <c r="L110" s="162"/>
      <c r="M110" s="162"/>
      <c r="N110" s="22"/>
      <c r="O110" s="91"/>
      <c r="P110" s="91"/>
      <c r="Q110" s="149"/>
      <c r="R110" s="161"/>
      <c r="S110" s="91"/>
      <c r="T110" s="91"/>
      <c r="U110" s="644"/>
      <c r="V110" s="782"/>
      <c r="W110" s="14"/>
      <c r="X110" s="7"/>
      <c r="Y110" s="7"/>
      <c r="Z110" s="7"/>
      <c r="AA110" s="7"/>
      <c r="AB110" s="7"/>
      <c r="AC110" s="7"/>
    </row>
    <row r="111" spans="1:29" ht="26.25">
      <c r="A111" s="19"/>
      <c r="B111" s="163" t="s">
        <v>144</v>
      </c>
      <c r="C111" s="115"/>
      <c r="D111" s="115"/>
      <c r="E111" s="115"/>
      <c r="F111" s="91"/>
      <c r="G111" s="91"/>
      <c r="H111" s="91"/>
      <c r="I111" s="91"/>
      <c r="J111" s="162"/>
      <c r="K111" s="162"/>
      <c r="L111" s="162"/>
      <c r="M111" s="162"/>
      <c r="N111" s="22"/>
      <c r="O111" s="91"/>
      <c r="P111" s="91"/>
      <c r="Q111" s="22" t="s">
        <v>50</v>
      </c>
      <c r="R111" s="142"/>
      <c r="S111" s="91"/>
      <c r="T111" s="91"/>
      <c r="U111" s="644"/>
      <c r="V111" s="782"/>
      <c r="W111" s="14"/>
      <c r="X111" s="7"/>
      <c r="Y111" s="7"/>
      <c r="Z111" s="7"/>
      <c r="AA111" s="7"/>
      <c r="AB111" s="7"/>
      <c r="AC111" s="7"/>
    </row>
    <row r="112" spans="1:29" ht="26.25">
      <c r="A112" s="19"/>
      <c r="C112" s="91"/>
      <c r="D112" s="115"/>
      <c r="E112" s="115"/>
      <c r="F112" s="91"/>
      <c r="G112" s="91"/>
      <c r="H112" s="91"/>
      <c r="I112" s="91"/>
      <c r="J112" s="164"/>
      <c r="K112" s="164"/>
      <c r="L112" s="164"/>
      <c r="M112" s="164"/>
      <c r="N112" s="164"/>
      <c r="O112" s="91"/>
      <c r="P112" s="91"/>
      <c r="Q112" s="7"/>
      <c r="R112" s="94"/>
      <c r="S112" s="91"/>
      <c r="T112" s="91"/>
      <c r="U112" s="644"/>
      <c r="V112" s="782"/>
      <c r="W112" s="14"/>
      <c r="X112" s="7"/>
      <c r="Y112" s="7"/>
      <c r="Z112" s="7"/>
      <c r="AA112" s="7"/>
      <c r="AB112" s="7"/>
      <c r="AC112" s="7"/>
    </row>
    <row r="113" spans="1:29" ht="26.25">
      <c r="A113" s="19"/>
      <c r="B113" s="163" t="s">
        <v>145</v>
      </c>
      <c r="C113" s="91"/>
      <c r="D113" s="115"/>
      <c r="E113" s="115"/>
      <c r="F113" s="91"/>
      <c r="G113" s="91"/>
      <c r="H113" s="91"/>
      <c r="I113" s="91"/>
      <c r="J113" s="164"/>
      <c r="K113" s="164"/>
      <c r="L113" s="164"/>
      <c r="M113" s="164"/>
      <c r="N113" s="164"/>
      <c r="O113" s="91"/>
      <c r="P113" s="91"/>
      <c r="Q113" s="7"/>
      <c r="R113" s="94"/>
      <c r="S113" s="91"/>
      <c r="T113" s="91"/>
      <c r="U113" s="644"/>
      <c r="V113" s="782"/>
      <c r="W113" s="14"/>
      <c r="X113" s="7"/>
      <c r="Y113" s="7"/>
      <c r="Z113" s="7"/>
      <c r="AA113" s="7"/>
      <c r="AB113" s="7"/>
      <c r="AC113" s="7"/>
    </row>
    <row r="114" spans="1:29" ht="25.5">
      <c r="A114" s="19"/>
      <c r="B114" s="27" t="s">
        <v>787</v>
      </c>
      <c r="C114" s="28">
        <f>H114+E114</f>
        <v>0</v>
      </c>
      <c r="D114" s="28"/>
      <c r="E114" s="28"/>
      <c r="F114" s="28">
        <f t="shared" ref="F114:F124" si="18">0.04*H114</f>
        <v>0</v>
      </c>
      <c r="G114" s="28">
        <f t="shared" ref="G114:G124" si="19">0.03*H114</f>
        <v>0</v>
      </c>
      <c r="H114" s="28">
        <f>T114</f>
        <v>0</v>
      </c>
      <c r="I114" s="28">
        <f>0.6*C114</f>
        <v>0</v>
      </c>
      <c r="J114" s="29"/>
      <c r="K114" s="29"/>
      <c r="L114" s="29"/>
      <c r="M114" s="29"/>
      <c r="N114" s="29" t="s">
        <v>146</v>
      </c>
      <c r="O114" s="28">
        <v>196697</v>
      </c>
      <c r="P114" s="28">
        <v>196697</v>
      </c>
      <c r="Q114" s="30"/>
      <c r="R114" s="351"/>
      <c r="S114" s="54">
        <v>1</v>
      </c>
      <c r="T114" s="28">
        <f>(P114-O114)*S114</f>
        <v>0</v>
      </c>
      <c r="U114" s="455">
        <v>42221906</v>
      </c>
      <c r="V114" s="783" t="s">
        <v>147</v>
      </c>
      <c r="W114" s="47" t="s">
        <v>31</v>
      </c>
      <c r="X114" s="7"/>
      <c r="Y114" s="7"/>
      <c r="Z114" s="7"/>
      <c r="AA114" s="7"/>
      <c r="AB114" s="7"/>
      <c r="AC114" s="7"/>
    </row>
    <row r="115" spans="1:29" ht="25.5">
      <c r="A115" s="19"/>
      <c r="B115" s="27" t="s">
        <v>148</v>
      </c>
      <c r="C115" s="28">
        <f>H115+E115</f>
        <v>9116.4</v>
      </c>
      <c r="D115" s="28"/>
      <c r="E115" s="28">
        <f t="shared" ref="E115:E130" si="20">F115+G115</f>
        <v>596.4</v>
      </c>
      <c r="F115" s="28">
        <f t="shared" si="18"/>
        <v>340.8</v>
      </c>
      <c r="G115" s="28">
        <f t="shared" si="19"/>
        <v>255.6</v>
      </c>
      <c r="H115" s="28">
        <f>T115</f>
        <v>8520</v>
      </c>
      <c r="I115" s="28">
        <f>0.6*C115</f>
        <v>5469.8399999999992</v>
      </c>
      <c r="J115" s="29"/>
      <c r="K115" s="29"/>
      <c r="L115" s="29"/>
      <c r="M115" s="29"/>
      <c r="N115" s="29" t="s">
        <v>149</v>
      </c>
      <c r="O115" s="28">
        <v>9509.7000000000007</v>
      </c>
      <c r="P115" s="28">
        <v>9616.2000000000007</v>
      </c>
      <c r="Q115" s="146"/>
      <c r="R115" s="165"/>
      <c r="S115" s="54">
        <v>80</v>
      </c>
      <c r="T115" s="28">
        <f>(P115-O115)*S115</f>
        <v>8520</v>
      </c>
      <c r="U115" s="455">
        <v>440479</v>
      </c>
      <c r="V115" s="783" t="s">
        <v>150</v>
      </c>
      <c r="W115" s="47" t="s">
        <v>31</v>
      </c>
      <c r="X115" s="7"/>
      <c r="Y115" s="7"/>
      <c r="Z115" s="7"/>
      <c r="AA115" s="7"/>
      <c r="AB115" s="7"/>
      <c r="AC115" s="7"/>
    </row>
    <row r="116" spans="1:29" ht="25.5">
      <c r="A116" s="19"/>
      <c r="W116" s="14"/>
      <c r="X116" s="7"/>
      <c r="Y116" s="7"/>
      <c r="Z116" s="7"/>
      <c r="AA116" s="7"/>
      <c r="AB116" s="7"/>
      <c r="AC116" s="7"/>
    </row>
    <row r="117" spans="1:29" ht="25.5">
      <c r="A117" s="19"/>
      <c r="B117" s="166" t="s">
        <v>153</v>
      </c>
      <c r="C117" s="56">
        <f t="shared" ref="C117:C130" si="21">H117+E117</f>
        <v>0</v>
      </c>
      <c r="D117" s="56"/>
      <c r="E117" s="56">
        <f t="shared" si="20"/>
        <v>0</v>
      </c>
      <c r="F117" s="56">
        <f t="shared" si="18"/>
        <v>0</v>
      </c>
      <c r="G117" s="56">
        <f t="shared" si="19"/>
        <v>0</v>
      </c>
      <c r="H117" s="56">
        <f t="shared" ref="H117:H130" si="22">T117</f>
        <v>0</v>
      </c>
      <c r="I117" s="56">
        <f>0.6*C117</f>
        <v>0</v>
      </c>
      <c r="J117" s="57"/>
      <c r="K117" s="57"/>
      <c r="L117" s="57"/>
      <c r="M117" s="57"/>
      <c r="N117" s="57" t="s">
        <v>154</v>
      </c>
      <c r="O117" s="56">
        <v>982</v>
      </c>
      <c r="P117" s="56">
        <v>982</v>
      </c>
      <c r="Q117" s="169"/>
      <c r="R117" s="170"/>
      <c r="S117" s="56">
        <v>1</v>
      </c>
      <c r="T117" s="56">
        <f t="shared" ref="T117:T130" si="23">(P117-O117)*S117</f>
        <v>0</v>
      </c>
      <c r="U117" s="721" t="s">
        <v>155</v>
      </c>
      <c r="V117" s="60" t="s">
        <v>156</v>
      </c>
      <c r="W117" s="14"/>
      <c r="X117" s="7"/>
      <c r="Y117" s="7"/>
      <c r="Z117" s="7"/>
      <c r="AA117" s="7"/>
      <c r="AB117" s="7"/>
      <c r="AC117" s="7"/>
    </row>
    <row r="118" spans="1:29" ht="26.25">
      <c r="A118" s="19"/>
      <c r="B118" s="367" t="s">
        <v>157</v>
      </c>
      <c r="C118" s="495">
        <f t="shared" si="21"/>
        <v>44554.8</v>
      </c>
      <c r="D118" s="72"/>
      <c r="E118" s="72">
        <f t="shared" si="20"/>
        <v>2914.8</v>
      </c>
      <c r="F118" s="72">
        <f t="shared" si="18"/>
        <v>1665.6000000000001</v>
      </c>
      <c r="G118" s="72">
        <f t="shared" si="19"/>
        <v>1249.2</v>
      </c>
      <c r="H118" s="72">
        <f t="shared" si="22"/>
        <v>41640</v>
      </c>
      <c r="I118" s="72">
        <v>11490</v>
      </c>
      <c r="J118" s="81"/>
      <c r="K118" s="81"/>
      <c r="L118" s="81"/>
      <c r="M118" s="81"/>
      <c r="N118" s="81"/>
      <c r="O118" s="72">
        <v>47834</v>
      </c>
      <c r="P118" s="72">
        <v>48181</v>
      </c>
      <c r="Q118" s="146"/>
      <c r="R118" s="391"/>
      <c r="S118" s="171">
        <v>120</v>
      </c>
      <c r="T118" s="28">
        <f t="shared" si="23"/>
        <v>41640</v>
      </c>
      <c r="U118" s="455"/>
      <c r="V118" s="783" t="s">
        <v>158</v>
      </c>
      <c r="W118" s="14" t="s">
        <v>48</v>
      </c>
      <c r="X118" s="7"/>
      <c r="Y118" s="7"/>
      <c r="Z118" s="7"/>
      <c r="AA118" s="7"/>
      <c r="AB118" s="7"/>
      <c r="AC118" s="7"/>
    </row>
    <row r="119" spans="1:29" ht="25.5">
      <c r="A119" s="19"/>
      <c r="B119" s="27" t="s">
        <v>159</v>
      </c>
      <c r="C119" s="28">
        <f>H119+E119</f>
        <v>123.05</v>
      </c>
      <c r="D119" s="28"/>
      <c r="E119" s="28">
        <f>F119+G119</f>
        <v>8.0500000000000007</v>
      </c>
      <c r="F119" s="28">
        <f>0.04*H119</f>
        <v>4.6000000000000005</v>
      </c>
      <c r="G119" s="28">
        <f>0.03*H119</f>
        <v>3.4499999999999997</v>
      </c>
      <c r="H119" s="28">
        <f>T119</f>
        <v>115</v>
      </c>
      <c r="I119" s="28">
        <f>0.6*C119</f>
        <v>73.83</v>
      </c>
      <c r="J119" s="29"/>
      <c r="K119" s="29"/>
      <c r="L119" s="29"/>
      <c r="M119" s="29"/>
      <c r="N119" s="29"/>
      <c r="O119" s="28">
        <v>59684</v>
      </c>
      <c r="P119" s="28">
        <v>59799</v>
      </c>
      <c r="Q119" s="30"/>
      <c r="R119" s="351"/>
      <c r="S119" s="54">
        <v>1</v>
      </c>
      <c r="T119" s="28">
        <f>(P119-O119)*S119</f>
        <v>115</v>
      </c>
      <c r="U119" s="455">
        <v>91423</v>
      </c>
      <c r="V119" s="783" t="s">
        <v>21</v>
      </c>
      <c r="W119" s="14" t="s">
        <v>22</v>
      </c>
      <c r="X119" s="7"/>
      <c r="Y119" s="7"/>
      <c r="Z119" s="7"/>
      <c r="AA119" s="7"/>
      <c r="AB119" s="7"/>
      <c r="AC119" s="7"/>
    </row>
    <row r="120" spans="1:29" ht="26.25">
      <c r="A120" s="19"/>
      <c r="B120" s="148"/>
      <c r="C120" s="56">
        <f>H120+E120</f>
        <v>0</v>
      </c>
      <c r="D120" s="175"/>
      <c r="E120" s="56">
        <f>F120+G120</f>
        <v>0</v>
      </c>
      <c r="F120" s="56">
        <f>0.04*H120</f>
        <v>0</v>
      </c>
      <c r="G120" s="56">
        <f>0.03*H120</f>
        <v>0</v>
      </c>
      <c r="H120" s="56">
        <f>T120</f>
        <v>0</v>
      </c>
      <c r="I120" s="176">
        <f>0.6*C120</f>
        <v>0</v>
      </c>
      <c r="J120" s="58"/>
      <c r="K120" s="58"/>
      <c r="L120" s="58"/>
      <c r="M120" s="58"/>
      <c r="N120" s="58"/>
      <c r="O120" s="175">
        <v>16982</v>
      </c>
      <c r="P120" s="175">
        <v>16982</v>
      </c>
      <c r="Q120" s="177"/>
      <c r="R120" s="178"/>
      <c r="S120" s="175">
        <v>1</v>
      </c>
      <c r="T120" s="56">
        <f>(P120-O120)*S120</f>
        <v>0</v>
      </c>
      <c r="U120" s="721">
        <v>2437131</v>
      </c>
      <c r="V120" s="60" t="s">
        <v>174</v>
      </c>
      <c r="W120" s="14"/>
      <c r="X120" s="7"/>
      <c r="Y120" s="7"/>
      <c r="Z120" s="7"/>
      <c r="AA120" s="7"/>
      <c r="AB120" s="7"/>
      <c r="AC120" s="7"/>
    </row>
    <row r="121" spans="1:29" ht="25.5">
      <c r="A121" s="19"/>
      <c r="B121" s="27" t="s">
        <v>148</v>
      </c>
      <c r="C121" s="28">
        <f t="shared" si="21"/>
        <v>119.84</v>
      </c>
      <c r="D121" s="28"/>
      <c r="E121" s="28">
        <f t="shared" si="20"/>
        <v>7.84</v>
      </c>
      <c r="F121" s="28">
        <f t="shared" si="18"/>
        <v>4.4800000000000004</v>
      </c>
      <c r="G121" s="28">
        <f t="shared" si="19"/>
        <v>3.36</v>
      </c>
      <c r="H121" s="28">
        <f t="shared" si="22"/>
        <v>112</v>
      </c>
      <c r="I121" s="28">
        <f>0.6*C121</f>
        <v>71.903999999999996</v>
      </c>
      <c r="J121" s="29"/>
      <c r="K121" s="29"/>
      <c r="L121" s="29"/>
      <c r="M121" s="29"/>
      <c r="N121" s="29"/>
      <c r="O121" s="28">
        <v>7841</v>
      </c>
      <c r="P121" s="28">
        <v>7953</v>
      </c>
      <c r="Q121" s="30"/>
      <c r="R121" s="351"/>
      <c r="S121" s="54">
        <v>1</v>
      </c>
      <c r="T121" s="28">
        <f t="shared" si="23"/>
        <v>112</v>
      </c>
      <c r="U121" s="455">
        <v>9695</v>
      </c>
      <c r="V121" s="783" t="s">
        <v>160</v>
      </c>
      <c r="W121" s="134" t="s">
        <v>31</v>
      </c>
      <c r="X121" s="7"/>
      <c r="Y121" s="7"/>
      <c r="Z121" s="7"/>
      <c r="AA121" s="7"/>
      <c r="AB121" s="7"/>
      <c r="AC121" s="7"/>
    </row>
    <row r="122" spans="1:29" ht="25.5">
      <c r="A122" s="19"/>
      <c r="B122" s="27" t="s">
        <v>161</v>
      </c>
      <c r="C122" s="28">
        <f t="shared" si="21"/>
        <v>435.49</v>
      </c>
      <c r="D122" s="28"/>
      <c r="E122" s="28">
        <f t="shared" si="20"/>
        <v>28.490000000000002</v>
      </c>
      <c r="F122" s="28">
        <f t="shared" si="18"/>
        <v>16.28</v>
      </c>
      <c r="G122" s="28">
        <f t="shared" si="19"/>
        <v>12.209999999999999</v>
      </c>
      <c r="H122" s="28">
        <f t="shared" si="22"/>
        <v>407</v>
      </c>
      <c r="I122" s="28">
        <f>0.6*C122</f>
        <v>261.29399999999998</v>
      </c>
      <c r="J122" s="29"/>
      <c r="K122" s="29"/>
      <c r="L122" s="29"/>
      <c r="M122" s="29"/>
      <c r="N122" s="29"/>
      <c r="O122" s="28">
        <f>58646+31720</f>
        <v>90366</v>
      </c>
      <c r="P122" s="28">
        <f>58922+31851</f>
        <v>90773</v>
      </c>
      <c r="Q122" s="30"/>
      <c r="R122" s="351"/>
      <c r="S122" s="54">
        <v>1</v>
      </c>
      <c r="T122" s="28">
        <f t="shared" si="23"/>
        <v>407</v>
      </c>
      <c r="U122" s="455" t="s">
        <v>1121</v>
      </c>
      <c r="V122" s="783" t="s">
        <v>162</v>
      </c>
      <c r="W122" s="14" t="s">
        <v>31</v>
      </c>
      <c r="X122" s="7"/>
      <c r="Y122" s="7"/>
      <c r="Z122" s="7"/>
      <c r="AA122" s="7"/>
      <c r="AB122" s="7"/>
      <c r="AC122" s="7"/>
    </row>
    <row r="123" spans="1:29" ht="25.5">
      <c r="A123" s="19"/>
      <c r="B123" s="27" t="s">
        <v>163</v>
      </c>
      <c r="C123" s="28">
        <f>H123+E123</f>
        <v>2642.9</v>
      </c>
      <c r="D123" s="28"/>
      <c r="E123" s="28">
        <f t="shared" si="20"/>
        <v>172.89999999999998</v>
      </c>
      <c r="F123" s="28">
        <f t="shared" si="18"/>
        <v>98.8</v>
      </c>
      <c r="G123" s="28">
        <f t="shared" si="19"/>
        <v>74.099999999999994</v>
      </c>
      <c r="H123" s="28">
        <f>T123</f>
        <v>2470</v>
      </c>
      <c r="I123" s="28">
        <f>0.6*C123</f>
        <v>1585.74</v>
      </c>
      <c r="J123" s="29"/>
      <c r="K123" s="29"/>
      <c r="L123" s="29"/>
      <c r="M123" s="29"/>
      <c r="N123" s="29" t="s">
        <v>146</v>
      </c>
      <c r="O123" s="28">
        <v>44725</v>
      </c>
      <c r="P123" s="28">
        <v>47195</v>
      </c>
      <c r="Q123" s="30"/>
      <c r="R123" s="351"/>
      <c r="S123" s="54">
        <v>1</v>
      </c>
      <c r="T123" s="28">
        <f>(P123-O123)*S123</f>
        <v>2470</v>
      </c>
      <c r="U123" s="455">
        <v>3275</v>
      </c>
      <c r="V123" s="783" t="s">
        <v>164</v>
      </c>
      <c r="W123" s="14" t="s">
        <v>82</v>
      </c>
      <c r="X123" s="7"/>
      <c r="Y123" s="7"/>
      <c r="Z123" s="7"/>
      <c r="AA123" s="7"/>
      <c r="AB123" s="7"/>
      <c r="AC123" s="7"/>
    </row>
    <row r="124" spans="1:29" ht="52.5">
      <c r="A124" s="19"/>
      <c r="B124" s="367" t="s">
        <v>708</v>
      </c>
      <c r="C124" s="496">
        <f t="shared" si="21"/>
        <v>4194.3999999999996</v>
      </c>
      <c r="D124" s="72"/>
      <c r="E124" s="72">
        <f t="shared" si="20"/>
        <v>274.39999999999998</v>
      </c>
      <c r="F124" s="72">
        <f t="shared" si="18"/>
        <v>156.80000000000001</v>
      </c>
      <c r="G124" s="72">
        <f t="shared" si="19"/>
        <v>117.6</v>
      </c>
      <c r="H124" s="72">
        <f t="shared" si="22"/>
        <v>3920</v>
      </c>
      <c r="I124" s="72">
        <f>T553</f>
        <v>0</v>
      </c>
      <c r="J124" s="392"/>
      <c r="K124" s="392"/>
      <c r="L124" s="392"/>
      <c r="M124" s="392"/>
      <c r="N124" s="392"/>
      <c r="O124" s="72">
        <v>12981</v>
      </c>
      <c r="P124" s="72">
        <v>13030</v>
      </c>
      <c r="Q124" s="81"/>
      <c r="R124" s="165"/>
      <c r="S124" s="171">
        <v>80</v>
      </c>
      <c r="T124" s="72">
        <f t="shared" si="23"/>
        <v>3920</v>
      </c>
      <c r="U124" s="455"/>
      <c r="V124" s="783" t="s">
        <v>165</v>
      </c>
      <c r="W124" s="14" t="s">
        <v>166</v>
      </c>
      <c r="X124" s="7"/>
      <c r="Y124" s="7"/>
      <c r="Z124" s="7"/>
      <c r="AA124" s="7"/>
      <c r="AB124" s="7"/>
      <c r="AC124" s="7"/>
    </row>
    <row r="125" spans="1:29" ht="25.5">
      <c r="A125" s="19"/>
      <c r="B125" s="172"/>
      <c r="C125" s="91"/>
      <c r="D125" s="91"/>
      <c r="E125" s="91"/>
      <c r="F125" s="91"/>
      <c r="G125" s="91"/>
      <c r="H125" s="91"/>
      <c r="I125" s="91"/>
      <c r="J125" s="22"/>
      <c r="K125" s="22"/>
      <c r="L125" s="22"/>
      <c r="M125" s="22"/>
      <c r="N125" s="22"/>
      <c r="O125" s="91"/>
      <c r="P125" s="91"/>
      <c r="Q125" s="122"/>
      <c r="R125" s="173"/>
      <c r="S125" s="151"/>
      <c r="T125" s="91"/>
      <c r="U125" s="644"/>
      <c r="V125" s="782"/>
      <c r="W125" s="14" t="s">
        <v>82</v>
      </c>
      <c r="X125" s="7"/>
      <c r="Y125" s="7"/>
      <c r="Z125" s="7"/>
      <c r="AA125" s="7"/>
      <c r="AB125" s="7"/>
      <c r="AC125" s="7"/>
    </row>
    <row r="126" spans="1:29" ht="25.5">
      <c r="A126" s="19"/>
      <c r="B126" s="27" t="s">
        <v>167</v>
      </c>
      <c r="C126" s="28">
        <f>H126+E126</f>
        <v>524.59999999999218</v>
      </c>
      <c r="D126" s="28"/>
      <c r="E126" s="28">
        <f t="shared" si="20"/>
        <v>36.599999999999454</v>
      </c>
      <c r="F126" s="28">
        <f>0.035*H126</f>
        <v>17.079999999999746</v>
      </c>
      <c r="G126" s="28">
        <f>H126*0.04</f>
        <v>19.519999999999708</v>
      </c>
      <c r="H126" s="28">
        <f t="shared" si="22"/>
        <v>487.99999999999272</v>
      </c>
      <c r="I126" s="28">
        <f t="shared" ref="I126:I130" si="24">0.6*C126</f>
        <v>314.75999999999527</v>
      </c>
      <c r="J126" s="29"/>
      <c r="K126" s="29"/>
      <c r="L126" s="29"/>
      <c r="M126" s="29"/>
      <c r="N126" s="29"/>
      <c r="O126" s="28">
        <v>8398.1</v>
      </c>
      <c r="P126" s="28">
        <v>8422.5</v>
      </c>
      <c r="Q126" s="30"/>
      <c r="R126" s="351"/>
      <c r="S126" s="54">
        <v>20</v>
      </c>
      <c r="T126" s="28">
        <f t="shared" si="23"/>
        <v>487.99999999999272</v>
      </c>
      <c r="U126" s="455">
        <v>33780</v>
      </c>
      <c r="V126" s="783" t="s">
        <v>168</v>
      </c>
      <c r="W126" s="14" t="s">
        <v>22</v>
      </c>
      <c r="X126" s="7"/>
      <c r="Y126" s="7"/>
      <c r="Z126" s="7"/>
      <c r="AA126" s="7"/>
      <c r="AB126" s="7"/>
      <c r="AC126" s="7"/>
    </row>
    <row r="127" spans="1:29" ht="25.5">
      <c r="A127" s="19"/>
      <c r="B127" s="166" t="s">
        <v>169</v>
      </c>
      <c r="C127" s="56">
        <f t="shared" si="21"/>
        <v>0</v>
      </c>
      <c r="D127" s="56"/>
      <c r="E127" s="56">
        <f t="shared" si="20"/>
        <v>0</v>
      </c>
      <c r="F127" s="56">
        <f>0.04*H127</f>
        <v>0</v>
      </c>
      <c r="G127" s="56">
        <f>0.03*H127</f>
        <v>0</v>
      </c>
      <c r="H127" s="56">
        <f t="shared" si="22"/>
        <v>0</v>
      </c>
      <c r="I127" s="56">
        <f t="shared" si="24"/>
        <v>0</v>
      </c>
      <c r="J127" s="57"/>
      <c r="K127" s="57"/>
      <c r="L127" s="57"/>
      <c r="M127" s="57"/>
      <c r="N127" s="57" t="s">
        <v>170</v>
      </c>
      <c r="O127" s="56">
        <v>16165</v>
      </c>
      <c r="P127" s="56">
        <v>16165</v>
      </c>
      <c r="Q127" s="169"/>
      <c r="R127" s="170"/>
      <c r="S127" s="56">
        <v>1</v>
      </c>
      <c r="T127" s="56">
        <f t="shared" si="23"/>
        <v>0</v>
      </c>
      <c r="U127" s="721">
        <v>24339</v>
      </c>
      <c r="V127" s="60" t="s">
        <v>171</v>
      </c>
      <c r="W127" s="14"/>
      <c r="X127" s="7"/>
      <c r="Y127" s="7"/>
      <c r="Z127" s="7"/>
      <c r="AA127" s="7"/>
      <c r="AB127" s="7"/>
      <c r="AC127" s="7"/>
    </row>
    <row r="128" spans="1:29" ht="25.5">
      <c r="A128" s="19"/>
      <c r="B128" s="62" t="s">
        <v>945</v>
      </c>
      <c r="C128" s="28">
        <f t="shared" si="21"/>
        <v>56.71</v>
      </c>
      <c r="D128" s="28"/>
      <c r="E128" s="28">
        <f t="shared" si="20"/>
        <v>3.71</v>
      </c>
      <c r="F128" s="28">
        <f>0.04*H128</f>
        <v>2.12</v>
      </c>
      <c r="G128" s="28">
        <f>0.03*H128</f>
        <v>1.5899999999999999</v>
      </c>
      <c r="H128" s="28">
        <f t="shared" si="22"/>
        <v>53</v>
      </c>
      <c r="I128" s="28">
        <f t="shared" si="24"/>
        <v>34.025999999999996</v>
      </c>
      <c r="J128" s="29"/>
      <c r="K128" s="29"/>
      <c r="L128" s="29"/>
      <c r="M128" s="29"/>
      <c r="N128" s="29"/>
      <c r="O128" s="28">
        <v>4116</v>
      </c>
      <c r="P128" s="28">
        <v>4169</v>
      </c>
      <c r="Q128" s="30"/>
      <c r="R128" s="351"/>
      <c r="S128" s="54">
        <v>1</v>
      </c>
      <c r="T128" s="28">
        <f t="shared" si="23"/>
        <v>53</v>
      </c>
      <c r="U128" s="455">
        <v>2466</v>
      </c>
      <c r="V128" s="783" t="s">
        <v>173</v>
      </c>
      <c r="W128" s="14"/>
      <c r="X128" s="7"/>
      <c r="Y128" s="7"/>
      <c r="Z128" s="7"/>
      <c r="AA128" s="7"/>
      <c r="AB128" s="7"/>
      <c r="AC128" s="7"/>
    </row>
    <row r="129" spans="1:29" ht="25.5">
      <c r="A129" s="19"/>
      <c r="B129" s="62" t="s">
        <v>945</v>
      </c>
      <c r="C129" s="28">
        <f>H129+E129</f>
        <v>0</v>
      </c>
      <c r="D129" s="28"/>
      <c r="E129" s="28">
        <f>F129+G129</f>
        <v>0</v>
      </c>
      <c r="F129" s="28">
        <f>0.04*H129</f>
        <v>0</v>
      </c>
      <c r="G129" s="28">
        <f>0.03*H129</f>
        <v>0</v>
      </c>
      <c r="H129" s="28">
        <f>T129</f>
        <v>0</v>
      </c>
      <c r="I129" s="28">
        <f>0.5*C129</f>
        <v>0</v>
      </c>
      <c r="J129" s="29"/>
      <c r="K129" s="29"/>
      <c r="L129" s="29"/>
      <c r="M129" s="29"/>
      <c r="N129" s="29"/>
      <c r="O129" s="28">
        <v>7509</v>
      </c>
      <c r="P129" s="28">
        <v>7509</v>
      </c>
      <c r="Q129" s="30"/>
      <c r="R129" s="351"/>
      <c r="S129" s="28">
        <v>1</v>
      </c>
      <c r="T129" s="28">
        <f>(P129-O129)*S129</f>
        <v>0</v>
      </c>
      <c r="U129" s="455" t="s">
        <v>1120</v>
      </c>
      <c r="V129" s="783" t="s">
        <v>152</v>
      </c>
      <c r="W129" s="14"/>
      <c r="X129" s="7"/>
      <c r="Y129" s="7"/>
      <c r="Z129" s="7"/>
      <c r="AA129" s="7"/>
      <c r="AB129" s="7"/>
      <c r="AC129" s="7"/>
    </row>
    <row r="130" spans="1:29" ht="51">
      <c r="A130" s="19"/>
      <c r="B130" s="27" t="s">
        <v>175</v>
      </c>
      <c r="C130" s="28">
        <f t="shared" si="21"/>
        <v>0</v>
      </c>
      <c r="D130" s="77"/>
      <c r="E130" s="28">
        <f t="shared" si="20"/>
        <v>0</v>
      </c>
      <c r="F130" s="28">
        <f>0.04*H130</f>
        <v>0</v>
      </c>
      <c r="G130" s="28">
        <f>0.03*H130</f>
        <v>0</v>
      </c>
      <c r="H130" s="28">
        <f t="shared" si="22"/>
        <v>0</v>
      </c>
      <c r="I130" s="72">
        <f t="shared" si="24"/>
        <v>0</v>
      </c>
      <c r="J130" s="46"/>
      <c r="K130" s="46"/>
      <c r="L130" s="46"/>
      <c r="M130" s="46"/>
      <c r="N130" s="46"/>
      <c r="O130" s="77">
        <v>31237</v>
      </c>
      <c r="P130" s="77">
        <v>31237</v>
      </c>
      <c r="Q130" s="79"/>
      <c r="R130" s="80"/>
      <c r="S130" s="77">
        <v>1</v>
      </c>
      <c r="T130" s="28">
        <f t="shared" si="23"/>
        <v>0</v>
      </c>
      <c r="U130" s="455">
        <v>286946</v>
      </c>
      <c r="V130" s="783" t="s">
        <v>176</v>
      </c>
      <c r="W130" s="14" t="s">
        <v>22</v>
      </c>
      <c r="X130" s="7"/>
      <c r="Y130" s="7"/>
      <c r="Z130" s="7"/>
      <c r="AA130" s="7"/>
      <c r="AB130" s="7"/>
      <c r="AC130" s="7"/>
    </row>
    <row r="131" spans="1:29" ht="25.5">
      <c r="A131" s="19"/>
      <c r="B131" s="129"/>
      <c r="C131" s="84"/>
      <c r="D131" s="84"/>
      <c r="E131" s="84"/>
      <c r="F131" s="84"/>
      <c r="G131" s="84"/>
      <c r="H131" s="84"/>
      <c r="I131" s="84"/>
      <c r="J131" s="130"/>
      <c r="K131" s="130"/>
      <c r="L131" s="130"/>
      <c r="M131" s="130"/>
      <c r="N131" s="130"/>
      <c r="O131" s="84"/>
      <c r="P131" s="84"/>
      <c r="Q131" s="86"/>
      <c r="R131" s="179"/>
      <c r="S131" s="156"/>
      <c r="T131" s="84"/>
      <c r="U131" s="722"/>
      <c r="V131" s="89"/>
      <c r="W131" s="14"/>
      <c r="X131" s="7"/>
      <c r="Y131" s="7"/>
      <c r="Z131" s="7"/>
      <c r="AA131" s="7"/>
      <c r="AB131" s="7"/>
      <c r="AC131" s="7"/>
    </row>
    <row r="132" spans="1:29" ht="27.75">
      <c r="A132" s="19"/>
      <c r="B132" s="141" t="s">
        <v>86</v>
      </c>
      <c r="C132" s="97">
        <f>SUM(C114:C131)</f>
        <v>61768.189999999995</v>
      </c>
      <c r="D132" s="115"/>
      <c r="E132" s="115"/>
      <c r="F132" s="91"/>
      <c r="G132" s="91"/>
      <c r="H132" s="91"/>
      <c r="I132" s="124"/>
      <c r="J132" s="164"/>
      <c r="K132" s="164"/>
      <c r="L132" s="164"/>
      <c r="M132" s="164"/>
      <c r="N132" s="164"/>
      <c r="O132" s="91"/>
      <c r="P132" s="91"/>
      <c r="Q132" s="7"/>
      <c r="R132" s="94"/>
      <c r="S132" s="91"/>
      <c r="T132" s="91"/>
      <c r="U132" s="644"/>
      <c r="V132" s="782"/>
      <c r="W132" s="14"/>
      <c r="X132" s="7"/>
      <c r="Y132" s="7"/>
      <c r="Z132" s="7"/>
      <c r="AA132" s="7"/>
      <c r="AB132" s="7"/>
      <c r="AC132" s="7"/>
    </row>
    <row r="133" spans="1:29" ht="27.75">
      <c r="A133" s="19"/>
      <c r="B133" s="180" t="s">
        <v>177</v>
      </c>
      <c r="C133" s="91"/>
      <c r="D133" s="115"/>
      <c r="E133" s="115"/>
      <c r="F133" s="91"/>
      <c r="G133" s="91"/>
      <c r="H133" s="91"/>
      <c r="I133" s="124"/>
      <c r="J133" s="164"/>
      <c r="K133" s="164"/>
      <c r="L133" s="164"/>
      <c r="M133" s="164"/>
      <c r="N133" s="164"/>
      <c r="O133" s="91"/>
      <c r="P133" s="91"/>
      <c r="Q133" s="7"/>
      <c r="R133" s="94"/>
      <c r="S133" s="91"/>
      <c r="T133" s="91"/>
      <c r="U133" s="644"/>
      <c r="V133" s="782"/>
      <c r="W133" s="14"/>
      <c r="X133" s="7"/>
      <c r="Y133" s="7"/>
      <c r="Z133" s="7"/>
      <c r="AA133" s="7"/>
      <c r="AB133" s="7"/>
      <c r="AC133" s="7"/>
    </row>
    <row r="134" spans="1:29" ht="26.25">
      <c r="A134" s="19"/>
      <c r="B134" s="123" t="s">
        <v>178</v>
      </c>
      <c r="C134" s="97">
        <f>H134+E134</f>
        <v>2577.4653799999928</v>
      </c>
      <c r="D134" s="124">
        <f>D138+D139</f>
        <v>36820.933999999899</v>
      </c>
      <c r="E134" s="124">
        <f>F134+G134</f>
        <v>2577.4653799999928</v>
      </c>
      <c r="F134" s="124">
        <f>0.04*D134</f>
        <v>1472.8373599999959</v>
      </c>
      <c r="G134" s="124">
        <f>0.03*D134</f>
        <v>1104.6280199999969</v>
      </c>
      <c r="H134" s="124"/>
      <c r="I134" s="124">
        <v>0</v>
      </c>
      <c r="J134" s="126"/>
      <c r="K134" s="126"/>
      <c r="L134" s="126"/>
      <c r="M134" s="126"/>
      <c r="N134" s="126"/>
      <c r="O134" s="188">
        <v>2910.06</v>
      </c>
      <c r="P134" s="188">
        <v>3014.84</v>
      </c>
      <c r="Q134" s="138"/>
      <c r="R134" s="215"/>
      <c r="S134" s="124">
        <v>60</v>
      </c>
      <c r="T134" s="124">
        <f t="shared" ref="T134:T144" si="25">(P134-O134)*S134</f>
        <v>6286.800000000012</v>
      </c>
      <c r="U134" s="717">
        <v>1906</v>
      </c>
      <c r="V134" s="128" t="s">
        <v>179</v>
      </c>
      <c r="W134" s="14" t="s">
        <v>22</v>
      </c>
      <c r="X134" s="7"/>
      <c r="Y134" s="7"/>
      <c r="Z134" s="7"/>
      <c r="AA134" s="7"/>
      <c r="AB134" s="7"/>
      <c r="AC134" s="7"/>
    </row>
    <row r="135" spans="1:29" ht="26.25">
      <c r="A135" s="19"/>
      <c r="B135" s="158"/>
      <c r="C135" s="124"/>
      <c r="D135" s="124"/>
      <c r="E135" s="124"/>
      <c r="F135" s="124"/>
      <c r="G135" s="124"/>
      <c r="H135" s="124"/>
      <c r="I135" s="97"/>
      <c r="J135" s="126"/>
      <c r="K135" s="126"/>
      <c r="L135" s="126"/>
      <c r="M135" s="126"/>
      <c r="N135" s="126"/>
      <c r="O135" s="188">
        <v>1478.75</v>
      </c>
      <c r="P135" s="188">
        <v>1517.91</v>
      </c>
      <c r="Q135" s="138"/>
      <c r="R135" s="215"/>
      <c r="S135" s="124">
        <v>20</v>
      </c>
      <c r="T135" s="124">
        <f t="shared" si="25"/>
        <v>783.20000000000164</v>
      </c>
      <c r="U135" s="717">
        <v>1821</v>
      </c>
      <c r="V135" s="128" t="s">
        <v>180</v>
      </c>
      <c r="W135" s="14" t="s">
        <v>22</v>
      </c>
      <c r="X135" s="7"/>
      <c r="Y135" s="7"/>
      <c r="Z135" s="7"/>
      <c r="AA135" s="7"/>
      <c r="AB135" s="7"/>
      <c r="AC135" s="7"/>
    </row>
    <row r="136" spans="1:29" ht="25.5">
      <c r="A136" s="19"/>
      <c r="B136" s="158"/>
      <c r="C136" s="124"/>
      <c r="D136" s="124"/>
      <c r="E136" s="124"/>
      <c r="F136" s="124"/>
      <c r="G136" s="124"/>
      <c r="H136" s="124"/>
      <c r="I136" s="124"/>
      <c r="J136" s="126"/>
      <c r="K136" s="126"/>
      <c r="L136" s="126"/>
      <c r="M136" s="126"/>
      <c r="N136" s="126"/>
      <c r="O136" s="188">
        <v>728.22</v>
      </c>
      <c r="P136" s="188">
        <v>748.79</v>
      </c>
      <c r="Q136" s="138"/>
      <c r="R136" s="627"/>
      <c r="S136" s="124">
        <v>60</v>
      </c>
      <c r="T136" s="124">
        <f t="shared" si="25"/>
        <v>1234.1999999999962</v>
      </c>
      <c r="U136" s="717">
        <v>1903</v>
      </c>
      <c r="V136" s="128" t="s">
        <v>181</v>
      </c>
      <c r="W136" s="14" t="s">
        <v>22</v>
      </c>
      <c r="X136" s="7"/>
      <c r="Y136" s="7"/>
      <c r="Z136" s="7"/>
      <c r="AA136" s="7"/>
      <c r="AB136" s="7"/>
      <c r="AC136" s="7"/>
    </row>
    <row r="137" spans="1:29" ht="25.5">
      <c r="A137" s="19"/>
      <c r="B137" s="158" t="s">
        <v>182</v>
      </c>
      <c r="C137" s="124"/>
      <c r="D137" s="124"/>
      <c r="E137" s="124"/>
      <c r="F137" s="124"/>
      <c r="G137" s="124"/>
      <c r="H137" s="124"/>
      <c r="I137" s="124"/>
      <c r="J137" s="126"/>
      <c r="K137" s="126"/>
      <c r="L137" s="126"/>
      <c r="M137" s="126"/>
      <c r="N137" s="126"/>
      <c r="O137" s="188">
        <v>90890.67</v>
      </c>
      <c r="P137" s="188">
        <v>92426.312000000005</v>
      </c>
      <c r="Q137" s="138"/>
      <c r="R137" s="674"/>
      <c r="S137" s="124">
        <v>1</v>
      </c>
      <c r="T137" s="124">
        <f t="shared" si="25"/>
        <v>1535.6420000000071</v>
      </c>
      <c r="U137" s="717">
        <v>9454</v>
      </c>
      <c r="V137" s="128" t="s">
        <v>957</v>
      </c>
      <c r="W137" s="14" t="s">
        <v>22</v>
      </c>
      <c r="X137" s="7"/>
      <c r="Y137" s="7"/>
      <c r="Z137" s="7"/>
      <c r="AA137" s="7"/>
      <c r="AB137" s="7"/>
      <c r="AC137" s="7"/>
    </row>
    <row r="138" spans="1:29" ht="25.5">
      <c r="A138" s="19"/>
      <c r="B138" s="158" t="s">
        <v>184</v>
      </c>
      <c r="C138" s="124"/>
      <c r="D138" s="124">
        <f>T134+T135+T136+T137+T138</f>
        <v>9884.0140000000174</v>
      </c>
      <c r="E138" s="124"/>
      <c r="F138" s="124"/>
      <c r="G138" s="124"/>
      <c r="H138" s="124"/>
      <c r="I138" s="124"/>
      <c r="J138" s="126"/>
      <c r="K138" s="126"/>
      <c r="L138" s="126"/>
      <c r="M138" s="126"/>
      <c r="N138" s="126"/>
      <c r="O138" s="188">
        <v>2119.2600000000002</v>
      </c>
      <c r="P138" s="188">
        <v>2163.4319999999998</v>
      </c>
      <c r="Q138" s="138"/>
      <c r="R138" s="242"/>
      <c r="S138" s="124">
        <v>1</v>
      </c>
      <c r="T138" s="124">
        <f t="shared" si="25"/>
        <v>44.171999999999571</v>
      </c>
      <c r="U138" s="717">
        <v>9314</v>
      </c>
      <c r="V138" s="128" t="s">
        <v>180</v>
      </c>
      <c r="W138" s="14" t="s">
        <v>22</v>
      </c>
      <c r="X138" s="7"/>
      <c r="Y138" s="7"/>
      <c r="Z138" s="7"/>
      <c r="AA138" s="7"/>
      <c r="AB138" s="7"/>
      <c r="AC138" s="7"/>
    </row>
    <row r="139" spans="1:29" ht="25.5">
      <c r="A139" s="19"/>
      <c r="B139" s="158" t="s">
        <v>185</v>
      </c>
      <c r="C139" s="124"/>
      <c r="D139" s="124">
        <f>T139+T140</f>
        <v>26936.919999999882</v>
      </c>
      <c r="E139" s="124"/>
      <c r="F139" s="124"/>
      <c r="G139" s="124"/>
      <c r="H139" s="124"/>
      <c r="I139" s="124"/>
      <c r="J139" s="126"/>
      <c r="K139" s="126"/>
      <c r="L139" s="126"/>
      <c r="M139" s="126"/>
      <c r="N139" s="126"/>
      <c r="O139" s="188">
        <v>25112.22</v>
      </c>
      <c r="P139" s="188">
        <v>25727.759999999998</v>
      </c>
      <c r="Q139" s="138"/>
      <c r="R139" s="242"/>
      <c r="S139" s="124">
        <v>40</v>
      </c>
      <c r="T139" s="124">
        <f t="shared" si="25"/>
        <v>24621.599999999889</v>
      </c>
      <c r="U139" s="717">
        <v>1793</v>
      </c>
      <c r="V139" s="128" t="s">
        <v>186</v>
      </c>
      <c r="W139" s="14" t="s">
        <v>22</v>
      </c>
      <c r="X139" s="7"/>
      <c r="Y139" s="7"/>
      <c r="Z139" s="7"/>
      <c r="AA139" s="7"/>
      <c r="AB139" s="7"/>
      <c r="AC139" s="7"/>
    </row>
    <row r="140" spans="1:29" ht="26.25">
      <c r="A140" s="19"/>
      <c r="B140" s="331"/>
      <c r="C140" s="124"/>
      <c r="D140" s="97"/>
      <c r="E140" s="97"/>
      <c r="F140" s="124"/>
      <c r="G140" s="124"/>
      <c r="H140" s="124"/>
      <c r="I140" s="124"/>
      <c r="J140" s="332"/>
      <c r="K140" s="332"/>
      <c r="L140" s="332"/>
      <c r="M140" s="332"/>
      <c r="N140" s="332"/>
      <c r="O140" s="188">
        <v>3225.73</v>
      </c>
      <c r="P140" s="188">
        <v>3283.6129999999998</v>
      </c>
      <c r="Q140" s="7"/>
      <c r="R140" s="94"/>
      <c r="S140" s="124">
        <v>40</v>
      </c>
      <c r="T140" s="124">
        <f t="shared" si="25"/>
        <v>2315.3199999999924</v>
      </c>
      <c r="U140" s="717">
        <v>9996</v>
      </c>
      <c r="V140" s="128" t="s">
        <v>186</v>
      </c>
      <c r="W140" s="14" t="s">
        <v>22</v>
      </c>
      <c r="X140" s="7"/>
      <c r="Y140" s="7"/>
      <c r="Z140" s="7"/>
      <c r="AA140" s="7"/>
      <c r="AB140" s="7"/>
      <c r="AC140" s="7"/>
    </row>
    <row r="141" spans="1:29" ht="26.25">
      <c r="A141" s="19"/>
      <c r="B141" s="184"/>
      <c r="C141" s="84"/>
      <c r="D141" s="154"/>
      <c r="E141" s="185"/>
      <c r="F141" s="84"/>
      <c r="G141" s="84"/>
      <c r="H141" s="84"/>
      <c r="I141" s="84"/>
      <c r="J141" s="183"/>
      <c r="K141" s="183"/>
      <c r="L141" s="183"/>
      <c r="M141" s="183"/>
      <c r="N141" s="183"/>
      <c r="O141" s="155"/>
      <c r="P141" s="155"/>
      <c r="Q141" s="86"/>
      <c r="R141" s="87"/>
      <c r="S141" s="84"/>
      <c r="T141" s="84"/>
      <c r="U141" s="722"/>
      <c r="V141" s="89"/>
      <c r="W141" s="14"/>
      <c r="X141" s="7"/>
      <c r="Y141" s="7"/>
      <c r="Z141" s="7"/>
      <c r="AA141" s="7"/>
      <c r="AB141" s="7"/>
      <c r="AC141" s="7"/>
    </row>
    <row r="142" spans="1:29" ht="26.25">
      <c r="A142" s="19"/>
      <c r="B142" s="401" t="s">
        <v>709</v>
      </c>
      <c r="C142" s="497">
        <f>H142+E142+C144</f>
        <v>5401.1999999999989</v>
      </c>
      <c r="D142" s="396">
        <f>T142</f>
        <v>68840</v>
      </c>
      <c r="E142" s="397">
        <f>F142+G142</f>
        <v>4818.7999999999993</v>
      </c>
      <c r="F142" s="396">
        <f>0.04*D142</f>
        <v>2753.6</v>
      </c>
      <c r="G142" s="396">
        <f>0.03*D142</f>
        <v>2065.1999999999998</v>
      </c>
      <c r="H142" s="396"/>
      <c r="I142" s="84">
        <f>T143</f>
        <v>0</v>
      </c>
      <c r="J142" s="398"/>
      <c r="K142" s="398"/>
      <c r="L142" s="398"/>
      <c r="M142" s="398"/>
      <c r="N142" s="398" t="s">
        <v>187</v>
      </c>
      <c r="O142" s="84">
        <v>50748.5</v>
      </c>
      <c r="P142" s="84">
        <v>52034.5</v>
      </c>
      <c r="Q142" s="399"/>
      <c r="R142" s="400"/>
      <c r="S142" s="396">
        <v>60</v>
      </c>
      <c r="T142" s="396">
        <f>(P142-O142)*S142-T144</f>
        <v>68840</v>
      </c>
      <c r="U142" s="722">
        <v>14314</v>
      </c>
      <c r="V142" s="403" t="s">
        <v>188</v>
      </c>
      <c r="W142" s="14" t="s">
        <v>189</v>
      </c>
      <c r="X142" s="7"/>
      <c r="Y142" s="7"/>
      <c r="Z142" s="7"/>
      <c r="AA142" s="7"/>
      <c r="AB142" s="7"/>
      <c r="AC142" s="7"/>
    </row>
    <row r="143" spans="1:29" ht="26.25">
      <c r="A143" s="19"/>
      <c r="B143" s="186"/>
      <c r="C143" s="97"/>
      <c r="D143" s="124"/>
      <c r="E143" s="187"/>
      <c r="F143" s="124"/>
      <c r="G143" s="124"/>
      <c r="H143" s="124"/>
      <c r="I143" s="124"/>
      <c r="J143" s="126"/>
      <c r="K143" s="126"/>
      <c r="L143" s="126"/>
      <c r="M143" s="126"/>
      <c r="N143" s="126"/>
      <c r="O143" s="124"/>
      <c r="P143" s="124"/>
      <c r="Q143" s="7"/>
      <c r="R143" s="159"/>
      <c r="S143" s="124"/>
      <c r="T143" s="124"/>
      <c r="U143" s="717"/>
      <c r="V143" s="128"/>
      <c r="W143" s="14"/>
      <c r="X143" s="7"/>
      <c r="Y143" s="7"/>
      <c r="Z143" s="7"/>
      <c r="AA143" s="7"/>
      <c r="AB143" s="7"/>
      <c r="AC143" s="7"/>
    </row>
    <row r="144" spans="1:29" ht="26.25">
      <c r="A144" s="19"/>
      <c r="B144" s="182" t="s">
        <v>190</v>
      </c>
      <c r="C144" s="497">
        <f>H144+E144</f>
        <v>582.4</v>
      </c>
      <c r="D144" s="396">
        <f>T144</f>
        <v>8320</v>
      </c>
      <c r="E144" s="397">
        <f>F144+G144</f>
        <v>582.4</v>
      </c>
      <c r="F144" s="396">
        <f>0.04*D144</f>
        <v>332.8</v>
      </c>
      <c r="G144" s="396">
        <f>0.03*D144</f>
        <v>249.6</v>
      </c>
      <c r="H144" s="396"/>
      <c r="I144" s="84">
        <f>T145</f>
        <v>8440</v>
      </c>
      <c r="J144" s="398"/>
      <c r="K144" s="398"/>
      <c r="L144" s="398"/>
      <c r="M144" s="398"/>
      <c r="N144" s="398" t="s">
        <v>187</v>
      </c>
      <c r="O144" s="84">
        <v>7445</v>
      </c>
      <c r="P144" s="84">
        <v>7653</v>
      </c>
      <c r="Q144" s="399"/>
      <c r="R144" s="400"/>
      <c r="S144" s="396">
        <v>40</v>
      </c>
      <c r="T144" s="396">
        <f t="shared" si="25"/>
        <v>8320</v>
      </c>
      <c r="U144" s="722"/>
      <c r="V144" s="89" t="s">
        <v>191</v>
      </c>
      <c r="W144" s="14" t="s">
        <v>189</v>
      </c>
      <c r="X144" s="7"/>
      <c r="Y144" s="7"/>
      <c r="Z144" s="7"/>
      <c r="AA144" s="7"/>
      <c r="AB144" s="7"/>
      <c r="AC144" s="7"/>
    </row>
    <row r="145" spans="1:29" ht="26.25">
      <c r="A145" s="19"/>
      <c r="B145" s="182" t="s">
        <v>192</v>
      </c>
      <c r="C145" s="498">
        <f>E145+E146</f>
        <v>852.27</v>
      </c>
      <c r="D145" s="84">
        <f>T145</f>
        <v>8440</v>
      </c>
      <c r="E145" s="84">
        <f>F145+G145</f>
        <v>784.92</v>
      </c>
      <c r="F145" s="84">
        <f>0.05*D145</f>
        <v>422</v>
      </c>
      <c r="G145" s="84">
        <f>0.043*D145</f>
        <v>362.91999999999996</v>
      </c>
      <c r="H145" s="84"/>
      <c r="I145" s="84">
        <f>0.6*D145</f>
        <v>5064</v>
      </c>
      <c r="J145" s="130"/>
      <c r="K145" s="130"/>
      <c r="L145" s="130"/>
      <c r="M145" s="130"/>
      <c r="N145" s="130"/>
      <c r="O145" s="396">
        <v>17452</v>
      </c>
      <c r="P145" s="396">
        <v>17663</v>
      </c>
      <c r="Q145" s="130" t="s">
        <v>37</v>
      </c>
      <c r="R145" s="385"/>
      <c r="S145" s="156">
        <v>40</v>
      </c>
      <c r="T145" s="84">
        <f>(P145-O145)*S145</f>
        <v>8440</v>
      </c>
      <c r="U145" s="722">
        <v>1571</v>
      </c>
      <c r="V145" s="89" t="s">
        <v>193</v>
      </c>
      <c r="W145" s="14" t="s">
        <v>43</v>
      </c>
      <c r="X145" s="7"/>
      <c r="Y145" s="7"/>
      <c r="Z145" s="7"/>
      <c r="AA145" s="7"/>
      <c r="AB145" s="7"/>
      <c r="AC145" s="7"/>
    </row>
    <row r="146" spans="1:29" ht="26.25">
      <c r="A146" s="19"/>
      <c r="B146" s="83"/>
      <c r="C146" s="154"/>
      <c r="D146" s="84">
        <f>T146</f>
        <v>2245</v>
      </c>
      <c r="E146" s="84">
        <f>F146+G146</f>
        <v>67.349999999999994</v>
      </c>
      <c r="F146" s="84">
        <f>0.02*D146</f>
        <v>44.9</v>
      </c>
      <c r="G146" s="84">
        <f>0.01*D146</f>
        <v>22.45</v>
      </c>
      <c r="H146" s="84"/>
      <c r="I146" s="84">
        <f>0.6*D146</f>
        <v>1347</v>
      </c>
      <c r="J146" s="130"/>
      <c r="K146" s="130"/>
      <c r="L146" s="130"/>
      <c r="M146" s="130"/>
      <c r="N146" s="130"/>
      <c r="O146" s="396">
        <v>126015</v>
      </c>
      <c r="P146" s="396">
        <v>128260</v>
      </c>
      <c r="Q146" s="130"/>
      <c r="R146" s="385"/>
      <c r="S146" s="156">
        <v>1</v>
      </c>
      <c r="T146" s="84">
        <f>(P146-O146)*S146</f>
        <v>2245</v>
      </c>
      <c r="U146" s="722">
        <v>8673</v>
      </c>
      <c r="V146" s="89" t="s">
        <v>194</v>
      </c>
      <c r="W146" s="14" t="s">
        <v>43</v>
      </c>
      <c r="X146" s="7"/>
      <c r="Y146" s="7"/>
      <c r="Z146" s="7"/>
      <c r="AA146" s="7"/>
      <c r="AB146" s="7"/>
      <c r="AC146" s="7"/>
    </row>
    <row r="147" spans="1:29" ht="26.25">
      <c r="A147" s="19"/>
      <c r="B147" s="331"/>
      <c r="C147" s="97"/>
      <c r="D147" s="124"/>
      <c r="E147" s="124"/>
      <c r="F147" s="124"/>
      <c r="G147" s="124"/>
      <c r="H147" s="124"/>
      <c r="I147" s="124"/>
      <c r="J147" s="126"/>
      <c r="K147" s="126"/>
      <c r="L147" s="126"/>
      <c r="M147" s="126"/>
      <c r="N147" s="126"/>
      <c r="O147" s="124"/>
      <c r="P147" s="124"/>
      <c r="Q147" s="7"/>
      <c r="R147" s="94"/>
      <c r="S147" s="124"/>
      <c r="T147" s="124"/>
      <c r="U147" s="717"/>
      <c r="V147" s="128" t="s">
        <v>195</v>
      </c>
      <c r="W147" s="14"/>
      <c r="X147" s="7"/>
      <c r="Y147" s="7"/>
      <c r="Z147" s="7"/>
      <c r="AA147" s="7"/>
      <c r="AB147" s="7"/>
      <c r="AC147" s="7"/>
    </row>
    <row r="148" spans="1:29" ht="26.25">
      <c r="A148" s="19"/>
      <c r="B148" s="387" t="s">
        <v>196</v>
      </c>
      <c r="C148" s="498">
        <f>F148+G148</f>
        <v>1243.9455000000066</v>
      </c>
      <c r="D148" s="84">
        <f>T148</f>
        <v>17770.650000000096</v>
      </c>
      <c r="E148" s="84">
        <f>F148+G148</f>
        <v>1243.9455000000066</v>
      </c>
      <c r="F148" s="84">
        <f>0.04*H148</f>
        <v>710.82600000000389</v>
      </c>
      <c r="G148" s="84">
        <f>0.03*H148</f>
        <v>533.11950000000286</v>
      </c>
      <c r="H148" s="84">
        <f>T148</f>
        <v>17770.650000000096</v>
      </c>
      <c r="I148" s="84">
        <f>Z525</f>
        <v>6780</v>
      </c>
      <c r="J148" s="130"/>
      <c r="K148" s="130"/>
      <c r="L148" s="130"/>
      <c r="M148" s="130"/>
      <c r="N148" s="130"/>
      <c r="O148" s="393" t="s">
        <v>1122</v>
      </c>
      <c r="P148" s="393" t="s">
        <v>1164</v>
      </c>
      <c r="Q148" s="130" t="s">
        <v>50</v>
      </c>
      <c r="R148" s="385"/>
      <c r="S148" s="156">
        <v>60</v>
      </c>
      <c r="T148" s="84">
        <f>(P148-O148)*S148</f>
        <v>17770.650000000096</v>
      </c>
      <c r="U148" s="722">
        <v>27421830</v>
      </c>
      <c r="V148" s="89" t="s">
        <v>197</v>
      </c>
      <c r="W148" s="14" t="s">
        <v>198</v>
      </c>
      <c r="X148" s="7"/>
      <c r="Y148" s="7"/>
      <c r="Z148" s="7"/>
      <c r="AA148" s="7"/>
      <c r="AB148" s="7"/>
      <c r="AC148" s="7"/>
    </row>
    <row r="149" spans="1:29" ht="26.25">
      <c r="A149" s="19"/>
      <c r="B149" s="331"/>
      <c r="C149" s="97"/>
      <c r="D149" s="97"/>
      <c r="E149" s="97"/>
      <c r="F149" s="124"/>
      <c r="G149" s="124"/>
      <c r="H149" s="124"/>
      <c r="I149" s="124"/>
      <c r="J149" s="332"/>
      <c r="K149" s="332"/>
      <c r="L149" s="332"/>
      <c r="M149" s="332"/>
      <c r="N149" s="332"/>
      <c r="O149" s="124"/>
      <c r="P149" s="124"/>
      <c r="Q149" s="7"/>
      <c r="R149" s="94"/>
      <c r="S149" s="124"/>
      <c r="T149" s="124"/>
      <c r="U149" s="717"/>
      <c r="V149" s="128"/>
      <c r="W149" s="14"/>
      <c r="X149" s="7"/>
      <c r="Y149" s="7"/>
      <c r="Z149" s="7"/>
      <c r="AA149" s="7"/>
      <c r="AB149" s="7"/>
      <c r="AC149" s="7"/>
    </row>
    <row r="150" spans="1:29" ht="26.25">
      <c r="A150" s="19"/>
      <c r="B150" s="387" t="s">
        <v>199</v>
      </c>
      <c r="C150" s="154">
        <f>H150+E150</f>
        <v>0</v>
      </c>
      <c r="D150" s="84">
        <f>T150+T151</f>
        <v>0</v>
      </c>
      <c r="E150" s="84">
        <f>F150+G150</f>
        <v>0</v>
      </c>
      <c r="F150" s="84">
        <f>0.04*(H150+D150)</f>
        <v>0</v>
      </c>
      <c r="G150" s="84">
        <f>0.03*(H150+D150)</f>
        <v>0</v>
      </c>
      <c r="H150" s="84">
        <f>T152</f>
        <v>0</v>
      </c>
      <c r="I150" s="84">
        <f>0.4*C150</f>
        <v>0</v>
      </c>
      <c r="J150" s="130"/>
      <c r="K150" s="130"/>
      <c r="L150" s="130"/>
      <c r="M150" s="130"/>
      <c r="N150" s="130" t="s">
        <v>200</v>
      </c>
      <c r="O150" s="155">
        <v>1042.7850000000001</v>
      </c>
      <c r="P150" s="155">
        <v>1042.7850000000001</v>
      </c>
      <c r="Q150" s="86"/>
      <c r="R150" s="181"/>
      <c r="S150" s="156">
        <v>40</v>
      </c>
      <c r="T150" s="84">
        <f>(P150-O150)*S150</f>
        <v>0</v>
      </c>
      <c r="U150" s="722">
        <v>9834</v>
      </c>
      <c r="V150" s="89" t="s">
        <v>197</v>
      </c>
      <c r="W150" s="14" t="s">
        <v>116</v>
      </c>
      <c r="X150" s="7"/>
      <c r="Y150" s="7"/>
      <c r="Z150" s="7"/>
      <c r="AA150" s="7"/>
      <c r="AB150" s="7"/>
      <c r="AC150" s="7"/>
    </row>
    <row r="151" spans="1:29" ht="26.25">
      <c r="A151" s="19"/>
      <c r="B151" s="83"/>
      <c r="C151" s="154"/>
      <c r="D151" s="84"/>
      <c r="E151" s="84"/>
      <c r="F151" s="84"/>
      <c r="G151" s="84"/>
      <c r="H151" s="84"/>
      <c r="I151" s="84">
        <f>0.4*C151</f>
        <v>0</v>
      </c>
      <c r="J151" s="130"/>
      <c r="K151" s="130"/>
      <c r="L151" s="130"/>
      <c r="M151" s="130"/>
      <c r="N151" s="130"/>
      <c r="O151" s="155">
        <v>400.12200000000001</v>
      </c>
      <c r="P151" s="155">
        <v>400.12200000000001</v>
      </c>
      <c r="Q151" s="86"/>
      <c r="R151" s="385"/>
      <c r="S151" s="156">
        <v>30</v>
      </c>
      <c r="T151" s="84">
        <f>(P151-O151)*S151</f>
        <v>0</v>
      </c>
      <c r="U151" s="722">
        <v>9861</v>
      </c>
      <c r="V151" s="89"/>
      <c r="W151" s="14" t="s">
        <v>116</v>
      </c>
      <c r="X151" s="7"/>
      <c r="Y151" s="7"/>
      <c r="Z151" s="7"/>
      <c r="AA151" s="7"/>
      <c r="AB151" s="7"/>
      <c r="AC151" s="7"/>
    </row>
    <row r="152" spans="1:29" ht="26.25">
      <c r="A152" s="19"/>
      <c r="B152" s="83"/>
      <c r="C152" s="154"/>
      <c r="D152" s="84"/>
      <c r="E152" s="84"/>
      <c r="F152" s="84"/>
      <c r="G152" s="84"/>
      <c r="H152" s="84"/>
      <c r="I152" s="154"/>
      <c r="J152" s="130"/>
      <c r="K152" s="130"/>
      <c r="L152" s="130"/>
      <c r="M152" s="130"/>
      <c r="N152" s="130"/>
      <c r="O152" s="84"/>
      <c r="P152" s="84"/>
      <c r="Q152" s="86"/>
      <c r="R152" s="130"/>
      <c r="S152" s="85"/>
      <c r="T152" s="84"/>
      <c r="U152" s="722"/>
      <c r="V152" s="89"/>
      <c r="W152" s="14"/>
      <c r="X152" s="7"/>
      <c r="Y152" s="7"/>
      <c r="Z152" s="7"/>
      <c r="AA152" s="7"/>
      <c r="AB152" s="7"/>
      <c r="AC152" s="7"/>
    </row>
    <row r="153" spans="1:29" ht="26.25">
      <c r="A153" s="19"/>
      <c r="B153" s="158"/>
      <c r="C153" s="97"/>
      <c r="D153" s="124"/>
      <c r="E153" s="124"/>
      <c r="F153" s="124"/>
      <c r="G153" s="124"/>
      <c r="H153" s="124"/>
      <c r="I153" s="97"/>
      <c r="J153" s="126"/>
      <c r="K153" s="126"/>
      <c r="L153" s="126"/>
      <c r="M153" s="126"/>
      <c r="N153" s="126"/>
      <c r="O153" s="188"/>
      <c r="P153" s="188"/>
      <c r="Q153" s="7"/>
      <c r="R153" s="189"/>
      <c r="S153" s="140"/>
      <c r="T153" s="124"/>
      <c r="U153" s="717"/>
      <c r="V153" s="128"/>
      <c r="W153" s="14"/>
      <c r="X153" s="7"/>
      <c r="Y153" s="7"/>
      <c r="Z153" s="7"/>
      <c r="AA153" s="7"/>
      <c r="AB153" s="7"/>
      <c r="AC153" s="7"/>
    </row>
    <row r="154" spans="1:29" ht="26.25">
      <c r="A154" s="19"/>
      <c r="B154" s="123" t="s">
        <v>201</v>
      </c>
      <c r="C154" s="97">
        <f>H154+E154</f>
        <v>97.255199999999775</v>
      </c>
      <c r="D154" s="345">
        <f>T154+T156+T157+T159+T160+T161</f>
        <v>219359.75999999978</v>
      </c>
      <c r="E154" s="124">
        <f>G154+F154</f>
        <v>97.255199999999775</v>
      </c>
      <c r="F154" s="124">
        <f>0.04*(T160+T161)</f>
        <v>55.574399999999876</v>
      </c>
      <c r="G154" s="124">
        <f>0.03*(T160+T161)</f>
        <v>41.680799999999905</v>
      </c>
      <c r="H154" s="124"/>
      <c r="I154" s="124">
        <f>0.54*(T160+T161)*0</f>
        <v>0</v>
      </c>
      <c r="J154" s="126"/>
      <c r="K154" s="126"/>
      <c r="L154" s="126"/>
      <c r="M154" s="126"/>
      <c r="N154" s="126"/>
      <c r="O154" s="188"/>
      <c r="P154" s="188"/>
      <c r="Q154" s="7"/>
      <c r="R154" s="242"/>
      <c r="S154" s="140"/>
      <c r="T154" s="124"/>
      <c r="U154" s="717"/>
      <c r="V154" s="128" t="s">
        <v>197</v>
      </c>
      <c r="W154" s="14"/>
      <c r="X154" s="7"/>
      <c r="Y154" s="7"/>
      <c r="Z154" s="7"/>
      <c r="AA154" s="7"/>
      <c r="AB154" s="7"/>
      <c r="AC154" s="7"/>
    </row>
    <row r="155" spans="1:29" ht="25.5">
      <c r="A155" s="19"/>
      <c r="B155" s="158"/>
      <c r="C155" s="124"/>
      <c r="D155" s="124"/>
      <c r="E155" s="124"/>
      <c r="F155" s="124"/>
      <c r="G155" s="124"/>
      <c r="H155" s="124"/>
      <c r="I155" s="124">
        <f>0.54*C155</f>
        <v>0</v>
      </c>
      <c r="J155" s="126"/>
      <c r="K155" s="126"/>
      <c r="L155" s="126"/>
      <c r="M155" s="126"/>
      <c r="N155" s="126"/>
      <c r="O155" s="675"/>
      <c r="P155" s="675"/>
      <c r="Q155" s="7"/>
      <c r="R155" s="242"/>
      <c r="S155" s="140"/>
      <c r="T155" s="124"/>
      <c r="U155" s="717"/>
      <c r="V155" s="128"/>
      <c r="W155" s="14"/>
      <c r="X155" s="7"/>
      <c r="Y155" s="7"/>
      <c r="Z155" s="7"/>
      <c r="AA155" s="7"/>
      <c r="AB155" s="7"/>
      <c r="AC155" s="7"/>
    </row>
    <row r="156" spans="1:29" ht="25.5">
      <c r="A156" s="19"/>
      <c r="B156" s="158"/>
      <c r="C156" s="124"/>
      <c r="D156" s="124"/>
      <c r="E156" s="124"/>
      <c r="F156" s="124"/>
      <c r="G156" s="124"/>
      <c r="H156" s="124"/>
      <c r="I156" s="124">
        <f>0.54*C156</f>
        <v>0</v>
      </c>
      <c r="J156" s="126"/>
      <c r="K156" s="126"/>
      <c r="L156" s="126"/>
      <c r="M156" s="126"/>
      <c r="N156" s="126"/>
      <c r="O156" s="613" t="s">
        <v>955</v>
      </c>
      <c r="P156" s="613" t="s">
        <v>1102</v>
      </c>
      <c r="Q156" s="7"/>
      <c r="R156" s="242"/>
      <c r="S156" s="140">
        <v>300</v>
      </c>
      <c r="T156" s="124">
        <f>(P156-O156)*S156</f>
        <v>131401.20000000024</v>
      </c>
      <c r="U156" s="717">
        <v>257</v>
      </c>
      <c r="V156" s="128" t="s">
        <v>202</v>
      </c>
      <c r="W156" s="191" t="s">
        <v>203</v>
      </c>
      <c r="X156" s="7"/>
      <c r="Y156" s="7"/>
      <c r="Z156" s="7"/>
      <c r="AA156" s="7"/>
      <c r="AB156" s="7"/>
      <c r="AC156" s="7"/>
    </row>
    <row r="157" spans="1:29" ht="25.5">
      <c r="A157" s="19"/>
      <c r="B157" s="158"/>
      <c r="C157" s="124"/>
      <c r="D157" s="124"/>
      <c r="E157" s="124"/>
      <c r="F157" s="124"/>
      <c r="G157" s="124"/>
      <c r="H157" s="124"/>
      <c r="I157" s="124">
        <f>0.54*C157</f>
        <v>0</v>
      </c>
      <c r="J157" s="126"/>
      <c r="K157" s="126"/>
      <c r="L157" s="126"/>
      <c r="M157" s="126"/>
      <c r="N157" s="126"/>
      <c r="O157" s="613" t="s">
        <v>956</v>
      </c>
      <c r="P157" s="613" t="s">
        <v>1103</v>
      </c>
      <c r="Q157" s="7"/>
      <c r="R157" s="242"/>
      <c r="S157" s="140">
        <v>300</v>
      </c>
      <c r="T157" s="124">
        <f>(P157-O157)*S157</f>
        <v>86569.199999999546</v>
      </c>
      <c r="U157" s="717">
        <v>851</v>
      </c>
      <c r="V157" s="128" t="s">
        <v>202</v>
      </c>
      <c r="W157" s="14" t="s">
        <v>35</v>
      </c>
      <c r="X157" s="7"/>
      <c r="Y157" s="7"/>
      <c r="Z157" s="7"/>
      <c r="AA157" s="7"/>
      <c r="AB157" s="7"/>
      <c r="AC157" s="7"/>
    </row>
    <row r="158" spans="1:29" ht="25.5">
      <c r="A158" s="19"/>
      <c r="B158" s="158"/>
      <c r="C158" s="124"/>
      <c r="D158" s="124"/>
      <c r="E158" s="124"/>
      <c r="F158" s="124"/>
      <c r="G158" s="124"/>
      <c r="H158" s="124"/>
      <c r="I158" s="124"/>
      <c r="J158" s="126"/>
      <c r="K158" s="126"/>
      <c r="L158" s="126"/>
      <c r="M158" s="126"/>
      <c r="N158" s="126"/>
      <c r="O158" s="675"/>
      <c r="P158" s="675"/>
      <c r="Q158" s="7"/>
      <c r="R158" s="242"/>
      <c r="S158" s="140"/>
      <c r="T158" s="124"/>
      <c r="U158" s="717"/>
      <c r="V158" s="128"/>
      <c r="W158" s="14"/>
      <c r="X158" s="7"/>
      <c r="Y158" s="7"/>
      <c r="Z158" s="7"/>
      <c r="AA158" s="7"/>
      <c r="AB158" s="7"/>
      <c r="AC158" s="7"/>
    </row>
    <row r="159" spans="1:29" ht="25.5">
      <c r="A159" s="19"/>
      <c r="B159" s="158"/>
      <c r="C159" s="124"/>
      <c r="D159" s="124"/>
      <c r="E159" s="124"/>
      <c r="F159" s="124"/>
      <c r="G159" s="124"/>
      <c r="H159" s="124"/>
      <c r="I159" s="124"/>
      <c r="J159" s="126"/>
      <c r="K159" s="126"/>
      <c r="L159" s="126"/>
      <c r="M159" s="126"/>
      <c r="N159" s="126"/>
      <c r="O159" s="188"/>
      <c r="P159" s="188"/>
      <c r="Q159" s="7"/>
      <c r="R159" s="242"/>
      <c r="S159" s="140"/>
      <c r="T159" s="124"/>
      <c r="U159" s="717"/>
      <c r="V159" s="128"/>
      <c r="W159" s="14"/>
      <c r="X159" s="7"/>
      <c r="Y159" s="7"/>
      <c r="Z159" s="7"/>
      <c r="AA159" s="7"/>
      <c r="AB159" s="7"/>
      <c r="AC159" s="7"/>
    </row>
    <row r="160" spans="1:29" ht="25.5">
      <c r="A160" s="19"/>
      <c r="B160" s="158"/>
      <c r="C160" s="124"/>
      <c r="D160" s="124"/>
      <c r="E160" s="124"/>
      <c r="F160" s="124"/>
      <c r="G160" s="124"/>
      <c r="H160" s="124"/>
      <c r="I160" s="124">
        <f>0.54*C160</f>
        <v>0</v>
      </c>
      <c r="J160" s="126"/>
      <c r="K160" s="126"/>
      <c r="L160" s="126"/>
      <c r="M160" s="126"/>
      <c r="N160" s="126"/>
      <c r="O160" s="188">
        <v>2390.0619999999999</v>
      </c>
      <c r="P160" s="188">
        <v>2424.7959999999998</v>
      </c>
      <c r="Q160" s="7"/>
      <c r="R160" s="242"/>
      <c r="S160" s="140">
        <v>40</v>
      </c>
      <c r="T160" s="124">
        <f>(P160-O160)*S160</f>
        <v>1389.3599999999969</v>
      </c>
      <c r="U160" s="717">
        <v>6289</v>
      </c>
      <c r="V160" s="128" t="s">
        <v>204</v>
      </c>
      <c r="W160" s="14" t="s">
        <v>116</v>
      </c>
      <c r="X160" s="7"/>
      <c r="Y160" s="7"/>
      <c r="Z160" s="7"/>
      <c r="AA160" s="7"/>
      <c r="AB160" s="7"/>
      <c r="AC160" s="7"/>
    </row>
    <row r="161" spans="1:29" ht="25.5">
      <c r="A161" s="19"/>
      <c r="B161" s="158"/>
      <c r="C161" s="124"/>
      <c r="D161" s="124"/>
      <c r="E161" s="124"/>
      <c r="F161" s="124"/>
      <c r="G161" s="124"/>
      <c r="H161" s="124"/>
      <c r="I161" s="124">
        <f>0.54*C161</f>
        <v>0</v>
      </c>
      <c r="J161" s="126"/>
      <c r="K161" s="126"/>
      <c r="L161" s="126"/>
      <c r="M161" s="126"/>
      <c r="N161" s="126"/>
      <c r="O161" s="188">
        <v>2075.8890000000001</v>
      </c>
      <c r="P161" s="188">
        <v>2075.8890000000001</v>
      </c>
      <c r="Q161" s="7"/>
      <c r="R161" s="242"/>
      <c r="S161" s="140">
        <v>30</v>
      </c>
      <c r="T161" s="124">
        <f>(P161-O161)*S161</f>
        <v>0</v>
      </c>
      <c r="U161" s="717">
        <v>9845</v>
      </c>
      <c r="V161" s="128" t="s">
        <v>204</v>
      </c>
      <c r="W161" s="14" t="s">
        <v>116</v>
      </c>
      <c r="X161" s="7"/>
      <c r="Y161" s="7"/>
      <c r="Z161" s="7"/>
      <c r="AA161" s="7"/>
      <c r="AB161" s="7"/>
      <c r="AC161" s="7"/>
    </row>
    <row r="162" spans="1:29" ht="26.25">
      <c r="A162" s="19"/>
      <c r="B162" s="387" t="s">
        <v>205</v>
      </c>
      <c r="C162" s="498">
        <f>F162+G162</f>
        <v>215.21472000000199</v>
      </c>
      <c r="D162" s="84">
        <f>H162+E162</f>
        <v>3289.7107200000301</v>
      </c>
      <c r="E162" s="84">
        <f>F162+G162</f>
        <v>215.21472000000199</v>
      </c>
      <c r="F162" s="84">
        <f>0.04*H162</f>
        <v>122.97984000000113</v>
      </c>
      <c r="G162" s="84">
        <f>0.03*H162</f>
        <v>92.234880000000842</v>
      </c>
      <c r="H162" s="84">
        <f>T162</f>
        <v>3074.4960000000283</v>
      </c>
      <c r="I162" s="84">
        <f>(X518-W518)*40</f>
        <v>856.400000000001</v>
      </c>
      <c r="J162" s="130"/>
      <c r="K162" s="130"/>
      <c r="L162" s="130"/>
      <c r="M162" s="130"/>
      <c r="N162" s="130"/>
      <c r="O162" s="155">
        <v>9639.6949999999997</v>
      </c>
      <c r="P162" s="155">
        <v>9767.7990000000009</v>
      </c>
      <c r="Q162" s="389"/>
      <c r="R162" s="390"/>
      <c r="S162" s="156">
        <v>24</v>
      </c>
      <c r="T162" s="84">
        <f>(P162-O162)*S162</f>
        <v>3074.4960000000283</v>
      </c>
      <c r="U162" s="722">
        <v>5667</v>
      </c>
      <c r="V162" s="89" t="s">
        <v>206</v>
      </c>
      <c r="W162" s="14" t="s">
        <v>116</v>
      </c>
      <c r="X162" s="7"/>
      <c r="Y162" s="7"/>
      <c r="Z162" s="7"/>
      <c r="AA162" s="7"/>
      <c r="AB162" s="7"/>
      <c r="AC162" s="7"/>
    </row>
    <row r="163" spans="1:29" ht="26.25">
      <c r="A163" s="19"/>
      <c r="B163" s="96" t="s">
        <v>207</v>
      </c>
      <c r="C163" s="192">
        <f>SUM(C134:C162)</f>
        <v>10969.7508</v>
      </c>
      <c r="D163" s="124">
        <f>SUM(D138:D162)</f>
        <v>365086.05471999978</v>
      </c>
      <c r="E163" s="115"/>
      <c r="F163" s="115"/>
      <c r="G163" s="115"/>
      <c r="H163" s="115"/>
      <c r="I163" s="115"/>
      <c r="J163" s="164"/>
      <c r="K163" s="164"/>
      <c r="L163" s="164"/>
      <c r="M163" s="164"/>
      <c r="N163" s="164"/>
      <c r="O163" s="91"/>
      <c r="P163" s="91"/>
      <c r="Q163" s="7"/>
      <c r="R163" s="94"/>
      <c r="S163" s="91"/>
      <c r="T163" s="91"/>
      <c r="U163" s="644"/>
      <c r="V163" s="782"/>
      <c r="W163" s="14"/>
      <c r="X163" s="7"/>
      <c r="Y163" s="7"/>
      <c r="Z163" s="7"/>
      <c r="AA163" s="7"/>
      <c r="AB163" s="7"/>
      <c r="AC163" s="7"/>
    </row>
    <row r="164" spans="1:29" ht="56.25" customHeight="1">
      <c r="A164" s="19"/>
      <c r="B164" s="499"/>
      <c r="C164" s="500"/>
      <c r="D164" s="501"/>
      <c r="E164" s="502"/>
      <c r="F164" s="500"/>
      <c r="G164" s="500"/>
      <c r="H164" s="500"/>
      <c r="I164" s="500"/>
      <c r="J164" s="503"/>
      <c r="K164" s="503"/>
      <c r="L164" s="503"/>
      <c r="M164" s="503"/>
      <c r="N164" s="503"/>
      <c r="O164" s="500"/>
      <c r="P164" s="500"/>
      <c r="Q164" s="504"/>
      <c r="R164" s="505"/>
      <c r="S164" s="500"/>
      <c r="T164" s="500"/>
      <c r="U164" s="723"/>
      <c r="V164" s="507"/>
      <c r="W164" s="14"/>
      <c r="X164" s="7"/>
      <c r="Y164" s="7"/>
      <c r="Z164" s="7"/>
      <c r="AA164" s="7"/>
      <c r="AB164" s="7"/>
      <c r="AC164" s="7"/>
    </row>
    <row r="165" spans="1:29" ht="26.25">
      <c r="A165" s="19"/>
      <c r="B165" s="193" t="s">
        <v>208</v>
      </c>
      <c r="C165" s="91"/>
      <c r="D165" s="115"/>
      <c r="E165" s="115"/>
      <c r="F165" s="91"/>
      <c r="G165" s="91"/>
      <c r="H165" s="91"/>
      <c r="I165" s="91"/>
      <c r="J165" s="164"/>
      <c r="K165" s="164"/>
      <c r="L165" s="164"/>
      <c r="M165" s="164"/>
      <c r="N165" s="164"/>
      <c r="O165" s="91"/>
      <c r="P165" s="91"/>
      <c r="Q165" s="7"/>
      <c r="R165" s="94"/>
      <c r="S165" s="91"/>
      <c r="T165" s="91"/>
      <c r="U165" s="644"/>
      <c r="V165" s="782"/>
      <c r="W165" s="14"/>
      <c r="X165" s="7"/>
      <c r="Y165" s="7"/>
      <c r="Z165" s="7"/>
      <c r="AA165" s="7"/>
      <c r="AB165" s="7"/>
      <c r="AC165" s="7"/>
    </row>
    <row r="166" spans="1:29" ht="25.5">
      <c r="A166" s="19"/>
      <c r="B166" s="129" t="s">
        <v>209</v>
      </c>
      <c r="C166" s="84">
        <f t="shared" ref="C166:C176" si="26">H166+E166</f>
        <v>1223.01</v>
      </c>
      <c r="D166" s="84"/>
      <c r="E166" s="84">
        <f t="shared" ref="E166:E174" si="27">F166+G166</f>
        <v>80.009999999999991</v>
      </c>
      <c r="F166" s="84">
        <f t="shared" ref="F166:F174" si="28">0.04*H166</f>
        <v>45.72</v>
      </c>
      <c r="G166" s="84">
        <f t="shared" ref="G166:G174" si="29">0.03*H166</f>
        <v>34.29</v>
      </c>
      <c r="H166" s="84">
        <f>T166</f>
        <v>1143</v>
      </c>
      <c r="I166" s="84">
        <f t="shared" ref="I166:I173" si="30">0.6*C166</f>
        <v>733.80599999999993</v>
      </c>
      <c r="J166" s="130"/>
      <c r="K166" s="130"/>
      <c r="L166" s="130"/>
      <c r="M166" s="130"/>
      <c r="N166" s="130"/>
      <c r="O166" s="84">
        <v>28905</v>
      </c>
      <c r="P166" s="84">
        <v>30048</v>
      </c>
      <c r="Q166" s="86"/>
      <c r="R166" s="87"/>
      <c r="S166" s="84">
        <v>1</v>
      </c>
      <c r="T166" s="84">
        <f t="shared" ref="T166:T230" si="31">(P166-O166)*S166</f>
        <v>1143</v>
      </c>
      <c r="U166" s="722" t="s">
        <v>959</v>
      </c>
      <c r="V166" s="89" t="s">
        <v>210</v>
      </c>
      <c r="W166" s="14" t="s">
        <v>82</v>
      </c>
      <c r="X166" s="7"/>
      <c r="Y166" s="7"/>
      <c r="Z166" s="7"/>
      <c r="AA166" s="7"/>
      <c r="AB166" s="7"/>
      <c r="AC166" s="7"/>
    </row>
    <row r="167" spans="1:29" ht="25.5">
      <c r="A167" s="19"/>
      <c r="B167" s="83" t="s">
        <v>897</v>
      </c>
      <c r="C167" s="84">
        <f t="shared" si="26"/>
        <v>103.78999999999999</v>
      </c>
      <c r="D167" s="84"/>
      <c r="E167" s="84">
        <f t="shared" si="27"/>
        <v>6.7899999999999991</v>
      </c>
      <c r="F167" s="84">
        <f t="shared" si="28"/>
        <v>3.88</v>
      </c>
      <c r="G167" s="84">
        <f t="shared" si="29"/>
        <v>2.9099999999999997</v>
      </c>
      <c r="H167" s="84">
        <f t="shared" ref="H167:H182" si="32">T167</f>
        <v>97</v>
      </c>
      <c r="I167" s="84">
        <f t="shared" si="30"/>
        <v>62.273999999999994</v>
      </c>
      <c r="J167" s="130"/>
      <c r="K167" s="130"/>
      <c r="L167" s="130"/>
      <c r="M167" s="130"/>
      <c r="N167" s="130"/>
      <c r="O167" s="84">
        <v>70998</v>
      </c>
      <c r="P167" s="84">
        <v>71095</v>
      </c>
      <c r="Q167" s="389"/>
      <c r="R167" s="390"/>
      <c r="S167" s="156">
        <v>1</v>
      </c>
      <c r="T167" s="84">
        <f>(P167-O167)*S167</f>
        <v>97</v>
      </c>
      <c r="U167" s="722" t="s">
        <v>960</v>
      </c>
      <c r="V167" s="89" t="s">
        <v>807</v>
      </c>
      <c r="W167" s="14" t="s">
        <v>212</v>
      </c>
      <c r="X167" s="7"/>
      <c r="Y167" s="7"/>
      <c r="Z167" s="7"/>
      <c r="AA167" s="7"/>
      <c r="AB167" s="7"/>
      <c r="AC167" s="7"/>
    </row>
    <row r="168" spans="1:29" ht="25.5">
      <c r="A168" s="19"/>
      <c r="B168" s="83" t="s">
        <v>213</v>
      </c>
      <c r="C168" s="84">
        <f t="shared" si="26"/>
        <v>114.49</v>
      </c>
      <c r="D168" s="84"/>
      <c r="E168" s="84">
        <f t="shared" si="27"/>
        <v>7.49</v>
      </c>
      <c r="F168" s="84">
        <f t="shared" si="28"/>
        <v>4.28</v>
      </c>
      <c r="G168" s="84">
        <f t="shared" si="29"/>
        <v>3.21</v>
      </c>
      <c r="H168" s="84">
        <f t="shared" si="32"/>
        <v>107</v>
      </c>
      <c r="I168" s="84">
        <f t="shared" si="30"/>
        <v>68.693999999999988</v>
      </c>
      <c r="J168" s="130"/>
      <c r="K168" s="130"/>
      <c r="L168" s="130"/>
      <c r="M168" s="130"/>
      <c r="N168" s="130"/>
      <c r="O168" s="84">
        <v>10255</v>
      </c>
      <c r="P168" s="84">
        <v>10362</v>
      </c>
      <c r="Q168" s="130" t="s">
        <v>33</v>
      </c>
      <c r="R168" s="385"/>
      <c r="S168" s="156">
        <v>1</v>
      </c>
      <c r="T168" s="84">
        <f t="shared" si="31"/>
        <v>107</v>
      </c>
      <c r="U168" s="722" t="s">
        <v>961</v>
      </c>
      <c r="V168" s="89" t="s">
        <v>214</v>
      </c>
      <c r="W168" s="14" t="s">
        <v>212</v>
      </c>
      <c r="X168" s="7"/>
      <c r="Y168" s="7"/>
      <c r="Z168" s="7"/>
      <c r="AA168" s="7"/>
      <c r="AB168" s="7"/>
      <c r="AC168" s="7"/>
    </row>
    <row r="169" spans="1:29" ht="25.5">
      <c r="A169" s="19"/>
      <c r="B169" s="83" t="s">
        <v>215</v>
      </c>
      <c r="C169" s="404">
        <f t="shared" si="26"/>
        <v>627.02</v>
      </c>
      <c r="D169" s="404"/>
      <c r="E169" s="404">
        <f t="shared" si="27"/>
        <v>41.019999999999996</v>
      </c>
      <c r="F169" s="404">
        <f t="shared" si="28"/>
        <v>23.44</v>
      </c>
      <c r="G169" s="404">
        <f t="shared" si="29"/>
        <v>17.579999999999998</v>
      </c>
      <c r="H169" s="404">
        <f t="shared" si="32"/>
        <v>586</v>
      </c>
      <c r="I169" s="404">
        <f t="shared" si="30"/>
        <v>376.21199999999999</v>
      </c>
      <c r="J169" s="405"/>
      <c r="K169" s="405"/>
      <c r="L169" s="405"/>
      <c r="M169" s="405"/>
      <c r="N169" s="405"/>
      <c r="O169" s="404">
        <v>25468</v>
      </c>
      <c r="P169" s="404">
        <v>26054</v>
      </c>
      <c r="Q169" s="405" t="s">
        <v>33</v>
      </c>
      <c r="R169" s="394"/>
      <c r="S169" s="406">
        <v>1</v>
      </c>
      <c r="T169" s="404">
        <f t="shared" si="31"/>
        <v>586</v>
      </c>
      <c r="U169" s="722" t="s">
        <v>962</v>
      </c>
      <c r="V169" s="89" t="s">
        <v>216</v>
      </c>
      <c r="W169" s="14" t="s">
        <v>48</v>
      </c>
      <c r="X169" s="7"/>
      <c r="Y169" s="7"/>
      <c r="Z169" s="7"/>
      <c r="AA169" s="7"/>
      <c r="AB169" s="7"/>
      <c r="AC169" s="7"/>
    </row>
    <row r="170" spans="1:29" ht="25.5">
      <c r="A170" s="19"/>
      <c r="B170" s="83" t="s">
        <v>217</v>
      </c>
      <c r="C170" s="84">
        <f t="shared" si="26"/>
        <v>2500.59</v>
      </c>
      <c r="D170" s="84"/>
      <c r="E170" s="84">
        <f t="shared" si="27"/>
        <v>163.59</v>
      </c>
      <c r="F170" s="84">
        <f t="shared" si="28"/>
        <v>93.48</v>
      </c>
      <c r="G170" s="84">
        <f t="shared" si="29"/>
        <v>70.11</v>
      </c>
      <c r="H170" s="84">
        <f t="shared" si="32"/>
        <v>2337</v>
      </c>
      <c r="I170" s="84">
        <f t="shared" si="30"/>
        <v>1500.354</v>
      </c>
      <c r="J170" s="130"/>
      <c r="K170" s="130"/>
      <c r="L170" s="130"/>
      <c r="M170" s="130"/>
      <c r="N170" s="130"/>
      <c r="O170" s="84">
        <v>90867</v>
      </c>
      <c r="P170" s="84">
        <v>93204</v>
      </c>
      <c r="Q170" s="86"/>
      <c r="R170" s="87"/>
      <c r="S170" s="156">
        <v>1</v>
      </c>
      <c r="T170" s="84">
        <f t="shared" si="31"/>
        <v>2337</v>
      </c>
      <c r="U170" s="722" t="s">
        <v>963</v>
      </c>
      <c r="V170" s="89" t="s">
        <v>218</v>
      </c>
      <c r="W170" s="14" t="s">
        <v>212</v>
      </c>
      <c r="X170" s="7"/>
      <c r="Y170" s="7"/>
      <c r="Z170" s="7"/>
      <c r="AA170" s="7"/>
      <c r="AB170" s="7"/>
      <c r="AC170" s="7"/>
    </row>
    <row r="171" spans="1:29" ht="25.5">
      <c r="A171" s="19"/>
      <c r="B171" s="83" t="s">
        <v>219</v>
      </c>
      <c r="C171" s="84">
        <f t="shared" si="26"/>
        <v>4052.09</v>
      </c>
      <c r="D171" s="84"/>
      <c r="E171" s="84">
        <f t="shared" si="27"/>
        <v>265.08999999999997</v>
      </c>
      <c r="F171" s="84">
        <f t="shared" si="28"/>
        <v>151.47999999999999</v>
      </c>
      <c r="G171" s="84">
        <f t="shared" si="29"/>
        <v>113.61</v>
      </c>
      <c r="H171" s="84">
        <f t="shared" si="32"/>
        <v>3787</v>
      </c>
      <c r="I171" s="84">
        <f t="shared" si="30"/>
        <v>2431.2539999999999</v>
      </c>
      <c r="J171" s="130"/>
      <c r="K171" s="130"/>
      <c r="L171" s="130"/>
      <c r="M171" s="130"/>
      <c r="N171" s="130"/>
      <c r="O171" s="84">
        <v>223468</v>
      </c>
      <c r="P171" s="84">
        <v>227255</v>
      </c>
      <c r="Q171" s="130"/>
      <c r="R171" s="385"/>
      <c r="S171" s="156">
        <v>1</v>
      </c>
      <c r="T171" s="84">
        <f t="shared" si="31"/>
        <v>3787</v>
      </c>
      <c r="U171" s="722" t="s">
        <v>964</v>
      </c>
      <c r="V171" s="89" t="s">
        <v>220</v>
      </c>
      <c r="W171" s="14" t="s">
        <v>212</v>
      </c>
      <c r="X171" s="7"/>
      <c r="Y171" s="7"/>
      <c r="Z171" s="7"/>
      <c r="AA171" s="7"/>
      <c r="AB171" s="7"/>
      <c r="AC171" s="7"/>
    </row>
    <row r="172" spans="1:29" s="195" customFormat="1" ht="25.5">
      <c r="A172" s="194"/>
      <c r="B172" s="83" t="s">
        <v>221</v>
      </c>
      <c r="C172" s="84">
        <f t="shared" si="26"/>
        <v>1006.87</v>
      </c>
      <c r="D172" s="84"/>
      <c r="E172" s="84">
        <f t="shared" si="27"/>
        <v>65.87</v>
      </c>
      <c r="F172" s="84">
        <f t="shared" si="28"/>
        <v>37.64</v>
      </c>
      <c r="G172" s="84">
        <f t="shared" si="29"/>
        <v>28.23</v>
      </c>
      <c r="H172" s="84">
        <f t="shared" si="32"/>
        <v>941</v>
      </c>
      <c r="I172" s="84">
        <f t="shared" si="30"/>
        <v>604.12199999999996</v>
      </c>
      <c r="J172" s="183"/>
      <c r="K172" s="183"/>
      <c r="L172" s="183"/>
      <c r="M172" s="183"/>
      <c r="N172" s="183"/>
      <c r="O172" s="84">
        <v>36225</v>
      </c>
      <c r="P172" s="84">
        <v>37166</v>
      </c>
      <c r="Q172" s="86"/>
      <c r="R172" s="385"/>
      <c r="S172" s="156">
        <v>1</v>
      </c>
      <c r="T172" s="84">
        <f t="shared" si="31"/>
        <v>941</v>
      </c>
      <c r="U172" s="722" t="s">
        <v>965</v>
      </c>
      <c r="V172" s="89" t="s">
        <v>222</v>
      </c>
      <c r="W172" s="14" t="s">
        <v>212</v>
      </c>
      <c r="X172" s="86"/>
      <c r="Y172" s="86"/>
      <c r="Z172" s="86"/>
      <c r="AA172" s="86"/>
      <c r="AB172" s="86"/>
      <c r="AC172" s="86"/>
    </row>
    <row r="173" spans="1:29" ht="25.5">
      <c r="A173" s="19"/>
      <c r="B173" s="129"/>
      <c r="C173" s="84">
        <f t="shared" si="26"/>
        <v>167.99</v>
      </c>
      <c r="D173" s="84"/>
      <c r="E173" s="84">
        <f t="shared" si="27"/>
        <v>10.99</v>
      </c>
      <c r="F173" s="84">
        <f t="shared" si="28"/>
        <v>6.28</v>
      </c>
      <c r="G173" s="84">
        <f t="shared" si="29"/>
        <v>4.71</v>
      </c>
      <c r="H173" s="84">
        <f t="shared" si="32"/>
        <v>157</v>
      </c>
      <c r="I173" s="84">
        <f t="shared" si="30"/>
        <v>100.794</v>
      </c>
      <c r="J173" s="130"/>
      <c r="K173" s="130"/>
      <c r="L173" s="130"/>
      <c r="M173" s="130"/>
      <c r="N173" s="130"/>
      <c r="O173" s="84">
        <v>27039</v>
      </c>
      <c r="P173" s="84">
        <v>27196</v>
      </c>
      <c r="Q173" s="86"/>
      <c r="R173" s="87"/>
      <c r="S173" s="156">
        <v>1</v>
      </c>
      <c r="T173" s="84">
        <f t="shared" si="31"/>
        <v>157</v>
      </c>
      <c r="U173" s="722">
        <v>8383</v>
      </c>
      <c r="V173" s="89" t="s">
        <v>223</v>
      </c>
      <c r="W173" s="14" t="s">
        <v>212</v>
      </c>
      <c r="X173" s="7"/>
      <c r="Y173" s="7"/>
      <c r="Z173" s="7"/>
      <c r="AA173" s="7"/>
      <c r="AB173" s="7"/>
      <c r="AC173" s="7"/>
    </row>
    <row r="174" spans="1:29" ht="40.5" customHeight="1">
      <c r="A174" s="19"/>
      <c r="B174" s="387" t="s">
        <v>224</v>
      </c>
      <c r="C174" s="154">
        <f t="shared" si="26"/>
        <v>20784.065199999859</v>
      </c>
      <c r="D174" s="154"/>
      <c r="E174" s="154">
        <f t="shared" si="27"/>
        <v>1359.7051999999908</v>
      </c>
      <c r="F174" s="154">
        <f t="shared" si="28"/>
        <v>776.97439999999483</v>
      </c>
      <c r="G174" s="154">
        <f t="shared" si="29"/>
        <v>582.73079999999607</v>
      </c>
      <c r="H174" s="154">
        <f t="shared" si="32"/>
        <v>19424.35999999987</v>
      </c>
      <c r="I174" s="154">
        <f>T175+250+750</f>
        <v>3008</v>
      </c>
      <c r="J174" s="183"/>
      <c r="K174" s="183"/>
      <c r="L174" s="183"/>
      <c r="M174" s="183"/>
      <c r="N174" s="183"/>
      <c r="O174" s="407">
        <v>65928.906000000003</v>
      </c>
      <c r="P174" s="407">
        <v>66414.514999999999</v>
      </c>
      <c r="Q174" s="389"/>
      <c r="R174" s="390"/>
      <c r="S174" s="154">
        <v>40</v>
      </c>
      <c r="T174" s="84">
        <f t="shared" si="31"/>
        <v>19424.35999999987</v>
      </c>
      <c r="U174" s="722" t="s">
        <v>966</v>
      </c>
      <c r="V174" s="89" t="s">
        <v>225</v>
      </c>
      <c r="W174" s="14" t="s">
        <v>48</v>
      </c>
      <c r="X174" s="7"/>
      <c r="Y174" s="7"/>
      <c r="Z174" s="7"/>
      <c r="AA174" s="7"/>
      <c r="AB174" s="7"/>
      <c r="AC174" s="7"/>
    </row>
    <row r="175" spans="1:29" ht="26.25">
      <c r="A175" s="19"/>
      <c r="B175" s="696" t="s">
        <v>953</v>
      </c>
      <c r="C175" s="84">
        <f t="shared" si="26"/>
        <v>2148.56</v>
      </c>
      <c r="D175" s="84"/>
      <c r="E175" s="84">
        <f>F175+G175</f>
        <v>140.56</v>
      </c>
      <c r="F175" s="84">
        <f>0.04*H175</f>
        <v>80.320000000000007</v>
      </c>
      <c r="G175" s="84">
        <f>0.03*H175</f>
        <v>60.239999999999995</v>
      </c>
      <c r="H175" s="84">
        <f t="shared" si="32"/>
        <v>2008</v>
      </c>
      <c r="I175" s="84">
        <f>0.6*C175</f>
        <v>1289.136</v>
      </c>
      <c r="J175" s="130"/>
      <c r="K175" s="130"/>
      <c r="L175" s="130"/>
      <c r="M175" s="130"/>
      <c r="N175" s="130"/>
      <c r="O175" s="84">
        <v>3528</v>
      </c>
      <c r="P175" s="84">
        <v>5536</v>
      </c>
      <c r="Q175" s="86"/>
      <c r="R175" s="87"/>
      <c r="S175" s="156">
        <v>1</v>
      </c>
      <c r="T175" s="84">
        <f t="shared" si="31"/>
        <v>2008</v>
      </c>
      <c r="U175" s="722" t="s">
        <v>967</v>
      </c>
      <c r="V175" s="89" t="s">
        <v>884</v>
      </c>
      <c r="W175" s="14"/>
      <c r="X175" s="7"/>
      <c r="Y175" s="7"/>
      <c r="Z175" s="7"/>
      <c r="AA175" s="7"/>
      <c r="AB175" s="7"/>
      <c r="AC175" s="7"/>
    </row>
    <row r="176" spans="1:29" ht="25.5">
      <c r="A176" s="19"/>
      <c r="B176" s="800" t="s">
        <v>226</v>
      </c>
      <c r="C176" s="84">
        <f t="shared" si="26"/>
        <v>547.84</v>
      </c>
      <c r="D176" s="84"/>
      <c r="E176" s="84">
        <f>F176+G176</f>
        <v>35.840000000000003</v>
      </c>
      <c r="F176" s="84">
        <f>0.04*H176</f>
        <v>20.48</v>
      </c>
      <c r="G176" s="84">
        <f>0.03*H176</f>
        <v>15.36</v>
      </c>
      <c r="H176" s="84">
        <f t="shared" si="32"/>
        <v>512</v>
      </c>
      <c r="I176" s="84">
        <f>0.6*C176</f>
        <v>328.70400000000001</v>
      </c>
      <c r="J176" s="130"/>
      <c r="K176" s="130"/>
      <c r="L176" s="130"/>
      <c r="M176" s="130"/>
      <c r="N176" s="130"/>
      <c r="O176" s="84">
        <v>34132</v>
      </c>
      <c r="P176" s="84">
        <v>34644</v>
      </c>
      <c r="Q176" s="86"/>
      <c r="R176" s="87"/>
      <c r="S176" s="156">
        <v>1</v>
      </c>
      <c r="T176" s="84">
        <f t="shared" si="31"/>
        <v>512</v>
      </c>
      <c r="U176" s="738" t="s">
        <v>968</v>
      </c>
      <c r="V176" s="783" t="s">
        <v>227</v>
      </c>
      <c r="W176" s="14" t="s">
        <v>212</v>
      </c>
      <c r="X176" s="7"/>
      <c r="Y176" s="7"/>
      <c r="Z176" s="7"/>
      <c r="AA176" s="7"/>
      <c r="AB176" s="7"/>
      <c r="AC176" s="7"/>
    </row>
    <row r="177" spans="1:29" ht="25.5">
      <c r="A177" s="19"/>
      <c r="B177" s="801"/>
      <c r="C177" s="382">
        <f>H177+E177</f>
        <v>15806.039999999814</v>
      </c>
      <c r="D177" s="382"/>
      <c r="E177" s="382">
        <f>F177+G177</f>
        <v>1034.0399999999877</v>
      </c>
      <c r="F177" s="382">
        <f>0.04*H177</f>
        <v>590.87999999999306</v>
      </c>
      <c r="G177" s="382">
        <f>0.03*H177</f>
        <v>443.15999999999474</v>
      </c>
      <c r="H177" s="382">
        <f t="shared" si="32"/>
        <v>14771.999999999825</v>
      </c>
      <c r="I177" s="409">
        <f>0.6*C177</f>
        <v>9483.623999999887</v>
      </c>
      <c r="J177" s="29"/>
      <c r="K177" s="29"/>
      <c r="L177" s="29"/>
      <c r="M177" s="29"/>
      <c r="N177" s="29"/>
      <c r="O177" s="410">
        <v>37962.5</v>
      </c>
      <c r="P177" s="410">
        <v>38208.699999999997</v>
      </c>
      <c r="Q177" s="29" t="s">
        <v>33</v>
      </c>
      <c r="R177" s="411"/>
      <c r="S177" s="412">
        <v>60</v>
      </c>
      <c r="T177" s="382">
        <f t="shared" si="31"/>
        <v>14771.999999999825</v>
      </c>
      <c r="U177" s="455" t="s">
        <v>969</v>
      </c>
      <c r="V177" s="783" t="s">
        <v>228</v>
      </c>
      <c r="W177" s="14" t="s">
        <v>212</v>
      </c>
      <c r="X177" s="7"/>
      <c r="Y177" s="7"/>
      <c r="Z177" s="7"/>
      <c r="AA177" s="7"/>
      <c r="AB177" s="7"/>
      <c r="AC177" s="7"/>
    </row>
    <row r="178" spans="1:29" ht="25.5">
      <c r="A178" s="19"/>
      <c r="B178" s="413" t="s">
        <v>229</v>
      </c>
      <c r="C178" s="414">
        <f>H178+E178</f>
        <v>3537.42</v>
      </c>
      <c r="D178" s="414"/>
      <c r="E178" s="414">
        <f>G178+F178</f>
        <v>231.42000000000002</v>
      </c>
      <c r="F178" s="414">
        <f>0.04*H178</f>
        <v>132.24</v>
      </c>
      <c r="G178" s="414">
        <f>0.03*H178</f>
        <v>99.179999999999993</v>
      </c>
      <c r="H178" s="414">
        <f t="shared" si="32"/>
        <v>3306</v>
      </c>
      <c r="I178" s="414">
        <f>0.6*C178</f>
        <v>2122.4519999999998</v>
      </c>
      <c r="J178" s="415"/>
      <c r="K178" s="415"/>
      <c r="L178" s="415"/>
      <c r="M178" s="415"/>
      <c r="N178" s="415"/>
      <c r="O178" s="414">
        <v>6093</v>
      </c>
      <c r="P178" s="414">
        <v>9399</v>
      </c>
      <c r="Q178" s="416"/>
      <c r="R178" s="417"/>
      <c r="S178" s="418">
        <v>1</v>
      </c>
      <c r="T178" s="414">
        <f t="shared" si="31"/>
        <v>3306</v>
      </c>
      <c r="U178" s="455" t="s">
        <v>970</v>
      </c>
      <c r="V178" s="783" t="s">
        <v>230</v>
      </c>
      <c r="W178" s="14" t="s">
        <v>212</v>
      </c>
      <c r="X178" s="7"/>
      <c r="Y178" s="7"/>
      <c r="Z178" s="7"/>
      <c r="AA178" s="7"/>
      <c r="AB178" s="7"/>
      <c r="AC178" s="7"/>
    </row>
    <row r="179" spans="1:29" s="195" customFormat="1" ht="25.5">
      <c r="A179" s="194"/>
      <c r="B179" s="27" t="s">
        <v>768</v>
      </c>
      <c r="C179" s="28">
        <f t="shared" ref="C179:C230" si="33">H179+E179</f>
        <v>694.43</v>
      </c>
      <c r="D179" s="28"/>
      <c r="E179" s="28">
        <f>F179+G179</f>
        <v>45.43</v>
      </c>
      <c r="F179" s="28">
        <f t="shared" ref="F179:F230" si="34">0.04*H179</f>
        <v>25.96</v>
      </c>
      <c r="G179" s="28">
        <f t="shared" ref="G179:G230" si="35">0.03*H179</f>
        <v>19.47</v>
      </c>
      <c r="H179" s="28">
        <f t="shared" si="32"/>
        <v>649</v>
      </c>
      <c r="I179" s="28">
        <f t="shared" ref="I179:I197" si="36">0.6*C179</f>
        <v>416.65799999999996</v>
      </c>
      <c r="J179" s="29"/>
      <c r="K179" s="29"/>
      <c r="L179" s="29"/>
      <c r="M179" s="29"/>
      <c r="N179" s="29"/>
      <c r="O179" s="28">
        <v>10335</v>
      </c>
      <c r="P179" s="28">
        <v>10984</v>
      </c>
      <c r="Q179" s="30"/>
      <c r="R179" s="351"/>
      <c r="S179" s="54">
        <v>1</v>
      </c>
      <c r="T179" s="28">
        <f t="shared" si="31"/>
        <v>649</v>
      </c>
      <c r="U179" s="455" t="s">
        <v>971</v>
      </c>
      <c r="V179" s="783" t="s">
        <v>686</v>
      </c>
      <c r="W179" s="191" t="s">
        <v>48</v>
      </c>
      <c r="X179" s="86"/>
      <c r="Y179" s="86"/>
      <c r="Z179" s="86"/>
      <c r="AA179" s="86"/>
      <c r="AB179" s="86"/>
      <c r="AC179" s="86"/>
    </row>
    <row r="180" spans="1:29" ht="34.5" customHeight="1">
      <c r="A180" s="19"/>
      <c r="B180" s="27" t="s">
        <v>714</v>
      </c>
      <c r="C180" s="28">
        <f t="shared" si="33"/>
        <v>648.41999999999996</v>
      </c>
      <c r="D180" s="28"/>
      <c r="E180" s="28">
        <f>F180+G180</f>
        <v>42.42</v>
      </c>
      <c r="F180" s="28">
        <f t="shared" si="34"/>
        <v>24.240000000000002</v>
      </c>
      <c r="G180" s="28">
        <f t="shared" si="35"/>
        <v>18.18</v>
      </c>
      <c r="H180" s="28">
        <f t="shared" si="32"/>
        <v>606</v>
      </c>
      <c r="I180" s="28">
        <f t="shared" si="36"/>
        <v>389.05199999999996</v>
      </c>
      <c r="J180" s="29"/>
      <c r="K180" s="29"/>
      <c r="L180" s="29"/>
      <c r="M180" s="29"/>
      <c r="N180" s="29"/>
      <c r="O180" s="28">
        <v>6413</v>
      </c>
      <c r="P180" s="28">
        <v>7019</v>
      </c>
      <c r="Q180" s="30"/>
      <c r="R180" s="351"/>
      <c r="S180" s="54">
        <v>1</v>
      </c>
      <c r="T180" s="28">
        <f t="shared" si="31"/>
        <v>606</v>
      </c>
      <c r="U180" s="455">
        <v>70373</v>
      </c>
      <c r="V180" s="783" t="s">
        <v>231</v>
      </c>
      <c r="W180" s="191" t="s">
        <v>48</v>
      </c>
      <c r="X180" s="7"/>
      <c r="Y180" s="7"/>
      <c r="Z180" s="7"/>
      <c r="AA180" s="7"/>
      <c r="AB180" s="7"/>
      <c r="AC180" s="7"/>
    </row>
    <row r="181" spans="1:29" s="198" customFormat="1" ht="33" customHeight="1">
      <c r="A181" s="196"/>
      <c r="B181" s="27" t="s">
        <v>715</v>
      </c>
      <c r="C181" s="28">
        <f t="shared" si="33"/>
        <v>873.12</v>
      </c>
      <c r="D181" s="28"/>
      <c r="E181" s="28">
        <f>F181+G181</f>
        <v>57.120000000000005</v>
      </c>
      <c r="F181" s="28">
        <f t="shared" si="34"/>
        <v>32.64</v>
      </c>
      <c r="G181" s="28">
        <f t="shared" si="35"/>
        <v>24.48</v>
      </c>
      <c r="H181" s="28">
        <f t="shared" si="32"/>
        <v>816</v>
      </c>
      <c r="I181" s="28">
        <f t="shared" si="36"/>
        <v>523.87199999999996</v>
      </c>
      <c r="J181" s="29"/>
      <c r="K181" s="29"/>
      <c r="L181" s="29"/>
      <c r="M181" s="29"/>
      <c r="N181" s="29"/>
      <c r="O181" s="28">
        <v>12114</v>
      </c>
      <c r="P181" s="28">
        <v>12930</v>
      </c>
      <c r="Q181" s="30"/>
      <c r="R181" s="351"/>
      <c r="S181" s="28">
        <v>1</v>
      </c>
      <c r="T181" s="28">
        <f t="shared" si="31"/>
        <v>816</v>
      </c>
      <c r="U181" s="455">
        <v>99648</v>
      </c>
      <c r="V181" s="783" t="s">
        <v>232</v>
      </c>
      <c r="W181" s="191" t="s">
        <v>48</v>
      </c>
      <c r="X181" s="197"/>
      <c r="Y181" s="197"/>
      <c r="Z181" s="197"/>
      <c r="AA181" s="197"/>
      <c r="AB181" s="197"/>
      <c r="AC181" s="197"/>
    </row>
    <row r="182" spans="1:29" ht="26.25">
      <c r="A182" s="19"/>
      <c r="B182" s="27" t="s">
        <v>716</v>
      </c>
      <c r="C182" s="28">
        <f t="shared" si="33"/>
        <v>719.04</v>
      </c>
      <c r="D182" s="28"/>
      <c r="E182" s="28">
        <f>F182+G182</f>
        <v>47.04</v>
      </c>
      <c r="F182" s="28">
        <f t="shared" si="34"/>
        <v>26.88</v>
      </c>
      <c r="G182" s="28">
        <f t="shared" si="35"/>
        <v>20.16</v>
      </c>
      <c r="H182" s="28">
        <f t="shared" si="32"/>
        <v>672</v>
      </c>
      <c r="I182" s="28">
        <f t="shared" si="36"/>
        <v>431.42399999999998</v>
      </c>
      <c r="J182" s="29"/>
      <c r="K182" s="29"/>
      <c r="L182" s="29"/>
      <c r="M182" s="29"/>
      <c r="N182" s="29" t="s">
        <v>233</v>
      </c>
      <c r="O182" s="28">
        <v>37355</v>
      </c>
      <c r="P182" s="28">
        <v>38027</v>
      </c>
      <c r="Q182" s="146"/>
      <c r="R182" s="61"/>
      <c r="S182" s="28">
        <v>1</v>
      </c>
      <c r="T182" s="28">
        <f t="shared" si="31"/>
        <v>672</v>
      </c>
      <c r="U182" s="455">
        <v>98600</v>
      </c>
      <c r="V182" s="783" t="s">
        <v>234</v>
      </c>
      <c r="W182" s="191" t="s">
        <v>48</v>
      </c>
      <c r="X182" s="7"/>
      <c r="Y182" s="7"/>
      <c r="Z182" s="7"/>
      <c r="AA182" s="7"/>
      <c r="AB182" s="7"/>
      <c r="AC182" s="7"/>
    </row>
    <row r="183" spans="1:29" ht="26.25">
      <c r="A183" s="19"/>
      <c r="B183" s="27" t="s">
        <v>923</v>
      </c>
      <c r="C183" s="28">
        <f t="shared" si="33"/>
        <v>452.61</v>
      </c>
      <c r="D183" s="28"/>
      <c r="E183" s="28">
        <f>F183+G183</f>
        <v>29.61</v>
      </c>
      <c r="F183" s="28">
        <f t="shared" si="34"/>
        <v>16.920000000000002</v>
      </c>
      <c r="G183" s="28">
        <f t="shared" si="35"/>
        <v>12.69</v>
      </c>
      <c r="H183" s="28">
        <f>T183</f>
        <v>423</v>
      </c>
      <c r="I183" s="28">
        <f t="shared" si="36"/>
        <v>271.56599999999997</v>
      </c>
      <c r="J183" s="29"/>
      <c r="K183" s="29"/>
      <c r="L183" s="29"/>
      <c r="M183" s="29"/>
      <c r="N183" s="29" t="s">
        <v>235</v>
      </c>
      <c r="O183" s="28">
        <v>88347</v>
      </c>
      <c r="P183" s="28">
        <v>88770</v>
      </c>
      <c r="Q183" s="30"/>
      <c r="R183" s="351"/>
      <c r="S183" s="28">
        <v>1</v>
      </c>
      <c r="T183" s="28">
        <f t="shared" si="31"/>
        <v>423</v>
      </c>
      <c r="U183" s="455">
        <v>98517</v>
      </c>
      <c r="V183" s="783" t="s">
        <v>846</v>
      </c>
      <c r="W183" s="191" t="s">
        <v>48</v>
      </c>
      <c r="X183" s="7"/>
      <c r="Y183" s="7"/>
      <c r="Z183" s="7"/>
      <c r="AA183" s="7"/>
      <c r="AB183" s="7"/>
      <c r="AC183" s="7"/>
    </row>
    <row r="184" spans="1:29" ht="26.25">
      <c r="A184" s="19"/>
      <c r="B184" s="27" t="s">
        <v>718</v>
      </c>
      <c r="C184" s="28">
        <f t="shared" si="33"/>
        <v>819.62</v>
      </c>
      <c r="D184" s="28"/>
      <c r="E184" s="28">
        <f>F184++G184</f>
        <v>53.620000000000005</v>
      </c>
      <c r="F184" s="28">
        <f t="shared" si="34"/>
        <v>30.64</v>
      </c>
      <c r="G184" s="28">
        <f t="shared" si="35"/>
        <v>22.98</v>
      </c>
      <c r="H184" s="28">
        <f t="shared" ref="H184:H199" si="37">T184</f>
        <v>766</v>
      </c>
      <c r="I184" s="28">
        <f t="shared" si="36"/>
        <v>491.77199999999999</v>
      </c>
      <c r="J184" s="29"/>
      <c r="K184" s="29"/>
      <c r="L184" s="29"/>
      <c r="M184" s="29"/>
      <c r="N184" s="29" t="s">
        <v>237</v>
      </c>
      <c r="O184" s="28">
        <v>48929</v>
      </c>
      <c r="P184" s="28">
        <v>49695</v>
      </c>
      <c r="Q184" s="29" t="s">
        <v>33</v>
      </c>
      <c r="R184" s="348"/>
      <c r="S184" s="54">
        <v>1</v>
      </c>
      <c r="T184" s="28">
        <f t="shared" si="31"/>
        <v>766</v>
      </c>
      <c r="U184" s="455">
        <v>98627</v>
      </c>
      <c r="V184" s="783" t="s">
        <v>238</v>
      </c>
      <c r="W184" s="191" t="s">
        <v>48</v>
      </c>
      <c r="X184" s="7"/>
      <c r="Y184" s="7"/>
      <c r="Z184" s="7"/>
      <c r="AA184" s="7"/>
      <c r="AB184" s="7"/>
      <c r="AC184" s="7"/>
    </row>
    <row r="185" spans="1:29" ht="26.25">
      <c r="A185" s="19"/>
      <c r="B185" s="367" t="s">
        <v>899</v>
      </c>
      <c r="C185" s="28">
        <f t="shared" si="33"/>
        <v>260.01</v>
      </c>
      <c r="D185" s="28"/>
      <c r="E185" s="28">
        <f>G185+F185</f>
        <v>17.010000000000002</v>
      </c>
      <c r="F185" s="28">
        <f t="shared" si="34"/>
        <v>9.7200000000000006</v>
      </c>
      <c r="G185" s="28">
        <f t="shared" si="35"/>
        <v>7.29</v>
      </c>
      <c r="H185" s="28">
        <f t="shared" si="37"/>
        <v>243</v>
      </c>
      <c r="I185" s="28">
        <f t="shared" si="36"/>
        <v>156.006</v>
      </c>
      <c r="J185" s="29"/>
      <c r="K185" s="29"/>
      <c r="L185" s="29"/>
      <c r="M185" s="29"/>
      <c r="N185" s="29"/>
      <c r="O185" s="28">
        <v>74987</v>
      </c>
      <c r="P185" s="28">
        <v>75230</v>
      </c>
      <c r="Q185" s="146"/>
      <c r="R185" s="61"/>
      <c r="S185" s="54">
        <v>1</v>
      </c>
      <c r="T185" s="28">
        <f t="shared" si="31"/>
        <v>243</v>
      </c>
      <c r="U185" s="455">
        <v>98556</v>
      </c>
      <c r="V185" s="783" t="s">
        <v>240</v>
      </c>
      <c r="W185" s="191" t="s">
        <v>48</v>
      </c>
      <c r="X185" s="7"/>
      <c r="Y185" s="7"/>
      <c r="Z185" s="7"/>
      <c r="AA185" s="7"/>
      <c r="AB185" s="7"/>
      <c r="AC185" s="7"/>
    </row>
    <row r="186" spans="1:29" ht="26.25">
      <c r="A186" s="19"/>
      <c r="B186" s="27" t="s">
        <v>719</v>
      </c>
      <c r="C186" s="28">
        <f t="shared" si="33"/>
        <v>389.48</v>
      </c>
      <c r="D186" s="28"/>
      <c r="E186" s="28">
        <f t="shared" ref="E186:E193" si="38">F186+G186</f>
        <v>25.48</v>
      </c>
      <c r="F186" s="28">
        <f t="shared" si="34"/>
        <v>14.56</v>
      </c>
      <c r="G186" s="28">
        <f t="shared" si="35"/>
        <v>10.92</v>
      </c>
      <c r="H186" s="28">
        <f t="shared" si="37"/>
        <v>364</v>
      </c>
      <c r="I186" s="28">
        <f t="shared" si="36"/>
        <v>233.68799999999999</v>
      </c>
      <c r="J186" s="29"/>
      <c r="K186" s="29"/>
      <c r="L186" s="29"/>
      <c r="M186" s="29"/>
      <c r="N186" s="29"/>
      <c r="O186" s="28">
        <v>73004</v>
      </c>
      <c r="P186" s="28">
        <v>73368</v>
      </c>
      <c r="Q186" s="30"/>
      <c r="R186" s="351"/>
      <c r="S186" s="54">
        <v>1</v>
      </c>
      <c r="T186" s="28">
        <f t="shared" si="31"/>
        <v>364</v>
      </c>
      <c r="U186" s="455">
        <v>98503</v>
      </c>
      <c r="V186" s="783" t="s">
        <v>241</v>
      </c>
      <c r="W186" s="191" t="s">
        <v>48</v>
      </c>
      <c r="X186" s="7"/>
      <c r="Y186" s="7"/>
      <c r="Z186" s="7"/>
      <c r="AA186" s="7"/>
      <c r="AB186" s="7"/>
      <c r="AC186" s="7"/>
    </row>
    <row r="187" spans="1:29" ht="26.25" customHeight="1">
      <c r="A187" s="19"/>
      <c r="B187" s="802" t="s">
        <v>242</v>
      </c>
      <c r="C187" s="28">
        <f t="shared" si="33"/>
        <v>774.68</v>
      </c>
      <c r="D187" s="28"/>
      <c r="E187" s="28">
        <f t="shared" si="38"/>
        <v>50.68</v>
      </c>
      <c r="F187" s="28">
        <f t="shared" si="34"/>
        <v>28.96</v>
      </c>
      <c r="G187" s="28">
        <f t="shared" si="35"/>
        <v>21.72</v>
      </c>
      <c r="H187" s="28">
        <f t="shared" si="37"/>
        <v>724</v>
      </c>
      <c r="I187" s="28">
        <f t="shared" si="36"/>
        <v>464.80799999999994</v>
      </c>
      <c r="J187" s="29"/>
      <c r="K187" s="29"/>
      <c r="L187" s="29"/>
      <c r="M187" s="29"/>
      <c r="N187" s="29"/>
      <c r="O187" s="28">
        <v>85925</v>
      </c>
      <c r="P187" s="28">
        <v>86649</v>
      </c>
      <c r="Q187" s="146"/>
      <c r="R187" s="61"/>
      <c r="S187" s="54">
        <v>1</v>
      </c>
      <c r="T187" s="28">
        <f t="shared" si="31"/>
        <v>724</v>
      </c>
      <c r="U187" s="455">
        <v>98630</v>
      </c>
      <c r="V187" s="783" t="s">
        <v>243</v>
      </c>
      <c r="W187" s="191" t="s">
        <v>48</v>
      </c>
      <c r="X187" s="7"/>
      <c r="Y187" s="7"/>
      <c r="Z187" s="7"/>
      <c r="AA187" s="7"/>
      <c r="AB187" s="7"/>
      <c r="AC187" s="7"/>
    </row>
    <row r="188" spans="1:29" ht="30" customHeight="1">
      <c r="A188" s="19"/>
      <c r="B188" s="803"/>
      <c r="C188" s="419">
        <f t="shared" si="33"/>
        <v>691.22</v>
      </c>
      <c r="D188" s="28"/>
      <c r="E188" s="28">
        <f t="shared" si="38"/>
        <v>45.22</v>
      </c>
      <c r="F188" s="28">
        <f t="shared" si="34"/>
        <v>25.84</v>
      </c>
      <c r="G188" s="28">
        <f t="shared" si="35"/>
        <v>19.38</v>
      </c>
      <c r="H188" s="28">
        <f t="shared" si="37"/>
        <v>646</v>
      </c>
      <c r="I188" s="28">
        <f t="shared" si="36"/>
        <v>414.73200000000003</v>
      </c>
      <c r="J188" s="29"/>
      <c r="K188" s="29"/>
      <c r="L188" s="29"/>
      <c r="M188" s="29"/>
      <c r="N188" s="29"/>
      <c r="O188" s="28">
        <v>78331</v>
      </c>
      <c r="P188" s="28">
        <v>78977</v>
      </c>
      <c r="Q188" s="30"/>
      <c r="R188" s="71"/>
      <c r="S188" s="54">
        <v>1</v>
      </c>
      <c r="T188" s="28">
        <f t="shared" si="31"/>
        <v>646</v>
      </c>
      <c r="U188" s="455" t="s">
        <v>972</v>
      </c>
      <c r="V188" s="783" t="s">
        <v>244</v>
      </c>
      <c r="W188" s="191" t="s">
        <v>48</v>
      </c>
      <c r="X188" s="7"/>
      <c r="Y188" s="7"/>
      <c r="Z188" s="7"/>
      <c r="AA188" s="7"/>
      <c r="AB188" s="7"/>
      <c r="AC188" s="7"/>
    </row>
    <row r="189" spans="1:29" ht="25.5">
      <c r="A189" s="19"/>
      <c r="B189" s="27" t="s">
        <v>245</v>
      </c>
      <c r="C189" s="28">
        <f>H189+E189</f>
        <v>0</v>
      </c>
      <c r="D189" s="28"/>
      <c r="E189" s="28">
        <f>F189+G189</f>
        <v>0</v>
      </c>
      <c r="F189" s="28">
        <f>0.04*H189</f>
        <v>0</v>
      </c>
      <c r="G189" s="28">
        <f>0.03*H189</f>
        <v>0</v>
      </c>
      <c r="H189" s="28">
        <f>T189</f>
        <v>0</v>
      </c>
      <c r="I189" s="28">
        <f>0.6*C189</f>
        <v>0</v>
      </c>
      <c r="J189" s="29"/>
      <c r="K189" s="29"/>
      <c r="L189" s="29"/>
      <c r="M189" s="29"/>
      <c r="N189" s="29"/>
      <c r="O189" s="28">
        <v>19403</v>
      </c>
      <c r="P189" s="28">
        <v>19403</v>
      </c>
      <c r="Q189" s="30"/>
      <c r="R189" s="77"/>
      <c r="S189" s="28">
        <v>1</v>
      </c>
      <c r="T189" s="28">
        <f>(P189-O189)*S189</f>
        <v>0</v>
      </c>
      <c r="U189" s="455">
        <v>8726</v>
      </c>
      <c r="V189" s="783" t="s">
        <v>246</v>
      </c>
      <c r="W189" s="191" t="s">
        <v>48</v>
      </c>
      <c r="X189" s="7"/>
      <c r="Y189" s="7"/>
      <c r="Z189" s="7"/>
      <c r="AA189" s="7"/>
      <c r="AB189" s="7"/>
      <c r="AC189" s="7"/>
    </row>
    <row r="190" spans="1:29" ht="26.25">
      <c r="A190" s="19"/>
      <c r="B190" s="27" t="s">
        <v>924</v>
      </c>
      <c r="C190" s="28">
        <f t="shared" si="33"/>
        <v>1510.84</v>
      </c>
      <c r="D190" s="28"/>
      <c r="E190" s="28">
        <f t="shared" si="38"/>
        <v>98.84</v>
      </c>
      <c r="F190" s="28">
        <f t="shared" si="34"/>
        <v>56.480000000000004</v>
      </c>
      <c r="G190" s="28">
        <f t="shared" si="35"/>
        <v>42.36</v>
      </c>
      <c r="H190" s="28">
        <f t="shared" si="37"/>
        <v>1412</v>
      </c>
      <c r="I190" s="28">
        <f t="shared" si="36"/>
        <v>906.50399999999991</v>
      </c>
      <c r="J190" s="29"/>
      <c r="K190" s="29"/>
      <c r="L190" s="29"/>
      <c r="M190" s="29"/>
      <c r="N190" s="29"/>
      <c r="O190" s="28">
        <v>137925</v>
      </c>
      <c r="P190" s="28">
        <v>139337</v>
      </c>
      <c r="Q190" s="30"/>
      <c r="R190" s="351"/>
      <c r="S190" s="28">
        <v>1</v>
      </c>
      <c r="T190" s="28">
        <f t="shared" si="31"/>
        <v>1412</v>
      </c>
      <c r="U190" s="455">
        <v>542003</v>
      </c>
      <c r="V190" s="783" t="s">
        <v>247</v>
      </c>
      <c r="W190" s="191" t="s">
        <v>48</v>
      </c>
      <c r="X190" s="7"/>
      <c r="Y190" s="7"/>
      <c r="Z190" s="7"/>
      <c r="AA190" s="7"/>
      <c r="AB190" s="7"/>
      <c r="AC190" s="7"/>
    </row>
    <row r="191" spans="1:29" ht="26.25">
      <c r="A191" s="19"/>
      <c r="B191" s="27" t="s">
        <v>721</v>
      </c>
      <c r="C191" s="28">
        <f t="shared" si="33"/>
        <v>354.17</v>
      </c>
      <c r="D191" s="28"/>
      <c r="E191" s="28">
        <f t="shared" si="38"/>
        <v>23.17</v>
      </c>
      <c r="F191" s="28">
        <f t="shared" si="34"/>
        <v>13.24</v>
      </c>
      <c r="G191" s="28">
        <f t="shared" si="35"/>
        <v>9.93</v>
      </c>
      <c r="H191" s="28">
        <f t="shared" si="37"/>
        <v>331</v>
      </c>
      <c r="I191" s="28">
        <f t="shared" si="36"/>
        <v>212.50200000000001</v>
      </c>
      <c r="J191" s="29"/>
      <c r="K191" s="29"/>
      <c r="L191" s="29"/>
      <c r="M191" s="29"/>
      <c r="N191" s="29" t="s">
        <v>248</v>
      </c>
      <c r="O191" s="28">
        <v>45015</v>
      </c>
      <c r="P191" s="28">
        <v>45346</v>
      </c>
      <c r="Q191" s="29" t="s">
        <v>37</v>
      </c>
      <c r="R191" s="348"/>
      <c r="S191" s="28">
        <v>1</v>
      </c>
      <c r="T191" s="28">
        <f t="shared" si="31"/>
        <v>331</v>
      </c>
      <c r="U191" s="455">
        <v>100986</v>
      </c>
      <c r="V191" s="783" t="s">
        <v>273</v>
      </c>
      <c r="W191" s="191" t="s">
        <v>48</v>
      </c>
      <c r="X191" s="7"/>
      <c r="Y191" s="7"/>
      <c r="Z191" s="7"/>
      <c r="AA191" s="7"/>
      <c r="AB191" s="7"/>
      <c r="AC191" s="7"/>
    </row>
    <row r="192" spans="1:29" ht="26.25">
      <c r="A192" s="19"/>
      <c r="B192" s="27" t="s">
        <v>722</v>
      </c>
      <c r="C192" s="28">
        <f t="shared" si="33"/>
        <v>577.79999999999995</v>
      </c>
      <c r="D192" s="28"/>
      <c r="E192" s="28">
        <f t="shared" si="38"/>
        <v>37.799999999999997</v>
      </c>
      <c r="F192" s="28">
        <f t="shared" si="34"/>
        <v>21.6</v>
      </c>
      <c r="G192" s="28">
        <f t="shared" si="35"/>
        <v>16.2</v>
      </c>
      <c r="H192" s="28">
        <f t="shared" si="37"/>
        <v>540</v>
      </c>
      <c r="I192" s="28">
        <f t="shared" si="36"/>
        <v>346.67999999999995</v>
      </c>
      <c r="J192" s="29"/>
      <c r="K192" s="29"/>
      <c r="L192" s="29"/>
      <c r="M192" s="29"/>
      <c r="N192" s="29"/>
      <c r="O192" s="28">
        <v>98106</v>
      </c>
      <c r="P192" s="28">
        <v>98646</v>
      </c>
      <c r="Q192" s="29" t="s">
        <v>28</v>
      </c>
      <c r="R192" s="348"/>
      <c r="S192" s="28">
        <v>1</v>
      </c>
      <c r="T192" s="28">
        <f t="shared" si="31"/>
        <v>540</v>
      </c>
      <c r="U192" s="455">
        <v>70386</v>
      </c>
      <c r="V192" s="783" t="s">
        <v>250</v>
      </c>
      <c r="W192" s="191" t="s">
        <v>48</v>
      </c>
      <c r="X192" s="7"/>
      <c r="Y192" s="7"/>
      <c r="Z192" s="7"/>
      <c r="AA192" s="7"/>
      <c r="AB192" s="7"/>
      <c r="AC192" s="7"/>
    </row>
    <row r="193" spans="1:29" ht="26.25">
      <c r="A193" s="19"/>
      <c r="B193" s="27" t="s">
        <v>925</v>
      </c>
      <c r="C193" s="28">
        <f t="shared" si="33"/>
        <v>482.57</v>
      </c>
      <c r="D193" s="28"/>
      <c r="E193" s="28">
        <f t="shared" si="38"/>
        <v>31.57</v>
      </c>
      <c r="F193" s="28">
        <f t="shared" si="34"/>
        <v>18.04</v>
      </c>
      <c r="G193" s="28">
        <f t="shared" si="35"/>
        <v>13.53</v>
      </c>
      <c r="H193" s="28">
        <f t="shared" si="37"/>
        <v>451</v>
      </c>
      <c r="I193" s="28">
        <f t="shared" si="36"/>
        <v>289.54199999999997</v>
      </c>
      <c r="J193" s="29"/>
      <c r="K193" s="29"/>
      <c r="L193" s="29"/>
      <c r="M193" s="29"/>
      <c r="N193" s="29"/>
      <c r="O193" s="28">
        <v>58214</v>
      </c>
      <c r="P193" s="28">
        <v>58665</v>
      </c>
      <c r="Q193" s="29" t="s">
        <v>37</v>
      </c>
      <c r="R193" s="348"/>
      <c r="S193" s="28">
        <v>1</v>
      </c>
      <c r="T193" s="28">
        <f t="shared" si="31"/>
        <v>451</v>
      </c>
      <c r="U193" s="455">
        <v>64591</v>
      </c>
      <c r="V193" s="783" t="s">
        <v>251</v>
      </c>
      <c r="W193" s="191" t="s">
        <v>48</v>
      </c>
      <c r="X193" s="7"/>
      <c r="Y193" s="7"/>
      <c r="Z193" s="7"/>
      <c r="AA193" s="7"/>
      <c r="AB193" s="7"/>
      <c r="AC193" s="7"/>
    </row>
    <row r="194" spans="1:29" ht="26.25">
      <c r="A194" s="19"/>
      <c r="B194" s="62" t="s">
        <v>926</v>
      </c>
      <c r="C194" s="28">
        <f t="shared" si="33"/>
        <v>1951.68</v>
      </c>
      <c r="D194" s="28"/>
      <c r="E194" s="28">
        <f>G194+F194</f>
        <v>127.68</v>
      </c>
      <c r="F194" s="28">
        <f t="shared" si="34"/>
        <v>72.960000000000008</v>
      </c>
      <c r="G194" s="28">
        <f t="shared" si="35"/>
        <v>54.72</v>
      </c>
      <c r="H194" s="28">
        <f t="shared" si="37"/>
        <v>1824</v>
      </c>
      <c r="I194" s="28">
        <f t="shared" si="36"/>
        <v>1171.008</v>
      </c>
      <c r="J194" s="29"/>
      <c r="K194" s="29"/>
      <c r="L194" s="29"/>
      <c r="M194" s="29"/>
      <c r="N194" s="29"/>
      <c r="O194" s="28">
        <v>44226</v>
      </c>
      <c r="P194" s="28">
        <v>46050</v>
      </c>
      <c r="Q194" s="146"/>
      <c r="R194" s="61"/>
      <c r="S194" s="54">
        <v>1</v>
      </c>
      <c r="T194" s="28">
        <f t="shared" si="31"/>
        <v>1824</v>
      </c>
      <c r="U194" s="455">
        <v>87125</v>
      </c>
      <c r="V194" s="783" t="s">
        <v>808</v>
      </c>
      <c r="W194" s="191" t="s">
        <v>48</v>
      </c>
      <c r="X194" s="7"/>
      <c r="Y194" s="7"/>
      <c r="Z194" s="7"/>
      <c r="AA194" s="7"/>
      <c r="AB194" s="7"/>
      <c r="AC194" s="7"/>
    </row>
    <row r="195" spans="1:29" ht="26.25">
      <c r="A195" s="19"/>
      <c r="B195" s="27" t="s">
        <v>725</v>
      </c>
      <c r="C195" s="28">
        <f t="shared" si="33"/>
        <v>1036.83</v>
      </c>
      <c r="D195" s="28"/>
      <c r="E195" s="28">
        <f>G195+F195</f>
        <v>67.83</v>
      </c>
      <c r="F195" s="28">
        <f t="shared" si="34"/>
        <v>38.76</v>
      </c>
      <c r="G195" s="28">
        <f t="shared" si="35"/>
        <v>29.07</v>
      </c>
      <c r="H195" s="28">
        <f t="shared" si="37"/>
        <v>969</v>
      </c>
      <c r="I195" s="28">
        <f t="shared" si="36"/>
        <v>622.09799999999996</v>
      </c>
      <c r="J195" s="29"/>
      <c r="K195" s="29"/>
      <c r="L195" s="29"/>
      <c r="M195" s="29"/>
      <c r="N195" s="29"/>
      <c r="O195" s="28">
        <v>77966</v>
      </c>
      <c r="P195" s="28">
        <v>78935</v>
      </c>
      <c r="Q195" s="30"/>
      <c r="R195" s="71"/>
      <c r="S195" s="54">
        <v>1</v>
      </c>
      <c r="T195" s="28">
        <f t="shared" si="31"/>
        <v>969</v>
      </c>
      <c r="U195" s="455">
        <v>87202</v>
      </c>
      <c r="V195" s="783" t="s">
        <v>777</v>
      </c>
      <c r="W195" s="191" t="s">
        <v>48</v>
      </c>
      <c r="X195" s="7"/>
      <c r="Y195" s="7"/>
      <c r="Z195" s="7"/>
      <c r="AA195" s="7"/>
      <c r="AB195" s="7"/>
      <c r="AC195" s="7"/>
    </row>
    <row r="196" spans="1:29" ht="26.25">
      <c r="A196" s="19"/>
      <c r="B196" s="27" t="s">
        <v>726</v>
      </c>
      <c r="C196" s="28">
        <f t="shared" si="33"/>
        <v>138.03</v>
      </c>
      <c r="D196" s="28"/>
      <c r="E196" s="28">
        <f>F196+G196</f>
        <v>9.0299999999999994</v>
      </c>
      <c r="F196" s="28">
        <f t="shared" si="34"/>
        <v>5.16</v>
      </c>
      <c r="G196" s="28">
        <f t="shared" si="35"/>
        <v>3.8699999999999997</v>
      </c>
      <c r="H196" s="28">
        <f t="shared" si="37"/>
        <v>129</v>
      </c>
      <c r="I196" s="28">
        <f t="shared" si="36"/>
        <v>82.817999999999998</v>
      </c>
      <c r="J196" s="29"/>
      <c r="K196" s="29"/>
      <c r="L196" s="29"/>
      <c r="M196" s="29"/>
      <c r="N196" s="29"/>
      <c r="O196" s="28">
        <v>33736</v>
      </c>
      <c r="P196" s="28">
        <v>33865</v>
      </c>
      <c r="Q196" s="30"/>
      <c r="R196" s="351"/>
      <c r="S196" s="54">
        <v>1</v>
      </c>
      <c r="T196" s="28">
        <f t="shared" si="31"/>
        <v>129</v>
      </c>
      <c r="U196" s="455">
        <v>99475</v>
      </c>
      <c r="V196" s="783" t="s">
        <v>252</v>
      </c>
      <c r="W196" s="191" t="s">
        <v>48</v>
      </c>
      <c r="X196" s="7"/>
      <c r="Y196" s="7"/>
      <c r="Z196" s="7"/>
      <c r="AA196" s="7"/>
      <c r="AB196" s="7"/>
      <c r="AC196" s="7"/>
    </row>
    <row r="197" spans="1:29" ht="26.25">
      <c r="A197" s="19"/>
      <c r="B197" s="27" t="s">
        <v>727</v>
      </c>
      <c r="C197" s="28">
        <f t="shared" si="33"/>
        <v>310.3</v>
      </c>
      <c r="D197" s="28"/>
      <c r="E197" s="28">
        <f>F197+G197</f>
        <v>20.299999999999997</v>
      </c>
      <c r="F197" s="28">
        <f t="shared" si="34"/>
        <v>11.6</v>
      </c>
      <c r="G197" s="28">
        <f t="shared" si="35"/>
        <v>8.6999999999999993</v>
      </c>
      <c r="H197" s="28">
        <f t="shared" si="37"/>
        <v>290</v>
      </c>
      <c r="I197" s="28">
        <f t="shared" si="36"/>
        <v>186.18</v>
      </c>
      <c r="J197" s="29"/>
      <c r="K197" s="29"/>
      <c r="L197" s="29"/>
      <c r="M197" s="29"/>
      <c r="N197" s="29"/>
      <c r="O197" s="28">
        <v>57948</v>
      </c>
      <c r="P197" s="28">
        <v>58238</v>
      </c>
      <c r="Q197" s="29"/>
      <c r="R197" s="348"/>
      <c r="S197" s="28">
        <v>1</v>
      </c>
      <c r="T197" s="28">
        <f t="shared" si="31"/>
        <v>290</v>
      </c>
      <c r="U197" s="455">
        <v>100985</v>
      </c>
      <c r="V197" s="783" t="s">
        <v>253</v>
      </c>
      <c r="W197" s="191" t="s">
        <v>48</v>
      </c>
      <c r="X197" s="7"/>
      <c r="Y197" s="7"/>
      <c r="Z197" s="7"/>
      <c r="AA197" s="7"/>
      <c r="AB197" s="7"/>
      <c r="AC197" s="7"/>
    </row>
    <row r="198" spans="1:29" ht="26.25">
      <c r="A198" s="19"/>
      <c r="B198" s="27" t="s">
        <v>727</v>
      </c>
      <c r="C198" s="28">
        <f t="shared" si="33"/>
        <v>143.38</v>
      </c>
      <c r="D198" s="28"/>
      <c r="E198" s="28">
        <f>F198+G198</f>
        <v>9.379999999999999</v>
      </c>
      <c r="F198" s="28">
        <f t="shared" si="34"/>
        <v>5.36</v>
      </c>
      <c r="G198" s="28">
        <f t="shared" si="35"/>
        <v>4.0199999999999996</v>
      </c>
      <c r="H198" s="28">
        <f t="shared" si="37"/>
        <v>134</v>
      </c>
      <c r="I198" s="28">
        <f>0.5*C198</f>
        <v>71.69</v>
      </c>
      <c r="J198" s="29"/>
      <c r="K198" s="29"/>
      <c r="L198" s="29"/>
      <c r="M198" s="29"/>
      <c r="N198" s="29"/>
      <c r="O198" s="28">
        <v>33270</v>
      </c>
      <c r="P198" s="28">
        <v>33404</v>
      </c>
      <c r="Q198" s="146"/>
      <c r="R198" s="61"/>
      <c r="S198" s="54">
        <v>1</v>
      </c>
      <c r="T198" s="28">
        <f t="shared" si="31"/>
        <v>134</v>
      </c>
      <c r="U198" s="455">
        <v>100839</v>
      </c>
      <c r="V198" s="783" t="s">
        <v>253</v>
      </c>
      <c r="W198" s="191" t="s">
        <v>48</v>
      </c>
      <c r="X198" s="7"/>
      <c r="Y198" s="7"/>
      <c r="Z198" s="7"/>
      <c r="AA198" s="7"/>
      <c r="AB198" s="7"/>
      <c r="AC198" s="7"/>
    </row>
    <row r="199" spans="1:29" ht="26.25">
      <c r="A199" s="19"/>
      <c r="B199" s="27" t="s">
        <v>728</v>
      </c>
      <c r="C199" s="28">
        <f t="shared" si="33"/>
        <v>148.72999999999999</v>
      </c>
      <c r="D199" s="28"/>
      <c r="E199" s="28">
        <f>G199+F199</f>
        <v>9.73</v>
      </c>
      <c r="F199" s="28">
        <f t="shared" si="34"/>
        <v>5.5600000000000005</v>
      </c>
      <c r="G199" s="28">
        <f t="shared" si="35"/>
        <v>4.17</v>
      </c>
      <c r="H199" s="28">
        <f t="shared" si="37"/>
        <v>139</v>
      </c>
      <c r="I199" s="28">
        <f t="shared" ref="I199:I223" si="39">0.6*C199</f>
        <v>89.237999999999985</v>
      </c>
      <c r="J199" s="29"/>
      <c r="K199" s="29"/>
      <c r="L199" s="29"/>
      <c r="M199" s="29"/>
      <c r="N199" s="29"/>
      <c r="O199" s="28">
        <v>23879</v>
      </c>
      <c r="P199" s="28">
        <v>24018</v>
      </c>
      <c r="Q199" s="30"/>
      <c r="R199" s="71"/>
      <c r="S199" s="54">
        <v>1</v>
      </c>
      <c r="T199" s="28">
        <f t="shared" si="31"/>
        <v>139</v>
      </c>
      <c r="U199" s="455">
        <v>100976</v>
      </c>
      <c r="V199" s="783" t="s">
        <v>254</v>
      </c>
      <c r="W199" s="191" t="s">
        <v>48</v>
      </c>
      <c r="X199" s="7"/>
      <c r="Y199" s="7"/>
      <c r="Z199" s="7"/>
      <c r="AA199" s="7"/>
      <c r="AB199" s="7"/>
      <c r="AC199" s="7"/>
    </row>
    <row r="200" spans="1:29" ht="29.25" customHeight="1">
      <c r="A200" s="19"/>
      <c r="B200" s="27" t="s">
        <v>255</v>
      </c>
      <c r="C200" s="28">
        <f t="shared" si="33"/>
        <v>230.05</v>
      </c>
      <c r="D200" s="28"/>
      <c r="E200" s="28">
        <f t="shared" ref="E200:E207" si="40">F200+G200</f>
        <v>15.05</v>
      </c>
      <c r="F200" s="28">
        <f t="shared" si="34"/>
        <v>8.6</v>
      </c>
      <c r="G200" s="28">
        <f t="shared" si="35"/>
        <v>6.45</v>
      </c>
      <c r="H200" s="28">
        <f>T200</f>
        <v>215</v>
      </c>
      <c r="I200" s="28">
        <f t="shared" si="39"/>
        <v>138.03</v>
      </c>
      <c r="J200" s="29"/>
      <c r="K200" s="29"/>
      <c r="L200" s="29"/>
      <c r="M200" s="29"/>
      <c r="N200" s="29"/>
      <c r="O200" s="28">
        <v>41693</v>
      </c>
      <c r="P200" s="28">
        <v>41908</v>
      </c>
      <c r="Q200" s="30"/>
      <c r="R200" s="351"/>
      <c r="S200" s="28">
        <v>1</v>
      </c>
      <c r="T200" s="28">
        <f t="shared" si="31"/>
        <v>215</v>
      </c>
      <c r="U200" s="455">
        <v>99491</v>
      </c>
      <c r="V200" s="804" t="s">
        <v>256</v>
      </c>
      <c r="W200" s="191" t="s">
        <v>48</v>
      </c>
      <c r="X200" s="7"/>
      <c r="Y200" s="7"/>
      <c r="Z200" s="7"/>
      <c r="AA200" s="7"/>
      <c r="AB200" s="7"/>
      <c r="AC200" s="7"/>
    </row>
    <row r="201" spans="1:29" ht="25.5">
      <c r="A201" s="19"/>
      <c r="B201" s="27" t="s">
        <v>255</v>
      </c>
      <c r="C201" s="28">
        <f t="shared" si="33"/>
        <v>222.56</v>
      </c>
      <c r="D201" s="28"/>
      <c r="E201" s="28">
        <f t="shared" si="40"/>
        <v>14.56</v>
      </c>
      <c r="F201" s="28">
        <f t="shared" si="34"/>
        <v>8.32</v>
      </c>
      <c r="G201" s="28">
        <f t="shared" si="35"/>
        <v>6.24</v>
      </c>
      <c r="H201" s="28">
        <f t="shared" ref="H201:H211" si="41">T201</f>
        <v>208</v>
      </c>
      <c r="I201" s="28">
        <f t="shared" si="39"/>
        <v>133.536</v>
      </c>
      <c r="J201" s="46"/>
      <c r="K201" s="46"/>
      <c r="L201" s="46"/>
      <c r="M201" s="46"/>
      <c r="N201" s="46"/>
      <c r="O201" s="28">
        <v>33667</v>
      </c>
      <c r="P201" s="28">
        <v>33875</v>
      </c>
      <c r="Q201" s="146"/>
      <c r="R201" s="61"/>
      <c r="S201" s="54">
        <v>1</v>
      </c>
      <c r="T201" s="28">
        <f t="shared" si="31"/>
        <v>208</v>
      </c>
      <c r="U201" s="455">
        <v>99470</v>
      </c>
      <c r="V201" s="804"/>
      <c r="W201" s="191" t="s">
        <v>48</v>
      </c>
      <c r="X201" s="7"/>
      <c r="Y201" s="7"/>
      <c r="Z201" s="7"/>
      <c r="AA201" s="7"/>
      <c r="AB201" s="7"/>
      <c r="AC201" s="7"/>
    </row>
    <row r="202" spans="1:29" ht="26.25">
      <c r="A202" s="19"/>
      <c r="B202" s="27" t="s">
        <v>729</v>
      </c>
      <c r="C202" s="28">
        <f t="shared" si="33"/>
        <v>211.86</v>
      </c>
      <c r="D202" s="28"/>
      <c r="E202" s="28">
        <f t="shared" si="40"/>
        <v>13.86</v>
      </c>
      <c r="F202" s="28">
        <f t="shared" si="34"/>
        <v>7.92</v>
      </c>
      <c r="G202" s="28">
        <f t="shared" si="35"/>
        <v>5.9399999999999995</v>
      </c>
      <c r="H202" s="28">
        <f t="shared" si="41"/>
        <v>198</v>
      </c>
      <c r="I202" s="28">
        <f t="shared" si="39"/>
        <v>127.116</v>
      </c>
      <c r="J202" s="29"/>
      <c r="K202" s="29"/>
      <c r="L202" s="29"/>
      <c r="M202" s="29"/>
      <c r="N202" s="29"/>
      <c r="O202" s="28">
        <v>31790</v>
      </c>
      <c r="P202" s="28">
        <v>31988</v>
      </c>
      <c r="Q202" s="30"/>
      <c r="R202" s="351"/>
      <c r="S202" s="54">
        <v>1</v>
      </c>
      <c r="T202" s="28">
        <f t="shared" si="31"/>
        <v>198</v>
      </c>
      <c r="U202" s="455">
        <v>99541</v>
      </c>
      <c r="V202" s="783" t="s">
        <v>809</v>
      </c>
      <c r="W202" s="191" t="s">
        <v>48</v>
      </c>
      <c r="X202" s="7"/>
      <c r="Y202" s="7"/>
      <c r="Z202" s="7"/>
      <c r="AA202" s="7"/>
      <c r="AB202" s="7"/>
      <c r="AC202" s="7"/>
    </row>
    <row r="203" spans="1:29" ht="26.25">
      <c r="A203" s="19"/>
      <c r="B203" s="27" t="s">
        <v>927</v>
      </c>
      <c r="C203" s="28">
        <f>H203+E203</f>
        <v>160.5</v>
      </c>
      <c r="D203" s="28"/>
      <c r="E203" s="28">
        <f t="shared" si="40"/>
        <v>10.5</v>
      </c>
      <c r="F203" s="28">
        <f t="shared" si="34"/>
        <v>6</v>
      </c>
      <c r="G203" s="28">
        <f t="shared" si="35"/>
        <v>4.5</v>
      </c>
      <c r="H203" s="28">
        <f t="shared" si="41"/>
        <v>150</v>
      </c>
      <c r="I203" s="28">
        <f>0.6*C203</f>
        <v>96.3</v>
      </c>
      <c r="J203" s="29"/>
      <c r="K203" s="29"/>
      <c r="L203" s="29"/>
      <c r="M203" s="29"/>
      <c r="N203" s="29"/>
      <c r="O203" s="28">
        <v>30425</v>
      </c>
      <c r="P203" s="28">
        <v>30575</v>
      </c>
      <c r="Q203" s="146"/>
      <c r="R203" s="61"/>
      <c r="S203" s="54">
        <v>1</v>
      </c>
      <c r="T203" s="28">
        <f t="shared" si="31"/>
        <v>150</v>
      </c>
      <c r="U203" s="455">
        <v>99680</v>
      </c>
      <c r="V203" s="783" t="s">
        <v>810</v>
      </c>
      <c r="W203" s="191" t="s">
        <v>48</v>
      </c>
      <c r="X203" s="7"/>
      <c r="Y203" s="7"/>
      <c r="Z203" s="7"/>
      <c r="AA203" s="7"/>
      <c r="AB203" s="7"/>
      <c r="AC203" s="7"/>
    </row>
    <row r="204" spans="1:29" ht="25.5">
      <c r="A204" s="19"/>
      <c r="B204" s="27" t="s">
        <v>904</v>
      </c>
      <c r="C204" s="28">
        <f t="shared" si="33"/>
        <v>353.1</v>
      </c>
      <c r="D204" s="28"/>
      <c r="E204" s="28">
        <f t="shared" si="40"/>
        <v>23.1</v>
      </c>
      <c r="F204" s="28">
        <f t="shared" si="34"/>
        <v>13.200000000000001</v>
      </c>
      <c r="G204" s="28">
        <f t="shared" si="35"/>
        <v>9.9</v>
      </c>
      <c r="H204" s="28">
        <f t="shared" si="41"/>
        <v>330</v>
      </c>
      <c r="I204" s="28">
        <f t="shared" si="39"/>
        <v>211.86</v>
      </c>
      <c r="J204" s="29"/>
      <c r="K204" s="29"/>
      <c r="L204" s="29"/>
      <c r="M204" s="29"/>
      <c r="N204" s="29"/>
      <c r="O204" s="28">
        <v>66211</v>
      </c>
      <c r="P204" s="28">
        <v>66541</v>
      </c>
      <c r="Q204" s="29" t="s">
        <v>26</v>
      </c>
      <c r="R204" s="348"/>
      <c r="S204" s="54">
        <v>1</v>
      </c>
      <c r="T204" s="28">
        <f t="shared" si="31"/>
        <v>330</v>
      </c>
      <c r="U204" s="455">
        <v>100829</v>
      </c>
      <c r="V204" s="783" t="s">
        <v>258</v>
      </c>
      <c r="W204" s="191" t="s">
        <v>48</v>
      </c>
      <c r="X204" s="7"/>
      <c r="Y204" s="7"/>
      <c r="Z204" s="7"/>
      <c r="AA204" s="7"/>
      <c r="AB204" s="7"/>
      <c r="AC204" s="7"/>
    </row>
    <row r="205" spans="1:29" ht="25.5">
      <c r="A205" s="19"/>
      <c r="B205" s="420" t="s">
        <v>905</v>
      </c>
      <c r="C205" s="28">
        <f t="shared" si="33"/>
        <v>756.49</v>
      </c>
      <c r="D205" s="28"/>
      <c r="E205" s="28">
        <f t="shared" si="40"/>
        <v>49.49</v>
      </c>
      <c r="F205" s="28">
        <f t="shared" si="34"/>
        <v>28.28</v>
      </c>
      <c r="G205" s="28">
        <f t="shared" si="35"/>
        <v>21.21</v>
      </c>
      <c r="H205" s="28">
        <f t="shared" si="41"/>
        <v>707</v>
      </c>
      <c r="I205" s="28">
        <f t="shared" si="39"/>
        <v>453.89400000000001</v>
      </c>
      <c r="J205" s="29"/>
      <c r="K205" s="29"/>
      <c r="L205" s="29"/>
      <c r="M205" s="29"/>
      <c r="N205" s="29" t="s">
        <v>260</v>
      </c>
      <c r="O205" s="28">
        <v>59360</v>
      </c>
      <c r="P205" s="28">
        <v>60067</v>
      </c>
      <c r="Q205" s="30"/>
      <c r="R205" s="351"/>
      <c r="S205" s="54">
        <v>1</v>
      </c>
      <c r="T205" s="28">
        <f t="shared" si="31"/>
        <v>707</v>
      </c>
      <c r="U205" s="455">
        <v>100980</v>
      </c>
      <c r="V205" s="783" t="s">
        <v>276</v>
      </c>
      <c r="W205" s="191" t="s">
        <v>48</v>
      </c>
      <c r="X205" s="7"/>
      <c r="Y205" s="7"/>
      <c r="Z205" s="7"/>
      <c r="AA205" s="7"/>
      <c r="AB205" s="7"/>
      <c r="AC205" s="7"/>
    </row>
    <row r="206" spans="1:29" ht="41.25">
      <c r="A206" s="19"/>
      <c r="B206" s="27" t="s">
        <v>731</v>
      </c>
      <c r="C206" s="28">
        <f t="shared" si="33"/>
        <v>546.77</v>
      </c>
      <c r="D206" s="28"/>
      <c r="E206" s="28">
        <f t="shared" si="40"/>
        <v>35.770000000000003</v>
      </c>
      <c r="F206" s="28">
        <f t="shared" si="34"/>
        <v>20.440000000000001</v>
      </c>
      <c r="G206" s="28">
        <f t="shared" si="35"/>
        <v>15.33</v>
      </c>
      <c r="H206" s="28">
        <f t="shared" si="41"/>
        <v>511</v>
      </c>
      <c r="I206" s="28">
        <f t="shared" si="39"/>
        <v>328.06199999999995</v>
      </c>
      <c r="J206" s="29"/>
      <c r="K206" s="29"/>
      <c r="L206" s="29"/>
      <c r="M206" s="29"/>
      <c r="N206" s="29"/>
      <c r="O206" s="28">
        <v>46381</v>
      </c>
      <c r="P206" s="28">
        <v>46892</v>
      </c>
      <c r="Q206" s="30"/>
      <c r="R206" s="351"/>
      <c r="S206" s="28">
        <v>1</v>
      </c>
      <c r="T206" s="28">
        <f t="shared" si="31"/>
        <v>511</v>
      </c>
      <c r="U206" s="455" t="s">
        <v>973</v>
      </c>
      <c r="V206" s="783" t="s">
        <v>261</v>
      </c>
      <c r="W206" s="191" t="s">
        <v>48</v>
      </c>
      <c r="X206" s="7"/>
      <c r="Y206" s="7"/>
      <c r="Z206" s="7"/>
      <c r="AA206" s="7"/>
      <c r="AB206" s="7"/>
      <c r="AC206" s="7"/>
    </row>
    <row r="207" spans="1:29" ht="25.5">
      <c r="A207" s="19"/>
      <c r="B207" s="421" t="s">
        <v>732</v>
      </c>
      <c r="C207" s="28">
        <f t="shared" si="33"/>
        <v>371.29</v>
      </c>
      <c r="D207" s="28"/>
      <c r="E207" s="28">
        <f t="shared" si="40"/>
        <v>24.29</v>
      </c>
      <c r="F207" s="28">
        <f t="shared" si="34"/>
        <v>13.88</v>
      </c>
      <c r="G207" s="28">
        <f t="shared" si="35"/>
        <v>10.41</v>
      </c>
      <c r="H207" s="28">
        <f t="shared" si="41"/>
        <v>347</v>
      </c>
      <c r="I207" s="28">
        <f t="shared" si="39"/>
        <v>222.774</v>
      </c>
      <c r="J207" s="29"/>
      <c r="K207" s="29"/>
      <c r="L207" s="29"/>
      <c r="M207" s="29"/>
      <c r="N207" s="29"/>
      <c r="O207" s="28">
        <v>8102</v>
      </c>
      <c r="P207" s="28">
        <v>8449</v>
      </c>
      <c r="Q207" s="30"/>
      <c r="R207" s="351"/>
      <c r="S207" s="54">
        <v>1</v>
      </c>
      <c r="T207" s="28">
        <f>(P207-O207)*S207</f>
        <v>347</v>
      </c>
      <c r="U207" s="455" t="s">
        <v>974</v>
      </c>
      <c r="V207" s="783" t="s">
        <v>262</v>
      </c>
      <c r="W207" s="191" t="s">
        <v>48</v>
      </c>
      <c r="X207" s="7"/>
      <c r="Y207" s="7"/>
      <c r="Z207" s="7"/>
      <c r="AA207" s="7"/>
      <c r="AB207" s="7"/>
      <c r="AC207" s="7"/>
    </row>
    <row r="208" spans="1:29" ht="29.25" customHeight="1">
      <c r="A208" s="19"/>
      <c r="B208" s="27" t="s">
        <v>733</v>
      </c>
      <c r="C208" s="28">
        <f t="shared" si="33"/>
        <v>150.87</v>
      </c>
      <c r="D208" s="28"/>
      <c r="E208" s="28">
        <f>G208+F208</f>
        <v>9.8699999999999992</v>
      </c>
      <c r="F208" s="28">
        <f t="shared" si="34"/>
        <v>5.64</v>
      </c>
      <c r="G208" s="28">
        <f t="shared" si="35"/>
        <v>4.2299999999999995</v>
      </c>
      <c r="H208" s="28">
        <f t="shared" si="41"/>
        <v>141</v>
      </c>
      <c r="I208" s="28">
        <f t="shared" si="39"/>
        <v>90.522000000000006</v>
      </c>
      <c r="J208" s="29"/>
      <c r="K208" s="29"/>
      <c r="L208" s="29"/>
      <c r="M208" s="29"/>
      <c r="N208" s="29"/>
      <c r="O208" s="28">
        <v>68610</v>
      </c>
      <c r="P208" s="28">
        <v>68751</v>
      </c>
      <c r="Q208" s="30"/>
      <c r="R208" s="71"/>
      <c r="S208" s="54">
        <v>1</v>
      </c>
      <c r="T208" s="28">
        <f t="shared" si="31"/>
        <v>141</v>
      </c>
      <c r="U208" s="455">
        <v>492735</v>
      </c>
      <c r="V208" s="783" t="s">
        <v>1086</v>
      </c>
      <c r="W208" s="191" t="s">
        <v>48</v>
      </c>
      <c r="X208" s="7"/>
      <c r="Y208" s="7"/>
      <c r="Z208" s="7"/>
      <c r="AA208" s="7"/>
      <c r="AB208" s="7"/>
      <c r="AC208" s="7"/>
    </row>
    <row r="209" spans="1:29" ht="30" customHeight="1">
      <c r="A209" s="19"/>
      <c r="B209" s="27" t="s">
        <v>734</v>
      </c>
      <c r="C209" s="28">
        <f t="shared" si="33"/>
        <v>350.96</v>
      </c>
      <c r="D209" s="28"/>
      <c r="E209" s="28">
        <f>F209++G209</f>
        <v>22.96</v>
      </c>
      <c r="F209" s="28">
        <f t="shared" si="34"/>
        <v>13.120000000000001</v>
      </c>
      <c r="G209" s="28">
        <f t="shared" si="35"/>
        <v>9.84</v>
      </c>
      <c r="H209" s="28">
        <f t="shared" si="41"/>
        <v>328</v>
      </c>
      <c r="I209" s="28">
        <f t="shared" si="39"/>
        <v>210.57599999999999</v>
      </c>
      <c r="J209" s="29"/>
      <c r="K209" s="29"/>
      <c r="L209" s="29"/>
      <c r="M209" s="29"/>
      <c r="N209" s="29"/>
      <c r="O209" s="28">
        <v>3461</v>
      </c>
      <c r="P209" s="28">
        <v>3789</v>
      </c>
      <c r="Q209" s="29" t="s">
        <v>28</v>
      </c>
      <c r="R209" s="348"/>
      <c r="S209" s="54">
        <v>1</v>
      </c>
      <c r="T209" s="28">
        <f t="shared" si="31"/>
        <v>328</v>
      </c>
      <c r="U209" s="455">
        <v>77006572</v>
      </c>
      <c r="V209" s="783" t="s">
        <v>264</v>
      </c>
      <c r="W209" s="191" t="s">
        <v>48</v>
      </c>
      <c r="X209" s="7"/>
      <c r="Y209" s="7"/>
      <c r="Z209" s="7"/>
      <c r="AA209" s="7"/>
      <c r="AB209" s="7"/>
      <c r="AC209" s="7"/>
    </row>
    <row r="210" spans="1:29" ht="26.25">
      <c r="A210" s="19"/>
      <c r="B210" s="27" t="s">
        <v>735</v>
      </c>
      <c r="C210" s="28">
        <f t="shared" si="33"/>
        <v>461.17</v>
      </c>
      <c r="D210" s="28"/>
      <c r="E210" s="28">
        <f>F210+G210</f>
        <v>30.17</v>
      </c>
      <c r="F210" s="28">
        <f t="shared" si="34"/>
        <v>17.240000000000002</v>
      </c>
      <c r="G210" s="28">
        <f t="shared" si="35"/>
        <v>12.93</v>
      </c>
      <c r="H210" s="28">
        <f t="shared" si="41"/>
        <v>431</v>
      </c>
      <c r="I210" s="28">
        <f t="shared" si="39"/>
        <v>276.702</v>
      </c>
      <c r="J210" s="29"/>
      <c r="K210" s="29"/>
      <c r="L210" s="29"/>
      <c r="M210" s="29"/>
      <c r="N210" s="29"/>
      <c r="O210" s="28">
        <v>87889</v>
      </c>
      <c r="P210" s="28">
        <v>88320</v>
      </c>
      <c r="Q210" s="29"/>
      <c r="R210" s="348"/>
      <c r="S210" s="28">
        <v>1</v>
      </c>
      <c r="T210" s="28">
        <f t="shared" si="31"/>
        <v>431</v>
      </c>
      <c r="U210" s="455">
        <v>503440</v>
      </c>
      <c r="V210" s="783" t="s">
        <v>265</v>
      </c>
      <c r="W210" s="191" t="s">
        <v>48</v>
      </c>
      <c r="X210" s="7"/>
      <c r="Y210" s="7"/>
      <c r="Z210" s="7"/>
      <c r="AA210" s="7"/>
      <c r="AB210" s="7"/>
      <c r="AC210" s="7"/>
    </row>
    <row r="211" spans="1:29" ht="26.25">
      <c r="A211" s="19"/>
      <c r="B211" s="27" t="s">
        <v>736</v>
      </c>
      <c r="C211" s="28">
        <f t="shared" si="33"/>
        <v>216.14</v>
      </c>
      <c r="D211" s="28"/>
      <c r="E211" s="28">
        <f>F211+G211</f>
        <v>14.14</v>
      </c>
      <c r="F211" s="28">
        <f t="shared" si="34"/>
        <v>8.08</v>
      </c>
      <c r="G211" s="28">
        <f t="shared" si="35"/>
        <v>6.06</v>
      </c>
      <c r="H211" s="28">
        <f t="shared" si="41"/>
        <v>202</v>
      </c>
      <c r="I211" s="28">
        <f t="shared" si="39"/>
        <v>129.684</v>
      </c>
      <c r="J211" s="46"/>
      <c r="K211" s="46"/>
      <c r="L211" s="46"/>
      <c r="M211" s="46"/>
      <c r="N211" s="46"/>
      <c r="O211" s="28">
        <v>54506</v>
      </c>
      <c r="P211" s="28">
        <v>54708</v>
      </c>
      <c r="Q211" s="146"/>
      <c r="R211" s="61"/>
      <c r="S211" s="54">
        <v>1</v>
      </c>
      <c r="T211" s="28">
        <f t="shared" si="31"/>
        <v>202</v>
      </c>
      <c r="U211" s="455">
        <v>492892</v>
      </c>
      <c r="V211" s="805" t="s">
        <v>266</v>
      </c>
      <c r="W211" s="191" t="s">
        <v>48</v>
      </c>
      <c r="X211" s="7"/>
      <c r="Y211" s="7"/>
      <c r="Z211" s="7"/>
      <c r="AA211" s="7"/>
      <c r="AB211" s="7"/>
      <c r="AC211" s="7"/>
    </row>
    <row r="212" spans="1:29" ht="30" customHeight="1">
      <c r="A212" s="19"/>
      <c r="B212" s="27" t="s">
        <v>737</v>
      </c>
      <c r="C212" s="28">
        <f t="shared" si="33"/>
        <v>193.67</v>
      </c>
      <c r="D212" s="28"/>
      <c r="E212" s="28">
        <f>F212+G212</f>
        <v>12.67</v>
      </c>
      <c r="F212" s="28">
        <f t="shared" si="34"/>
        <v>7.24</v>
      </c>
      <c r="G212" s="28">
        <f t="shared" si="35"/>
        <v>5.43</v>
      </c>
      <c r="H212" s="28">
        <f>T212</f>
        <v>181</v>
      </c>
      <c r="I212" s="28">
        <f t="shared" si="39"/>
        <v>116.20199999999998</v>
      </c>
      <c r="J212" s="29"/>
      <c r="K212" s="29"/>
      <c r="L212" s="29"/>
      <c r="M212" s="29"/>
      <c r="N212" s="29"/>
      <c r="O212" s="28">
        <v>36510</v>
      </c>
      <c r="P212" s="28">
        <v>36691</v>
      </c>
      <c r="Q212" s="30"/>
      <c r="R212" s="351"/>
      <c r="S212" s="28">
        <v>1</v>
      </c>
      <c r="T212" s="28">
        <f t="shared" si="31"/>
        <v>181</v>
      </c>
      <c r="U212" s="455">
        <v>503014</v>
      </c>
      <c r="V212" s="805"/>
      <c r="W212" s="191" t="s">
        <v>48</v>
      </c>
      <c r="X212" s="7"/>
      <c r="Y212" s="7"/>
      <c r="Z212" s="7"/>
      <c r="AA212" s="7"/>
      <c r="AB212" s="7"/>
      <c r="AC212" s="7"/>
    </row>
    <row r="213" spans="1:29" ht="26.25">
      <c r="A213" s="19"/>
      <c r="B213" s="413" t="s">
        <v>738</v>
      </c>
      <c r="C213" s="414">
        <f t="shared" si="33"/>
        <v>287.83</v>
      </c>
      <c r="D213" s="414"/>
      <c r="E213" s="414">
        <f>G213+F213</f>
        <v>18.829999999999998</v>
      </c>
      <c r="F213" s="414">
        <f t="shared" si="34"/>
        <v>10.76</v>
      </c>
      <c r="G213" s="414">
        <f t="shared" si="35"/>
        <v>8.07</v>
      </c>
      <c r="H213" s="414">
        <f t="shared" ref="H213:H271" si="42">T213</f>
        <v>269</v>
      </c>
      <c r="I213" s="414">
        <f t="shared" si="39"/>
        <v>172.69799999999998</v>
      </c>
      <c r="J213" s="415"/>
      <c r="K213" s="415"/>
      <c r="L213" s="415"/>
      <c r="M213" s="415"/>
      <c r="N213" s="415"/>
      <c r="O213" s="414">
        <v>35648</v>
      </c>
      <c r="P213" s="414">
        <v>35917</v>
      </c>
      <c r="Q213" s="422"/>
      <c r="R213" s="423"/>
      <c r="S213" s="418">
        <v>1</v>
      </c>
      <c r="T213" s="414">
        <f t="shared" si="31"/>
        <v>269</v>
      </c>
      <c r="U213" s="455">
        <v>88031383</v>
      </c>
      <c r="V213" s="783" t="s">
        <v>267</v>
      </c>
      <c r="W213" s="191" t="s">
        <v>48</v>
      </c>
      <c r="X213" s="7"/>
      <c r="Y213" s="7"/>
      <c r="Z213" s="7"/>
      <c r="AA213" s="7"/>
      <c r="AB213" s="7"/>
      <c r="AC213" s="7"/>
    </row>
    <row r="214" spans="1:29" ht="25.5">
      <c r="A214" s="19"/>
      <c r="B214" s="27" t="s">
        <v>268</v>
      </c>
      <c r="C214" s="28">
        <f t="shared" si="33"/>
        <v>167.99</v>
      </c>
      <c r="D214" s="28"/>
      <c r="E214" s="28">
        <f>F214+G214</f>
        <v>10.99</v>
      </c>
      <c r="F214" s="28">
        <f t="shared" si="34"/>
        <v>6.28</v>
      </c>
      <c r="G214" s="28">
        <f t="shared" si="35"/>
        <v>4.71</v>
      </c>
      <c r="H214" s="28">
        <f t="shared" si="42"/>
        <v>157</v>
      </c>
      <c r="I214" s="28">
        <f t="shared" si="39"/>
        <v>100.794</v>
      </c>
      <c r="J214" s="29"/>
      <c r="K214" s="29"/>
      <c r="L214" s="29"/>
      <c r="M214" s="29"/>
      <c r="N214" s="29"/>
      <c r="O214" s="28">
        <v>29084</v>
      </c>
      <c r="P214" s="28">
        <v>29241</v>
      </c>
      <c r="Q214" s="30"/>
      <c r="R214" s="351"/>
      <c r="S214" s="28">
        <v>1</v>
      </c>
      <c r="T214" s="28">
        <f t="shared" si="31"/>
        <v>157</v>
      </c>
      <c r="U214" s="455">
        <v>16596</v>
      </c>
      <c r="V214" s="783" t="s">
        <v>563</v>
      </c>
      <c r="W214" s="191" t="s">
        <v>48</v>
      </c>
      <c r="X214" s="7"/>
      <c r="Y214" s="7"/>
      <c r="Z214" s="7"/>
      <c r="AA214" s="7"/>
      <c r="AB214" s="7"/>
      <c r="AC214" s="7"/>
    </row>
    <row r="215" spans="1:29" ht="26.25">
      <c r="A215" s="19"/>
      <c r="B215" s="27" t="s">
        <v>739</v>
      </c>
      <c r="C215" s="28">
        <f t="shared" si="33"/>
        <v>202.23</v>
      </c>
      <c r="D215" s="28"/>
      <c r="E215" s="28">
        <f>F215+G215</f>
        <v>13.23</v>
      </c>
      <c r="F215" s="28">
        <f t="shared" si="34"/>
        <v>7.5600000000000005</v>
      </c>
      <c r="G215" s="28">
        <f t="shared" si="35"/>
        <v>5.67</v>
      </c>
      <c r="H215" s="28">
        <f t="shared" si="42"/>
        <v>189</v>
      </c>
      <c r="I215" s="28">
        <f t="shared" si="39"/>
        <v>121.33799999999999</v>
      </c>
      <c r="J215" s="29"/>
      <c r="K215" s="29"/>
      <c r="L215" s="29"/>
      <c r="M215" s="29"/>
      <c r="N215" s="29"/>
      <c r="O215" s="28">
        <v>42090</v>
      </c>
      <c r="P215" s="28">
        <v>42279</v>
      </c>
      <c r="Q215" s="29"/>
      <c r="R215" s="348"/>
      <c r="S215" s="28">
        <v>1</v>
      </c>
      <c r="T215" s="28">
        <f t="shared" si="31"/>
        <v>189</v>
      </c>
      <c r="U215" s="455">
        <v>88031436</v>
      </c>
      <c r="V215" s="783" t="s">
        <v>269</v>
      </c>
      <c r="W215" s="191" t="s">
        <v>48</v>
      </c>
      <c r="X215" s="7"/>
      <c r="Y215" s="7"/>
      <c r="Z215" s="7"/>
      <c r="AA215" s="7"/>
      <c r="AB215" s="7"/>
      <c r="AC215" s="7"/>
    </row>
    <row r="216" spans="1:29" ht="35.25" customHeight="1">
      <c r="A216" s="19"/>
      <c r="B216" s="27" t="s">
        <v>740</v>
      </c>
      <c r="C216" s="28">
        <f t="shared" si="33"/>
        <v>876.33</v>
      </c>
      <c r="D216" s="28"/>
      <c r="E216" s="28">
        <f>F216+G216</f>
        <v>57.33</v>
      </c>
      <c r="F216" s="28">
        <f t="shared" si="34"/>
        <v>32.76</v>
      </c>
      <c r="G216" s="28">
        <f t="shared" si="35"/>
        <v>24.57</v>
      </c>
      <c r="H216" s="28">
        <f t="shared" si="42"/>
        <v>819</v>
      </c>
      <c r="I216" s="28">
        <f t="shared" si="39"/>
        <v>525.798</v>
      </c>
      <c r="J216" s="29"/>
      <c r="K216" s="29"/>
      <c r="L216" s="29"/>
      <c r="M216" s="29"/>
      <c r="N216" s="29"/>
      <c r="O216" s="424">
        <v>61210</v>
      </c>
      <c r="P216" s="424">
        <v>62029</v>
      </c>
      <c r="Q216" s="30"/>
      <c r="R216" s="351"/>
      <c r="S216" s="28">
        <v>1</v>
      </c>
      <c r="T216" s="28">
        <f t="shared" si="31"/>
        <v>819</v>
      </c>
      <c r="U216" s="455">
        <v>88031413</v>
      </c>
      <c r="V216" s="783" t="s">
        <v>778</v>
      </c>
      <c r="W216" s="191" t="s">
        <v>48</v>
      </c>
      <c r="X216" s="7"/>
      <c r="Y216" s="7"/>
      <c r="Z216" s="7"/>
      <c r="AA216" s="7"/>
      <c r="AB216" s="7"/>
      <c r="AC216" s="7"/>
    </row>
    <row r="217" spans="1:29" ht="25.5">
      <c r="A217" s="19"/>
      <c r="B217" s="27" t="s">
        <v>270</v>
      </c>
      <c r="C217" s="349">
        <f t="shared" si="33"/>
        <v>1661.71</v>
      </c>
      <c r="D217" s="349"/>
      <c r="E217" s="349">
        <f>F217+G217</f>
        <v>108.71000000000001</v>
      </c>
      <c r="F217" s="349">
        <f t="shared" si="34"/>
        <v>62.120000000000005</v>
      </c>
      <c r="G217" s="349">
        <f t="shared" si="35"/>
        <v>46.589999999999996</v>
      </c>
      <c r="H217" s="349">
        <f t="shared" si="42"/>
        <v>1553</v>
      </c>
      <c r="I217" s="349"/>
      <c r="J217" s="29"/>
      <c r="K217" s="29"/>
      <c r="L217" s="29"/>
      <c r="M217" s="29"/>
      <c r="N217" s="29" t="s">
        <v>271</v>
      </c>
      <c r="O217" s="349">
        <v>35671</v>
      </c>
      <c r="P217" s="349">
        <v>37224</v>
      </c>
      <c r="Q217" s="146"/>
      <c r="R217" s="425"/>
      <c r="S217" s="349">
        <v>1</v>
      </c>
      <c r="T217" s="28">
        <f t="shared" si="31"/>
        <v>1553</v>
      </c>
      <c r="U217" s="738" t="s">
        <v>975</v>
      </c>
      <c r="V217" s="783" t="s">
        <v>272</v>
      </c>
      <c r="W217" s="14" t="s">
        <v>82</v>
      </c>
      <c r="X217" s="7"/>
      <c r="Y217" s="7"/>
      <c r="Z217" s="7"/>
      <c r="AA217" s="7"/>
      <c r="AB217" s="7"/>
      <c r="AC217" s="7"/>
    </row>
    <row r="218" spans="1:29" ht="33.75" customHeight="1">
      <c r="A218" s="19"/>
      <c r="B218" s="27" t="s">
        <v>741</v>
      </c>
      <c r="C218" s="28">
        <f t="shared" si="33"/>
        <v>0</v>
      </c>
      <c r="D218" s="28"/>
      <c r="E218" s="28">
        <f>G218+F218</f>
        <v>0</v>
      </c>
      <c r="F218" s="28">
        <f t="shared" si="34"/>
        <v>0</v>
      </c>
      <c r="G218" s="28">
        <f t="shared" si="35"/>
        <v>0</v>
      </c>
      <c r="H218" s="28">
        <f t="shared" si="42"/>
        <v>0</v>
      </c>
      <c r="I218" s="28">
        <f t="shared" si="39"/>
        <v>0</v>
      </c>
      <c r="J218" s="29"/>
      <c r="K218" s="29"/>
      <c r="L218" s="29"/>
      <c r="M218" s="29"/>
      <c r="N218" s="29"/>
      <c r="O218" s="28">
        <v>38589</v>
      </c>
      <c r="P218" s="28">
        <v>38589</v>
      </c>
      <c r="Q218" s="30"/>
      <c r="R218" s="71"/>
      <c r="S218" s="54">
        <v>1</v>
      </c>
      <c r="T218" s="28">
        <f t="shared" si="31"/>
        <v>0</v>
      </c>
      <c r="U218" s="455">
        <v>4369</v>
      </c>
      <c r="V218" s="783" t="s">
        <v>273</v>
      </c>
      <c r="W218" s="14" t="s">
        <v>48</v>
      </c>
      <c r="X218" s="7"/>
      <c r="Y218" s="7"/>
      <c r="Z218" s="7"/>
      <c r="AA218" s="7"/>
      <c r="AB218" s="7"/>
      <c r="AC218" s="7"/>
    </row>
    <row r="219" spans="1:29" s="198" customFormat="1" ht="24.75" customHeight="1">
      <c r="A219" s="196"/>
      <c r="B219" s="27" t="s">
        <v>755</v>
      </c>
      <c r="C219" s="419">
        <f t="shared" si="33"/>
        <v>0</v>
      </c>
      <c r="D219" s="28"/>
      <c r="E219" s="28">
        <f>F219+G219</f>
        <v>0</v>
      </c>
      <c r="F219" s="28">
        <f t="shared" si="34"/>
        <v>0</v>
      </c>
      <c r="G219" s="28">
        <f t="shared" si="35"/>
        <v>0</v>
      </c>
      <c r="H219" s="28">
        <f t="shared" si="42"/>
        <v>0</v>
      </c>
      <c r="I219" s="28">
        <f t="shared" si="39"/>
        <v>0</v>
      </c>
      <c r="J219" s="29"/>
      <c r="K219" s="29"/>
      <c r="L219" s="29"/>
      <c r="M219" s="29"/>
      <c r="N219" s="29"/>
      <c r="O219" s="28">
        <v>36462</v>
      </c>
      <c r="P219" s="28">
        <v>36462</v>
      </c>
      <c r="Q219" s="30"/>
      <c r="R219" s="71"/>
      <c r="S219" s="54">
        <v>1</v>
      </c>
      <c r="T219" s="28">
        <f t="shared" si="31"/>
        <v>0</v>
      </c>
      <c r="U219" s="455">
        <v>1400</v>
      </c>
      <c r="V219" s="783" t="s">
        <v>274</v>
      </c>
      <c r="W219" s="14" t="s">
        <v>48</v>
      </c>
      <c r="X219" s="197"/>
      <c r="Y219" s="197"/>
      <c r="Z219" s="197"/>
      <c r="AA219" s="197"/>
      <c r="AB219" s="197"/>
      <c r="AC219" s="197"/>
    </row>
    <row r="220" spans="1:29" ht="26.25">
      <c r="A220" s="19"/>
      <c r="B220" s="27" t="s">
        <v>742</v>
      </c>
      <c r="C220" s="28">
        <f t="shared" si="33"/>
        <v>0</v>
      </c>
      <c r="D220" s="28"/>
      <c r="E220" s="28">
        <f>G220+F220</f>
        <v>0</v>
      </c>
      <c r="F220" s="28">
        <f t="shared" si="34"/>
        <v>0</v>
      </c>
      <c r="G220" s="28">
        <f t="shared" si="35"/>
        <v>0</v>
      </c>
      <c r="H220" s="28">
        <f t="shared" si="42"/>
        <v>0</v>
      </c>
      <c r="I220" s="28">
        <f t="shared" si="39"/>
        <v>0</v>
      </c>
      <c r="J220" s="29"/>
      <c r="K220" s="29"/>
      <c r="L220" s="29"/>
      <c r="M220" s="29"/>
      <c r="N220" s="29"/>
      <c r="O220" s="28">
        <v>43342</v>
      </c>
      <c r="P220" s="28">
        <v>43342</v>
      </c>
      <c r="Q220" s="146"/>
      <c r="R220" s="61"/>
      <c r="S220" s="54">
        <v>1</v>
      </c>
      <c r="T220" s="28">
        <f t="shared" si="31"/>
        <v>0</v>
      </c>
      <c r="U220" s="455">
        <v>2328</v>
      </c>
      <c r="V220" s="783" t="s">
        <v>275</v>
      </c>
      <c r="W220" s="14" t="s">
        <v>48</v>
      </c>
      <c r="X220" s="7"/>
      <c r="Y220" s="7"/>
      <c r="Z220" s="7"/>
      <c r="AA220" s="7"/>
      <c r="AB220" s="7"/>
      <c r="AC220" s="7"/>
    </row>
    <row r="221" spans="1:29" ht="26.25">
      <c r="A221" s="19"/>
      <c r="B221" s="27" t="s">
        <v>743</v>
      </c>
      <c r="C221" s="419">
        <f t="shared" si="33"/>
        <v>0</v>
      </c>
      <c r="D221" s="28"/>
      <c r="E221" s="28">
        <f t="shared" ref="E221:E230" si="43">F221+G221</f>
        <v>0</v>
      </c>
      <c r="F221" s="28">
        <f t="shared" si="34"/>
        <v>0</v>
      </c>
      <c r="G221" s="28">
        <f t="shared" si="35"/>
        <v>0</v>
      </c>
      <c r="H221" s="28">
        <f t="shared" si="42"/>
        <v>0</v>
      </c>
      <c r="I221" s="28">
        <f t="shared" si="39"/>
        <v>0</v>
      </c>
      <c r="J221" s="29"/>
      <c r="K221" s="29"/>
      <c r="L221" s="29"/>
      <c r="M221" s="29"/>
      <c r="N221" s="29"/>
      <c r="O221" s="28">
        <v>77142</v>
      </c>
      <c r="P221" s="28">
        <v>77142</v>
      </c>
      <c r="Q221" s="30"/>
      <c r="R221" s="71"/>
      <c r="S221" s="54">
        <v>1</v>
      </c>
      <c r="T221" s="28">
        <f t="shared" si="31"/>
        <v>0</v>
      </c>
      <c r="U221" s="455">
        <v>6910</v>
      </c>
      <c r="V221" s="783" t="s">
        <v>276</v>
      </c>
      <c r="W221" s="14" t="s">
        <v>48</v>
      </c>
      <c r="X221" s="7"/>
      <c r="Y221" s="7"/>
      <c r="Z221" s="7"/>
      <c r="AA221" s="7"/>
      <c r="AB221" s="7"/>
      <c r="AC221" s="7"/>
    </row>
    <row r="222" spans="1:29" ht="25.5">
      <c r="A222" s="19"/>
      <c r="B222" s="420" t="s">
        <v>744</v>
      </c>
      <c r="C222" s="28">
        <f t="shared" si="33"/>
        <v>120.91</v>
      </c>
      <c r="D222" s="28"/>
      <c r="E222" s="28">
        <f t="shared" si="43"/>
        <v>7.91</v>
      </c>
      <c r="F222" s="28">
        <f t="shared" si="34"/>
        <v>4.5200000000000005</v>
      </c>
      <c r="G222" s="28">
        <f t="shared" si="35"/>
        <v>3.3899999999999997</v>
      </c>
      <c r="H222" s="28">
        <f t="shared" si="42"/>
        <v>113</v>
      </c>
      <c r="I222" s="28">
        <f t="shared" si="39"/>
        <v>72.545999999999992</v>
      </c>
      <c r="J222" s="29"/>
      <c r="K222" s="29"/>
      <c r="L222" s="29"/>
      <c r="M222" s="29"/>
      <c r="N222" s="29"/>
      <c r="O222" s="28">
        <v>8401</v>
      </c>
      <c r="P222" s="28">
        <v>8514</v>
      </c>
      <c r="Q222" s="30"/>
      <c r="R222" s="351"/>
      <c r="S222" s="54">
        <v>1</v>
      </c>
      <c r="T222" s="28">
        <f t="shared" si="31"/>
        <v>113</v>
      </c>
      <c r="U222" s="455" t="s">
        <v>976</v>
      </c>
      <c r="V222" s="783" t="s">
        <v>277</v>
      </c>
      <c r="W222" s="14" t="s">
        <v>48</v>
      </c>
      <c r="X222" s="7"/>
      <c r="Y222" s="7"/>
      <c r="Z222" s="7"/>
      <c r="AA222" s="7"/>
      <c r="AB222" s="7"/>
      <c r="AC222" s="7"/>
    </row>
    <row r="223" spans="1:29" ht="26.25">
      <c r="A223" s="19"/>
      <c r="B223" s="367" t="s">
        <v>278</v>
      </c>
      <c r="C223" s="28">
        <f t="shared" si="33"/>
        <v>517.88</v>
      </c>
      <c r="D223" s="28"/>
      <c r="E223" s="28">
        <f t="shared" si="43"/>
        <v>33.879999999999995</v>
      </c>
      <c r="F223" s="28">
        <f t="shared" si="34"/>
        <v>19.36</v>
      </c>
      <c r="G223" s="28">
        <f t="shared" si="35"/>
        <v>14.52</v>
      </c>
      <c r="H223" s="28">
        <f t="shared" si="42"/>
        <v>484</v>
      </c>
      <c r="I223" s="28">
        <f t="shared" si="39"/>
        <v>310.72800000000001</v>
      </c>
      <c r="J223" s="29"/>
      <c r="K223" s="29"/>
      <c r="L223" s="29"/>
      <c r="M223" s="29"/>
      <c r="N223" s="29"/>
      <c r="O223" s="28">
        <v>24797</v>
      </c>
      <c r="P223" s="28">
        <v>25281</v>
      </c>
      <c r="Q223" s="146"/>
      <c r="R223" s="61"/>
      <c r="S223" s="54">
        <v>1</v>
      </c>
      <c r="T223" s="28">
        <f t="shared" si="31"/>
        <v>484</v>
      </c>
      <c r="U223" s="455" t="s">
        <v>977</v>
      </c>
      <c r="V223" s="783" t="s">
        <v>279</v>
      </c>
      <c r="W223" s="14" t="s">
        <v>48</v>
      </c>
      <c r="X223" s="7"/>
      <c r="Y223" s="7"/>
      <c r="Z223" s="7"/>
      <c r="AA223" s="7"/>
      <c r="AB223" s="7"/>
      <c r="AC223" s="7"/>
    </row>
    <row r="224" spans="1:29" ht="26.25">
      <c r="A224" s="19"/>
      <c r="B224" s="27" t="s">
        <v>745</v>
      </c>
      <c r="C224" s="28">
        <f t="shared" si="33"/>
        <v>0</v>
      </c>
      <c r="D224" s="28"/>
      <c r="E224" s="28">
        <f t="shared" si="43"/>
        <v>0</v>
      </c>
      <c r="F224" s="28">
        <f t="shared" si="34"/>
        <v>0</v>
      </c>
      <c r="G224" s="28">
        <f t="shared" si="35"/>
        <v>0</v>
      </c>
      <c r="H224" s="28">
        <f t="shared" si="42"/>
        <v>0</v>
      </c>
      <c r="I224" s="28">
        <f>0.5*C224</f>
        <v>0</v>
      </c>
      <c r="J224" s="29"/>
      <c r="K224" s="29"/>
      <c r="L224" s="29"/>
      <c r="M224" s="29"/>
      <c r="N224" s="29"/>
      <c r="O224" s="28">
        <v>7086</v>
      </c>
      <c r="P224" s="28">
        <v>7086</v>
      </c>
      <c r="Q224" s="30"/>
      <c r="R224" s="351"/>
      <c r="S224" s="28">
        <v>1</v>
      </c>
      <c r="T224" s="28">
        <f t="shared" si="31"/>
        <v>0</v>
      </c>
      <c r="U224" s="455" t="s">
        <v>978</v>
      </c>
      <c r="V224" s="783" t="s">
        <v>280</v>
      </c>
      <c r="W224" s="14" t="s">
        <v>48</v>
      </c>
      <c r="X224" s="7"/>
      <c r="Y224" s="7"/>
      <c r="Z224" s="7"/>
      <c r="AA224" s="7"/>
      <c r="AB224" s="7"/>
      <c r="AC224" s="7"/>
    </row>
    <row r="225" spans="1:29" ht="25.5">
      <c r="A225" s="19"/>
      <c r="B225" s="27" t="s">
        <v>281</v>
      </c>
      <c r="C225" s="28">
        <f t="shared" si="33"/>
        <v>165.85</v>
      </c>
      <c r="D225" s="28"/>
      <c r="E225" s="28">
        <f t="shared" si="43"/>
        <v>10.85</v>
      </c>
      <c r="F225" s="28">
        <f t="shared" si="34"/>
        <v>6.2</v>
      </c>
      <c r="G225" s="28">
        <f t="shared" si="35"/>
        <v>4.6499999999999995</v>
      </c>
      <c r="H225" s="28">
        <f t="shared" si="42"/>
        <v>155</v>
      </c>
      <c r="I225" s="28">
        <f>0.5*C225</f>
        <v>82.924999999999997</v>
      </c>
      <c r="J225" s="29"/>
      <c r="K225" s="29"/>
      <c r="L225" s="29"/>
      <c r="M225" s="29"/>
      <c r="N225" s="29"/>
      <c r="O225" s="28">
        <v>38232</v>
      </c>
      <c r="P225" s="28">
        <v>38387</v>
      </c>
      <c r="Q225" s="30"/>
      <c r="R225" s="351"/>
      <c r="S225" s="28">
        <v>1</v>
      </c>
      <c r="T225" s="28">
        <f t="shared" si="31"/>
        <v>155</v>
      </c>
      <c r="U225" s="455" t="s">
        <v>979</v>
      </c>
      <c r="V225" s="783" t="s">
        <v>282</v>
      </c>
      <c r="W225" s="14" t="s">
        <v>48</v>
      </c>
      <c r="X225" s="7"/>
      <c r="Y225" s="7"/>
      <c r="Z225" s="7"/>
      <c r="AA225" s="7"/>
      <c r="AB225" s="7"/>
      <c r="AC225" s="7"/>
    </row>
    <row r="226" spans="1:29" ht="26.25">
      <c r="A226" s="19"/>
      <c r="B226" s="27" t="s">
        <v>283</v>
      </c>
      <c r="C226" s="28">
        <f t="shared" si="33"/>
        <v>190.46</v>
      </c>
      <c r="D226" s="28"/>
      <c r="E226" s="28">
        <f t="shared" si="43"/>
        <v>12.46</v>
      </c>
      <c r="F226" s="28">
        <f t="shared" si="34"/>
        <v>7.12</v>
      </c>
      <c r="G226" s="28">
        <f t="shared" si="35"/>
        <v>5.34</v>
      </c>
      <c r="H226" s="28">
        <f t="shared" si="42"/>
        <v>178</v>
      </c>
      <c r="I226" s="72">
        <f>0.6*C226</f>
        <v>114.276</v>
      </c>
      <c r="J226" s="29"/>
      <c r="K226" s="29"/>
      <c r="L226" s="29"/>
      <c r="M226" s="29"/>
      <c r="N226" s="29"/>
      <c r="O226" s="28">
        <v>4676</v>
      </c>
      <c r="P226" s="28">
        <v>4854</v>
      </c>
      <c r="Q226" s="30"/>
      <c r="R226" s="351"/>
      <c r="S226" s="54">
        <v>1</v>
      </c>
      <c r="T226" s="28">
        <f t="shared" si="31"/>
        <v>178</v>
      </c>
      <c r="U226" s="455" t="s">
        <v>980</v>
      </c>
      <c r="V226" s="783" t="s">
        <v>284</v>
      </c>
      <c r="W226" s="14" t="s">
        <v>48</v>
      </c>
      <c r="X226" s="7"/>
      <c r="Y226" s="7"/>
      <c r="Z226" s="7"/>
      <c r="AA226" s="7"/>
      <c r="AB226" s="7"/>
      <c r="AC226" s="7"/>
    </row>
    <row r="227" spans="1:29" ht="26.25">
      <c r="A227" s="19"/>
      <c r="B227" s="27" t="s">
        <v>746</v>
      </c>
      <c r="C227" s="28">
        <f t="shared" si="33"/>
        <v>63.13</v>
      </c>
      <c r="D227" s="28"/>
      <c r="E227" s="28">
        <f t="shared" si="43"/>
        <v>4.13</v>
      </c>
      <c r="F227" s="28">
        <f t="shared" si="34"/>
        <v>2.36</v>
      </c>
      <c r="G227" s="28">
        <f t="shared" si="35"/>
        <v>1.77</v>
      </c>
      <c r="H227" s="28">
        <f t="shared" si="42"/>
        <v>59</v>
      </c>
      <c r="I227" s="72">
        <f>0.6*C227</f>
        <v>37.878</v>
      </c>
      <c r="J227" s="29"/>
      <c r="K227" s="29"/>
      <c r="L227" s="29"/>
      <c r="M227" s="29"/>
      <c r="N227" s="29"/>
      <c r="O227" s="28">
        <v>22364</v>
      </c>
      <c r="P227" s="28">
        <v>22423</v>
      </c>
      <c r="Q227" s="30"/>
      <c r="R227" s="351"/>
      <c r="S227" s="54">
        <v>1</v>
      </c>
      <c r="T227" s="28">
        <f t="shared" si="31"/>
        <v>59</v>
      </c>
      <c r="U227" s="455">
        <v>530958</v>
      </c>
      <c r="V227" s="783" t="s">
        <v>285</v>
      </c>
      <c r="W227" s="14" t="s">
        <v>48</v>
      </c>
      <c r="X227" s="7"/>
      <c r="Y227" s="7"/>
      <c r="Z227" s="7"/>
      <c r="AA227" s="7"/>
      <c r="AB227" s="7"/>
      <c r="AC227" s="7"/>
    </row>
    <row r="228" spans="1:29" ht="26.25">
      <c r="A228" s="19"/>
      <c r="B228" s="27" t="s">
        <v>747</v>
      </c>
      <c r="C228" s="28">
        <f t="shared" si="33"/>
        <v>263.22000000000003</v>
      </c>
      <c r="D228" s="28"/>
      <c r="E228" s="28">
        <f t="shared" si="43"/>
        <v>17.22</v>
      </c>
      <c r="F228" s="28">
        <f t="shared" si="34"/>
        <v>9.84</v>
      </c>
      <c r="G228" s="28">
        <f t="shared" si="35"/>
        <v>7.38</v>
      </c>
      <c r="H228" s="28">
        <f t="shared" si="42"/>
        <v>246</v>
      </c>
      <c r="I228" s="28">
        <f>0.6*C228</f>
        <v>157.93200000000002</v>
      </c>
      <c r="J228" s="29"/>
      <c r="K228" s="29"/>
      <c r="L228" s="29"/>
      <c r="M228" s="29"/>
      <c r="N228" s="29"/>
      <c r="O228" s="28">
        <v>18968</v>
      </c>
      <c r="P228" s="28">
        <v>19214</v>
      </c>
      <c r="Q228" s="30"/>
      <c r="R228" s="351"/>
      <c r="S228" s="28">
        <v>1</v>
      </c>
      <c r="T228" s="28">
        <f t="shared" si="31"/>
        <v>246</v>
      </c>
      <c r="U228" s="455">
        <v>607637</v>
      </c>
      <c r="V228" s="783" t="s">
        <v>286</v>
      </c>
      <c r="W228" s="14" t="s">
        <v>48</v>
      </c>
      <c r="X228" s="7"/>
      <c r="Y228" s="7"/>
      <c r="Z228" s="7"/>
      <c r="AA228" s="7"/>
      <c r="AB228" s="7"/>
      <c r="AC228" s="7"/>
    </row>
    <row r="229" spans="1:29" ht="26.25">
      <c r="A229" s="19"/>
      <c r="B229" s="27" t="s">
        <v>287</v>
      </c>
      <c r="C229" s="28">
        <f t="shared" si="33"/>
        <v>236.47</v>
      </c>
      <c r="D229" s="28"/>
      <c r="E229" s="28">
        <f t="shared" si="43"/>
        <v>15.469999999999999</v>
      </c>
      <c r="F229" s="28">
        <f t="shared" si="34"/>
        <v>8.84</v>
      </c>
      <c r="G229" s="28">
        <f t="shared" si="35"/>
        <v>6.63</v>
      </c>
      <c r="H229" s="28">
        <f t="shared" si="42"/>
        <v>221</v>
      </c>
      <c r="I229" s="72">
        <f>0.6*C229</f>
        <v>141.88200000000001</v>
      </c>
      <c r="J229" s="29"/>
      <c r="K229" s="29"/>
      <c r="L229" s="29"/>
      <c r="M229" s="29"/>
      <c r="N229" s="29"/>
      <c r="O229" s="28">
        <v>14270</v>
      </c>
      <c r="P229" s="28">
        <v>14491</v>
      </c>
      <c r="Q229" s="146"/>
      <c r="R229" s="391"/>
      <c r="S229" s="54">
        <v>1</v>
      </c>
      <c r="T229" s="28">
        <f t="shared" si="31"/>
        <v>221</v>
      </c>
      <c r="U229" s="455">
        <v>56067</v>
      </c>
      <c r="V229" s="783" t="s">
        <v>288</v>
      </c>
      <c r="W229" s="14" t="s">
        <v>48</v>
      </c>
      <c r="X229" s="7"/>
      <c r="Y229" s="7"/>
      <c r="Z229" s="7"/>
      <c r="AA229" s="7"/>
      <c r="AB229" s="7"/>
      <c r="AC229" s="7"/>
    </row>
    <row r="230" spans="1:29" ht="26.25">
      <c r="A230" s="19"/>
      <c r="B230" s="426" t="s">
        <v>766</v>
      </c>
      <c r="C230" s="72">
        <f t="shared" si="33"/>
        <v>9523</v>
      </c>
      <c r="D230" s="72"/>
      <c r="E230" s="72">
        <f t="shared" si="43"/>
        <v>623</v>
      </c>
      <c r="F230" s="72">
        <f t="shared" si="34"/>
        <v>356</v>
      </c>
      <c r="G230" s="72">
        <f t="shared" si="35"/>
        <v>267</v>
      </c>
      <c r="H230" s="72">
        <f t="shared" si="42"/>
        <v>8900</v>
      </c>
      <c r="I230" s="72"/>
      <c r="J230" s="29"/>
      <c r="K230" s="29"/>
      <c r="L230" s="29"/>
      <c r="M230" s="29"/>
      <c r="N230" s="29"/>
      <c r="O230" s="427">
        <v>35645.699999999997</v>
      </c>
      <c r="P230" s="427">
        <v>35868.199999999997</v>
      </c>
      <c r="Q230" s="30"/>
      <c r="R230" s="348"/>
      <c r="S230" s="54">
        <v>40</v>
      </c>
      <c r="T230" s="28">
        <f t="shared" si="31"/>
        <v>8900</v>
      </c>
      <c r="U230" s="455">
        <v>1535390</v>
      </c>
      <c r="V230" s="783" t="s">
        <v>789</v>
      </c>
      <c r="W230" s="14" t="s">
        <v>53</v>
      </c>
      <c r="X230" s="7"/>
      <c r="Y230" s="7"/>
      <c r="Z230" s="7"/>
      <c r="AA230" s="7"/>
      <c r="AB230" s="7"/>
      <c r="AC230" s="7"/>
    </row>
    <row r="231" spans="1:29" ht="28.5" customHeight="1">
      <c r="A231" s="252"/>
      <c r="B231" s="62" t="s">
        <v>610</v>
      </c>
      <c r="C231" s="28">
        <f>H231+E231</f>
        <v>11486.985000000002</v>
      </c>
      <c r="D231" s="77"/>
      <c r="E231" s="28">
        <f>F231+G231</f>
        <v>751.48500000000013</v>
      </c>
      <c r="F231" s="28">
        <f>0.04*T231</f>
        <v>429.42000000000007</v>
      </c>
      <c r="G231" s="28">
        <f>0.03*T231</f>
        <v>322.06500000000005</v>
      </c>
      <c r="H231" s="28">
        <f>T231</f>
        <v>10735.500000000002</v>
      </c>
      <c r="I231" s="28">
        <f>H231*0.5</f>
        <v>5367.7500000000009</v>
      </c>
      <c r="J231" s="46"/>
      <c r="K231" s="46"/>
      <c r="L231" s="46"/>
      <c r="M231" s="46"/>
      <c r="N231" s="46"/>
      <c r="O231" s="77">
        <v>1193.7</v>
      </c>
      <c r="P231" s="77">
        <v>1408.41</v>
      </c>
      <c r="Q231" s="79"/>
      <c r="R231" s="80"/>
      <c r="S231" s="77">
        <v>50</v>
      </c>
      <c r="T231" s="28">
        <f>(P231-O231)*S231</f>
        <v>10735.500000000002</v>
      </c>
      <c r="U231" s="455" t="s">
        <v>981</v>
      </c>
      <c r="V231" s="783" t="s">
        <v>752</v>
      </c>
      <c r="W231" s="14" t="s">
        <v>48</v>
      </c>
      <c r="X231" s="7"/>
      <c r="Y231" s="7"/>
      <c r="Z231" s="7"/>
      <c r="AA231" s="7"/>
      <c r="AB231" s="7"/>
      <c r="AC231" s="7"/>
    </row>
    <row r="232" spans="1:29" ht="26.25">
      <c r="A232" s="19"/>
      <c r="B232" s="62" t="s">
        <v>906</v>
      </c>
      <c r="C232" s="28">
        <f t="shared" ref="C232" si="44">H232+E232</f>
        <v>429.07</v>
      </c>
      <c r="D232" s="28"/>
      <c r="E232" s="28">
        <f>G232+F232</f>
        <v>28.07</v>
      </c>
      <c r="F232" s="28">
        <f>H232*0.04</f>
        <v>16.04</v>
      </c>
      <c r="G232" s="28">
        <f>H232*0.03</f>
        <v>12.03</v>
      </c>
      <c r="H232" s="28">
        <f t="shared" ref="H232" si="45">T232</f>
        <v>401</v>
      </c>
      <c r="I232" s="28">
        <f>0.6*C232</f>
        <v>257.44200000000001</v>
      </c>
      <c r="J232" s="29"/>
      <c r="K232" s="29"/>
      <c r="L232" s="29"/>
      <c r="M232" s="29"/>
      <c r="N232" s="29"/>
      <c r="O232" s="72">
        <v>821527</v>
      </c>
      <c r="P232" s="72">
        <v>821928</v>
      </c>
      <c r="Q232" s="30"/>
      <c r="R232" s="428"/>
      <c r="S232" s="54">
        <v>1</v>
      </c>
      <c r="T232" s="28">
        <f t="shared" ref="T232" si="46">(P232-O232)*S232</f>
        <v>401</v>
      </c>
      <c r="U232" s="455">
        <v>399479</v>
      </c>
      <c r="V232" s="783" t="s">
        <v>788</v>
      </c>
      <c r="W232" s="14" t="s">
        <v>48</v>
      </c>
      <c r="X232" s="7"/>
      <c r="Y232" s="7"/>
      <c r="Z232" s="7"/>
      <c r="AA232" s="7"/>
      <c r="AB232" s="7"/>
      <c r="AC232" s="7"/>
    </row>
    <row r="233" spans="1:29" ht="25.5">
      <c r="A233" s="19"/>
      <c r="B233" s="429"/>
      <c r="C233" s="28"/>
      <c r="D233" s="28"/>
      <c r="E233" s="28"/>
      <c r="F233" s="28"/>
      <c r="G233" s="28"/>
      <c r="H233" s="28"/>
      <c r="I233" s="28"/>
      <c r="J233" s="29"/>
      <c r="K233" s="29"/>
      <c r="L233" s="29"/>
      <c r="M233" s="29"/>
      <c r="N233" s="29"/>
      <c r="O233" s="28"/>
      <c r="P233" s="28"/>
      <c r="Q233" s="30"/>
      <c r="R233" s="351"/>
      <c r="S233" s="28"/>
      <c r="T233" s="28"/>
      <c r="U233" s="455"/>
      <c r="V233" s="783"/>
      <c r="W233" s="14" t="s">
        <v>48</v>
      </c>
      <c r="X233" s="7"/>
      <c r="Y233" s="7"/>
      <c r="Z233" s="7"/>
      <c r="AA233" s="7"/>
      <c r="AB233" s="7"/>
      <c r="AC233" s="7"/>
    </row>
    <row r="234" spans="1:29" ht="26.25" hidden="1">
      <c r="A234" s="19"/>
      <c r="B234" s="739"/>
      <c r="C234" s="28"/>
      <c r="D234" s="28"/>
      <c r="E234" s="28"/>
      <c r="F234" s="28"/>
      <c r="G234" s="28"/>
      <c r="H234" s="28"/>
      <c r="I234" s="28"/>
      <c r="J234" s="29"/>
      <c r="K234" s="29"/>
      <c r="L234" s="29"/>
      <c r="M234" s="29"/>
      <c r="N234" s="29"/>
      <c r="O234" s="28"/>
      <c r="P234" s="28"/>
      <c r="Q234" s="30"/>
      <c r="R234" s="351"/>
      <c r="S234" s="28"/>
      <c r="T234" s="28"/>
      <c r="U234" s="455"/>
      <c r="V234" s="783"/>
      <c r="W234" s="14" t="s">
        <v>48</v>
      </c>
      <c r="X234" s="7"/>
      <c r="Y234" s="7"/>
      <c r="Z234" s="7"/>
      <c r="AA234" s="7"/>
      <c r="AB234" s="7"/>
      <c r="AC234" s="7"/>
    </row>
    <row r="235" spans="1:29" ht="25.5" hidden="1">
      <c r="A235" s="19"/>
      <c r="B235" s="27"/>
      <c r="C235" s="28"/>
      <c r="D235" s="28"/>
      <c r="E235" s="28"/>
      <c r="F235" s="28"/>
      <c r="G235" s="28"/>
      <c r="H235" s="28"/>
      <c r="I235" s="28"/>
      <c r="J235" s="29"/>
      <c r="K235" s="29"/>
      <c r="L235" s="29"/>
      <c r="M235" s="29"/>
      <c r="N235" s="29"/>
      <c r="O235" s="28"/>
      <c r="P235" s="28"/>
      <c r="Q235" s="30"/>
      <c r="R235" s="351"/>
      <c r="S235" s="28"/>
      <c r="T235" s="28"/>
      <c r="U235" s="455"/>
      <c r="V235" s="783"/>
      <c r="W235" s="14" t="s">
        <v>48</v>
      </c>
      <c r="X235" s="7"/>
      <c r="Y235" s="7"/>
      <c r="Z235" s="7"/>
      <c r="AA235" s="7"/>
      <c r="AB235" s="7"/>
      <c r="AC235" s="7"/>
    </row>
    <row r="236" spans="1:29" ht="25.5" hidden="1">
      <c r="A236" s="19"/>
      <c r="B236" s="27"/>
      <c r="C236" s="28"/>
      <c r="D236" s="28"/>
      <c r="E236" s="28"/>
      <c r="F236" s="28"/>
      <c r="G236" s="28"/>
      <c r="H236" s="28"/>
      <c r="I236" s="28"/>
      <c r="J236" s="29"/>
      <c r="K236" s="29"/>
      <c r="L236" s="29"/>
      <c r="M236" s="29"/>
      <c r="N236" s="29"/>
      <c r="O236" s="28"/>
      <c r="P236" s="28"/>
      <c r="Q236" s="30"/>
      <c r="R236" s="351"/>
      <c r="S236" s="28"/>
      <c r="T236" s="28"/>
      <c r="U236" s="455"/>
      <c r="V236" s="783"/>
      <c r="W236" s="14" t="s">
        <v>48</v>
      </c>
      <c r="X236" s="7"/>
      <c r="Y236" s="7"/>
      <c r="Z236" s="7"/>
      <c r="AA236" s="7"/>
      <c r="AB236" s="7"/>
      <c r="AC236" s="7"/>
    </row>
    <row r="237" spans="1:29" ht="25.5" hidden="1">
      <c r="A237" s="19"/>
      <c r="B237" s="27"/>
      <c r="C237" s="28"/>
      <c r="D237" s="28"/>
      <c r="E237" s="28"/>
      <c r="F237" s="28"/>
      <c r="G237" s="28"/>
      <c r="H237" s="28"/>
      <c r="I237" s="28"/>
      <c r="J237" s="29"/>
      <c r="K237" s="29"/>
      <c r="L237" s="29"/>
      <c r="M237" s="29"/>
      <c r="N237" s="29"/>
      <c r="O237" s="28"/>
      <c r="P237" s="28"/>
      <c r="Q237" s="146"/>
      <c r="R237" s="348"/>
      <c r="S237" s="28"/>
      <c r="T237" s="28"/>
      <c r="U237" s="455"/>
      <c r="V237" s="783"/>
      <c r="W237" s="14" t="s">
        <v>48</v>
      </c>
      <c r="X237" s="7"/>
      <c r="Y237" s="7"/>
      <c r="Z237" s="7"/>
      <c r="AA237" s="7"/>
      <c r="AB237" s="7"/>
      <c r="AC237" s="7"/>
    </row>
    <row r="238" spans="1:29" ht="25.5" hidden="1">
      <c r="A238" s="19"/>
      <c r="B238" s="27"/>
      <c r="C238" s="28"/>
      <c r="D238" s="28"/>
      <c r="E238" s="28"/>
      <c r="F238" s="28"/>
      <c r="G238" s="28"/>
      <c r="H238" s="28"/>
      <c r="I238" s="28"/>
      <c r="J238" s="29"/>
      <c r="K238" s="29"/>
      <c r="L238" s="29"/>
      <c r="M238" s="29"/>
      <c r="N238" s="29"/>
      <c r="O238" s="28"/>
      <c r="P238" s="28"/>
      <c r="Q238" s="30"/>
      <c r="R238" s="71"/>
      <c r="S238" s="54"/>
      <c r="T238" s="28"/>
      <c r="U238" s="455"/>
      <c r="V238" s="783"/>
      <c r="W238" s="14" t="s">
        <v>48</v>
      </c>
      <c r="X238" s="7"/>
      <c r="Y238" s="7"/>
      <c r="Z238" s="7"/>
      <c r="AA238" s="7"/>
      <c r="AB238" s="7"/>
      <c r="AC238" s="7"/>
    </row>
    <row r="239" spans="1:29" ht="25.5" hidden="1">
      <c r="A239" s="19"/>
      <c r="B239" s="27"/>
      <c r="C239" s="28"/>
      <c r="D239" s="28"/>
      <c r="E239" s="28"/>
      <c r="F239" s="28"/>
      <c r="G239" s="28"/>
      <c r="H239" s="28"/>
      <c r="I239" s="28"/>
      <c r="J239" s="29"/>
      <c r="K239" s="29"/>
      <c r="L239" s="29"/>
      <c r="M239" s="29"/>
      <c r="N239" s="29"/>
      <c r="O239" s="28"/>
      <c r="P239" s="28"/>
      <c r="Q239" s="30"/>
      <c r="R239" s="71"/>
      <c r="S239" s="54"/>
      <c r="T239" s="28"/>
      <c r="U239" s="455"/>
      <c r="V239" s="783"/>
      <c r="W239" s="14" t="s">
        <v>48</v>
      </c>
      <c r="X239" s="7"/>
      <c r="Y239" s="7"/>
      <c r="Z239" s="7"/>
      <c r="AA239" s="7"/>
      <c r="AB239" s="7"/>
      <c r="AC239" s="7"/>
    </row>
    <row r="240" spans="1:29" ht="25.5" hidden="1">
      <c r="A240" s="19"/>
      <c r="B240" s="27"/>
      <c r="C240" s="28"/>
      <c r="D240" s="28"/>
      <c r="E240" s="28"/>
      <c r="F240" s="28"/>
      <c r="G240" s="28"/>
      <c r="H240" s="28"/>
      <c r="I240" s="28"/>
      <c r="J240" s="29"/>
      <c r="K240" s="29"/>
      <c r="L240" s="29"/>
      <c r="M240" s="29"/>
      <c r="N240" s="29"/>
      <c r="O240" s="349"/>
      <c r="P240" s="349"/>
      <c r="Q240" s="30"/>
      <c r="R240" s="740"/>
      <c r="S240" s="379"/>
      <c r="T240" s="349"/>
      <c r="U240" s="455"/>
      <c r="V240" s="783"/>
      <c r="W240" s="14" t="s">
        <v>48</v>
      </c>
      <c r="X240" s="7"/>
      <c r="Y240" s="7"/>
      <c r="Z240" s="7"/>
      <c r="AA240" s="7"/>
      <c r="AB240" s="7"/>
      <c r="AC240" s="7"/>
    </row>
    <row r="241" spans="1:29" ht="25.5" hidden="1">
      <c r="A241" s="19"/>
      <c r="B241" s="27"/>
      <c r="C241" s="28"/>
      <c r="D241" s="28"/>
      <c r="E241" s="28"/>
      <c r="F241" s="28"/>
      <c r="G241" s="28"/>
      <c r="H241" s="28"/>
      <c r="I241" s="28"/>
      <c r="J241" s="29"/>
      <c r="K241" s="29"/>
      <c r="L241" s="29"/>
      <c r="M241" s="29"/>
      <c r="N241" s="29"/>
      <c r="O241" s="349"/>
      <c r="P241" s="349"/>
      <c r="Q241" s="30"/>
      <c r="R241" s="740"/>
      <c r="S241" s="379"/>
      <c r="T241" s="349"/>
      <c r="U241" s="455"/>
      <c r="V241" s="783"/>
      <c r="W241" s="14" t="s">
        <v>48</v>
      </c>
      <c r="X241" s="7"/>
      <c r="Y241" s="7"/>
      <c r="Z241" s="7"/>
      <c r="AA241" s="7"/>
      <c r="AB241" s="7"/>
      <c r="AC241" s="7"/>
    </row>
    <row r="242" spans="1:29" ht="25.5" hidden="1">
      <c r="A242" s="19"/>
      <c r="B242" s="375"/>
      <c r="C242" s="349"/>
      <c r="D242" s="349"/>
      <c r="E242" s="349"/>
      <c r="F242" s="349"/>
      <c r="G242" s="349"/>
      <c r="H242" s="349"/>
      <c r="I242" s="349"/>
      <c r="J242" s="29"/>
      <c r="K242" s="29"/>
      <c r="L242" s="29"/>
      <c r="M242" s="29"/>
      <c r="N242" s="29"/>
      <c r="O242" s="28"/>
      <c r="P242" s="28"/>
      <c r="Q242" s="351"/>
      <c r="R242" s="71"/>
      <c r="S242" s="28"/>
      <c r="T242" s="28"/>
      <c r="U242" s="455"/>
      <c r="V242" s="783"/>
      <c r="W242" s="14" t="s">
        <v>48</v>
      </c>
      <c r="X242" s="7"/>
      <c r="Y242" s="7"/>
      <c r="Z242" s="7"/>
      <c r="AA242" s="7"/>
      <c r="AB242" s="7"/>
      <c r="AC242" s="7"/>
    </row>
    <row r="243" spans="1:29" ht="25.5">
      <c r="A243" s="19"/>
      <c r="B243" s="27" t="s">
        <v>290</v>
      </c>
      <c r="C243" s="28">
        <f t="shared" ref="C243:C268" si="47">H243+E243</f>
        <v>554.26</v>
      </c>
      <c r="D243" s="28"/>
      <c r="E243" s="28">
        <f t="shared" ref="E243:E273" si="48">F243+G243</f>
        <v>36.26</v>
      </c>
      <c r="F243" s="28">
        <f t="shared" ref="F243:F273" si="49">0.04*H243</f>
        <v>20.72</v>
      </c>
      <c r="G243" s="28">
        <f t="shared" ref="G243:G273" si="50">0.03*H243</f>
        <v>15.54</v>
      </c>
      <c r="H243" s="28">
        <f t="shared" si="42"/>
        <v>518</v>
      </c>
      <c r="I243" s="28"/>
      <c r="J243" s="348"/>
      <c r="K243" s="348"/>
      <c r="L243" s="348"/>
      <c r="M243" s="348"/>
      <c r="N243" s="348"/>
      <c r="O243" s="382">
        <v>52711</v>
      </c>
      <c r="P243" s="382">
        <v>53229</v>
      </c>
      <c r="Q243" s="146"/>
      <c r="R243" s="438"/>
      <c r="S243" s="382">
        <v>1</v>
      </c>
      <c r="T243" s="382">
        <f>P243-O243</f>
        <v>518</v>
      </c>
      <c r="U243" s="455" t="s">
        <v>982</v>
      </c>
      <c r="V243" s="783" t="s">
        <v>291</v>
      </c>
      <c r="W243" s="14" t="s">
        <v>48</v>
      </c>
      <c r="X243" s="7"/>
      <c r="Y243" s="7"/>
      <c r="Z243" s="7"/>
      <c r="AA243" s="7"/>
      <c r="AB243" s="7"/>
      <c r="AC243" s="7"/>
    </row>
    <row r="244" spans="1:29" ht="25.5">
      <c r="A244" s="19"/>
      <c r="B244" s="380" t="s">
        <v>292</v>
      </c>
      <c r="C244" s="382">
        <f t="shared" si="47"/>
        <v>1066.79</v>
      </c>
      <c r="D244" s="382"/>
      <c r="E244" s="382">
        <f t="shared" si="48"/>
        <v>69.790000000000006</v>
      </c>
      <c r="F244" s="382">
        <f t="shared" si="49"/>
        <v>39.880000000000003</v>
      </c>
      <c r="G244" s="382">
        <f t="shared" si="50"/>
        <v>29.91</v>
      </c>
      <c r="H244" s="382">
        <f t="shared" si="42"/>
        <v>997</v>
      </c>
      <c r="I244" s="382"/>
      <c r="J244" s="29"/>
      <c r="K244" s="29"/>
      <c r="L244" s="29"/>
      <c r="M244" s="29"/>
      <c r="N244" s="29"/>
      <c r="O244" s="28">
        <v>74072</v>
      </c>
      <c r="P244" s="28">
        <v>75069</v>
      </c>
      <c r="Q244" s="146"/>
      <c r="R244" s="439"/>
      <c r="S244" s="28">
        <v>1</v>
      </c>
      <c r="T244" s="28">
        <f>P244-O244</f>
        <v>997</v>
      </c>
      <c r="U244" s="455" t="s">
        <v>983</v>
      </c>
      <c r="V244" s="783" t="s">
        <v>293</v>
      </c>
      <c r="W244" s="14" t="s">
        <v>48</v>
      </c>
      <c r="X244" s="7"/>
      <c r="Y244" s="7"/>
      <c r="Z244" s="7"/>
      <c r="AA244" s="7"/>
      <c r="AB244" s="7"/>
      <c r="AC244" s="7"/>
    </row>
    <row r="245" spans="1:29" ht="25.5">
      <c r="A245" s="19"/>
      <c r="B245" s="27" t="s">
        <v>294</v>
      </c>
      <c r="C245" s="28">
        <f t="shared" si="47"/>
        <v>315.64999999999998</v>
      </c>
      <c r="D245" s="28"/>
      <c r="E245" s="28">
        <f t="shared" si="48"/>
        <v>20.65</v>
      </c>
      <c r="F245" s="28">
        <f t="shared" si="49"/>
        <v>11.8</v>
      </c>
      <c r="G245" s="28">
        <f t="shared" si="50"/>
        <v>8.85</v>
      </c>
      <c r="H245" s="28">
        <f t="shared" si="42"/>
        <v>295</v>
      </c>
      <c r="I245" s="28"/>
      <c r="J245" s="29"/>
      <c r="K245" s="29"/>
      <c r="L245" s="29"/>
      <c r="M245" s="29"/>
      <c r="N245" s="29"/>
      <c r="O245" s="28">
        <v>24612</v>
      </c>
      <c r="P245" s="28">
        <v>24907</v>
      </c>
      <c r="Q245" s="146"/>
      <c r="R245" s="439"/>
      <c r="S245" s="28">
        <v>1</v>
      </c>
      <c r="T245" s="28">
        <f>P245-O245</f>
        <v>295</v>
      </c>
      <c r="U245" s="455" t="s">
        <v>984</v>
      </c>
      <c r="V245" s="783" t="s">
        <v>296</v>
      </c>
      <c r="W245" s="14" t="s">
        <v>48</v>
      </c>
      <c r="X245" s="7"/>
      <c r="Y245" s="7"/>
      <c r="Z245" s="7"/>
      <c r="AA245" s="7"/>
      <c r="AB245" s="7"/>
      <c r="AC245" s="7"/>
    </row>
    <row r="246" spans="1:29" ht="25.5">
      <c r="A246" s="19"/>
      <c r="B246" s="27" t="s">
        <v>748</v>
      </c>
      <c r="C246" s="28">
        <f t="shared" si="47"/>
        <v>1487.3</v>
      </c>
      <c r="D246" s="28"/>
      <c r="E246" s="28">
        <f t="shared" si="48"/>
        <v>97.3</v>
      </c>
      <c r="F246" s="28">
        <f t="shared" si="49"/>
        <v>55.6</v>
      </c>
      <c r="G246" s="28">
        <f t="shared" si="50"/>
        <v>41.699999999999996</v>
      </c>
      <c r="H246" s="28">
        <f t="shared" si="42"/>
        <v>1390</v>
      </c>
      <c r="I246" s="28"/>
      <c r="J246" s="29"/>
      <c r="K246" s="29"/>
      <c r="L246" s="29"/>
      <c r="M246" s="29"/>
      <c r="N246" s="29"/>
      <c r="O246" s="28">
        <v>3390</v>
      </c>
      <c r="P246" s="28">
        <v>4780</v>
      </c>
      <c r="Q246" s="146"/>
      <c r="R246" s="439"/>
      <c r="S246" s="28">
        <v>1</v>
      </c>
      <c r="T246" s="28">
        <f>P246-O246</f>
        <v>1390</v>
      </c>
      <c r="U246" s="455" t="s">
        <v>985</v>
      </c>
      <c r="V246" s="783" t="s">
        <v>1087</v>
      </c>
      <c r="W246" s="14" t="s">
        <v>48</v>
      </c>
      <c r="X246" s="7"/>
      <c r="Y246" s="7"/>
      <c r="Z246" s="7"/>
      <c r="AA246" s="7"/>
      <c r="AB246" s="7"/>
      <c r="AC246" s="7"/>
    </row>
    <row r="247" spans="1:29" ht="26.25">
      <c r="A247" s="19"/>
      <c r="B247" s="806" t="s">
        <v>298</v>
      </c>
      <c r="C247" s="72">
        <f t="shared" si="47"/>
        <v>10480.65</v>
      </c>
      <c r="D247" s="28"/>
      <c r="E247" s="28">
        <f t="shared" si="48"/>
        <v>685.65</v>
      </c>
      <c r="F247" s="28">
        <f t="shared" si="49"/>
        <v>391.8</v>
      </c>
      <c r="G247" s="28">
        <f t="shared" si="50"/>
        <v>293.84999999999997</v>
      </c>
      <c r="H247" s="28">
        <f t="shared" si="42"/>
        <v>9795</v>
      </c>
      <c r="I247" s="28"/>
      <c r="J247" s="29"/>
      <c r="K247" s="29"/>
      <c r="L247" s="29"/>
      <c r="M247" s="29"/>
      <c r="N247" s="29"/>
      <c r="O247" s="365">
        <v>27083.3</v>
      </c>
      <c r="P247" s="365">
        <v>27409.8</v>
      </c>
      <c r="Q247" s="146"/>
      <c r="R247" s="439"/>
      <c r="S247" s="28">
        <v>30</v>
      </c>
      <c r="T247" s="28">
        <f>(P247-O247)*S247</f>
        <v>9795</v>
      </c>
      <c r="U247" s="455" t="s">
        <v>1157</v>
      </c>
      <c r="V247" s="804" t="s">
        <v>1165</v>
      </c>
      <c r="W247" s="14" t="s">
        <v>48</v>
      </c>
      <c r="X247" s="7"/>
      <c r="Y247" s="7"/>
      <c r="Z247" s="7"/>
      <c r="AA247" s="7"/>
      <c r="AB247" s="7"/>
      <c r="AC247" s="7"/>
    </row>
    <row r="248" spans="1:29" ht="26.25">
      <c r="A248" s="19"/>
      <c r="B248" s="807"/>
      <c r="C248" s="72">
        <f t="shared" si="47"/>
        <v>4273.58</v>
      </c>
      <c r="D248" s="28"/>
      <c r="E248" s="28">
        <f t="shared" si="48"/>
        <v>279.58</v>
      </c>
      <c r="F248" s="28">
        <f t="shared" si="49"/>
        <v>159.76</v>
      </c>
      <c r="G248" s="28">
        <f t="shared" si="50"/>
        <v>119.82</v>
      </c>
      <c r="H248" s="28">
        <f t="shared" si="42"/>
        <v>3994</v>
      </c>
      <c r="I248" s="28"/>
      <c r="J248" s="29"/>
      <c r="K248" s="29"/>
      <c r="L248" s="29"/>
      <c r="M248" s="29"/>
      <c r="N248" s="29"/>
      <c r="O248" s="28">
        <v>97210</v>
      </c>
      <c r="P248" s="28">
        <v>101204</v>
      </c>
      <c r="Q248" s="146"/>
      <c r="R248" s="439"/>
      <c r="S248" s="28">
        <v>1</v>
      </c>
      <c r="T248" s="28">
        <f t="shared" ref="T248:T254" si="51">P248-O248</f>
        <v>3994</v>
      </c>
      <c r="U248" s="455" t="s">
        <v>987</v>
      </c>
      <c r="V248" s="804"/>
      <c r="W248" s="14" t="s">
        <v>48</v>
      </c>
      <c r="X248" s="7"/>
      <c r="Y248" s="7"/>
      <c r="Z248" s="7"/>
      <c r="AA248" s="7"/>
      <c r="AB248" s="7"/>
      <c r="AC248" s="7"/>
    </row>
    <row r="249" spans="1:29" ht="25.5">
      <c r="A249" s="19"/>
      <c r="B249" s="27" t="s">
        <v>907</v>
      </c>
      <c r="C249" s="28">
        <f t="shared" si="47"/>
        <v>1760.15</v>
      </c>
      <c r="D249" s="28"/>
      <c r="E249" s="28">
        <f t="shared" si="48"/>
        <v>115.15</v>
      </c>
      <c r="F249" s="28">
        <f t="shared" si="49"/>
        <v>65.8</v>
      </c>
      <c r="G249" s="28">
        <f t="shared" si="50"/>
        <v>49.35</v>
      </c>
      <c r="H249" s="28">
        <f t="shared" si="42"/>
        <v>1645</v>
      </c>
      <c r="I249" s="28"/>
      <c r="J249" s="29"/>
      <c r="K249" s="29"/>
      <c r="L249" s="29"/>
      <c r="M249" s="29"/>
      <c r="N249" s="29"/>
      <c r="O249" s="28">
        <v>87377</v>
      </c>
      <c r="P249" s="28">
        <v>89022</v>
      </c>
      <c r="Q249" s="146"/>
      <c r="R249" s="439"/>
      <c r="S249" s="28">
        <v>1</v>
      </c>
      <c r="T249" s="28">
        <f t="shared" si="51"/>
        <v>1645</v>
      </c>
      <c r="U249" s="455" t="s">
        <v>988</v>
      </c>
      <c r="V249" s="783" t="s">
        <v>779</v>
      </c>
      <c r="W249" s="14" t="s">
        <v>48</v>
      </c>
      <c r="X249" s="7"/>
      <c r="Y249" s="7"/>
      <c r="Z249" s="7"/>
      <c r="AA249" s="7"/>
      <c r="AB249" s="7"/>
      <c r="AC249" s="7"/>
    </row>
    <row r="250" spans="1:29" ht="30.75" customHeight="1">
      <c r="A250" s="19"/>
      <c r="B250" s="27" t="s">
        <v>303</v>
      </c>
      <c r="C250" s="28">
        <f t="shared" si="47"/>
        <v>2654.67</v>
      </c>
      <c r="D250" s="28"/>
      <c r="E250" s="28">
        <f t="shared" si="48"/>
        <v>173.67000000000002</v>
      </c>
      <c r="F250" s="28">
        <f t="shared" si="49"/>
        <v>99.240000000000009</v>
      </c>
      <c r="G250" s="28">
        <f t="shared" si="50"/>
        <v>74.429999999999993</v>
      </c>
      <c r="H250" s="28">
        <f t="shared" si="42"/>
        <v>2481</v>
      </c>
      <c r="I250" s="28"/>
      <c r="J250" s="29"/>
      <c r="K250" s="29"/>
      <c r="L250" s="29"/>
      <c r="M250" s="29"/>
      <c r="N250" s="29"/>
      <c r="O250" s="28">
        <v>97508</v>
      </c>
      <c r="P250" s="28">
        <v>99989</v>
      </c>
      <c r="Q250" s="146"/>
      <c r="R250" s="439"/>
      <c r="S250" s="28">
        <v>1</v>
      </c>
      <c r="T250" s="28">
        <f t="shared" si="51"/>
        <v>2481</v>
      </c>
      <c r="U250" s="455" t="s">
        <v>989</v>
      </c>
      <c r="V250" s="783" t="s">
        <v>304</v>
      </c>
      <c r="W250" s="14" t="s">
        <v>48</v>
      </c>
      <c r="X250" s="7"/>
      <c r="Y250" s="7"/>
      <c r="Z250" s="7"/>
      <c r="AA250" s="7"/>
      <c r="AB250" s="7"/>
      <c r="AC250" s="7"/>
    </row>
    <row r="251" spans="1:29" ht="26.25">
      <c r="A251" s="19"/>
      <c r="B251" s="440"/>
      <c r="C251" s="419">
        <f t="shared" si="47"/>
        <v>0</v>
      </c>
      <c r="D251" s="419"/>
      <c r="E251" s="419">
        <f t="shared" si="48"/>
        <v>0</v>
      </c>
      <c r="F251" s="419">
        <f t="shared" si="49"/>
        <v>0</v>
      </c>
      <c r="G251" s="419">
        <f t="shared" si="50"/>
        <v>0</v>
      </c>
      <c r="H251" s="419">
        <f t="shared" si="42"/>
        <v>0</v>
      </c>
      <c r="I251" s="419"/>
      <c r="J251" s="684"/>
      <c r="K251" s="684"/>
      <c r="L251" s="684"/>
      <c r="M251" s="684"/>
      <c r="N251" s="684"/>
      <c r="O251" s="419">
        <v>0</v>
      </c>
      <c r="P251" s="419">
        <v>0</v>
      </c>
      <c r="Q251" s="685"/>
      <c r="R251" s="686"/>
      <c r="S251" s="419">
        <v>1</v>
      </c>
      <c r="T251" s="419">
        <f t="shared" si="51"/>
        <v>0</v>
      </c>
      <c r="U251" s="455"/>
      <c r="V251" s="783"/>
      <c r="W251" s="14" t="s">
        <v>48</v>
      </c>
      <c r="X251" s="7"/>
      <c r="Y251" s="7"/>
      <c r="Z251" s="7"/>
      <c r="AA251" s="7"/>
      <c r="AB251" s="7"/>
      <c r="AC251" s="7"/>
    </row>
    <row r="252" spans="1:29" ht="27.75" customHeight="1">
      <c r="A252" s="19"/>
      <c r="B252" s="375" t="s">
        <v>305</v>
      </c>
      <c r="C252" s="349">
        <f t="shared" si="47"/>
        <v>344.54</v>
      </c>
      <c r="D252" s="349"/>
      <c r="E252" s="349">
        <f t="shared" si="48"/>
        <v>22.54</v>
      </c>
      <c r="F252" s="349">
        <f t="shared" si="49"/>
        <v>12.88</v>
      </c>
      <c r="G252" s="349">
        <f t="shared" si="50"/>
        <v>9.66</v>
      </c>
      <c r="H252" s="349">
        <f t="shared" si="42"/>
        <v>322</v>
      </c>
      <c r="I252" s="349"/>
      <c r="J252" s="29"/>
      <c r="K252" s="29"/>
      <c r="L252" s="29"/>
      <c r="M252" s="29"/>
      <c r="N252" s="29" t="s">
        <v>271</v>
      </c>
      <c r="O252" s="349">
        <v>23470</v>
      </c>
      <c r="P252" s="349">
        <v>23792</v>
      </c>
      <c r="Q252" s="146"/>
      <c r="R252" s="425"/>
      <c r="S252" s="349">
        <v>1</v>
      </c>
      <c r="T252" s="349">
        <f t="shared" si="51"/>
        <v>322</v>
      </c>
      <c r="U252" s="455" t="s">
        <v>990</v>
      </c>
      <c r="V252" s="783" t="s">
        <v>307</v>
      </c>
      <c r="W252" s="14" t="s">
        <v>48</v>
      </c>
      <c r="X252" s="7"/>
      <c r="Y252" s="7"/>
      <c r="Z252" s="7"/>
      <c r="AA252" s="7"/>
      <c r="AB252" s="7"/>
      <c r="AC252" s="7"/>
    </row>
    <row r="253" spans="1:29" ht="27.75" customHeight="1">
      <c r="A253" s="19"/>
      <c r="B253" s="375" t="s">
        <v>308</v>
      </c>
      <c r="C253" s="349">
        <f t="shared" si="47"/>
        <v>284.62</v>
      </c>
      <c r="D253" s="349"/>
      <c r="E253" s="349">
        <f t="shared" si="48"/>
        <v>18.62</v>
      </c>
      <c r="F253" s="349">
        <f t="shared" si="49"/>
        <v>10.64</v>
      </c>
      <c r="G253" s="349">
        <f t="shared" si="50"/>
        <v>7.9799999999999995</v>
      </c>
      <c r="H253" s="349">
        <f t="shared" si="42"/>
        <v>266</v>
      </c>
      <c r="I253" s="349"/>
      <c r="J253" s="29"/>
      <c r="K253" s="29"/>
      <c r="L253" s="29"/>
      <c r="M253" s="29"/>
      <c r="N253" s="29" t="s">
        <v>271</v>
      </c>
      <c r="O253" s="349">
        <v>5838</v>
      </c>
      <c r="P253" s="349">
        <v>6104</v>
      </c>
      <c r="Q253" s="146"/>
      <c r="R253" s="425"/>
      <c r="S253" s="349">
        <v>1</v>
      </c>
      <c r="T253" s="349">
        <f t="shared" si="51"/>
        <v>266</v>
      </c>
      <c r="U253" s="455" t="s">
        <v>991</v>
      </c>
      <c r="V253" s="783" t="s">
        <v>309</v>
      </c>
      <c r="W253" s="14" t="s">
        <v>82</v>
      </c>
      <c r="X253" s="7"/>
      <c r="Y253" s="7"/>
      <c r="Z253" s="7"/>
      <c r="AA253" s="7"/>
      <c r="AB253" s="7"/>
      <c r="AC253" s="7"/>
    </row>
    <row r="254" spans="1:29" ht="27">
      <c r="A254" s="19"/>
      <c r="B254" s="441" t="s">
        <v>310</v>
      </c>
      <c r="C254" s="349">
        <f t="shared" si="47"/>
        <v>323.14</v>
      </c>
      <c r="D254" s="349"/>
      <c r="E254" s="349">
        <f t="shared" si="48"/>
        <v>21.14</v>
      </c>
      <c r="F254" s="349">
        <f t="shared" si="49"/>
        <v>12.08</v>
      </c>
      <c r="G254" s="349">
        <f t="shared" si="50"/>
        <v>9.06</v>
      </c>
      <c r="H254" s="349">
        <f t="shared" si="42"/>
        <v>302</v>
      </c>
      <c r="I254" s="349"/>
      <c r="J254" s="29"/>
      <c r="K254" s="29"/>
      <c r="L254" s="29"/>
      <c r="M254" s="29"/>
      <c r="N254" s="29" t="s">
        <v>271</v>
      </c>
      <c r="O254" s="349">
        <v>14221</v>
      </c>
      <c r="P254" s="349">
        <v>14523</v>
      </c>
      <c r="Q254" s="146"/>
      <c r="R254" s="425"/>
      <c r="S254" s="349">
        <v>1</v>
      </c>
      <c r="T254" s="349">
        <f t="shared" si="51"/>
        <v>302</v>
      </c>
      <c r="U254" s="741" t="s">
        <v>992</v>
      </c>
      <c r="V254" s="783" t="s">
        <v>311</v>
      </c>
      <c r="W254" s="14" t="s">
        <v>82</v>
      </c>
      <c r="X254" s="7"/>
      <c r="Y254" s="7"/>
      <c r="Z254" s="7"/>
      <c r="AA254" s="7"/>
      <c r="AB254" s="7"/>
      <c r="AC254" s="7"/>
    </row>
    <row r="255" spans="1:29" ht="25.5">
      <c r="A255" s="19"/>
      <c r="B255" s="443" t="s">
        <v>312</v>
      </c>
      <c r="C255" s="28">
        <f t="shared" si="47"/>
        <v>1189.8399999999999</v>
      </c>
      <c r="D255" s="28"/>
      <c r="E255" s="28">
        <f t="shared" si="48"/>
        <v>77.84</v>
      </c>
      <c r="F255" s="28">
        <f t="shared" si="49"/>
        <v>44.480000000000004</v>
      </c>
      <c r="G255" s="28">
        <f t="shared" si="50"/>
        <v>33.36</v>
      </c>
      <c r="H255" s="28">
        <f t="shared" si="42"/>
        <v>1112</v>
      </c>
      <c r="I255" s="28"/>
      <c r="J255" s="348"/>
      <c r="K255" s="348"/>
      <c r="L255" s="348"/>
      <c r="M255" s="348"/>
      <c r="N255" s="348"/>
      <c r="O255" s="28">
        <v>80782</v>
      </c>
      <c r="P255" s="28">
        <v>81894</v>
      </c>
      <c r="Q255" s="61"/>
      <c r="R255" s="71"/>
      <c r="S255" s="28">
        <v>1</v>
      </c>
      <c r="T255" s="28">
        <f>P255-O255</f>
        <v>1112</v>
      </c>
      <c r="U255" s="455" t="s">
        <v>993</v>
      </c>
      <c r="V255" s="783" t="s">
        <v>313</v>
      </c>
      <c r="W255" s="14" t="s">
        <v>48</v>
      </c>
      <c r="X255" s="7"/>
      <c r="Y255" s="7"/>
      <c r="Z255" s="7"/>
      <c r="AA255" s="7"/>
      <c r="AB255" s="7"/>
      <c r="AC255" s="7"/>
    </row>
    <row r="256" spans="1:29" ht="25.5">
      <c r="A256" s="19"/>
      <c r="B256" s="27" t="s">
        <v>314</v>
      </c>
      <c r="C256" s="382">
        <f t="shared" si="47"/>
        <v>1049.67</v>
      </c>
      <c r="D256" s="382"/>
      <c r="E256" s="382">
        <f t="shared" si="48"/>
        <v>68.67</v>
      </c>
      <c r="F256" s="382">
        <f t="shared" si="49"/>
        <v>39.24</v>
      </c>
      <c r="G256" s="382">
        <f t="shared" si="50"/>
        <v>29.43</v>
      </c>
      <c r="H256" s="382">
        <f t="shared" si="42"/>
        <v>981</v>
      </c>
      <c r="I256" s="382"/>
      <c r="J256" s="29"/>
      <c r="K256" s="29"/>
      <c r="L256" s="29"/>
      <c r="M256" s="29"/>
      <c r="N256" s="29"/>
      <c r="O256" s="382">
        <v>59389</v>
      </c>
      <c r="P256" s="382">
        <v>60370</v>
      </c>
      <c r="Q256" s="146"/>
      <c r="R256" s="444"/>
      <c r="S256" s="382">
        <v>1</v>
      </c>
      <c r="T256" s="382">
        <f>P256-O256</f>
        <v>981</v>
      </c>
      <c r="U256" s="455" t="s">
        <v>994</v>
      </c>
      <c r="V256" s="783" t="s">
        <v>315</v>
      </c>
      <c r="W256" s="14" t="s">
        <v>48</v>
      </c>
      <c r="X256" s="7"/>
      <c r="Y256" s="7"/>
      <c r="Z256" s="7"/>
      <c r="AA256" s="7"/>
      <c r="AB256" s="7"/>
      <c r="AC256" s="7"/>
    </row>
    <row r="257" spans="1:29" ht="25.5">
      <c r="A257" s="19"/>
      <c r="B257" s="27" t="s">
        <v>316</v>
      </c>
      <c r="C257" s="28">
        <f t="shared" si="47"/>
        <v>264.29000000000002</v>
      </c>
      <c r="D257" s="28"/>
      <c r="E257" s="28">
        <f>F257+G257</f>
        <v>17.29</v>
      </c>
      <c r="F257" s="28">
        <f t="shared" si="49"/>
        <v>9.8800000000000008</v>
      </c>
      <c r="G257" s="28">
        <f>0.03*H257</f>
        <v>7.41</v>
      </c>
      <c r="H257" s="28">
        <f>T257</f>
        <v>247</v>
      </c>
      <c r="I257" s="28"/>
      <c r="J257" s="29"/>
      <c r="K257" s="29"/>
      <c r="L257" s="29"/>
      <c r="M257" s="29"/>
      <c r="N257" s="29"/>
      <c r="O257" s="28">
        <v>28098</v>
      </c>
      <c r="P257" s="28">
        <v>28345</v>
      </c>
      <c r="Q257" s="146"/>
      <c r="R257" s="71"/>
      <c r="S257" s="28">
        <v>1</v>
      </c>
      <c r="T257" s="28">
        <f>P257-O257</f>
        <v>247</v>
      </c>
      <c r="U257" s="455" t="s">
        <v>995</v>
      </c>
      <c r="V257" s="783" t="s">
        <v>317</v>
      </c>
      <c r="W257" s="14" t="s">
        <v>48</v>
      </c>
      <c r="X257" s="7"/>
      <c r="Y257" s="7"/>
      <c r="Z257" s="7"/>
      <c r="AA257" s="7"/>
      <c r="AB257" s="7"/>
      <c r="AC257" s="7"/>
    </row>
    <row r="258" spans="1:29" ht="25.5">
      <c r="A258" s="19"/>
      <c r="B258" s="27" t="s">
        <v>318</v>
      </c>
      <c r="C258" s="28">
        <f t="shared" si="47"/>
        <v>1104.24</v>
      </c>
      <c r="D258" s="28"/>
      <c r="E258" s="28">
        <f>F258+G258</f>
        <v>72.239999999999995</v>
      </c>
      <c r="F258" s="28">
        <f>0.04*H258</f>
        <v>41.28</v>
      </c>
      <c r="G258" s="28">
        <f>0.03*H258</f>
        <v>30.959999999999997</v>
      </c>
      <c r="H258" s="28">
        <f>T258</f>
        <v>1032</v>
      </c>
      <c r="I258" s="28"/>
      <c r="J258" s="29"/>
      <c r="K258" s="29"/>
      <c r="L258" s="29"/>
      <c r="M258" s="29"/>
      <c r="N258" s="29"/>
      <c r="O258" s="28">
        <v>84250</v>
      </c>
      <c r="P258" s="28">
        <v>85282</v>
      </c>
      <c r="Q258" s="146"/>
      <c r="R258" s="71"/>
      <c r="S258" s="28">
        <v>1</v>
      </c>
      <c r="T258" s="28">
        <f>P258-O258</f>
        <v>1032</v>
      </c>
      <c r="U258" s="455" t="s">
        <v>996</v>
      </c>
      <c r="V258" s="783" t="s">
        <v>317</v>
      </c>
      <c r="W258" s="14" t="s">
        <v>48</v>
      </c>
      <c r="X258" s="7"/>
      <c r="Y258" s="7"/>
      <c r="Z258" s="7"/>
      <c r="AA258" s="7"/>
      <c r="AB258" s="7"/>
      <c r="AC258" s="7"/>
    </row>
    <row r="259" spans="1:29" ht="25.5">
      <c r="A259" s="19"/>
      <c r="B259" s="27" t="s">
        <v>319</v>
      </c>
      <c r="C259" s="28">
        <f t="shared" si="47"/>
        <v>1286.1399999999999</v>
      </c>
      <c r="D259" s="28"/>
      <c r="E259" s="28">
        <f>F259+G259</f>
        <v>84.139999999999986</v>
      </c>
      <c r="F259" s="28">
        <f t="shared" si="49"/>
        <v>48.08</v>
      </c>
      <c r="G259" s="28">
        <f t="shared" si="50"/>
        <v>36.059999999999995</v>
      </c>
      <c r="H259" s="28">
        <f t="shared" si="42"/>
        <v>1202</v>
      </c>
      <c r="I259" s="28"/>
      <c r="J259" s="29"/>
      <c r="K259" s="29"/>
      <c r="L259" s="29"/>
      <c r="M259" s="29"/>
      <c r="N259" s="29"/>
      <c r="O259" s="28">
        <v>115805</v>
      </c>
      <c r="P259" s="28">
        <v>117007</v>
      </c>
      <c r="Q259" s="146"/>
      <c r="R259" s="71"/>
      <c r="S259" s="28">
        <v>1</v>
      </c>
      <c r="T259" s="28">
        <f>P259-O259</f>
        <v>1202</v>
      </c>
      <c r="U259" s="455" t="s">
        <v>997</v>
      </c>
      <c r="V259" s="783" t="s">
        <v>320</v>
      </c>
      <c r="W259" s="14" t="s">
        <v>82</v>
      </c>
      <c r="X259" s="7"/>
      <c r="Y259" s="7"/>
      <c r="Z259" s="7"/>
      <c r="AA259" s="7"/>
      <c r="AB259" s="7"/>
      <c r="AC259" s="7"/>
    </row>
    <row r="260" spans="1:29" ht="51">
      <c r="A260" s="19"/>
      <c r="B260" s="27" t="s">
        <v>321</v>
      </c>
      <c r="C260" s="28">
        <f t="shared" si="47"/>
        <v>1001.52</v>
      </c>
      <c r="D260" s="28"/>
      <c r="E260" s="28">
        <f t="shared" si="48"/>
        <v>65.52</v>
      </c>
      <c r="F260" s="28">
        <f t="shared" si="49"/>
        <v>37.44</v>
      </c>
      <c r="G260" s="28">
        <f t="shared" si="50"/>
        <v>28.08</v>
      </c>
      <c r="H260" s="28">
        <f t="shared" si="42"/>
        <v>936</v>
      </c>
      <c r="I260" s="28">
        <f t="shared" ref="I260:I273" si="52">0.6*C260</f>
        <v>600.91199999999992</v>
      </c>
      <c r="J260" s="29"/>
      <c r="K260" s="29"/>
      <c r="L260" s="29"/>
      <c r="M260" s="29"/>
      <c r="N260" s="29"/>
      <c r="O260" s="445">
        <v>22346</v>
      </c>
      <c r="P260" s="445">
        <v>23282</v>
      </c>
      <c r="Q260" s="29"/>
      <c r="R260" s="348"/>
      <c r="S260" s="54">
        <v>1</v>
      </c>
      <c r="T260" s="28">
        <f t="shared" ref="T260:T273" si="53">(P260-O260)*S260</f>
        <v>936</v>
      </c>
      <c r="U260" s="455">
        <v>34431</v>
      </c>
      <c r="V260" s="783" t="s">
        <v>322</v>
      </c>
      <c r="W260" s="14" t="s">
        <v>82</v>
      </c>
      <c r="X260" s="7"/>
      <c r="Y260" s="7"/>
      <c r="Z260" s="7"/>
      <c r="AA260" s="7"/>
      <c r="AB260" s="7"/>
      <c r="AC260" s="7"/>
    </row>
    <row r="261" spans="1:29" ht="25.5">
      <c r="A261" s="19"/>
      <c r="B261" s="446" t="s">
        <v>323</v>
      </c>
      <c r="C261" s="28">
        <f t="shared" si="47"/>
        <v>1349.27</v>
      </c>
      <c r="D261" s="28"/>
      <c r="E261" s="28">
        <f t="shared" si="48"/>
        <v>88.27</v>
      </c>
      <c r="F261" s="28">
        <f t="shared" si="49"/>
        <v>50.44</v>
      </c>
      <c r="G261" s="28">
        <f t="shared" si="50"/>
        <v>37.83</v>
      </c>
      <c r="H261" s="28">
        <f t="shared" si="42"/>
        <v>1261</v>
      </c>
      <c r="I261" s="28">
        <f t="shared" si="52"/>
        <v>809.56200000000001</v>
      </c>
      <c r="J261" s="29"/>
      <c r="K261" s="29"/>
      <c r="L261" s="29"/>
      <c r="M261" s="29"/>
      <c r="N261" s="29"/>
      <c r="O261" s="445">
        <v>69711</v>
      </c>
      <c r="P261" s="445">
        <v>70972</v>
      </c>
      <c r="Q261" s="29"/>
      <c r="R261" s="348"/>
      <c r="S261" s="54">
        <v>1</v>
      </c>
      <c r="T261" s="28">
        <f>(P261-O261)*S261</f>
        <v>1261</v>
      </c>
      <c r="U261" s="455" t="s">
        <v>998</v>
      </c>
      <c r="V261" s="783" t="s">
        <v>324</v>
      </c>
      <c r="W261" s="14" t="s">
        <v>82</v>
      </c>
      <c r="X261" s="7"/>
      <c r="Y261" s="7"/>
      <c r="Z261" s="7"/>
      <c r="AA261" s="7"/>
      <c r="AB261" s="7"/>
      <c r="AC261" s="7"/>
    </row>
    <row r="262" spans="1:29" ht="54.75" customHeight="1">
      <c r="A262" s="19"/>
      <c r="B262" s="27" t="s">
        <v>292</v>
      </c>
      <c r="C262" s="28">
        <f t="shared" si="47"/>
        <v>683.73</v>
      </c>
      <c r="D262" s="28"/>
      <c r="E262" s="28">
        <f t="shared" si="48"/>
        <v>44.730000000000004</v>
      </c>
      <c r="F262" s="28">
        <f t="shared" si="49"/>
        <v>25.560000000000002</v>
      </c>
      <c r="G262" s="28">
        <f t="shared" si="50"/>
        <v>19.169999999999998</v>
      </c>
      <c r="H262" s="28">
        <f t="shared" si="42"/>
        <v>639</v>
      </c>
      <c r="I262" s="28">
        <f t="shared" si="52"/>
        <v>410.238</v>
      </c>
      <c r="J262" s="29"/>
      <c r="K262" s="29"/>
      <c r="L262" s="29"/>
      <c r="M262" s="29"/>
      <c r="N262" s="29"/>
      <c r="O262" s="445">
        <v>34314</v>
      </c>
      <c r="P262" s="445">
        <v>34953</v>
      </c>
      <c r="Q262" s="29"/>
      <c r="R262" s="348"/>
      <c r="S262" s="54">
        <v>1</v>
      </c>
      <c r="T262" s="28">
        <f>(P262-O262)*S262</f>
        <v>639</v>
      </c>
      <c r="U262" s="738" t="s">
        <v>999</v>
      </c>
      <c r="V262" s="783" t="s">
        <v>325</v>
      </c>
      <c r="W262" s="14" t="s">
        <v>82</v>
      </c>
      <c r="X262" s="7"/>
      <c r="Y262" s="7"/>
      <c r="Z262" s="7"/>
      <c r="AA262" s="7"/>
      <c r="AB262" s="7"/>
      <c r="AC262" s="7"/>
    </row>
    <row r="263" spans="1:29" ht="25.5">
      <c r="A263" s="19"/>
      <c r="B263" s="83" t="s">
        <v>749</v>
      </c>
      <c r="C263" s="28">
        <f t="shared" si="47"/>
        <v>867.77</v>
      </c>
      <c r="D263" s="28"/>
      <c r="E263" s="28">
        <f t="shared" si="48"/>
        <v>56.769999999999996</v>
      </c>
      <c r="F263" s="28">
        <f t="shared" si="49"/>
        <v>32.44</v>
      </c>
      <c r="G263" s="28">
        <f t="shared" si="50"/>
        <v>24.33</v>
      </c>
      <c r="H263" s="28">
        <f t="shared" si="42"/>
        <v>811</v>
      </c>
      <c r="I263" s="28">
        <f t="shared" si="52"/>
        <v>520.66199999999992</v>
      </c>
      <c r="J263" s="29"/>
      <c r="K263" s="29"/>
      <c r="L263" s="29"/>
      <c r="M263" s="29"/>
      <c r="N263" s="29"/>
      <c r="O263" s="445">
        <v>40161</v>
      </c>
      <c r="P263" s="445">
        <v>40972</v>
      </c>
      <c r="Q263" s="29"/>
      <c r="R263" s="348"/>
      <c r="S263" s="54">
        <v>1</v>
      </c>
      <c r="T263" s="28">
        <f t="shared" si="53"/>
        <v>811</v>
      </c>
      <c r="U263" s="455" t="s">
        <v>1000</v>
      </c>
      <c r="V263" s="783" t="s">
        <v>326</v>
      </c>
      <c r="W263" s="14" t="s">
        <v>82</v>
      </c>
      <c r="X263" s="7"/>
      <c r="Y263" s="7"/>
      <c r="Z263" s="7"/>
      <c r="AA263" s="7"/>
      <c r="AB263" s="7"/>
      <c r="AC263" s="7"/>
    </row>
    <row r="264" spans="1:29" ht="25.5">
      <c r="A264" s="19"/>
      <c r="B264" s="446" t="s">
        <v>693</v>
      </c>
      <c r="C264" s="84">
        <f t="shared" si="47"/>
        <v>1055.02</v>
      </c>
      <c r="D264" s="84"/>
      <c r="E264" s="84">
        <f t="shared" si="48"/>
        <v>69.02</v>
      </c>
      <c r="F264" s="84">
        <f t="shared" si="49"/>
        <v>39.44</v>
      </c>
      <c r="G264" s="84">
        <f t="shared" si="50"/>
        <v>29.58</v>
      </c>
      <c r="H264" s="84">
        <f t="shared" si="42"/>
        <v>986</v>
      </c>
      <c r="I264" s="84">
        <f t="shared" si="52"/>
        <v>633.01199999999994</v>
      </c>
      <c r="J264" s="130"/>
      <c r="K264" s="130"/>
      <c r="L264" s="130"/>
      <c r="M264" s="130"/>
      <c r="N264" s="130"/>
      <c r="O264" s="84">
        <v>65566</v>
      </c>
      <c r="P264" s="84">
        <v>66552</v>
      </c>
      <c r="Q264" s="130"/>
      <c r="R264" s="385"/>
      <c r="S264" s="156">
        <v>1</v>
      </c>
      <c r="T264" s="84">
        <f t="shared" si="53"/>
        <v>986</v>
      </c>
      <c r="U264" s="722" t="s">
        <v>1001</v>
      </c>
      <c r="V264" s="89" t="s">
        <v>327</v>
      </c>
      <c r="W264" s="14" t="s">
        <v>82</v>
      </c>
      <c r="X264" s="7"/>
      <c r="Y264" s="7"/>
      <c r="Z264" s="7"/>
      <c r="AA264" s="7"/>
      <c r="AB264" s="7"/>
      <c r="AC264" s="7"/>
    </row>
    <row r="265" spans="1:29" ht="25.5">
      <c r="A265" s="194"/>
      <c r="B265" s="363" t="s">
        <v>908</v>
      </c>
      <c r="C265" s="28">
        <f t="shared" si="47"/>
        <v>1515.12</v>
      </c>
      <c r="D265" s="28"/>
      <c r="E265" s="28">
        <f t="shared" si="48"/>
        <v>99.12</v>
      </c>
      <c r="F265" s="28">
        <f t="shared" si="49"/>
        <v>56.64</v>
      </c>
      <c r="G265" s="28">
        <f t="shared" si="50"/>
        <v>42.48</v>
      </c>
      <c r="H265" s="28">
        <f t="shared" si="42"/>
        <v>1416</v>
      </c>
      <c r="I265" s="28">
        <f t="shared" si="52"/>
        <v>909.07199999999989</v>
      </c>
      <c r="J265" s="29"/>
      <c r="K265" s="29"/>
      <c r="L265" s="29"/>
      <c r="M265" s="29"/>
      <c r="N265" s="29"/>
      <c r="O265" s="445">
        <v>79459</v>
      </c>
      <c r="P265" s="445">
        <v>80875</v>
      </c>
      <c r="Q265" s="29"/>
      <c r="R265" s="348"/>
      <c r="S265" s="54">
        <v>1</v>
      </c>
      <c r="T265" s="28">
        <f t="shared" si="53"/>
        <v>1416</v>
      </c>
      <c r="U265" s="455" t="s">
        <v>1002</v>
      </c>
      <c r="V265" s="783" t="s">
        <v>811</v>
      </c>
      <c r="W265" s="14" t="s">
        <v>82</v>
      </c>
      <c r="X265" s="7"/>
      <c r="Y265" s="7"/>
      <c r="Z265" s="7"/>
      <c r="AA265" s="7"/>
      <c r="AB265" s="7"/>
      <c r="AC265" s="7"/>
    </row>
    <row r="266" spans="1:29" ht="25.5">
      <c r="A266" s="19"/>
      <c r="B266" s="27" t="s">
        <v>909</v>
      </c>
      <c r="C266" s="28">
        <f t="shared" si="47"/>
        <v>862.42</v>
      </c>
      <c r="D266" s="28"/>
      <c r="E266" s="28">
        <f>F266+G266</f>
        <v>56.42</v>
      </c>
      <c r="F266" s="28">
        <f>0.04*H266</f>
        <v>32.24</v>
      </c>
      <c r="G266" s="28">
        <f>0.03*H266</f>
        <v>24.18</v>
      </c>
      <c r="H266" s="28">
        <f>T266</f>
        <v>806</v>
      </c>
      <c r="I266" s="28">
        <f>0.5*C266</f>
        <v>431.21</v>
      </c>
      <c r="J266" s="29"/>
      <c r="K266" s="29"/>
      <c r="L266" s="29"/>
      <c r="M266" s="29"/>
      <c r="N266" s="29"/>
      <c r="O266" s="414">
        <v>20075</v>
      </c>
      <c r="P266" s="414">
        <v>20881</v>
      </c>
      <c r="Q266" s="146"/>
      <c r="R266" s="147"/>
      <c r="S266" s="54">
        <v>1</v>
      </c>
      <c r="T266" s="28">
        <f>(P266-O266)*S266</f>
        <v>806</v>
      </c>
      <c r="U266" s="455" t="s">
        <v>1003</v>
      </c>
      <c r="V266" s="783" t="s">
        <v>381</v>
      </c>
      <c r="W266" s="14" t="s">
        <v>82</v>
      </c>
      <c r="X266" s="7"/>
      <c r="Y266" s="7"/>
      <c r="Z266" s="7"/>
      <c r="AA266" s="7"/>
      <c r="AB266" s="7"/>
      <c r="AC266" s="7"/>
    </row>
    <row r="267" spans="1:29" ht="25.5">
      <c r="A267" s="19"/>
      <c r="B267" s="27" t="s">
        <v>329</v>
      </c>
      <c r="C267" s="28">
        <f t="shared" si="47"/>
        <v>1166.3</v>
      </c>
      <c r="D267" s="28"/>
      <c r="E267" s="28">
        <f t="shared" si="48"/>
        <v>76.3</v>
      </c>
      <c r="F267" s="28">
        <f t="shared" si="49"/>
        <v>43.6</v>
      </c>
      <c r="G267" s="28">
        <f t="shared" si="50"/>
        <v>32.699999999999996</v>
      </c>
      <c r="H267" s="28">
        <f t="shared" si="42"/>
        <v>1090</v>
      </c>
      <c r="I267" s="28">
        <f t="shared" si="52"/>
        <v>699.78</v>
      </c>
      <c r="J267" s="29"/>
      <c r="K267" s="29"/>
      <c r="L267" s="29"/>
      <c r="M267" s="29"/>
      <c r="N267" s="29"/>
      <c r="O267" s="445">
        <v>68157</v>
      </c>
      <c r="P267" s="445">
        <v>69247</v>
      </c>
      <c r="Q267" s="29"/>
      <c r="R267" s="348"/>
      <c r="S267" s="54">
        <v>1</v>
      </c>
      <c r="T267" s="28">
        <f t="shared" si="53"/>
        <v>1090</v>
      </c>
      <c r="U267" s="455" t="s">
        <v>1004</v>
      </c>
      <c r="V267" s="783" t="s">
        <v>330</v>
      </c>
      <c r="W267" s="14" t="s">
        <v>82</v>
      </c>
      <c r="X267" s="7"/>
      <c r="Y267" s="7"/>
      <c r="Z267" s="7"/>
      <c r="AA267" s="7"/>
      <c r="AB267" s="7"/>
      <c r="AC267" s="7"/>
    </row>
    <row r="268" spans="1:29" ht="25.5">
      <c r="A268" s="19"/>
      <c r="B268" s="27" t="s">
        <v>331</v>
      </c>
      <c r="C268" s="28">
        <f t="shared" si="47"/>
        <v>812.13</v>
      </c>
      <c r="D268" s="28"/>
      <c r="E268" s="28">
        <f t="shared" si="48"/>
        <v>53.129999999999995</v>
      </c>
      <c r="F268" s="28">
        <f t="shared" si="49"/>
        <v>30.36</v>
      </c>
      <c r="G268" s="28">
        <f t="shared" si="50"/>
        <v>22.77</v>
      </c>
      <c r="H268" s="28">
        <f t="shared" si="42"/>
        <v>759</v>
      </c>
      <c r="I268" s="28">
        <f t="shared" si="52"/>
        <v>487.27799999999996</v>
      </c>
      <c r="J268" s="29"/>
      <c r="K268" s="29"/>
      <c r="L268" s="29"/>
      <c r="M268" s="29"/>
      <c r="N268" s="29"/>
      <c r="O268" s="445">
        <v>40781</v>
      </c>
      <c r="P268" s="445">
        <v>41540</v>
      </c>
      <c r="Q268" s="29"/>
      <c r="R268" s="348"/>
      <c r="S268" s="54">
        <v>1</v>
      </c>
      <c r="T268" s="28">
        <f t="shared" si="53"/>
        <v>759</v>
      </c>
      <c r="U268" s="455" t="s">
        <v>1005</v>
      </c>
      <c r="V268" s="783" t="s">
        <v>332</v>
      </c>
      <c r="W268" s="14" t="s">
        <v>82</v>
      </c>
      <c r="X268" s="7"/>
      <c r="Y268" s="7"/>
      <c r="Z268" s="7"/>
      <c r="AA268" s="7"/>
      <c r="AB268" s="7"/>
      <c r="AC268" s="7"/>
    </row>
    <row r="269" spans="1:29" ht="25.5">
      <c r="A269" s="19"/>
      <c r="B269" s="27"/>
      <c r="C269" s="28"/>
      <c r="D269" s="28"/>
      <c r="E269" s="28"/>
      <c r="F269" s="28"/>
      <c r="G269" s="28"/>
      <c r="H269" s="28"/>
      <c r="I269" s="28"/>
      <c r="J269" s="29"/>
      <c r="K269" s="29"/>
      <c r="L269" s="29"/>
      <c r="M269" s="29"/>
      <c r="N269" s="29"/>
      <c r="O269" s="28"/>
      <c r="P269" s="28"/>
      <c r="Q269" s="29"/>
      <c r="R269" s="348"/>
      <c r="S269" s="54"/>
      <c r="T269" s="28"/>
      <c r="U269" s="455"/>
      <c r="V269" s="783"/>
      <c r="W269" s="14"/>
      <c r="X269" s="7"/>
      <c r="Y269" s="7"/>
      <c r="Z269" s="7"/>
      <c r="AA269" s="7"/>
      <c r="AB269" s="7"/>
      <c r="AC269" s="7"/>
    </row>
    <row r="270" spans="1:29" ht="25.5">
      <c r="A270" s="19"/>
      <c r="B270" s="363" t="s">
        <v>910</v>
      </c>
      <c r="C270" s="28">
        <f>H270+E270</f>
        <v>31.03</v>
      </c>
      <c r="D270" s="28"/>
      <c r="E270" s="28">
        <f t="shared" si="48"/>
        <v>2.0299999999999998</v>
      </c>
      <c r="F270" s="28">
        <f t="shared" si="49"/>
        <v>1.1599999999999999</v>
      </c>
      <c r="G270" s="28">
        <f t="shared" si="50"/>
        <v>0.87</v>
      </c>
      <c r="H270" s="28">
        <f t="shared" si="42"/>
        <v>29</v>
      </c>
      <c r="I270" s="28">
        <f t="shared" si="52"/>
        <v>18.617999999999999</v>
      </c>
      <c r="J270" s="29"/>
      <c r="K270" s="29"/>
      <c r="L270" s="29"/>
      <c r="M270" s="29"/>
      <c r="N270" s="29"/>
      <c r="O270" s="28">
        <v>376877</v>
      </c>
      <c r="P270" s="28">
        <v>376906</v>
      </c>
      <c r="Q270" s="29" t="s">
        <v>33</v>
      </c>
      <c r="R270" s="348"/>
      <c r="S270" s="28">
        <v>1</v>
      </c>
      <c r="T270" s="28">
        <f t="shared" si="53"/>
        <v>29</v>
      </c>
      <c r="U270" s="455" t="s">
        <v>1079</v>
      </c>
      <c r="V270" s="783" t="s">
        <v>812</v>
      </c>
      <c r="W270" s="14" t="s">
        <v>57</v>
      </c>
      <c r="X270" s="7"/>
      <c r="Y270" s="7"/>
      <c r="Z270" s="7"/>
      <c r="AA270" s="7"/>
      <c r="AB270" s="7"/>
      <c r="AC270" s="7"/>
    </row>
    <row r="271" spans="1:29" ht="25.5">
      <c r="A271" s="19"/>
      <c r="B271" s="448" t="s">
        <v>399</v>
      </c>
      <c r="C271" s="84">
        <f t="shared" ref="C271" si="54">H271+E271</f>
        <v>0</v>
      </c>
      <c r="D271" s="84"/>
      <c r="E271" s="84">
        <f t="shared" si="48"/>
        <v>0</v>
      </c>
      <c r="F271" s="84">
        <f t="shared" si="49"/>
        <v>0</v>
      </c>
      <c r="G271" s="84">
        <f t="shared" si="50"/>
        <v>0</v>
      </c>
      <c r="H271" s="84">
        <f t="shared" si="42"/>
        <v>0</v>
      </c>
      <c r="I271" s="84">
        <f t="shared" si="52"/>
        <v>0</v>
      </c>
      <c r="J271" s="130"/>
      <c r="K271" s="130"/>
      <c r="L271" s="130"/>
      <c r="M271" s="130"/>
      <c r="N271" s="130"/>
      <c r="O271" s="84">
        <v>38296</v>
      </c>
      <c r="P271" s="84">
        <v>38296</v>
      </c>
      <c r="Q271" s="389"/>
      <c r="R271" s="390"/>
      <c r="S271" s="156">
        <v>1</v>
      </c>
      <c r="T271" s="84">
        <f>(P271-O271)*S271</f>
        <v>0</v>
      </c>
      <c r="U271" s="722"/>
      <c r="V271" s="89" t="s">
        <v>400</v>
      </c>
      <c r="W271" s="14"/>
      <c r="X271" s="7"/>
      <c r="Y271" s="7"/>
      <c r="Z271" s="7"/>
      <c r="AA271" s="7"/>
      <c r="AB271" s="7"/>
      <c r="AC271" s="7"/>
    </row>
    <row r="272" spans="1:29" ht="27.75" customHeight="1">
      <c r="A272" s="19"/>
      <c r="B272" s="148"/>
      <c r="C272" s="91"/>
      <c r="D272" s="91"/>
      <c r="E272" s="91"/>
      <c r="F272" s="91"/>
      <c r="G272" s="91"/>
      <c r="H272" s="91"/>
      <c r="I272" s="91"/>
      <c r="J272" s="22"/>
      <c r="K272" s="22"/>
      <c r="L272" s="22"/>
      <c r="M272" s="22"/>
      <c r="N272" s="22"/>
      <c r="O272" s="91"/>
      <c r="P272" s="91"/>
      <c r="Q272" s="122"/>
      <c r="R272" s="173"/>
      <c r="S272" s="91"/>
      <c r="T272" s="91"/>
      <c r="U272" s="644"/>
      <c r="V272" s="782"/>
      <c r="W272" s="14" t="s">
        <v>57</v>
      </c>
      <c r="X272" s="7"/>
      <c r="Y272" s="7"/>
      <c r="Z272" s="7"/>
      <c r="AA272" s="7"/>
      <c r="AB272" s="7"/>
      <c r="AC272" s="7"/>
    </row>
    <row r="273" spans="1:29" ht="51" customHeight="1">
      <c r="A273" s="19"/>
      <c r="B273" s="494" t="s">
        <v>911</v>
      </c>
      <c r="C273" s="219">
        <v>50</v>
      </c>
      <c r="D273" s="219"/>
      <c r="E273" s="219">
        <f t="shared" si="48"/>
        <v>0</v>
      </c>
      <c r="F273" s="219">
        <f t="shared" si="49"/>
        <v>0</v>
      </c>
      <c r="G273" s="219">
        <f t="shared" si="50"/>
        <v>0</v>
      </c>
      <c r="H273" s="219">
        <v>0</v>
      </c>
      <c r="I273" s="219">
        <f t="shared" si="52"/>
        <v>30</v>
      </c>
      <c r="J273" s="220"/>
      <c r="K273" s="220"/>
      <c r="L273" s="220"/>
      <c r="M273" s="220"/>
      <c r="N273" s="220"/>
      <c r="O273" s="514"/>
      <c r="P273" s="514"/>
      <c r="Q273" s="515"/>
      <c r="R273" s="516"/>
      <c r="S273" s="514"/>
      <c r="T273" s="219">
        <f t="shared" si="53"/>
        <v>0</v>
      </c>
      <c r="U273" s="727" t="s">
        <v>336</v>
      </c>
      <c r="V273" s="222" t="s">
        <v>337</v>
      </c>
      <c r="W273" s="14"/>
      <c r="X273" s="7"/>
      <c r="Y273" s="7"/>
      <c r="Z273" s="7"/>
      <c r="AA273" s="7"/>
      <c r="AB273" s="7"/>
      <c r="AC273" s="7"/>
    </row>
    <row r="274" spans="1:29" ht="26.25">
      <c r="A274" s="19"/>
      <c r="B274" s="201"/>
      <c r="C274" s="202"/>
      <c r="D274" s="202"/>
      <c r="E274" s="202"/>
      <c r="F274" s="202"/>
      <c r="G274" s="202"/>
      <c r="H274" s="202"/>
      <c r="I274" s="202"/>
      <c r="J274" s="203"/>
      <c r="K274" s="203"/>
      <c r="L274" s="203"/>
      <c r="M274" s="203"/>
      <c r="N274" s="203"/>
      <c r="O274" s="204"/>
      <c r="P274" s="204"/>
      <c r="Q274" s="203"/>
      <c r="R274" s="205"/>
      <c r="S274" s="202"/>
      <c r="T274" s="206"/>
      <c r="U274" s="644"/>
      <c r="V274" s="782"/>
      <c r="W274" s="14"/>
      <c r="X274" s="7"/>
      <c r="Y274" s="7"/>
      <c r="Z274" s="7"/>
      <c r="AA274" s="7"/>
      <c r="AB274" s="7"/>
      <c r="AC274" s="7"/>
    </row>
    <row r="275" spans="1:29" ht="26.25">
      <c r="A275" s="19"/>
      <c r="B275" s="207"/>
      <c r="C275" s="202"/>
      <c r="D275" s="202"/>
      <c r="E275" s="208"/>
      <c r="F275" s="202"/>
      <c r="G275" s="202"/>
      <c r="H275" s="202"/>
      <c r="I275" s="202"/>
      <c r="J275" s="203"/>
      <c r="K275" s="203"/>
      <c r="L275" s="203"/>
      <c r="M275" s="203"/>
      <c r="N275" s="203"/>
      <c r="O275" s="204"/>
      <c r="P275" s="204"/>
      <c r="Q275" s="203"/>
      <c r="R275" s="205"/>
      <c r="S275" s="202"/>
      <c r="T275" s="206"/>
      <c r="U275" s="644"/>
      <c r="V275" s="782"/>
      <c r="W275" s="14"/>
      <c r="X275" s="7"/>
      <c r="Y275" s="7"/>
      <c r="Z275" s="7"/>
      <c r="AA275" s="7"/>
      <c r="AB275" s="7"/>
      <c r="AC275" s="7"/>
    </row>
    <row r="276" spans="1:29" ht="26.25">
      <c r="A276" s="19"/>
      <c r="B276" s="794"/>
      <c r="C276" s="72"/>
      <c r="D276" s="72"/>
      <c r="E276" s="682"/>
      <c r="F276" s="72"/>
      <c r="G276" s="72"/>
      <c r="H276" s="72"/>
      <c r="I276" s="72"/>
      <c r="J276" s="81"/>
      <c r="K276" s="81"/>
      <c r="L276" s="81"/>
      <c r="M276" s="81"/>
      <c r="N276" s="81"/>
      <c r="O276" s="683"/>
      <c r="P276" s="683"/>
      <c r="Q276" s="146"/>
      <c r="R276" s="165"/>
      <c r="S276" s="72"/>
      <c r="T276" s="28"/>
      <c r="U276" s="455"/>
      <c r="V276" s="783"/>
      <c r="W276" s="14"/>
      <c r="X276" s="7"/>
      <c r="Y276" s="7"/>
      <c r="Z276" s="7"/>
      <c r="AA276" s="7"/>
      <c r="AB276" s="7"/>
      <c r="AC276" s="7"/>
    </row>
    <row r="277" spans="1:29" ht="26.25">
      <c r="A277" s="19"/>
      <c r="B277" s="680" t="s">
        <v>338</v>
      </c>
      <c r="C277" s="681">
        <f>'Яблоко и ТП-7июнь'!B73</f>
        <v>183124.27599999763</v>
      </c>
      <c r="D277" s="72"/>
      <c r="E277" s="682"/>
      <c r="F277" s="72"/>
      <c r="G277" s="72"/>
      <c r="H277" s="72"/>
      <c r="I277" s="72"/>
      <c r="J277" s="81"/>
      <c r="K277" s="81"/>
      <c r="L277" s="81"/>
      <c r="M277" s="81"/>
      <c r="N277" s="81"/>
      <c r="O277" s="683"/>
      <c r="P277" s="683"/>
      <c r="Q277" s="146"/>
      <c r="R277" s="165"/>
      <c r="S277" s="171"/>
      <c r="T277" s="28"/>
      <c r="U277" s="455"/>
      <c r="V277" s="783"/>
      <c r="W277" s="14" t="s">
        <v>82</v>
      </c>
      <c r="X277" s="7"/>
      <c r="Y277" s="7"/>
      <c r="Z277" s="7"/>
      <c r="AA277" s="7"/>
      <c r="AB277" s="7"/>
      <c r="AC277" s="7"/>
    </row>
    <row r="278" spans="1:29" ht="26.25">
      <c r="A278" s="19"/>
      <c r="B278" s="367" t="s">
        <v>339</v>
      </c>
      <c r="C278" s="681">
        <f>'Яблоко и ТП-7июнь'!B62</f>
        <v>196870.5</v>
      </c>
      <c r="D278" s="28"/>
      <c r="E278" s="28"/>
      <c r="F278" s="28"/>
      <c r="G278" s="28"/>
      <c r="H278" s="28"/>
      <c r="I278" s="28"/>
      <c r="J278" s="29"/>
      <c r="K278" s="29"/>
      <c r="L278" s="29"/>
      <c r="M278" s="29"/>
      <c r="N278" s="29"/>
      <c r="O278" s="28"/>
      <c r="P278" s="28"/>
      <c r="Q278" s="30"/>
      <c r="R278" s="71"/>
      <c r="S278" s="54"/>
      <c r="T278" s="28"/>
      <c r="U278" s="455"/>
      <c r="V278" s="783" t="s">
        <v>82</v>
      </c>
      <c r="W278" s="14" t="s">
        <v>82</v>
      </c>
      <c r="X278" s="7"/>
      <c r="Y278" s="7"/>
      <c r="Z278" s="7"/>
      <c r="AA278" s="7"/>
      <c r="AB278" s="7"/>
      <c r="AC278" s="7"/>
    </row>
    <row r="279" spans="1:29" ht="46.5">
      <c r="A279" s="19"/>
      <c r="B279" s="363" t="s">
        <v>340</v>
      </c>
      <c r="C279" s="28">
        <f t="shared" ref="C279:C284" si="55">H279+E279</f>
        <v>521.09</v>
      </c>
      <c r="D279" s="28"/>
      <c r="E279" s="28">
        <f>G279+F279</f>
        <v>34.090000000000003</v>
      </c>
      <c r="F279" s="28">
        <f t="shared" ref="F279:F284" si="56">0.04*H279</f>
        <v>19.48</v>
      </c>
      <c r="G279" s="28">
        <f t="shared" ref="G279:G284" si="57">0.03*H279</f>
        <v>14.61</v>
      </c>
      <c r="H279" s="28">
        <f t="shared" ref="H279:H284" si="58">T279</f>
        <v>487</v>
      </c>
      <c r="I279" s="28">
        <f t="shared" ref="I279:I284" si="59">0.6*C279</f>
        <v>312.654</v>
      </c>
      <c r="J279" s="29"/>
      <c r="K279" s="29"/>
      <c r="L279" s="29"/>
      <c r="M279" s="29"/>
      <c r="N279" s="29"/>
      <c r="O279" s="28">
        <v>51848</v>
      </c>
      <c r="P279" s="28">
        <v>52335</v>
      </c>
      <c r="Q279" s="30"/>
      <c r="R279" s="71"/>
      <c r="S279" s="54">
        <v>1</v>
      </c>
      <c r="T279" s="28">
        <f>(P279-O279)*S279</f>
        <v>487</v>
      </c>
      <c r="U279" s="455" t="s">
        <v>1006</v>
      </c>
      <c r="V279" s="783" t="s">
        <v>342</v>
      </c>
      <c r="W279" s="14" t="s">
        <v>57</v>
      </c>
      <c r="X279" s="7"/>
      <c r="Y279" s="7"/>
      <c r="Z279" s="7"/>
      <c r="AA279" s="7"/>
      <c r="AB279" s="7"/>
      <c r="AC279" s="7"/>
    </row>
    <row r="280" spans="1:29" ht="25.5">
      <c r="A280" s="19"/>
      <c r="B280" s="27" t="s">
        <v>343</v>
      </c>
      <c r="C280" s="28">
        <f t="shared" si="55"/>
        <v>0</v>
      </c>
      <c r="D280" s="28"/>
      <c r="E280" s="28">
        <f t="shared" ref="E280:E326" si="60">F280+G280</f>
        <v>0</v>
      </c>
      <c r="F280" s="28">
        <f t="shared" si="56"/>
        <v>0</v>
      </c>
      <c r="G280" s="28">
        <f t="shared" si="57"/>
        <v>0</v>
      </c>
      <c r="H280" s="28">
        <f t="shared" si="58"/>
        <v>0</v>
      </c>
      <c r="I280" s="28">
        <f t="shared" si="59"/>
        <v>0</v>
      </c>
      <c r="J280" s="29"/>
      <c r="K280" s="29"/>
      <c r="L280" s="29"/>
      <c r="M280" s="29"/>
      <c r="N280" s="29"/>
      <c r="O280" s="28">
        <v>19323</v>
      </c>
      <c r="P280" s="28">
        <v>19323</v>
      </c>
      <c r="Q280" s="146"/>
      <c r="R280" s="61"/>
      <c r="S280" s="54">
        <v>1</v>
      </c>
      <c r="T280" s="28">
        <f>(P280-O280)*S280</f>
        <v>0</v>
      </c>
      <c r="U280" s="455">
        <v>282335</v>
      </c>
      <c r="V280" s="783" t="s">
        <v>344</v>
      </c>
      <c r="W280" s="14" t="s">
        <v>57</v>
      </c>
      <c r="X280" s="7"/>
      <c r="Y280" s="7"/>
      <c r="Z280" s="7"/>
      <c r="AA280" s="7"/>
      <c r="AB280" s="7"/>
      <c r="AC280" s="7"/>
    </row>
    <row r="281" spans="1:29" ht="24.75" customHeight="1">
      <c r="A281" s="19"/>
      <c r="B281" s="213"/>
      <c r="C281" s="91"/>
      <c r="D281" s="91"/>
      <c r="E281" s="91"/>
      <c r="F281" s="91"/>
      <c r="G281" s="91"/>
      <c r="H281" s="91"/>
      <c r="I281" s="91"/>
      <c r="J281" s="22"/>
      <c r="K281" s="22"/>
      <c r="L281" s="22"/>
      <c r="M281" s="22"/>
      <c r="N281" s="22"/>
      <c r="O281" s="91"/>
      <c r="P281" s="91"/>
      <c r="Q281" s="149"/>
      <c r="R281" s="161"/>
      <c r="S281" s="151"/>
      <c r="T281" s="91"/>
      <c r="U281" s="644"/>
      <c r="V281" s="782"/>
      <c r="W281" s="14"/>
      <c r="X281" s="7"/>
      <c r="Y281" s="7"/>
      <c r="Z281" s="7"/>
      <c r="AA281" s="7"/>
      <c r="AB281" s="7"/>
      <c r="AC281" s="7"/>
    </row>
    <row r="282" spans="1:29" ht="25.5">
      <c r="A282" s="19"/>
      <c r="B282" s="213"/>
      <c r="C282" s="91"/>
      <c r="D282" s="91"/>
      <c r="E282" s="91"/>
      <c r="F282" s="91"/>
      <c r="G282" s="91"/>
      <c r="H282" s="91"/>
      <c r="I282" s="91"/>
      <c r="J282" s="22"/>
      <c r="K282" s="22"/>
      <c r="L282" s="22"/>
      <c r="M282" s="22"/>
      <c r="N282" s="22"/>
      <c r="O282" s="91"/>
      <c r="P282" s="91"/>
      <c r="Q282" s="149"/>
      <c r="R282" s="161"/>
      <c r="S282" s="151"/>
      <c r="T282" s="91"/>
      <c r="U282" s="644"/>
      <c r="V282" s="782"/>
      <c r="W282" s="14" t="s">
        <v>48</v>
      </c>
      <c r="X282" s="7"/>
      <c r="Y282" s="7"/>
      <c r="Z282" s="7"/>
      <c r="AA282" s="7"/>
      <c r="AB282" s="7"/>
      <c r="AC282" s="7"/>
    </row>
    <row r="283" spans="1:29" ht="25.5">
      <c r="A283" s="19"/>
      <c r="B283" s="380"/>
      <c r="C283" s="28">
        <f t="shared" ref="C283" si="61">H283+E283</f>
        <v>0</v>
      </c>
      <c r="D283" s="28"/>
      <c r="E283" s="28">
        <f t="shared" ref="E283" si="62">F283+G283</f>
        <v>0</v>
      </c>
      <c r="F283" s="28">
        <f t="shared" ref="F283" si="63">0.04*H283</f>
        <v>0</v>
      </c>
      <c r="G283" s="28">
        <f t="shared" ref="G283" si="64">0.03*H283</f>
        <v>0</v>
      </c>
      <c r="H283" s="28">
        <f t="shared" ref="H283" si="65">T283</f>
        <v>0</v>
      </c>
      <c r="I283" s="28">
        <f t="shared" ref="I283" si="66">0.6*C283</f>
        <v>0</v>
      </c>
      <c r="J283" s="29"/>
      <c r="K283" s="29"/>
      <c r="L283" s="29"/>
      <c r="M283" s="29"/>
      <c r="N283" s="29"/>
      <c r="O283" s="28">
        <v>92</v>
      </c>
      <c r="P283" s="28">
        <v>92</v>
      </c>
      <c r="Q283" s="146"/>
      <c r="R283" s="61"/>
      <c r="S283" s="54">
        <v>1</v>
      </c>
      <c r="T283" s="28">
        <f>(P283-O283)*S283</f>
        <v>0</v>
      </c>
      <c r="U283" s="455" t="s">
        <v>1104</v>
      </c>
      <c r="V283" s="851" t="s">
        <v>345</v>
      </c>
      <c r="W283" s="14"/>
      <c r="X283" s="7"/>
      <c r="Y283" s="7"/>
      <c r="Z283" s="7"/>
      <c r="AA283" s="7"/>
      <c r="AB283" s="7"/>
      <c r="AC283" s="7"/>
    </row>
    <row r="284" spans="1:29" ht="25.5">
      <c r="A284" s="19"/>
      <c r="B284" s="380" t="s">
        <v>696</v>
      </c>
      <c r="C284" s="28">
        <f t="shared" si="55"/>
        <v>60.99</v>
      </c>
      <c r="D284" s="28"/>
      <c r="E284" s="28">
        <f t="shared" si="60"/>
        <v>3.99</v>
      </c>
      <c r="F284" s="28">
        <f t="shared" si="56"/>
        <v>2.2800000000000002</v>
      </c>
      <c r="G284" s="28">
        <f t="shared" si="57"/>
        <v>1.71</v>
      </c>
      <c r="H284" s="28">
        <f t="shared" si="58"/>
        <v>57</v>
      </c>
      <c r="I284" s="28">
        <f t="shared" si="59"/>
        <v>36.594000000000001</v>
      </c>
      <c r="J284" s="29"/>
      <c r="K284" s="29"/>
      <c r="L284" s="29"/>
      <c r="M284" s="29"/>
      <c r="N284" s="29"/>
      <c r="O284" s="28">
        <v>14125</v>
      </c>
      <c r="P284" s="28">
        <v>14182</v>
      </c>
      <c r="Q284" s="146"/>
      <c r="R284" s="61"/>
      <c r="S284" s="54">
        <v>1</v>
      </c>
      <c r="T284" s="28">
        <f>(P284-O284)*S284</f>
        <v>57</v>
      </c>
      <c r="U284" s="455" t="s">
        <v>1007</v>
      </c>
      <c r="V284" s="851"/>
      <c r="W284" s="14" t="s">
        <v>57</v>
      </c>
      <c r="X284" s="7"/>
      <c r="Y284" s="7"/>
      <c r="Z284" s="7"/>
      <c r="AA284" s="7"/>
      <c r="AB284" s="7"/>
      <c r="AC284" s="7"/>
    </row>
    <row r="285" spans="1:29" ht="26.25">
      <c r="A285" s="19"/>
      <c r="B285" s="214" t="s">
        <v>346</v>
      </c>
      <c r="C285" s="124"/>
      <c r="D285" s="124"/>
      <c r="E285" s="124"/>
      <c r="F285" s="124"/>
      <c r="G285" s="124"/>
      <c r="H285" s="124"/>
      <c r="I285" s="97"/>
      <c r="J285" s="126"/>
      <c r="K285" s="126"/>
      <c r="L285" s="126"/>
      <c r="M285" s="126"/>
      <c r="N285" s="126"/>
      <c r="O285" s="124"/>
      <c r="P285" s="124"/>
      <c r="Q285" s="138"/>
      <c r="R285" s="215"/>
      <c r="S285" s="140"/>
      <c r="T285" s="124"/>
      <c r="U285" s="717"/>
      <c r="V285" s="128"/>
      <c r="W285" s="14"/>
      <c r="X285" s="7"/>
      <c r="Y285" s="7"/>
      <c r="Z285" s="7"/>
      <c r="AA285" s="7"/>
      <c r="AB285" s="7"/>
      <c r="AC285" s="7"/>
    </row>
    <row r="286" spans="1:29" ht="26.25">
      <c r="A286" s="19"/>
      <c r="B286" s="463"/>
      <c r="C286" s="84">
        <f>H286+E286</f>
        <v>2168.89</v>
      </c>
      <c r="D286" s="84"/>
      <c r="E286" s="84">
        <f>F286+G286</f>
        <v>141.88999999999999</v>
      </c>
      <c r="F286" s="84">
        <f>0.04*H286</f>
        <v>81.08</v>
      </c>
      <c r="G286" s="84">
        <f>0.03*H286</f>
        <v>60.809999999999995</v>
      </c>
      <c r="H286" s="84">
        <f>T286</f>
        <v>2027</v>
      </c>
      <c r="I286" s="84">
        <f>0.6*C286</f>
        <v>1301.3339999999998</v>
      </c>
      <c r="J286" s="130"/>
      <c r="K286" s="130"/>
      <c r="L286" s="130"/>
      <c r="M286" s="130"/>
      <c r="N286" s="130"/>
      <c r="O286" s="84">
        <v>102199</v>
      </c>
      <c r="P286" s="84">
        <v>104226</v>
      </c>
      <c r="Q286" s="389"/>
      <c r="R286" s="390"/>
      <c r="S286" s="156">
        <v>1</v>
      </c>
      <c r="T286" s="84">
        <f t="shared" ref="T286:T322" si="67">(P286-O286)*S286</f>
        <v>2027</v>
      </c>
      <c r="U286" s="722" t="s">
        <v>1008</v>
      </c>
      <c r="V286" s="89" t="s">
        <v>347</v>
      </c>
      <c r="W286" s="14" t="s">
        <v>82</v>
      </c>
      <c r="X286" s="7"/>
      <c r="Y286" s="7"/>
      <c r="Z286" s="7"/>
      <c r="AA286" s="7"/>
      <c r="AB286" s="7"/>
      <c r="AC286" s="7"/>
    </row>
    <row r="287" spans="1:29" ht="25.5">
      <c r="A287" s="19"/>
      <c r="B287" s="464" t="s">
        <v>348</v>
      </c>
      <c r="C287" s="84">
        <f>H287+E287</f>
        <v>1033.6199999999999</v>
      </c>
      <c r="D287" s="84"/>
      <c r="E287" s="84">
        <f>F287+G287</f>
        <v>67.62</v>
      </c>
      <c r="F287" s="84">
        <f>0.04*H287</f>
        <v>38.64</v>
      </c>
      <c r="G287" s="84">
        <f>0.03*H287</f>
        <v>28.98</v>
      </c>
      <c r="H287" s="84">
        <f>T287</f>
        <v>966</v>
      </c>
      <c r="I287" s="84">
        <f>0.6*C287</f>
        <v>620.17199999999991</v>
      </c>
      <c r="J287" s="130"/>
      <c r="K287" s="130"/>
      <c r="L287" s="130"/>
      <c r="M287" s="130"/>
      <c r="N287" s="130"/>
      <c r="O287" s="84">
        <v>324024</v>
      </c>
      <c r="P287" s="84">
        <v>324990</v>
      </c>
      <c r="Q287" s="389"/>
      <c r="R287" s="390"/>
      <c r="S287" s="156">
        <v>1</v>
      </c>
      <c r="T287" s="84">
        <f t="shared" si="67"/>
        <v>966</v>
      </c>
      <c r="U287" s="722" t="s">
        <v>1009</v>
      </c>
      <c r="V287" s="465" t="s">
        <v>349</v>
      </c>
      <c r="W287" s="14" t="s">
        <v>82</v>
      </c>
      <c r="X287" s="7"/>
      <c r="Y287" s="7"/>
      <c r="Z287" s="7"/>
      <c r="AA287" s="7"/>
      <c r="AB287" s="7"/>
      <c r="AC287" s="7"/>
    </row>
    <row r="288" spans="1:29" ht="25.5">
      <c r="A288" s="19"/>
      <c r="B288" s="466" t="s">
        <v>350</v>
      </c>
      <c r="C288" s="84">
        <f>H288+E288</f>
        <v>8930.2199999999993</v>
      </c>
      <c r="D288" s="84"/>
      <c r="E288" s="84">
        <f t="shared" si="60"/>
        <v>584.22</v>
      </c>
      <c r="F288" s="84">
        <f>0.04*H288</f>
        <v>333.84000000000003</v>
      </c>
      <c r="G288" s="84">
        <f>0.03*H288</f>
        <v>250.38</v>
      </c>
      <c r="H288" s="84">
        <f>T288</f>
        <v>8346</v>
      </c>
      <c r="I288" s="84">
        <f>0.6*C288</f>
        <v>5358.1319999999996</v>
      </c>
      <c r="J288" s="130"/>
      <c r="K288" s="130"/>
      <c r="L288" s="130"/>
      <c r="M288" s="130"/>
      <c r="N288" s="130"/>
      <c r="O288" s="84">
        <v>380775</v>
      </c>
      <c r="P288" s="84">
        <v>389121</v>
      </c>
      <c r="Q288" s="389"/>
      <c r="R288" s="390"/>
      <c r="S288" s="156">
        <v>1</v>
      </c>
      <c r="T288" s="84">
        <f t="shared" si="67"/>
        <v>8346</v>
      </c>
      <c r="U288" s="722" t="s">
        <v>1010</v>
      </c>
      <c r="V288" s="465" t="s">
        <v>351</v>
      </c>
      <c r="W288" s="14" t="s">
        <v>82</v>
      </c>
      <c r="X288" s="7"/>
      <c r="Y288" s="7"/>
      <c r="Z288" s="7"/>
      <c r="AA288" s="7"/>
      <c r="AB288" s="7"/>
      <c r="AC288" s="7"/>
    </row>
    <row r="289" spans="1:29" ht="25.5">
      <c r="A289" s="19"/>
      <c r="B289" s="464" t="s">
        <v>352</v>
      </c>
      <c r="C289" s="84">
        <f t="shared" ref="C289:C326" si="68">H289+E289</f>
        <v>21134.639999999999</v>
      </c>
      <c r="D289" s="84"/>
      <c r="E289" s="84">
        <f t="shared" si="60"/>
        <v>1382.6399999999999</v>
      </c>
      <c r="F289" s="84">
        <f t="shared" ref="F289:F326" si="69">0.04*H289</f>
        <v>790.08</v>
      </c>
      <c r="G289" s="84">
        <f t="shared" ref="G289:G326" si="70">0.03*H289</f>
        <v>592.55999999999995</v>
      </c>
      <c r="H289" s="84">
        <f t="shared" ref="H289:H326" si="71">T289</f>
        <v>19752</v>
      </c>
      <c r="I289" s="84">
        <f t="shared" ref="I289:I328" si="72">0.6*C289</f>
        <v>12680.784</v>
      </c>
      <c r="J289" s="130"/>
      <c r="K289" s="130"/>
      <c r="L289" s="130"/>
      <c r="M289" s="130"/>
      <c r="N289" s="130"/>
      <c r="O289" s="84">
        <v>13642</v>
      </c>
      <c r="P289" s="84">
        <v>13970</v>
      </c>
      <c r="Q289" s="389"/>
      <c r="R289" s="390"/>
      <c r="S289" s="156">
        <v>60</v>
      </c>
      <c r="T289" s="84">
        <f>(P289-O289)*S289+72</f>
        <v>19752</v>
      </c>
      <c r="U289" s="722" t="s">
        <v>1011</v>
      </c>
      <c r="V289" s="465" t="s">
        <v>353</v>
      </c>
      <c r="W289" s="14" t="s">
        <v>82</v>
      </c>
      <c r="X289" s="7"/>
      <c r="Y289" s="7"/>
      <c r="Z289" s="7"/>
      <c r="AA289" s="7"/>
      <c r="AB289" s="7"/>
      <c r="AC289" s="7"/>
    </row>
    <row r="290" spans="1:29" ht="25.5">
      <c r="A290" s="19"/>
      <c r="B290" s="464" t="s">
        <v>354</v>
      </c>
      <c r="C290" s="84">
        <f t="shared" si="68"/>
        <v>289.97000000000003</v>
      </c>
      <c r="D290" s="84"/>
      <c r="E290" s="84">
        <f t="shared" si="60"/>
        <v>18.97</v>
      </c>
      <c r="F290" s="84">
        <f t="shared" si="69"/>
        <v>10.84</v>
      </c>
      <c r="G290" s="84">
        <f t="shared" si="70"/>
        <v>8.129999999999999</v>
      </c>
      <c r="H290" s="84">
        <f t="shared" si="71"/>
        <v>271</v>
      </c>
      <c r="I290" s="84">
        <f t="shared" si="72"/>
        <v>173.982</v>
      </c>
      <c r="J290" s="130"/>
      <c r="K290" s="130"/>
      <c r="L290" s="130"/>
      <c r="M290" s="130"/>
      <c r="N290" s="130"/>
      <c r="O290" s="84">
        <v>125493</v>
      </c>
      <c r="P290" s="84">
        <v>125764</v>
      </c>
      <c r="Q290" s="389"/>
      <c r="R290" s="390"/>
      <c r="S290" s="156">
        <v>1</v>
      </c>
      <c r="T290" s="84">
        <f t="shared" si="67"/>
        <v>271</v>
      </c>
      <c r="U290" s="722" t="s">
        <v>1012</v>
      </c>
      <c r="V290" s="784" t="s">
        <v>355</v>
      </c>
      <c r="W290" s="14" t="s">
        <v>82</v>
      </c>
      <c r="X290" s="7"/>
      <c r="Y290" s="7"/>
      <c r="Z290" s="7"/>
      <c r="AA290" s="7"/>
      <c r="AB290" s="7"/>
      <c r="AC290" s="7"/>
    </row>
    <row r="291" spans="1:29" ht="25.5">
      <c r="A291" s="19"/>
      <c r="B291" s="464" t="s">
        <v>356</v>
      </c>
      <c r="C291" s="84">
        <f t="shared" si="68"/>
        <v>617.39</v>
      </c>
      <c r="D291" s="84"/>
      <c r="E291" s="84">
        <f t="shared" si="60"/>
        <v>40.39</v>
      </c>
      <c r="F291" s="84">
        <f t="shared" si="69"/>
        <v>23.080000000000002</v>
      </c>
      <c r="G291" s="84">
        <f t="shared" si="70"/>
        <v>17.309999999999999</v>
      </c>
      <c r="H291" s="84">
        <f t="shared" si="71"/>
        <v>577</v>
      </c>
      <c r="I291" s="84">
        <f t="shared" si="72"/>
        <v>370.43399999999997</v>
      </c>
      <c r="J291" s="130"/>
      <c r="K291" s="130"/>
      <c r="L291" s="130"/>
      <c r="M291" s="130"/>
      <c r="N291" s="130"/>
      <c r="O291" s="84">
        <v>44139</v>
      </c>
      <c r="P291" s="84">
        <v>44716</v>
      </c>
      <c r="Q291" s="389"/>
      <c r="R291" s="390"/>
      <c r="S291" s="156">
        <v>1</v>
      </c>
      <c r="T291" s="84">
        <f t="shared" si="67"/>
        <v>577</v>
      </c>
      <c r="U291" s="722" t="s">
        <v>1013</v>
      </c>
      <c r="V291" s="465" t="s">
        <v>357</v>
      </c>
      <c r="W291" s="14" t="s">
        <v>82</v>
      </c>
      <c r="X291" s="7"/>
      <c r="Y291" s="7"/>
      <c r="Z291" s="7"/>
      <c r="AA291" s="7"/>
      <c r="AB291" s="7"/>
      <c r="AC291" s="7"/>
    </row>
    <row r="292" spans="1:29" ht="28.5" customHeight="1">
      <c r="A292" s="19"/>
      <c r="B292" s="467" t="s">
        <v>358</v>
      </c>
      <c r="C292" s="84">
        <f t="shared" si="68"/>
        <v>0</v>
      </c>
      <c r="D292" s="84"/>
      <c r="E292" s="84">
        <f t="shared" si="60"/>
        <v>0</v>
      </c>
      <c r="F292" s="84">
        <f t="shared" si="69"/>
        <v>0</v>
      </c>
      <c r="G292" s="84">
        <f t="shared" si="70"/>
        <v>0</v>
      </c>
      <c r="H292" s="84">
        <f t="shared" si="71"/>
        <v>0</v>
      </c>
      <c r="I292" s="84">
        <f t="shared" si="72"/>
        <v>0</v>
      </c>
      <c r="J292" s="130"/>
      <c r="K292" s="130"/>
      <c r="L292" s="130"/>
      <c r="M292" s="130"/>
      <c r="N292" s="130"/>
      <c r="O292" s="84">
        <v>153727</v>
      </c>
      <c r="P292" s="84">
        <v>153727</v>
      </c>
      <c r="Q292" s="389"/>
      <c r="R292" s="390"/>
      <c r="S292" s="156">
        <v>1</v>
      </c>
      <c r="T292" s="84">
        <f t="shared" si="67"/>
        <v>0</v>
      </c>
      <c r="U292" s="722">
        <v>5006</v>
      </c>
      <c r="V292" s="465" t="s">
        <v>928</v>
      </c>
      <c r="W292" s="14" t="s">
        <v>82</v>
      </c>
      <c r="X292" s="7"/>
      <c r="Y292" s="7"/>
      <c r="Z292" s="7"/>
      <c r="AA292" s="7"/>
      <c r="AB292" s="7"/>
      <c r="AC292" s="7"/>
    </row>
    <row r="293" spans="1:29" ht="25.5">
      <c r="A293" s="19"/>
      <c r="B293" s="464"/>
      <c r="C293" s="84">
        <f t="shared" si="68"/>
        <v>1453.06</v>
      </c>
      <c r="D293" s="84"/>
      <c r="E293" s="84">
        <f t="shared" si="60"/>
        <v>95.06</v>
      </c>
      <c r="F293" s="84">
        <f t="shared" si="69"/>
        <v>54.32</v>
      </c>
      <c r="G293" s="84">
        <f t="shared" si="70"/>
        <v>40.74</v>
      </c>
      <c r="H293" s="84">
        <f t="shared" si="71"/>
        <v>1358</v>
      </c>
      <c r="I293" s="84">
        <f t="shared" si="72"/>
        <v>871.8359999999999</v>
      </c>
      <c r="J293" s="130"/>
      <c r="K293" s="130"/>
      <c r="L293" s="130"/>
      <c r="M293" s="130"/>
      <c r="N293" s="130"/>
      <c r="O293" s="84">
        <v>260288</v>
      </c>
      <c r="P293" s="84">
        <v>261646</v>
      </c>
      <c r="Q293" s="389"/>
      <c r="R293" s="390"/>
      <c r="S293" s="156">
        <v>1</v>
      </c>
      <c r="T293" s="84">
        <f t="shared" si="67"/>
        <v>1358</v>
      </c>
      <c r="U293" s="722" t="s">
        <v>1027</v>
      </c>
      <c r="V293" s="465" t="s">
        <v>1101</v>
      </c>
      <c r="W293" s="14" t="s">
        <v>82</v>
      </c>
      <c r="X293" s="7"/>
      <c r="Y293" s="7"/>
      <c r="Z293" s="7"/>
      <c r="AA293" s="7"/>
      <c r="AB293" s="7"/>
      <c r="AC293" s="7"/>
    </row>
    <row r="294" spans="1:29" ht="24.75" customHeight="1">
      <c r="A294" s="19"/>
      <c r="B294" s="464" t="s">
        <v>912</v>
      </c>
      <c r="C294" s="84">
        <f t="shared" si="68"/>
        <v>411.95</v>
      </c>
      <c r="D294" s="84"/>
      <c r="E294" s="84">
        <f t="shared" si="60"/>
        <v>26.95</v>
      </c>
      <c r="F294" s="84">
        <f t="shared" si="69"/>
        <v>15.4</v>
      </c>
      <c r="G294" s="84">
        <f t="shared" si="70"/>
        <v>11.549999999999999</v>
      </c>
      <c r="H294" s="84">
        <f t="shared" si="71"/>
        <v>385</v>
      </c>
      <c r="I294" s="84">
        <f t="shared" si="72"/>
        <v>247.17</v>
      </c>
      <c r="J294" s="130"/>
      <c r="K294" s="130"/>
      <c r="L294" s="130"/>
      <c r="M294" s="130"/>
      <c r="N294" s="130"/>
      <c r="O294" s="84">
        <v>4070</v>
      </c>
      <c r="P294" s="84">
        <v>4455</v>
      </c>
      <c r="Q294" s="389"/>
      <c r="R294" s="390"/>
      <c r="S294" s="156">
        <v>1</v>
      </c>
      <c r="T294" s="84">
        <f t="shared" si="67"/>
        <v>385</v>
      </c>
      <c r="U294" s="722" t="s">
        <v>1014</v>
      </c>
      <c r="V294" s="465" t="s">
        <v>802</v>
      </c>
      <c r="W294" s="14" t="s">
        <v>82</v>
      </c>
      <c r="X294" s="7"/>
      <c r="Y294" s="7"/>
      <c r="Z294" s="7"/>
      <c r="AA294" s="7"/>
      <c r="AB294" s="7"/>
      <c r="AC294" s="7"/>
    </row>
    <row r="295" spans="1:29" ht="25.5">
      <c r="A295" s="19"/>
      <c r="B295" s="464" t="s">
        <v>361</v>
      </c>
      <c r="C295" s="84">
        <f t="shared" si="68"/>
        <v>3313.79</v>
      </c>
      <c r="D295" s="84"/>
      <c r="E295" s="84">
        <f t="shared" si="60"/>
        <v>216.79000000000002</v>
      </c>
      <c r="F295" s="84">
        <f t="shared" si="69"/>
        <v>123.88000000000001</v>
      </c>
      <c r="G295" s="84">
        <f t="shared" si="70"/>
        <v>92.91</v>
      </c>
      <c r="H295" s="84">
        <f t="shared" si="71"/>
        <v>3097</v>
      </c>
      <c r="I295" s="84">
        <f t="shared" si="72"/>
        <v>1988.2739999999999</v>
      </c>
      <c r="J295" s="130"/>
      <c r="K295" s="130"/>
      <c r="L295" s="130"/>
      <c r="M295" s="130"/>
      <c r="N295" s="130"/>
      <c r="O295" s="84">
        <v>463191</v>
      </c>
      <c r="P295" s="84">
        <v>466288</v>
      </c>
      <c r="Q295" s="389"/>
      <c r="R295" s="390"/>
      <c r="S295" s="156">
        <v>1</v>
      </c>
      <c r="T295" s="84">
        <f t="shared" si="67"/>
        <v>3097</v>
      </c>
      <c r="U295" s="722" t="s">
        <v>1015</v>
      </c>
      <c r="V295" s="465" t="s">
        <v>362</v>
      </c>
      <c r="W295" s="14" t="s">
        <v>82</v>
      </c>
      <c r="X295" s="7"/>
      <c r="Y295" s="7"/>
      <c r="Z295" s="7"/>
      <c r="AA295" s="7"/>
      <c r="AB295" s="7"/>
      <c r="AC295" s="7"/>
    </row>
    <row r="296" spans="1:29" ht="25.5">
      <c r="A296" s="19"/>
      <c r="B296" s="464" t="s">
        <v>363</v>
      </c>
      <c r="C296" s="84">
        <f t="shared" si="68"/>
        <v>7524.24</v>
      </c>
      <c r="D296" s="84"/>
      <c r="E296" s="84">
        <f t="shared" si="60"/>
        <v>492.24</v>
      </c>
      <c r="F296" s="84">
        <f t="shared" si="69"/>
        <v>281.28000000000003</v>
      </c>
      <c r="G296" s="84">
        <f t="shared" si="70"/>
        <v>210.95999999999998</v>
      </c>
      <c r="H296" s="84">
        <f t="shared" si="71"/>
        <v>7032</v>
      </c>
      <c r="I296" s="84">
        <f t="shared" si="72"/>
        <v>4514.5439999999999</v>
      </c>
      <c r="J296" s="130"/>
      <c r="K296" s="130"/>
      <c r="L296" s="130"/>
      <c r="M296" s="130"/>
      <c r="N296" s="130"/>
      <c r="O296" s="84">
        <v>548734</v>
      </c>
      <c r="P296" s="84">
        <v>555766</v>
      </c>
      <c r="Q296" s="389"/>
      <c r="R296" s="390"/>
      <c r="S296" s="156">
        <v>1</v>
      </c>
      <c r="T296" s="84">
        <f t="shared" si="67"/>
        <v>7032</v>
      </c>
      <c r="U296" s="722" t="s">
        <v>1016</v>
      </c>
      <c r="V296" s="465" t="s">
        <v>364</v>
      </c>
      <c r="W296" s="14" t="s">
        <v>82</v>
      </c>
      <c r="X296" s="7"/>
      <c r="Y296" s="7"/>
      <c r="Z296" s="7"/>
      <c r="AA296" s="7"/>
      <c r="AB296" s="7"/>
      <c r="AC296" s="7"/>
    </row>
    <row r="297" spans="1:29" ht="25.5">
      <c r="A297" s="19"/>
      <c r="B297" s="848" t="s">
        <v>913</v>
      </c>
      <c r="C297" s="742">
        <f t="shared" si="68"/>
        <v>6118.26</v>
      </c>
      <c r="D297" s="743"/>
      <c r="E297" s="743">
        <f t="shared" si="60"/>
        <v>400.26</v>
      </c>
      <c r="F297" s="743">
        <f t="shared" si="69"/>
        <v>228.72</v>
      </c>
      <c r="G297" s="743">
        <f t="shared" si="70"/>
        <v>171.54</v>
      </c>
      <c r="H297" s="743">
        <f t="shared" si="71"/>
        <v>5718</v>
      </c>
      <c r="I297" s="743">
        <f t="shared" si="72"/>
        <v>3670.9560000000001</v>
      </c>
      <c r="J297" s="130"/>
      <c r="K297" s="130"/>
      <c r="L297" s="130"/>
      <c r="M297" s="130"/>
      <c r="N297" s="130"/>
      <c r="O297" s="743">
        <v>51554</v>
      </c>
      <c r="P297" s="743">
        <v>57272</v>
      </c>
      <c r="Q297" s="389"/>
      <c r="R297" s="744"/>
      <c r="S297" s="745">
        <v>1</v>
      </c>
      <c r="T297" s="743">
        <f t="shared" si="67"/>
        <v>5718</v>
      </c>
      <c r="U297" s="722" t="s">
        <v>1088</v>
      </c>
      <c r="V297" s="465" t="s">
        <v>1090</v>
      </c>
      <c r="W297" s="14" t="s">
        <v>82</v>
      </c>
      <c r="X297" s="7"/>
      <c r="Y297" s="7"/>
      <c r="Z297" s="7"/>
      <c r="AA297" s="7"/>
      <c r="AB297" s="7"/>
      <c r="AC297" s="7"/>
    </row>
    <row r="298" spans="1:29" ht="25.5">
      <c r="A298" s="19"/>
      <c r="B298" s="849"/>
      <c r="C298" s="469">
        <f t="shared" si="68"/>
        <v>187.25</v>
      </c>
      <c r="D298" s="84"/>
      <c r="E298" s="84">
        <f t="shared" si="60"/>
        <v>12.25</v>
      </c>
      <c r="F298" s="84">
        <f t="shared" si="69"/>
        <v>7</v>
      </c>
      <c r="G298" s="84">
        <f t="shared" si="70"/>
        <v>5.25</v>
      </c>
      <c r="H298" s="84">
        <f t="shared" si="71"/>
        <v>175</v>
      </c>
      <c r="I298" s="84">
        <f t="shared" si="72"/>
        <v>112.35</v>
      </c>
      <c r="J298" s="385"/>
      <c r="K298" s="385"/>
      <c r="L298" s="385"/>
      <c r="M298" s="385"/>
      <c r="N298" s="385"/>
      <c r="O298" s="84">
        <v>3335</v>
      </c>
      <c r="P298" s="84">
        <v>3510</v>
      </c>
      <c r="Q298" s="390"/>
      <c r="R298" s="390"/>
      <c r="S298" s="84">
        <v>1</v>
      </c>
      <c r="T298" s="84">
        <f t="shared" si="67"/>
        <v>175</v>
      </c>
      <c r="U298" s="447">
        <v>27372</v>
      </c>
      <c r="V298" s="784" t="s">
        <v>1089</v>
      </c>
      <c r="W298" s="14" t="s">
        <v>82</v>
      </c>
      <c r="X298" s="7"/>
      <c r="Y298" s="7"/>
      <c r="Z298" s="7"/>
      <c r="AA298" s="7"/>
      <c r="AB298" s="7"/>
      <c r="AC298" s="7"/>
    </row>
    <row r="299" spans="1:29" ht="25.5">
      <c r="A299" s="19"/>
      <c r="B299" s="746" t="s">
        <v>695</v>
      </c>
      <c r="C299" s="409">
        <f t="shared" si="68"/>
        <v>1946.33</v>
      </c>
      <c r="D299" s="409"/>
      <c r="E299" s="409">
        <f t="shared" si="60"/>
        <v>127.33000000000001</v>
      </c>
      <c r="F299" s="409">
        <f t="shared" si="69"/>
        <v>72.760000000000005</v>
      </c>
      <c r="G299" s="409">
        <f t="shared" si="70"/>
        <v>54.57</v>
      </c>
      <c r="H299" s="409">
        <f t="shared" si="71"/>
        <v>1819</v>
      </c>
      <c r="I299" s="409">
        <f t="shared" si="72"/>
        <v>1167.798</v>
      </c>
      <c r="J299" s="130"/>
      <c r="K299" s="130"/>
      <c r="L299" s="130"/>
      <c r="M299" s="130"/>
      <c r="N299" s="130"/>
      <c r="O299" s="409">
        <v>93059</v>
      </c>
      <c r="P299" s="409">
        <v>94878</v>
      </c>
      <c r="Q299" s="389"/>
      <c r="R299" s="747"/>
      <c r="S299" s="748">
        <v>1</v>
      </c>
      <c r="T299" s="409">
        <f t="shared" si="67"/>
        <v>1819</v>
      </c>
      <c r="U299" s="722" t="s">
        <v>1018</v>
      </c>
      <c r="V299" s="465" t="s">
        <v>367</v>
      </c>
      <c r="W299" s="14" t="s">
        <v>82</v>
      </c>
      <c r="X299" s="7"/>
      <c r="Y299" s="7"/>
      <c r="Z299" s="7"/>
      <c r="AA299" s="7"/>
      <c r="AB299" s="7"/>
      <c r="AC299" s="7"/>
    </row>
    <row r="300" spans="1:29" ht="25.5">
      <c r="A300" s="19"/>
      <c r="B300" s="464" t="s">
        <v>368</v>
      </c>
      <c r="C300" s="84">
        <f t="shared" si="68"/>
        <v>858.14</v>
      </c>
      <c r="D300" s="84"/>
      <c r="E300" s="84">
        <f t="shared" si="60"/>
        <v>56.14</v>
      </c>
      <c r="F300" s="84">
        <f t="shared" si="69"/>
        <v>32.08</v>
      </c>
      <c r="G300" s="84">
        <f t="shared" si="70"/>
        <v>24.06</v>
      </c>
      <c r="H300" s="84">
        <f t="shared" si="71"/>
        <v>802</v>
      </c>
      <c r="I300" s="84">
        <f t="shared" si="72"/>
        <v>514.88400000000001</v>
      </c>
      <c r="J300" s="130"/>
      <c r="K300" s="130"/>
      <c r="L300" s="130"/>
      <c r="M300" s="130"/>
      <c r="N300" s="130"/>
      <c r="O300" s="84">
        <v>40104</v>
      </c>
      <c r="P300" s="84">
        <v>40906</v>
      </c>
      <c r="Q300" s="389"/>
      <c r="R300" s="390"/>
      <c r="S300" s="156">
        <v>1</v>
      </c>
      <c r="T300" s="84">
        <f t="shared" si="67"/>
        <v>802</v>
      </c>
      <c r="U300" s="722">
        <v>101522115</v>
      </c>
      <c r="V300" s="465" t="s">
        <v>369</v>
      </c>
      <c r="W300" s="14" t="s">
        <v>82</v>
      </c>
      <c r="X300" s="7"/>
      <c r="Y300" s="7"/>
      <c r="Z300" s="7"/>
      <c r="AA300" s="7"/>
      <c r="AB300" s="7"/>
      <c r="AC300" s="7"/>
    </row>
    <row r="301" spans="1:29" ht="25.5">
      <c r="A301" s="19"/>
      <c r="B301" s="464" t="s">
        <v>697</v>
      </c>
      <c r="C301" s="84">
        <f t="shared" si="68"/>
        <v>396.97</v>
      </c>
      <c r="D301" s="84"/>
      <c r="E301" s="84">
        <f t="shared" si="60"/>
        <v>25.97</v>
      </c>
      <c r="F301" s="84">
        <f t="shared" si="69"/>
        <v>14.84</v>
      </c>
      <c r="G301" s="84">
        <f t="shared" si="70"/>
        <v>11.129999999999999</v>
      </c>
      <c r="H301" s="84">
        <f t="shared" si="71"/>
        <v>371</v>
      </c>
      <c r="I301" s="84">
        <f t="shared" si="72"/>
        <v>238.18200000000002</v>
      </c>
      <c r="J301" s="130"/>
      <c r="K301" s="130"/>
      <c r="L301" s="130"/>
      <c r="M301" s="130"/>
      <c r="N301" s="130"/>
      <c r="O301" s="84">
        <v>19847</v>
      </c>
      <c r="P301" s="84">
        <v>20218</v>
      </c>
      <c r="Q301" s="389"/>
      <c r="R301" s="390"/>
      <c r="S301" s="156">
        <v>1</v>
      </c>
      <c r="T301" s="84">
        <f t="shared" si="67"/>
        <v>371</v>
      </c>
      <c r="U301" s="722" t="s">
        <v>1019</v>
      </c>
      <c r="V301" s="465" t="s">
        <v>370</v>
      </c>
      <c r="W301" s="14" t="s">
        <v>82</v>
      </c>
      <c r="X301" s="7"/>
      <c r="Y301" s="7"/>
      <c r="Z301" s="7"/>
      <c r="AA301" s="7"/>
      <c r="AB301" s="7"/>
      <c r="AC301" s="7"/>
    </row>
    <row r="302" spans="1:29" ht="25.5">
      <c r="A302" s="19"/>
      <c r="B302" s="464" t="s">
        <v>371</v>
      </c>
      <c r="C302" s="84">
        <f t="shared" si="68"/>
        <v>344.54</v>
      </c>
      <c r="D302" s="84"/>
      <c r="E302" s="84">
        <f t="shared" si="60"/>
        <v>22.54</v>
      </c>
      <c r="F302" s="84">
        <f t="shared" si="69"/>
        <v>12.88</v>
      </c>
      <c r="G302" s="84">
        <f t="shared" si="70"/>
        <v>9.66</v>
      </c>
      <c r="H302" s="84">
        <f t="shared" si="71"/>
        <v>322</v>
      </c>
      <c r="I302" s="84">
        <f t="shared" si="72"/>
        <v>206.72400000000002</v>
      </c>
      <c r="J302" s="130"/>
      <c r="K302" s="130"/>
      <c r="L302" s="130"/>
      <c r="M302" s="130"/>
      <c r="N302" s="130"/>
      <c r="O302" s="84">
        <v>27204</v>
      </c>
      <c r="P302" s="84">
        <v>27526</v>
      </c>
      <c r="Q302" s="389"/>
      <c r="R302" s="390"/>
      <c r="S302" s="156">
        <v>1</v>
      </c>
      <c r="T302" s="84">
        <f t="shared" si="67"/>
        <v>322</v>
      </c>
      <c r="U302" s="722" t="s">
        <v>1020</v>
      </c>
      <c r="V302" s="465" t="s">
        <v>771</v>
      </c>
      <c r="W302" s="14" t="s">
        <v>82</v>
      </c>
      <c r="X302" s="7"/>
      <c r="Y302" s="7"/>
      <c r="Z302" s="7"/>
      <c r="AA302" s="7"/>
      <c r="AB302" s="7"/>
      <c r="AC302" s="7"/>
    </row>
    <row r="303" spans="1:29" ht="25.5">
      <c r="A303" s="19"/>
      <c r="B303" s="464" t="s">
        <v>372</v>
      </c>
      <c r="C303" s="84">
        <f t="shared" si="68"/>
        <v>1478.74</v>
      </c>
      <c r="D303" s="84"/>
      <c r="E303" s="84">
        <f t="shared" si="60"/>
        <v>96.740000000000009</v>
      </c>
      <c r="F303" s="84">
        <f t="shared" si="69"/>
        <v>55.28</v>
      </c>
      <c r="G303" s="84">
        <f t="shared" si="70"/>
        <v>41.46</v>
      </c>
      <c r="H303" s="84">
        <f t="shared" si="71"/>
        <v>1382</v>
      </c>
      <c r="I303" s="84">
        <f t="shared" si="72"/>
        <v>887.24400000000003</v>
      </c>
      <c r="J303" s="130"/>
      <c r="K303" s="130"/>
      <c r="L303" s="130"/>
      <c r="M303" s="130"/>
      <c r="N303" s="130"/>
      <c r="O303" s="84">
        <v>249845</v>
      </c>
      <c r="P303" s="84">
        <v>251227</v>
      </c>
      <c r="Q303" s="389"/>
      <c r="R303" s="390"/>
      <c r="S303" s="156">
        <v>1</v>
      </c>
      <c r="T303" s="84">
        <f t="shared" si="67"/>
        <v>1382</v>
      </c>
      <c r="U303" s="722" t="s">
        <v>1021</v>
      </c>
      <c r="V303" s="465" t="s">
        <v>373</v>
      </c>
      <c r="W303" s="14" t="s">
        <v>82</v>
      </c>
      <c r="X303" s="7"/>
      <c r="Y303" s="7"/>
      <c r="Z303" s="7"/>
      <c r="AA303" s="7"/>
      <c r="AB303" s="7"/>
      <c r="AC303" s="7"/>
    </row>
    <row r="304" spans="1:29" ht="25.5">
      <c r="A304" s="19"/>
      <c r="B304" s="464" t="s">
        <v>374</v>
      </c>
      <c r="C304" s="84">
        <f t="shared" si="68"/>
        <v>0</v>
      </c>
      <c r="D304" s="84"/>
      <c r="E304" s="84">
        <f t="shared" si="60"/>
        <v>0</v>
      </c>
      <c r="F304" s="84">
        <f t="shared" si="69"/>
        <v>0</v>
      </c>
      <c r="G304" s="84">
        <f t="shared" si="70"/>
        <v>0</v>
      </c>
      <c r="H304" s="84">
        <f t="shared" si="71"/>
        <v>0</v>
      </c>
      <c r="I304" s="84">
        <f t="shared" si="72"/>
        <v>0</v>
      </c>
      <c r="J304" s="130"/>
      <c r="K304" s="130"/>
      <c r="L304" s="130"/>
      <c r="M304" s="130"/>
      <c r="N304" s="130"/>
      <c r="O304" s="84">
        <v>399994</v>
      </c>
      <c r="P304" s="84">
        <v>399994</v>
      </c>
      <c r="Q304" s="389"/>
      <c r="R304" s="390"/>
      <c r="S304" s="156">
        <v>1</v>
      </c>
      <c r="T304" s="84">
        <f t="shared" si="67"/>
        <v>0</v>
      </c>
      <c r="U304" s="722" t="s">
        <v>1081</v>
      </c>
      <c r="V304" s="465" t="s">
        <v>375</v>
      </c>
      <c r="W304" s="14" t="s">
        <v>82</v>
      </c>
      <c r="X304" s="7"/>
      <c r="Y304" s="7"/>
      <c r="Z304" s="7"/>
      <c r="AA304" s="7"/>
      <c r="AB304" s="7"/>
      <c r="AC304" s="7"/>
    </row>
    <row r="305" spans="1:29" ht="25.5">
      <c r="A305" s="19"/>
      <c r="B305" s="464" t="s">
        <v>914</v>
      </c>
      <c r="C305" s="84">
        <f t="shared" si="68"/>
        <v>0</v>
      </c>
      <c r="D305" s="84"/>
      <c r="E305" s="84">
        <f t="shared" si="60"/>
        <v>0</v>
      </c>
      <c r="F305" s="84">
        <f t="shared" si="69"/>
        <v>0</v>
      </c>
      <c r="G305" s="84">
        <f t="shared" si="70"/>
        <v>0</v>
      </c>
      <c r="H305" s="84">
        <f t="shared" si="71"/>
        <v>0</v>
      </c>
      <c r="I305" s="84">
        <f t="shared" si="72"/>
        <v>0</v>
      </c>
      <c r="J305" s="130"/>
      <c r="K305" s="130"/>
      <c r="L305" s="130"/>
      <c r="M305" s="130"/>
      <c r="N305" s="130"/>
      <c r="O305" s="84">
        <v>80795</v>
      </c>
      <c r="P305" s="84">
        <v>80795</v>
      </c>
      <c r="Q305" s="389"/>
      <c r="R305" s="390"/>
      <c r="S305" s="156">
        <v>1</v>
      </c>
      <c r="T305" s="84">
        <f t="shared" si="67"/>
        <v>0</v>
      </c>
      <c r="U305" s="722" t="s">
        <v>1022</v>
      </c>
      <c r="V305" s="465" t="s">
        <v>804</v>
      </c>
      <c r="W305" s="14" t="s">
        <v>82</v>
      </c>
      <c r="X305" s="7"/>
      <c r="Y305" s="7"/>
      <c r="Z305" s="7"/>
      <c r="AA305" s="7"/>
      <c r="AB305" s="7"/>
      <c r="AC305" s="7"/>
    </row>
    <row r="306" spans="1:29" ht="25.5">
      <c r="A306" s="19"/>
      <c r="B306" s="464" t="s">
        <v>376</v>
      </c>
      <c r="C306" s="84">
        <f t="shared" si="68"/>
        <v>548.91</v>
      </c>
      <c r="D306" s="84"/>
      <c r="E306" s="84">
        <f t="shared" si="60"/>
        <v>35.909999999999997</v>
      </c>
      <c r="F306" s="84">
        <f t="shared" si="69"/>
        <v>20.52</v>
      </c>
      <c r="G306" s="84">
        <f t="shared" si="70"/>
        <v>15.389999999999999</v>
      </c>
      <c r="H306" s="84">
        <f t="shared" si="71"/>
        <v>513</v>
      </c>
      <c r="I306" s="84">
        <f t="shared" si="72"/>
        <v>329.34599999999995</v>
      </c>
      <c r="J306" s="130"/>
      <c r="K306" s="130"/>
      <c r="L306" s="130"/>
      <c r="M306" s="130"/>
      <c r="N306" s="130"/>
      <c r="O306" s="84">
        <v>201005</v>
      </c>
      <c r="P306" s="84">
        <v>201518</v>
      </c>
      <c r="Q306" s="389"/>
      <c r="R306" s="390"/>
      <c r="S306" s="156">
        <v>1</v>
      </c>
      <c r="T306" s="84">
        <f t="shared" si="67"/>
        <v>513</v>
      </c>
      <c r="U306" s="722" t="s">
        <v>1023</v>
      </c>
      <c r="V306" s="465" t="s">
        <v>377</v>
      </c>
      <c r="W306" s="14" t="s">
        <v>82</v>
      </c>
      <c r="X306" s="7"/>
      <c r="Y306" s="7"/>
      <c r="Z306" s="7"/>
      <c r="AA306" s="7"/>
      <c r="AB306" s="7"/>
      <c r="AC306" s="7"/>
    </row>
    <row r="307" spans="1:29" ht="25.5">
      <c r="A307" s="19"/>
      <c r="B307" s="464" t="s">
        <v>378</v>
      </c>
      <c r="C307" s="84">
        <f t="shared" si="68"/>
        <v>941.6</v>
      </c>
      <c r="D307" s="84"/>
      <c r="E307" s="84">
        <f t="shared" si="60"/>
        <v>61.6</v>
      </c>
      <c r="F307" s="84">
        <f t="shared" si="69"/>
        <v>35.200000000000003</v>
      </c>
      <c r="G307" s="84">
        <f t="shared" si="70"/>
        <v>26.4</v>
      </c>
      <c r="H307" s="84">
        <f t="shared" si="71"/>
        <v>880</v>
      </c>
      <c r="I307" s="84">
        <f t="shared" si="72"/>
        <v>564.96</v>
      </c>
      <c r="J307" s="130"/>
      <c r="K307" s="130"/>
      <c r="L307" s="130"/>
      <c r="M307" s="130"/>
      <c r="N307" s="130"/>
      <c r="O307" s="84">
        <v>347561</v>
      </c>
      <c r="P307" s="84">
        <v>348441</v>
      </c>
      <c r="Q307" s="389"/>
      <c r="R307" s="390"/>
      <c r="S307" s="156">
        <v>1</v>
      </c>
      <c r="T307" s="84">
        <f t="shared" si="67"/>
        <v>880</v>
      </c>
      <c r="U307" s="722" t="s">
        <v>1024</v>
      </c>
      <c r="V307" s="465" t="s">
        <v>379</v>
      </c>
      <c r="W307" s="14" t="s">
        <v>82</v>
      </c>
      <c r="X307" s="7"/>
      <c r="Y307" s="7"/>
      <c r="Z307" s="7"/>
      <c r="AA307" s="7"/>
      <c r="AB307" s="7"/>
      <c r="AC307" s="7"/>
    </row>
    <row r="308" spans="1:29" ht="25.5">
      <c r="A308" s="19"/>
      <c r="B308" s="464" t="s">
        <v>365</v>
      </c>
      <c r="C308" s="84">
        <f>H308+E308</f>
        <v>2074.73</v>
      </c>
      <c r="D308" s="84"/>
      <c r="E308" s="84">
        <f>F308+G308</f>
        <v>135.72999999999999</v>
      </c>
      <c r="F308" s="84">
        <f>0.04*H308</f>
        <v>77.56</v>
      </c>
      <c r="G308" s="84">
        <f>0.03*H308</f>
        <v>58.169999999999995</v>
      </c>
      <c r="H308" s="84">
        <f>T308</f>
        <v>1939</v>
      </c>
      <c r="I308" s="84">
        <f>0.6*C308</f>
        <v>1244.838</v>
      </c>
      <c r="J308" s="130"/>
      <c r="K308" s="130"/>
      <c r="L308" s="130"/>
      <c r="M308" s="130"/>
      <c r="N308" s="130"/>
      <c r="O308" s="84">
        <v>288106</v>
      </c>
      <c r="P308" s="84">
        <v>290045</v>
      </c>
      <c r="Q308" s="389"/>
      <c r="R308" s="390"/>
      <c r="S308" s="156">
        <v>1</v>
      </c>
      <c r="T308" s="84">
        <f>(P308-O308)*S308</f>
        <v>1939</v>
      </c>
      <c r="U308" s="722" t="s">
        <v>1155</v>
      </c>
      <c r="V308" s="465" t="s">
        <v>366</v>
      </c>
      <c r="W308" s="14" t="s">
        <v>82</v>
      </c>
      <c r="X308" s="7"/>
      <c r="Y308" s="7"/>
      <c r="Z308" s="7"/>
      <c r="AA308" s="7"/>
      <c r="AB308" s="7"/>
      <c r="AC308" s="7"/>
    </row>
    <row r="309" spans="1:29" ht="25.5">
      <c r="A309" s="19"/>
      <c r="B309" s="464" t="s">
        <v>380</v>
      </c>
      <c r="C309" s="84">
        <f t="shared" si="68"/>
        <v>0</v>
      </c>
      <c r="D309" s="84"/>
      <c r="E309" s="84">
        <f t="shared" si="60"/>
        <v>0</v>
      </c>
      <c r="F309" s="84">
        <f t="shared" si="69"/>
        <v>0</v>
      </c>
      <c r="G309" s="84">
        <f t="shared" si="70"/>
        <v>0</v>
      </c>
      <c r="H309" s="84">
        <f t="shared" si="71"/>
        <v>0</v>
      </c>
      <c r="I309" s="84">
        <f t="shared" si="72"/>
        <v>0</v>
      </c>
      <c r="J309" s="130"/>
      <c r="K309" s="130"/>
      <c r="L309" s="130"/>
      <c r="M309" s="130"/>
      <c r="N309" s="130"/>
      <c r="O309" s="84">
        <v>392079</v>
      </c>
      <c r="P309" s="84">
        <v>392079</v>
      </c>
      <c r="Q309" s="389"/>
      <c r="R309" s="390"/>
      <c r="S309" s="156">
        <v>1</v>
      </c>
      <c r="T309" s="84">
        <f t="shared" si="67"/>
        <v>0</v>
      </c>
      <c r="U309" s="722">
        <v>806</v>
      </c>
      <c r="V309" s="465" t="s">
        <v>929</v>
      </c>
      <c r="W309" s="14" t="s">
        <v>82</v>
      </c>
      <c r="X309" s="7"/>
      <c r="Y309" s="7"/>
      <c r="Z309" s="7"/>
      <c r="AA309" s="7"/>
      <c r="AB309" s="7"/>
      <c r="AC309" s="7"/>
    </row>
    <row r="310" spans="1:29" ht="26.25" customHeight="1">
      <c r="A310" s="19"/>
      <c r="B310" s="464" t="s">
        <v>382</v>
      </c>
      <c r="C310" s="84">
        <f t="shared" si="68"/>
        <v>34993.279999999999</v>
      </c>
      <c r="D310" s="84"/>
      <c r="E310" s="84">
        <f t="shared" si="60"/>
        <v>2289.2800000000002</v>
      </c>
      <c r="F310" s="84">
        <f t="shared" si="69"/>
        <v>1308.1600000000001</v>
      </c>
      <c r="G310" s="84">
        <f t="shared" si="70"/>
        <v>981.12</v>
      </c>
      <c r="H310" s="84">
        <f t="shared" si="71"/>
        <v>32704</v>
      </c>
      <c r="I310" s="84">
        <f t="shared" si="72"/>
        <v>20995.967999999997</v>
      </c>
      <c r="J310" s="130"/>
      <c r="K310" s="130"/>
      <c r="L310" s="130"/>
      <c r="M310" s="130"/>
      <c r="N310" s="130"/>
      <c r="O310" s="84">
        <v>131733</v>
      </c>
      <c r="P310" s="84">
        <v>164437</v>
      </c>
      <c r="Q310" s="389"/>
      <c r="R310" s="390"/>
      <c r="S310" s="156">
        <v>1</v>
      </c>
      <c r="T310" s="84">
        <f t="shared" si="67"/>
        <v>32704</v>
      </c>
      <c r="U310" s="722" t="s">
        <v>1025</v>
      </c>
      <c r="V310" s="465" t="s">
        <v>383</v>
      </c>
      <c r="W310" s="14" t="s">
        <v>82</v>
      </c>
      <c r="X310" s="7"/>
      <c r="Y310" s="7"/>
      <c r="Z310" s="7"/>
      <c r="AA310" s="7"/>
      <c r="AB310" s="7"/>
      <c r="AC310" s="7"/>
    </row>
    <row r="311" spans="1:29" ht="25.5">
      <c r="A311" s="19"/>
      <c r="B311" s="464" t="s">
        <v>384</v>
      </c>
      <c r="C311" s="84">
        <f t="shared" si="68"/>
        <v>0</v>
      </c>
      <c r="D311" s="84"/>
      <c r="E311" s="84">
        <f t="shared" si="60"/>
        <v>0</v>
      </c>
      <c r="F311" s="84">
        <f t="shared" si="69"/>
        <v>0</v>
      </c>
      <c r="G311" s="84">
        <f t="shared" si="70"/>
        <v>0</v>
      </c>
      <c r="H311" s="84">
        <f t="shared" si="71"/>
        <v>0</v>
      </c>
      <c r="I311" s="84">
        <f t="shared" si="72"/>
        <v>0</v>
      </c>
      <c r="J311" s="130"/>
      <c r="K311" s="130"/>
      <c r="L311" s="130"/>
      <c r="M311" s="130"/>
      <c r="N311" s="130"/>
      <c r="O311" s="84">
        <v>29110</v>
      </c>
      <c r="P311" s="84">
        <v>29110</v>
      </c>
      <c r="Q311" s="389"/>
      <c r="R311" s="390"/>
      <c r="S311" s="156">
        <v>1</v>
      </c>
      <c r="T311" s="84">
        <f t="shared" si="67"/>
        <v>0</v>
      </c>
      <c r="U311" s="722">
        <v>2125</v>
      </c>
      <c r="V311" s="465" t="s">
        <v>772</v>
      </c>
      <c r="W311" s="14" t="s">
        <v>82</v>
      </c>
      <c r="X311" s="7"/>
      <c r="Y311" s="7"/>
      <c r="Z311" s="7"/>
      <c r="AA311" s="7"/>
      <c r="AB311" s="7"/>
      <c r="AC311" s="7"/>
    </row>
    <row r="312" spans="1:29" ht="25.5">
      <c r="A312" s="19"/>
      <c r="B312" s="464"/>
      <c r="C312" s="469"/>
      <c r="D312" s="84"/>
      <c r="E312" s="84"/>
      <c r="F312" s="84"/>
      <c r="G312" s="84"/>
      <c r="H312" s="84"/>
      <c r="I312" s="84"/>
      <c r="J312" s="130"/>
      <c r="K312" s="130"/>
      <c r="L312" s="130"/>
      <c r="M312" s="130"/>
      <c r="N312" s="130"/>
      <c r="O312" s="84"/>
      <c r="P312" s="84"/>
      <c r="Q312" s="389"/>
      <c r="R312" s="390"/>
      <c r="S312" s="156"/>
      <c r="T312" s="84"/>
      <c r="U312" s="722"/>
      <c r="V312" s="465"/>
      <c r="W312" s="14" t="s">
        <v>82</v>
      </c>
      <c r="X312" s="7"/>
      <c r="Y312" s="7"/>
      <c r="Z312" s="7"/>
      <c r="AA312" s="7"/>
      <c r="AB312" s="7"/>
      <c r="AC312" s="7"/>
    </row>
    <row r="313" spans="1:29" ht="25.5">
      <c r="A313" s="19"/>
      <c r="B313" s="468" t="s">
        <v>915</v>
      </c>
      <c r="C313" s="84">
        <f t="shared" si="68"/>
        <v>701.92</v>
      </c>
      <c r="D313" s="84"/>
      <c r="E313" s="84">
        <f t="shared" si="60"/>
        <v>45.92</v>
      </c>
      <c r="F313" s="84">
        <f t="shared" si="69"/>
        <v>26.240000000000002</v>
      </c>
      <c r="G313" s="84">
        <f t="shared" si="70"/>
        <v>19.68</v>
      </c>
      <c r="H313" s="84">
        <f t="shared" si="71"/>
        <v>656</v>
      </c>
      <c r="I313" s="84">
        <f t="shared" si="72"/>
        <v>421.15199999999999</v>
      </c>
      <c r="J313" s="130"/>
      <c r="K313" s="130"/>
      <c r="L313" s="130"/>
      <c r="M313" s="130"/>
      <c r="N313" s="130"/>
      <c r="O313" s="84">
        <v>86552</v>
      </c>
      <c r="P313" s="84">
        <v>87208</v>
      </c>
      <c r="Q313" s="389"/>
      <c r="R313" s="390"/>
      <c r="S313" s="156">
        <v>1</v>
      </c>
      <c r="T313" s="84">
        <f t="shared" si="67"/>
        <v>656</v>
      </c>
      <c r="U313" s="722" t="s">
        <v>1028</v>
      </c>
      <c r="V313" s="465" t="s">
        <v>805</v>
      </c>
      <c r="W313" s="14" t="s">
        <v>82</v>
      </c>
      <c r="X313" s="7"/>
      <c r="Y313" s="7"/>
      <c r="Z313" s="7"/>
      <c r="AA313" s="7"/>
      <c r="AB313" s="7"/>
      <c r="AC313" s="7"/>
    </row>
    <row r="314" spans="1:29" ht="25.5">
      <c r="A314" s="19"/>
      <c r="B314" s="464" t="s">
        <v>699</v>
      </c>
      <c r="C314" s="84">
        <f t="shared" si="68"/>
        <v>927.69</v>
      </c>
      <c r="D314" s="84"/>
      <c r="E314" s="84">
        <f t="shared" si="60"/>
        <v>60.69</v>
      </c>
      <c r="F314" s="84">
        <f t="shared" si="69"/>
        <v>34.68</v>
      </c>
      <c r="G314" s="84">
        <f t="shared" si="70"/>
        <v>26.009999999999998</v>
      </c>
      <c r="H314" s="84">
        <f t="shared" si="71"/>
        <v>867</v>
      </c>
      <c r="I314" s="84">
        <f t="shared" si="72"/>
        <v>556.61400000000003</v>
      </c>
      <c r="J314" s="130"/>
      <c r="K314" s="130"/>
      <c r="L314" s="130"/>
      <c r="M314" s="130"/>
      <c r="N314" s="130"/>
      <c r="O314" s="84">
        <v>293507</v>
      </c>
      <c r="P314" s="84">
        <v>294374</v>
      </c>
      <c r="Q314" s="389"/>
      <c r="R314" s="390"/>
      <c r="S314" s="156">
        <v>1</v>
      </c>
      <c r="T314" s="84">
        <f t="shared" si="67"/>
        <v>867</v>
      </c>
      <c r="U314" s="722" t="s">
        <v>1029</v>
      </c>
      <c r="V314" s="465" t="s">
        <v>387</v>
      </c>
      <c r="W314" s="14" t="s">
        <v>82</v>
      </c>
      <c r="X314" s="7"/>
      <c r="Y314" s="7"/>
      <c r="Z314" s="7"/>
      <c r="AA314" s="7"/>
      <c r="AB314" s="7"/>
      <c r="AC314" s="7"/>
    </row>
    <row r="315" spans="1:29" ht="25.5">
      <c r="A315" s="19"/>
      <c r="B315" s="464"/>
      <c r="C315" s="84"/>
      <c r="D315" s="84"/>
      <c r="E315" s="84"/>
      <c r="F315" s="84"/>
      <c r="G315" s="84"/>
      <c r="H315" s="84"/>
      <c r="I315" s="84"/>
      <c r="J315" s="130"/>
      <c r="K315" s="130"/>
      <c r="L315" s="130"/>
      <c r="M315" s="130"/>
      <c r="N315" s="130"/>
      <c r="O315" s="84"/>
      <c r="P315" s="84"/>
      <c r="Q315" s="389"/>
      <c r="R315" s="390"/>
      <c r="S315" s="156"/>
      <c r="T315" s="84"/>
      <c r="U315" s="722"/>
      <c r="V315" s="465"/>
      <c r="W315" s="14" t="s">
        <v>82</v>
      </c>
      <c r="X315" s="7"/>
      <c r="Y315" s="7"/>
      <c r="Z315" s="7"/>
      <c r="AA315" s="7"/>
      <c r="AB315" s="7"/>
      <c r="AC315" s="7"/>
    </row>
    <row r="316" spans="1:29" ht="25.5">
      <c r="A316" s="19"/>
      <c r="B316" s="464" t="s">
        <v>388</v>
      </c>
      <c r="C316" s="84">
        <f t="shared" si="68"/>
        <v>15643.4</v>
      </c>
      <c r="D316" s="84"/>
      <c r="E316" s="84">
        <f t="shared" si="60"/>
        <v>1023.4000000000001</v>
      </c>
      <c r="F316" s="84">
        <f t="shared" si="69"/>
        <v>584.80000000000007</v>
      </c>
      <c r="G316" s="84">
        <f t="shared" si="70"/>
        <v>438.59999999999997</v>
      </c>
      <c r="H316" s="84">
        <f t="shared" si="71"/>
        <v>14620</v>
      </c>
      <c r="I316" s="84">
        <f t="shared" si="72"/>
        <v>9386.0399999999991</v>
      </c>
      <c r="J316" s="130"/>
      <c r="K316" s="130"/>
      <c r="L316" s="130"/>
      <c r="M316" s="130"/>
      <c r="N316" s="130"/>
      <c r="O316" s="84">
        <v>22032</v>
      </c>
      <c r="P316" s="84">
        <v>22763</v>
      </c>
      <c r="Q316" s="389"/>
      <c r="R316" s="390"/>
      <c r="S316" s="156">
        <v>20</v>
      </c>
      <c r="T316" s="84">
        <f t="shared" si="67"/>
        <v>14620</v>
      </c>
      <c r="U316" s="722" t="s">
        <v>1030</v>
      </c>
      <c r="V316" s="465" t="s">
        <v>389</v>
      </c>
      <c r="W316" s="14" t="s">
        <v>82</v>
      </c>
      <c r="X316" s="7"/>
      <c r="Y316" s="7"/>
      <c r="Z316" s="7"/>
      <c r="AA316" s="7"/>
      <c r="AB316" s="7"/>
      <c r="AC316" s="7"/>
    </row>
    <row r="317" spans="1:29" ht="25.5">
      <c r="A317" s="19"/>
      <c r="B317" s="464" t="s">
        <v>390</v>
      </c>
      <c r="C317" s="84">
        <f>H317+E317</f>
        <v>9091.7900000000009</v>
      </c>
      <c r="D317" s="84"/>
      <c r="E317" s="84">
        <f t="shared" si="60"/>
        <v>594.79</v>
      </c>
      <c r="F317" s="84">
        <f t="shared" si="69"/>
        <v>339.88</v>
      </c>
      <c r="G317" s="84">
        <f t="shared" si="70"/>
        <v>254.91</v>
      </c>
      <c r="H317" s="84">
        <f t="shared" si="71"/>
        <v>8497</v>
      </c>
      <c r="I317" s="84">
        <f t="shared" si="72"/>
        <v>5455.0740000000005</v>
      </c>
      <c r="J317" s="130"/>
      <c r="K317" s="130"/>
      <c r="L317" s="130"/>
      <c r="M317" s="130"/>
      <c r="N317" s="130"/>
      <c r="O317" s="84">
        <v>265396</v>
      </c>
      <c r="P317" s="84">
        <v>273893</v>
      </c>
      <c r="Q317" s="389"/>
      <c r="R317" s="390"/>
      <c r="S317" s="156">
        <v>1</v>
      </c>
      <c r="T317" s="84">
        <f t="shared" si="67"/>
        <v>8497</v>
      </c>
      <c r="U317" s="722" t="s">
        <v>1031</v>
      </c>
      <c r="V317" s="465" t="s">
        <v>391</v>
      </c>
      <c r="W317" s="14" t="s">
        <v>82</v>
      </c>
      <c r="X317" s="7"/>
      <c r="Y317" s="7"/>
      <c r="Z317" s="7"/>
      <c r="AA317" s="7"/>
      <c r="AB317" s="7"/>
      <c r="AC317" s="7"/>
    </row>
    <row r="318" spans="1:29" ht="25.5">
      <c r="A318" s="19"/>
      <c r="B318" s="466" t="s">
        <v>916</v>
      </c>
      <c r="C318" s="84">
        <f t="shared" si="68"/>
        <v>3730.02</v>
      </c>
      <c r="D318" s="84"/>
      <c r="E318" s="84">
        <f t="shared" si="60"/>
        <v>244.01999999999998</v>
      </c>
      <c r="F318" s="84">
        <f t="shared" si="69"/>
        <v>139.44</v>
      </c>
      <c r="G318" s="84">
        <f t="shared" si="70"/>
        <v>104.58</v>
      </c>
      <c r="H318" s="84">
        <f t="shared" si="71"/>
        <v>3486</v>
      </c>
      <c r="I318" s="84">
        <f t="shared" si="72"/>
        <v>2238.0119999999997</v>
      </c>
      <c r="J318" s="130"/>
      <c r="K318" s="130"/>
      <c r="L318" s="130"/>
      <c r="M318" s="130"/>
      <c r="N318" s="130"/>
      <c r="O318" s="84">
        <v>574318</v>
      </c>
      <c r="P318" s="84">
        <v>577804</v>
      </c>
      <c r="Q318" s="389"/>
      <c r="R318" s="390"/>
      <c r="S318" s="156">
        <v>1</v>
      </c>
      <c r="T318" s="84">
        <f t="shared" si="67"/>
        <v>3486</v>
      </c>
      <c r="U318" s="722">
        <v>35821</v>
      </c>
      <c r="V318" s="89" t="s">
        <v>759</v>
      </c>
      <c r="W318" s="14" t="s">
        <v>82</v>
      </c>
      <c r="X318" s="7"/>
      <c r="Y318" s="7"/>
      <c r="Z318" s="7"/>
      <c r="AA318" s="7"/>
      <c r="AB318" s="7"/>
      <c r="AC318" s="7"/>
    </row>
    <row r="319" spans="1:29" ht="25.5">
      <c r="A319" s="19"/>
      <c r="B319" s="83" t="s">
        <v>314</v>
      </c>
      <c r="C319" s="84">
        <f t="shared" si="68"/>
        <v>882.75</v>
      </c>
      <c r="D319" s="84"/>
      <c r="E319" s="84">
        <f t="shared" si="60"/>
        <v>57.75</v>
      </c>
      <c r="F319" s="84">
        <f t="shared" si="69"/>
        <v>33</v>
      </c>
      <c r="G319" s="84">
        <f t="shared" si="70"/>
        <v>24.75</v>
      </c>
      <c r="H319" s="84">
        <f t="shared" si="71"/>
        <v>825</v>
      </c>
      <c r="I319" s="84">
        <f t="shared" si="72"/>
        <v>529.65</v>
      </c>
      <c r="J319" s="130"/>
      <c r="K319" s="130"/>
      <c r="L319" s="130"/>
      <c r="M319" s="130"/>
      <c r="N319" s="130"/>
      <c r="O319" s="84">
        <v>30330</v>
      </c>
      <c r="P319" s="84">
        <v>31155</v>
      </c>
      <c r="Q319" s="389"/>
      <c r="R319" s="390"/>
      <c r="S319" s="156">
        <v>1</v>
      </c>
      <c r="T319" s="84">
        <f t="shared" si="67"/>
        <v>825</v>
      </c>
      <c r="U319" s="722">
        <v>103473542</v>
      </c>
      <c r="V319" s="89" t="s">
        <v>393</v>
      </c>
      <c r="W319" s="14" t="s">
        <v>82</v>
      </c>
      <c r="X319" s="7"/>
      <c r="Y319" s="7"/>
      <c r="Z319" s="7"/>
      <c r="AA319" s="7"/>
      <c r="AB319" s="7"/>
      <c r="AC319" s="7"/>
    </row>
    <row r="320" spans="1:29" ht="25.5">
      <c r="A320" s="19"/>
      <c r="B320" s="466" t="s">
        <v>365</v>
      </c>
      <c r="C320" s="84">
        <f t="shared" si="68"/>
        <v>738.3</v>
      </c>
      <c r="D320" s="84"/>
      <c r="E320" s="84">
        <f t="shared" si="60"/>
        <v>48.3</v>
      </c>
      <c r="F320" s="84">
        <f t="shared" si="69"/>
        <v>27.6</v>
      </c>
      <c r="G320" s="84">
        <f t="shared" si="70"/>
        <v>20.7</v>
      </c>
      <c r="H320" s="84">
        <f t="shared" si="71"/>
        <v>690</v>
      </c>
      <c r="I320" s="84">
        <f t="shared" si="72"/>
        <v>442.97999999999996</v>
      </c>
      <c r="J320" s="130"/>
      <c r="K320" s="130"/>
      <c r="L320" s="130"/>
      <c r="M320" s="130"/>
      <c r="N320" s="130"/>
      <c r="O320" s="84">
        <v>26099</v>
      </c>
      <c r="P320" s="84">
        <v>26789</v>
      </c>
      <c r="Q320" s="389"/>
      <c r="R320" s="390"/>
      <c r="S320" s="156">
        <v>1</v>
      </c>
      <c r="T320" s="84">
        <f t="shared" si="67"/>
        <v>690</v>
      </c>
      <c r="U320" s="722" t="s">
        <v>1156</v>
      </c>
      <c r="V320" s="89" t="s">
        <v>1154</v>
      </c>
      <c r="W320" s="14" t="s">
        <v>82</v>
      </c>
      <c r="X320" s="7"/>
      <c r="Y320" s="7"/>
      <c r="Z320" s="7"/>
      <c r="AA320" s="7"/>
      <c r="AB320" s="7"/>
      <c r="AC320" s="7"/>
    </row>
    <row r="321" spans="1:29" ht="25.5">
      <c r="A321" s="19"/>
      <c r="B321" s="466" t="s">
        <v>831</v>
      </c>
      <c r="C321" s="84">
        <f t="shared" si="68"/>
        <v>1053.95</v>
      </c>
      <c r="D321" s="84"/>
      <c r="E321" s="84">
        <f t="shared" si="60"/>
        <v>68.949999999999989</v>
      </c>
      <c r="F321" s="84">
        <f t="shared" si="69"/>
        <v>39.4</v>
      </c>
      <c r="G321" s="84">
        <f t="shared" si="70"/>
        <v>29.549999999999997</v>
      </c>
      <c r="H321" s="84">
        <f t="shared" si="71"/>
        <v>985</v>
      </c>
      <c r="I321" s="84">
        <f t="shared" si="72"/>
        <v>632.37</v>
      </c>
      <c r="J321" s="130"/>
      <c r="K321" s="130"/>
      <c r="L321" s="130"/>
      <c r="M321" s="130"/>
      <c r="N321" s="130"/>
      <c r="O321" s="84">
        <v>45043</v>
      </c>
      <c r="P321" s="84">
        <v>46028</v>
      </c>
      <c r="Q321" s="389"/>
      <c r="R321" s="390"/>
      <c r="S321" s="156">
        <v>1</v>
      </c>
      <c r="T321" s="84">
        <f t="shared" si="67"/>
        <v>985</v>
      </c>
      <c r="U321" s="722" t="s">
        <v>1032</v>
      </c>
      <c r="V321" s="89" t="s">
        <v>395</v>
      </c>
      <c r="W321" s="14" t="s">
        <v>82</v>
      </c>
      <c r="X321" s="7"/>
      <c r="Y321" s="7"/>
      <c r="Z321" s="7"/>
      <c r="AA321" s="7"/>
      <c r="AB321" s="7"/>
      <c r="AC321" s="7"/>
    </row>
    <row r="322" spans="1:29" ht="25.5">
      <c r="A322" s="19"/>
      <c r="B322" s="448" t="s">
        <v>396</v>
      </c>
      <c r="C322" s="84">
        <f t="shared" si="68"/>
        <v>414.09</v>
      </c>
      <c r="D322" s="84"/>
      <c r="E322" s="84">
        <f t="shared" si="60"/>
        <v>27.09</v>
      </c>
      <c r="F322" s="84">
        <f t="shared" si="69"/>
        <v>15.48</v>
      </c>
      <c r="G322" s="84">
        <f t="shared" si="70"/>
        <v>11.61</v>
      </c>
      <c r="H322" s="84">
        <f t="shared" si="71"/>
        <v>387</v>
      </c>
      <c r="I322" s="84">
        <f t="shared" si="72"/>
        <v>248.45399999999998</v>
      </c>
      <c r="J322" s="130"/>
      <c r="K322" s="130"/>
      <c r="L322" s="130"/>
      <c r="M322" s="130"/>
      <c r="N322" s="130"/>
      <c r="O322" s="84">
        <v>59424</v>
      </c>
      <c r="P322" s="84">
        <v>59811</v>
      </c>
      <c r="Q322" s="389"/>
      <c r="R322" s="390"/>
      <c r="S322" s="156">
        <v>1</v>
      </c>
      <c r="T322" s="84">
        <f t="shared" si="67"/>
        <v>387</v>
      </c>
      <c r="U322" s="722">
        <v>4616</v>
      </c>
      <c r="V322" s="89" t="s">
        <v>397</v>
      </c>
      <c r="W322" s="14" t="s">
        <v>82</v>
      </c>
      <c r="X322" s="7"/>
      <c r="Y322" s="7"/>
      <c r="Z322" s="7"/>
      <c r="AA322" s="7"/>
      <c r="AB322" s="7"/>
      <c r="AC322" s="7"/>
    </row>
    <row r="323" spans="1:29" ht="25.5">
      <c r="A323" s="19"/>
      <c r="B323" s="448" t="s">
        <v>806</v>
      </c>
      <c r="C323" s="84">
        <f>H323+E323</f>
        <v>15225.244000000137</v>
      </c>
      <c r="D323" s="84"/>
      <c r="E323" s="84">
        <f t="shared" si="60"/>
        <v>996.04400000000896</v>
      </c>
      <c r="F323" s="84">
        <f t="shared" si="69"/>
        <v>569.16800000000512</v>
      </c>
      <c r="G323" s="84">
        <f t="shared" si="70"/>
        <v>426.87600000000384</v>
      </c>
      <c r="H323" s="84">
        <f t="shared" si="71"/>
        <v>14229.200000000128</v>
      </c>
      <c r="I323" s="84">
        <f t="shared" si="72"/>
        <v>9135.1464000000815</v>
      </c>
      <c r="J323" s="130"/>
      <c r="K323" s="130"/>
      <c r="L323" s="130"/>
      <c r="M323" s="130"/>
      <c r="N323" s="130"/>
      <c r="O323" s="84">
        <v>69465.539999999994</v>
      </c>
      <c r="P323" s="84">
        <v>71117</v>
      </c>
      <c r="Q323" s="389"/>
      <c r="R323" s="390"/>
      <c r="S323" s="156">
        <v>20</v>
      </c>
      <c r="T323" s="84">
        <f>(P323-O323)*S323-T326-C327-T286-T317-T324-T325-T167-T168-T173</f>
        <v>14229.200000000128</v>
      </c>
      <c r="U323" s="722" t="s">
        <v>1033</v>
      </c>
      <c r="V323" s="89" t="s">
        <v>806</v>
      </c>
      <c r="W323" s="14" t="s">
        <v>82</v>
      </c>
      <c r="X323" s="7"/>
      <c r="Y323" s="7"/>
      <c r="Z323" s="7"/>
      <c r="AA323" s="7"/>
      <c r="AB323" s="7"/>
      <c r="AC323" s="7"/>
    </row>
    <row r="324" spans="1:29" ht="25.5">
      <c r="A324" s="19"/>
      <c r="B324" s="448" t="s">
        <v>763</v>
      </c>
      <c r="C324" s="84">
        <f>H324+E324</f>
        <v>6186.74</v>
      </c>
      <c r="D324" s="84"/>
      <c r="E324" s="84">
        <f t="shared" si="60"/>
        <v>404.74</v>
      </c>
      <c r="F324" s="84">
        <f t="shared" si="69"/>
        <v>231.28</v>
      </c>
      <c r="G324" s="84">
        <f t="shared" si="70"/>
        <v>173.45999999999998</v>
      </c>
      <c r="H324" s="84">
        <f t="shared" si="71"/>
        <v>5782</v>
      </c>
      <c r="I324" s="84">
        <f t="shared" si="72"/>
        <v>3712.0439999999999</v>
      </c>
      <c r="J324" s="130"/>
      <c r="K324" s="130"/>
      <c r="L324" s="130"/>
      <c r="M324" s="130"/>
      <c r="N324" s="130"/>
      <c r="O324" s="84">
        <v>67645</v>
      </c>
      <c r="P324" s="84">
        <v>73427</v>
      </c>
      <c r="Q324" s="389"/>
      <c r="R324" s="390"/>
      <c r="S324" s="156">
        <v>1</v>
      </c>
      <c r="T324" s="84">
        <f>(P324-O324)*S324</f>
        <v>5782</v>
      </c>
      <c r="U324" s="722" t="s">
        <v>1034</v>
      </c>
      <c r="V324" s="89" t="s">
        <v>769</v>
      </c>
      <c r="W324" s="14" t="s">
        <v>82</v>
      </c>
      <c r="X324" s="7"/>
      <c r="Y324" s="7"/>
      <c r="Z324" s="7"/>
      <c r="AA324" s="7"/>
      <c r="AB324" s="7"/>
      <c r="AC324" s="7"/>
    </row>
    <row r="325" spans="1:29" ht="25.5">
      <c r="A325" s="19"/>
      <c r="B325" s="448"/>
      <c r="C325" s="84">
        <f>H325+E325</f>
        <v>653.77</v>
      </c>
      <c r="D325" s="84"/>
      <c r="E325" s="84">
        <f t="shared" si="60"/>
        <v>42.769999999999996</v>
      </c>
      <c r="F325" s="84">
        <f t="shared" si="69"/>
        <v>24.44</v>
      </c>
      <c r="G325" s="84">
        <f t="shared" si="70"/>
        <v>18.329999999999998</v>
      </c>
      <c r="H325" s="84">
        <f t="shared" si="71"/>
        <v>611</v>
      </c>
      <c r="I325" s="84">
        <f t="shared" si="72"/>
        <v>392.262</v>
      </c>
      <c r="J325" s="130"/>
      <c r="K325" s="130"/>
      <c r="L325" s="130"/>
      <c r="M325" s="130"/>
      <c r="N325" s="130"/>
      <c r="O325" s="84">
        <v>17252</v>
      </c>
      <c r="P325" s="84">
        <v>17863</v>
      </c>
      <c r="Q325" s="389"/>
      <c r="R325" s="390"/>
      <c r="S325" s="156">
        <v>1</v>
      </c>
      <c r="T325" s="84">
        <f>(P325-O325)*S325</f>
        <v>611</v>
      </c>
      <c r="U325" s="722" t="s">
        <v>1035</v>
      </c>
      <c r="V325" s="89" t="s">
        <v>398</v>
      </c>
      <c r="W325" s="14" t="s">
        <v>82</v>
      </c>
      <c r="X325" s="7"/>
      <c r="Y325" s="7"/>
      <c r="Z325" s="7"/>
      <c r="AA325" s="7"/>
      <c r="AB325" s="7"/>
      <c r="AC325" s="7"/>
    </row>
    <row r="326" spans="1:29" ht="25.5">
      <c r="A326" s="19"/>
      <c r="B326" s="448" t="s">
        <v>763</v>
      </c>
      <c r="C326" s="84">
        <f t="shared" si="68"/>
        <v>1628.54</v>
      </c>
      <c r="D326" s="84"/>
      <c r="E326" s="84">
        <f t="shared" si="60"/>
        <v>106.53999999999999</v>
      </c>
      <c r="F326" s="84">
        <f t="shared" si="69"/>
        <v>60.88</v>
      </c>
      <c r="G326" s="84">
        <f t="shared" si="70"/>
        <v>45.66</v>
      </c>
      <c r="H326" s="84">
        <f t="shared" si="71"/>
        <v>1522</v>
      </c>
      <c r="I326" s="84">
        <f t="shared" si="72"/>
        <v>977.12399999999991</v>
      </c>
      <c r="J326" s="130"/>
      <c r="K326" s="130"/>
      <c r="L326" s="130"/>
      <c r="M326" s="130"/>
      <c r="N326" s="130"/>
      <c r="O326" s="84">
        <v>13414</v>
      </c>
      <c r="P326" s="84">
        <v>14936</v>
      </c>
      <c r="Q326" s="389"/>
      <c r="R326" s="390"/>
      <c r="S326" s="156">
        <v>1</v>
      </c>
      <c r="T326" s="84">
        <f>(P326-O326)*S326</f>
        <v>1522</v>
      </c>
      <c r="U326" s="722" t="s">
        <v>1036</v>
      </c>
      <c r="V326" s="89" t="s">
        <v>770</v>
      </c>
      <c r="W326" s="14" t="s">
        <v>82</v>
      </c>
      <c r="X326" s="7"/>
      <c r="Y326" s="7"/>
      <c r="Z326" s="7"/>
      <c r="AA326" s="7"/>
      <c r="AB326" s="7"/>
      <c r="AC326" s="7"/>
    </row>
    <row r="327" spans="1:29" ht="25.5">
      <c r="A327" s="19"/>
      <c r="B327" s="466"/>
      <c r="C327" s="84">
        <v>0</v>
      </c>
      <c r="D327" s="84"/>
      <c r="E327" s="84"/>
      <c r="F327" s="84"/>
      <c r="G327" s="84"/>
      <c r="H327" s="84"/>
      <c r="I327" s="84"/>
      <c r="J327" s="130"/>
      <c r="K327" s="130"/>
      <c r="L327" s="130"/>
      <c r="M327" s="130"/>
      <c r="N327" s="130"/>
      <c r="O327" s="84"/>
      <c r="P327" s="84"/>
      <c r="Q327" s="389"/>
      <c r="R327" s="390"/>
      <c r="S327" s="156"/>
      <c r="T327" s="84">
        <v>0</v>
      </c>
      <c r="U327" s="722"/>
      <c r="V327" s="89" t="s">
        <v>401</v>
      </c>
      <c r="W327" s="14" t="s">
        <v>82</v>
      </c>
      <c r="X327" s="7"/>
      <c r="Y327" s="7"/>
      <c r="Z327" s="7"/>
      <c r="AA327" s="7"/>
      <c r="AB327" s="7"/>
      <c r="AC327" s="7"/>
    </row>
    <row r="328" spans="1:29" ht="26.25">
      <c r="A328" s="19"/>
      <c r="B328" s="213" t="s">
        <v>402</v>
      </c>
      <c r="C328" s="97">
        <f>SUM(C286:C327)</f>
        <v>153644.7240000001</v>
      </c>
      <c r="D328" s="91"/>
      <c r="E328" s="91"/>
      <c r="F328" s="91"/>
      <c r="G328" s="91"/>
      <c r="H328" s="91"/>
      <c r="I328" s="124">
        <f t="shared" si="72"/>
        <v>92186.834400000065</v>
      </c>
      <c r="J328" s="22"/>
      <c r="K328" s="22"/>
      <c r="L328" s="22"/>
      <c r="M328" s="22"/>
      <c r="N328" s="22"/>
      <c r="O328" s="91"/>
      <c r="P328" s="91"/>
      <c r="Q328" s="149"/>
      <c r="R328" s="161"/>
      <c r="S328" s="151"/>
      <c r="T328" s="91"/>
      <c r="U328" s="644"/>
      <c r="V328" s="782"/>
      <c r="W328" s="14"/>
      <c r="X328" s="7"/>
      <c r="Y328" s="7"/>
      <c r="Z328" s="7"/>
      <c r="AA328" s="7"/>
      <c r="AB328" s="7"/>
      <c r="AC328" s="7"/>
    </row>
    <row r="329" spans="1:29" ht="27.75">
      <c r="A329" s="19"/>
      <c r="B329" s="216" t="s">
        <v>403</v>
      </c>
      <c r="C329" s="97">
        <f>SUM(C166:C327)</f>
        <v>668070.6501999977</v>
      </c>
      <c r="D329" s="91"/>
      <c r="E329" s="113"/>
      <c r="F329" s="91"/>
      <c r="G329" s="91"/>
      <c r="H329" s="91"/>
      <c r="I329" s="115"/>
      <c r="J329" s="22"/>
      <c r="K329" s="22"/>
      <c r="L329" s="22"/>
      <c r="M329" s="22"/>
      <c r="N329" s="22"/>
      <c r="O329" s="91"/>
      <c r="P329" s="91"/>
      <c r="Q329" s="149"/>
      <c r="R329" s="161"/>
      <c r="S329" s="151"/>
      <c r="T329" s="91"/>
      <c r="U329" s="644"/>
      <c r="V329" s="782"/>
      <c r="W329" s="14"/>
      <c r="X329" s="7"/>
      <c r="Y329" s="7"/>
      <c r="Z329" s="7"/>
      <c r="AA329" s="7"/>
      <c r="AB329" s="7"/>
      <c r="AC329" s="7"/>
    </row>
    <row r="330" spans="1:29" ht="26.25">
      <c r="A330" s="19"/>
      <c r="B330" s="217"/>
      <c r="C330" s="115"/>
      <c r="D330" s="115"/>
      <c r="E330" s="112"/>
      <c r="F330" s="115"/>
      <c r="G330" s="115"/>
      <c r="H330" s="115"/>
      <c r="I330" s="115"/>
      <c r="J330" s="164"/>
      <c r="K330" s="164"/>
      <c r="L330" s="164"/>
      <c r="M330" s="164"/>
      <c r="N330" s="164"/>
      <c r="O330" s="210"/>
      <c r="P330" s="210"/>
      <c r="Q330" s="149"/>
      <c r="R330" s="211"/>
      <c r="S330" s="115"/>
      <c r="T330" s="91"/>
      <c r="U330" s="644"/>
      <c r="V330" s="782"/>
      <c r="W330" s="14"/>
      <c r="X330" s="7"/>
      <c r="Y330" s="7"/>
      <c r="Z330" s="7"/>
      <c r="AA330" s="7"/>
      <c r="AB330" s="7"/>
      <c r="AC330" s="7"/>
    </row>
    <row r="331" spans="1:29" ht="26.25">
      <c r="A331" s="19"/>
      <c r="B331" s="193" t="s">
        <v>404</v>
      </c>
      <c r="C331" s="91"/>
      <c r="D331" s="115"/>
      <c r="E331" s="115"/>
      <c r="F331" s="91"/>
      <c r="G331" s="91"/>
      <c r="H331" s="91"/>
      <c r="I331" s="91"/>
      <c r="J331" s="164"/>
      <c r="K331" s="164"/>
      <c r="L331" s="164"/>
      <c r="M331" s="164"/>
      <c r="N331" s="164"/>
      <c r="O331" s="91"/>
      <c r="P331" s="91"/>
      <c r="Q331" s="7"/>
      <c r="R331" s="94"/>
      <c r="S331" s="91"/>
      <c r="T331" s="91"/>
      <c r="U331" s="644"/>
      <c r="V331" s="782"/>
      <c r="W331" s="14"/>
      <c r="X331" s="7"/>
      <c r="Y331" s="7"/>
      <c r="Z331" s="7"/>
      <c r="AA331" s="7"/>
      <c r="AB331" s="7"/>
      <c r="AC331" s="7"/>
    </row>
    <row r="332" spans="1:29" ht="25.5">
      <c r="A332" s="19"/>
      <c r="B332" s="1"/>
      <c r="U332" s="724"/>
      <c r="V332" s="782"/>
      <c r="W332" s="14"/>
      <c r="X332" s="7"/>
      <c r="Y332" s="7"/>
      <c r="Z332" s="7"/>
      <c r="AA332" s="7"/>
      <c r="AB332" s="7"/>
      <c r="AC332" s="7"/>
    </row>
    <row r="333" spans="1:29" ht="25.5">
      <c r="A333" s="19"/>
      <c r="B333" s="27" t="s">
        <v>405</v>
      </c>
      <c r="C333" s="28">
        <f t="shared" ref="C333:C354" si="73">H333+E333</f>
        <v>0</v>
      </c>
      <c r="D333" s="28"/>
      <c r="E333" s="28">
        <f t="shared" ref="E333:E355" si="74">F333+G333</f>
        <v>0</v>
      </c>
      <c r="F333" s="28">
        <f t="shared" ref="F333:F376" si="75">0.04*H333</f>
        <v>0</v>
      </c>
      <c r="G333" s="28">
        <f t="shared" ref="G333:G376" si="76">0.03*H333</f>
        <v>0</v>
      </c>
      <c r="H333" s="28">
        <f t="shared" ref="H333:H367" si="77">T333</f>
        <v>0</v>
      </c>
      <c r="I333" s="28">
        <f t="shared" ref="I333:I342" si="78">0.6*C333</f>
        <v>0</v>
      </c>
      <c r="J333" s="29"/>
      <c r="K333" s="29"/>
      <c r="L333" s="29"/>
      <c r="M333" s="29"/>
      <c r="N333" s="29"/>
      <c r="O333" s="28">
        <v>12350</v>
      </c>
      <c r="P333" s="28">
        <v>12350</v>
      </c>
      <c r="Q333" s="29"/>
      <c r="R333" s="348"/>
      <c r="S333" s="54">
        <v>1</v>
      </c>
      <c r="T333" s="28">
        <f t="shared" ref="T333:T348" si="79">(P333-O333)*S333</f>
        <v>0</v>
      </c>
      <c r="U333" s="455">
        <v>55953</v>
      </c>
      <c r="V333" s="783" t="s">
        <v>406</v>
      </c>
      <c r="W333" s="14" t="s">
        <v>212</v>
      </c>
      <c r="X333" s="7"/>
      <c r="Y333" s="7"/>
      <c r="Z333" s="7"/>
      <c r="AA333" s="7"/>
      <c r="AB333" s="7"/>
      <c r="AC333" s="7"/>
    </row>
    <row r="334" spans="1:29" ht="25.5">
      <c r="A334" s="19"/>
      <c r="B334" s="27" t="s">
        <v>407</v>
      </c>
      <c r="C334" s="28">
        <f t="shared" si="73"/>
        <v>343.47</v>
      </c>
      <c r="D334" s="28"/>
      <c r="E334" s="28">
        <f t="shared" si="74"/>
        <v>22.47</v>
      </c>
      <c r="F334" s="28">
        <f t="shared" si="75"/>
        <v>12.84</v>
      </c>
      <c r="G334" s="28">
        <f t="shared" si="76"/>
        <v>9.629999999999999</v>
      </c>
      <c r="H334" s="28">
        <f t="shared" si="77"/>
        <v>321</v>
      </c>
      <c r="I334" s="28">
        <f t="shared" si="78"/>
        <v>206.08200000000002</v>
      </c>
      <c r="J334" s="29"/>
      <c r="K334" s="29"/>
      <c r="L334" s="29"/>
      <c r="M334" s="29"/>
      <c r="N334" s="29"/>
      <c r="O334" s="28">
        <v>17920</v>
      </c>
      <c r="P334" s="28">
        <v>18241</v>
      </c>
      <c r="Q334" s="29"/>
      <c r="R334" s="348"/>
      <c r="S334" s="54">
        <v>1</v>
      </c>
      <c r="T334" s="28">
        <f t="shared" si="79"/>
        <v>321</v>
      </c>
      <c r="U334" s="455">
        <v>1485</v>
      </c>
      <c r="V334" s="783" t="s">
        <v>408</v>
      </c>
      <c r="W334" s="14" t="s">
        <v>212</v>
      </c>
      <c r="X334" s="7"/>
      <c r="Y334" s="7"/>
      <c r="Z334" s="7"/>
      <c r="AA334" s="7"/>
      <c r="AB334" s="7"/>
      <c r="AC334" s="7"/>
    </row>
    <row r="335" spans="1:29" ht="25.5">
      <c r="A335" s="19"/>
      <c r="B335" s="454" t="s">
        <v>826</v>
      </c>
      <c r="C335" s="28">
        <f t="shared" si="73"/>
        <v>80.25</v>
      </c>
      <c r="D335" s="28"/>
      <c r="E335" s="28">
        <f t="shared" si="74"/>
        <v>5.25</v>
      </c>
      <c r="F335" s="28">
        <f t="shared" si="75"/>
        <v>3</v>
      </c>
      <c r="G335" s="28">
        <f t="shared" si="76"/>
        <v>2.25</v>
      </c>
      <c r="H335" s="28">
        <f t="shared" si="77"/>
        <v>75</v>
      </c>
      <c r="I335" s="28">
        <f t="shared" si="78"/>
        <v>48.15</v>
      </c>
      <c r="J335" s="29"/>
      <c r="K335" s="29"/>
      <c r="L335" s="29"/>
      <c r="M335" s="29"/>
      <c r="N335" s="29"/>
      <c r="O335" s="28">
        <v>15717</v>
      </c>
      <c r="P335" s="28">
        <v>15792</v>
      </c>
      <c r="Q335" s="29"/>
      <c r="R335" s="348"/>
      <c r="S335" s="54">
        <v>1</v>
      </c>
      <c r="T335" s="28">
        <f t="shared" si="79"/>
        <v>75</v>
      </c>
      <c r="U335" s="455"/>
      <c r="V335" s="783" t="s">
        <v>931</v>
      </c>
      <c r="W335" s="14" t="s">
        <v>212</v>
      </c>
      <c r="X335" s="7"/>
      <c r="Y335" s="7"/>
      <c r="Z335" s="7"/>
      <c r="AA335" s="7"/>
      <c r="AB335" s="7"/>
      <c r="AC335" s="7"/>
    </row>
    <row r="336" spans="1:29" ht="25.5">
      <c r="A336" s="19"/>
      <c r="B336" s="454" t="s">
        <v>409</v>
      </c>
      <c r="C336" s="28">
        <f t="shared" si="73"/>
        <v>1270.0899999999999</v>
      </c>
      <c r="D336" s="28"/>
      <c r="E336" s="28">
        <f t="shared" si="74"/>
        <v>83.09</v>
      </c>
      <c r="F336" s="28">
        <f t="shared" si="75"/>
        <v>47.480000000000004</v>
      </c>
      <c r="G336" s="28">
        <f t="shared" si="76"/>
        <v>35.61</v>
      </c>
      <c r="H336" s="28">
        <f t="shared" si="77"/>
        <v>1187</v>
      </c>
      <c r="I336" s="28">
        <f t="shared" si="78"/>
        <v>762.05399999999997</v>
      </c>
      <c r="J336" s="29"/>
      <c r="K336" s="29"/>
      <c r="L336" s="29"/>
      <c r="M336" s="29"/>
      <c r="N336" s="29"/>
      <c r="O336" s="414">
        <f>36843+71968</f>
        <v>108811</v>
      </c>
      <c r="P336" s="414">
        <f>72894+37104</f>
        <v>109998</v>
      </c>
      <c r="Q336" s="29"/>
      <c r="R336" s="348"/>
      <c r="S336" s="54">
        <v>1</v>
      </c>
      <c r="T336" s="28">
        <f t="shared" si="79"/>
        <v>1187</v>
      </c>
      <c r="U336" s="455" t="s">
        <v>1169</v>
      </c>
      <c r="V336" s="783" t="s">
        <v>1166</v>
      </c>
      <c r="W336" s="14" t="s">
        <v>212</v>
      </c>
      <c r="X336" s="7"/>
      <c r="Y336" s="7"/>
      <c r="Z336" s="7"/>
      <c r="AA336" s="7"/>
      <c r="AB336" s="7"/>
      <c r="AC336" s="7"/>
    </row>
    <row r="337" spans="1:29" ht="25.5">
      <c r="A337" s="19"/>
      <c r="B337" s="471" t="s">
        <v>411</v>
      </c>
      <c r="C337" s="28">
        <f t="shared" si="73"/>
        <v>218.28</v>
      </c>
      <c r="D337" s="28"/>
      <c r="E337" s="28">
        <f t="shared" si="74"/>
        <v>14.280000000000001</v>
      </c>
      <c r="F337" s="28">
        <f t="shared" si="75"/>
        <v>8.16</v>
      </c>
      <c r="G337" s="28">
        <f t="shared" si="76"/>
        <v>6.12</v>
      </c>
      <c r="H337" s="28">
        <f t="shared" si="77"/>
        <v>204</v>
      </c>
      <c r="I337" s="28">
        <f t="shared" si="78"/>
        <v>130.96799999999999</v>
      </c>
      <c r="J337" s="29"/>
      <c r="K337" s="29"/>
      <c r="L337" s="29"/>
      <c r="M337" s="29"/>
      <c r="N337" s="29"/>
      <c r="O337" s="28">
        <v>1994</v>
      </c>
      <c r="P337" s="28">
        <v>2198</v>
      </c>
      <c r="Q337" s="29"/>
      <c r="R337" s="348"/>
      <c r="S337" s="54">
        <v>1</v>
      </c>
      <c r="T337" s="28">
        <f>(P337-O337)*S337</f>
        <v>204</v>
      </c>
      <c r="U337" s="455" t="s">
        <v>781</v>
      </c>
      <c r="V337" s="783" t="s">
        <v>780</v>
      </c>
      <c r="W337" s="14" t="s">
        <v>212</v>
      </c>
      <c r="X337" s="7"/>
      <c r="Y337" s="7"/>
      <c r="Z337" s="7"/>
      <c r="AA337" s="7"/>
      <c r="AB337" s="7"/>
      <c r="AC337" s="7"/>
    </row>
    <row r="338" spans="1:29" ht="25.5">
      <c r="A338" s="19"/>
      <c r="B338" s="472" t="s">
        <v>412</v>
      </c>
      <c r="C338" s="28">
        <f t="shared" si="73"/>
        <v>85.6</v>
      </c>
      <c r="D338" s="28"/>
      <c r="E338" s="28">
        <f t="shared" si="74"/>
        <v>5.6</v>
      </c>
      <c r="F338" s="28">
        <f t="shared" si="75"/>
        <v>3.2</v>
      </c>
      <c r="G338" s="28">
        <f t="shared" si="76"/>
        <v>2.4</v>
      </c>
      <c r="H338" s="28">
        <f t="shared" si="77"/>
        <v>80</v>
      </c>
      <c r="I338" s="28">
        <f t="shared" si="78"/>
        <v>51.359999999999992</v>
      </c>
      <c r="J338" s="29"/>
      <c r="K338" s="29"/>
      <c r="L338" s="29"/>
      <c r="M338" s="29"/>
      <c r="N338" s="29"/>
      <c r="O338" s="28">
        <v>1509</v>
      </c>
      <c r="P338" s="28">
        <v>1589</v>
      </c>
      <c r="Q338" s="29"/>
      <c r="R338" s="348"/>
      <c r="S338" s="54">
        <v>1</v>
      </c>
      <c r="T338" s="28">
        <f>(P338-O338)*S338</f>
        <v>80</v>
      </c>
      <c r="U338" s="455" t="s">
        <v>782</v>
      </c>
      <c r="V338" s="783" t="s">
        <v>413</v>
      </c>
      <c r="W338" s="14" t="s">
        <v>212</v>
      </c>
      <c r="X338" s="7"/>
      <c r="Y338" s="7"/>
      <c r="Z338" s="7"/>
      <c r="AA338" s="7"/>
      <c r="AB338" s="7"/>
      <c r="AC338" s="7"/>
    </row>
    <row r="339" spans="1:29" ht="25.5">
      <c r="A339" s="19"/>
      <c r="B339" s="472" t="s">
        <v>414</v>
      </c>
      <c r="C339" s="28">
        <f t="shared" si="73"/>
        <v>101.65</v>
      </c>
      <c r="D339" s="28"/>
      <c r="E339" s="28">
        <f t="shared" si="74"/>
        <v>6.65</v>
      </c>
      <c r="F339" s="28">
        <f t="shared" si="75"/>
        <v>3.8000000000000003</v>
      </c>
      <c r="G339" s="28">
        <f t="shared" si="76"/>
        <v>2.85</v>
      </c>
      <c r="H339" s="28">
        <f t="shared" si="77"/>
        <v>95</v>
      </c>
      <c r="I339" s="28">
        <f t="shared" si="78"/>
        <v>60.99</v>
      </c>
      <c r="J339" s="29"/>
      <c r="K339" s="29"/>
      <c r="L339" s="29"/>
      <c r="M339" s="29"/>
      <c r="N339" s="29"/>
      <c r="O339" s="28">
        <v>4546</v>
      </c>
      <c r="P339" s="28">
        <v>4641</v>
      </c>
      <c r="Q339" s="29"/>
      <c r="R339" s="348"/>
      <c r="S339" s="54">
        <v>1</v>
      </c>
      <c r="T339" s="28">
        <f>(P339-O339)*S339</f>
        <v>95</v>
      </c>
      <c r="U339" s="455" t="s">
        <v>783</v>
      </c>
      <c r="V339" s="783" t="s">
        <v>415</v>
      </c>
      <c r="W339" s="14" t="s">
        <v>212</v>
      </c>
      <c r="X339" s="7"/>
      <c r="Y339" s="7"/>
      <c r="Z339" s="7"/>
      <c r="AA339" s="7"/>
      <c r="AB339" s="7"/>
      <c r="AC339" s="7"/>
    </row>
    <row r="340" spans="1:29" ht="25.5">
      <c r="A340" s="19"/>
      <c r="B340" s="534" t="s">
        <v>828</v>
      </c>
      <c r="C340" s="28">
        <f t="shared" si="73"/>
        <v>178.69</v>
      </c>
      <c r="D340" s="28"/>
      <c r="E340" s="28">
        <f t="shared" si="74"/>
        <v>11.69</v>
      </c>
      <c r="F340" s="28">
        <f t="shared" si="75"/>
        <v>6.68</v>
      </c>
      <c r="G340" s="28">
        <f t="shared" si="76"/>
        <v>5.01</v>
      </c>
      <c r="H340" s="28">
        <f t="shared" si="77"/>
        <v>167</v>
      </c>
      <c r="I340" s="28">
        <f t="shared" si="78"/>
        <v>107.214</v>
      </c>
      <c r="J340" s="29"/>
      <c r="K340" s="29"/>
      <c r="L340" s="29"/>
      <c r="M340" s="29"/>
      <c r="N340" s="29"/>
      <c r="O340" s="28">
        <v>1560</v>
      </c>
      <c r="P340" s="28">
        <v>1727</v>
      </c>
      <c r="Q340" s="29"/>
      <c r="R340" s="348"/>
      <c r="S340" s="54">
        <v>1</v>
      </c>
      <c r="T340" s="28">
        <f>(P340-O340)*S340</f>
        <v>167</v>
      </c>
      <c r="U340" s="455" t="s">
        <v>784</v>
      </c>
      <c r="V340" s="783" t="s">
        <v>819</v>
      </c>
      <c r="W340" s="14" t="s">
        <v>212</v>
      </c>
      <c r="X340" s="7"/>
      <c r="Y340" s="7"/>
      <c r="Z340" s="7"/>
      <c r="AA340" s="7"/>
      <c r="AB340" s="7"/>
      <c r="AC340" s="7"/>
    </row>
    <row r="341" spans="1:29" ht="27" customHeight="1">
      <c r="A341" s="19"/>
      <c r="B341" s="413" t="s">
        <v>416</v>
      </c>
      <c r="C341" s="414">
        <f t="shared" si="73"/>
        <v>1480.88</v>
      </c>
      <c r="D341" s="414"/>
      <c r="E341" s="414">
        <f t="shared" si="74"/>
        <v>96.88</v>
      </c>
      <c r="F341" s="414">
        <f t="shared" si="75"/>
        <v>55.36</v>
      </c>
      <c r="G341" s="414">
        <f t="shared" si="76"/>
        <v>41.519999999999996</v>
      </c>
      <c r="H341" s="414">
        <f t="shared" si="77"/>
        <v>1384</v>
      </c>
      <c r="I341" s="414">
        <f t="shared" si="78"/>
        <v>888.52800000000002</v>
      </c>
      <c r="J341" s="415"/>
      <c r="K341" s="415"/>
      <c r="L341" s="415"/>
      <c r="M341" s="415"/>
      <c r="N341" s="415" t="s">
        <v>417</v>
      </c>
      <c r="O341" s="414">
        <f>33155+34029+7005</f>
        <v>74189</v>
      </c>
      <c r="P341" s="414">
        <f>7680+34350+33543</f>
        <v>75573</v>
      </c>
      <c r="Q341" s="422"/>
      <c r="R341" s="473"/>
      <c r="S341" s="414">
        <v>1</v>
      </c>
      <c r="T341" s="414">
        <f>(P341-O341)*S341</f>
        <v>1384</v>
      </c>
      <c r="U341" s="455">
        <v>9516</v>
      </c>
      <c r="V341" s="783" t="s">
        <v>820</v>
      </c>
      <c r="W341" s="14" t="s">
        <v>212</v>
      </c>
      <c r="X341" s="7"/>
      <c r="Y341" s="7"/>
      <c r="Z341" s="7"/>
      <c r="AA341" s="7"/>
      <c r="AB341" s="7"/>
      <c r="AC341" s="7"/>
    </row>
    <row r="342" spans="1:29" s="195" customFormat="1" ht="26.25" customHeight="1">
      <c r="A342" s="194"/>
      <c r="B342" s="454" t="s">
        <v>827</v>
      </c>
      <c r="C342" s="28">
        <f t="shared" si="73"/>
        <v>512.53</v>
      </c>
      <c r="D342" s="28"/>
      <c r="E342" s="28">
        <f t="shared" si="74"/>
        <v>33.53</v>
      </c>
      <c r="F342" s="360">
        <f t="shared" si="75"/>
        <v>19.16</v>
      </c>
      <c r="G342" s="28">
        <f t="shared" si="76"/>
        <v>14.37</v>
      </c>
      <c r="H342" s="28">
        <f t="shared" si="77"/>
        <v>479</v>
      </c>
      <c r="I342" s="28">
        <f t="shared" si="78"/>
        <v>307.51799999999997</v>
      </c>
      <c r="J342" s="29"/>
      <c r="K342" s="29"/>
      <c r="L342" s="29"/>
      <c r="M342" s="29"/>
      <c r="N342" s="29"/>
      <c r="O342" s="28">
        <v>54802</v>
      </c>
      <c r="P342" s="28">
        <v>55281</v>
      </c>
      <c r="Q342" s="30"/>
      <c r="R342" s="71"/>
      <c r="S342" s="54">
        <v>1</v>
      </c>
      <c r="T342" s="28">
        <f t="shared" si="79"/>
        <v>479</v>
      </c>
      <c r="U342" s="455"/>
      <c r="V342" s="783" t="s">
        <v>821</v>
      </c>
      <c r="W342" s="191" t="s">
        <v>212</v>
      </c>
      <c r="X342" s="86"/>
      <c r="Y342" s="86"/>
      <c r="Z342" s="86"/>
      <c r="AA342" s="86"/>
      <c r="AB342" s="86"/>
      <c r="AC342" s="86"/>
    </row>
    <row r="343" spans="1:29" ht="25.5">
      <c r="A343" s="19"/>
      <c r="B343" s="27" t="s">
        <v>825</v>
      </c>
      <c r="C343" s="28">
        <f t="shared" si="73"/>
        <v>7767.13</v>
      </c>
      <c r="D343" s="28"/>
      <c r="E343" s="28">
        <f t="shared" si="74"/>
        <v>508.13</v>
      </c>
      <c r="F343" s="360">
        <f t="shared" si="75"/>
        <v>290.36</v>
      </c>
      <c r="G343" s="28">
        <f t="shared" si="76"/>
        <v>217.76999999999998</v>
      </c>
      <c r="H343" s="28">
        <f t="shared" si="77"/>
        <v>7259</v>
      </c>
      <c r="I343" s="28">
        <f>0.5*C343</f>
        <v>3883.5650000000001</v>
      </c>
      <c r="J343" s="29"/>
      <c r="K343" s="29"/>
      <c r="L343" s="29"/>
      <c r="M343" s="29"/>
      <c r="N343" s="29"/>
      <c r="O343" s="28">
        <f>108955+1550+363460</f>
        <v>473965</v>
      </c>
      <c r="P343" s="28">
        <f>369407+1570+110247</f>
        <v>481224</v>
      </c>
      <c r="Q343" s="30"/>
      <c r="R343" s="71"/>
      <c r="S343" s="54">
        <v>1</v>
      </c>
      <c r="T343" s="28">
        <f t="shared" si="79"/>
        <v>7259</v>
      </c>
      <c r="U343" s="455" t="s">
        <v>418</v>
      </c>
      <c r="V343" s="783" t="s">
        <v>419</v>
      </c>
      <c r="W343" s="14" t="s">
        <v>212</v>
      </c>
      <c r="X343" s="7"/>
      <c r="Y343" s="7"/>
      <c r="Z343" s="7"/>
      <c r="AA343" s="7"/>
      <c r="AB343" s="7"/>
      <c r="AC343" s="7"/>
    </row>
    <row r="344" spans="1:29" ht="25.5">
      <c r="A344" s="19"/>
      <c r="B344" s="27" t="s">
        <v>829</v>
      </c>
      <c r="C344" s="28">
        <f t="shared" si="73"/>
        <v>344.54</v>
      </c>
      <c r="D344" s="28"/>
      <c r="E344" s="28">
        <f t="shared" si="74"/>
        <v>22.54</v>
      </c>
      <c r="F344" s="360">
        <f t="shared" si="75"/>
        <v>12.88</v>
      </c>
      <c r="G344" s="28">
        <f t="shared" si="76"/>
        <v>9.66</v>
      </c>
      <c r="H344" s="28">
        <f t="shared" si="77"/>
        <v>322</v>
      </c>
      <c r="I344" s="28">
        <f>0.5*C344</f>
        <v>172.27</v>
      </c>
      <c r="J344" s="29"/>
      <c r="K344" s="29"/>
      <c r="L344" s="29"/>
      <c r="M344" s="29"/>
      <c r="N344" s="29"/>
      <c r="O344" s="28">
        <v>6466</v>
      </c>
      <c r="P344" s="28">
        <v>6788</v>
      </c>
      <c r="Q344" s="30"/>
      <c r="R344" s="71"/>
      <c r="S344" s="54">
        <v>1</v>
      </c>
      <c r="T344" s="28">
        <f t="shared" si="79"/>
        <v>322</v>
      </c>
      <c r="U344" s="455"/>
      <c r="V344" s="474" t="s">
        <v>822</v>
      </c>
      <c r="W344" s="14" t="s">
        <v>212</v>
      </c>
      <c r="X344" s="7"/>
      <c r="Y344" s="7"/>
      <c r="Z344" s="7"/>
      <c r="AA344" s="7"/>
      <c r="AB344" s="7"/>
      <c r="AC344" s="7"/>
    </row>
    <row r="345" spans="1:29" ht="25.5">
      <c r="A345" s="19"/>
      <c r="B345" s="27" t="s">
        <v>420</v>
      </c>
      <c r="C345" s="28">
        <f t="shared" si="73"/>
        <v>136.96</v>
      </c>
      <c r="D345" s="28"/>
      <c r="E345" s="28">
        <f t="shared" si="74"/>
        <v>8.9600000000000009</v>
      </c>
      <c r="F345" s="28">
        <f t="shared" si="75"/>
        <v>5.12</v>
      </c>
      <c r="G345" s="28">
        <f t="shared" si="76"/>
        <v>3.84</v>
      </c>
      <c r="H345" s="28">
        <f t="shared" si="77"/>
        <v>128</v>
      </c>
      <c r="I345" s="28">
        <f>0.6*C345</f>
        <v>82.176000000000002</v>
      </c>
      <c r="J345" s="29"/>
      <c r="K345" s="29"/>
      <c r="L345" s="29"/>
      <c r="M345" s="29"/>
      <c r="N345" s="29" t="s">
        <v>421</v>
      </c>
      <c r="O345" s="28">
        <f>68756+33305</f>
        <v>102061</v>
      </c>
      <c r="P345" s="28">
        <f>68756+33433</f>
        <v>102189</v>
      </c>
      <c r="Q345" s="146"/>
      <c r="R345" s="61"/>
      <c r="S345" s="54">
        <v>1</v>
      </c>
      <c r="T345" s="28">
        <f t="shared" si="79"/>
        <v>128</v>
      </c>
      <c r="U345" s="753" t="s">
        <v>422</v>
      </c>
      <c r="V345" s="474" t="s">
        <v>423</v>
      </c>
      <c r="W345" s="14" t="s">
        <v>212</v>
      </c>
      <c r="X345" s="7"/>
      <c r="Y345" s="7"/>
      <c r="Z345" s="7"/>
      <c r="AA345" s="7"/>
      <c r="AB345" s="7"/>
      <c r="AC345" s="7"/>
    </row>
    <row r="346" spans="1:29" s="195" customFormat="1" ht="25.5">
      <c r="A346" s="194"/>
      <c r="B346" s="27" t="s">
        <v>424</v>
      </c>
      <c r="C346" s="28">
        <f t="shared" si="73"/>
        <v>93.09</v>
      </c>
      <c r="D346" s="28"/>
      <c r="E346" s="28">
        <f t="shared" si="74"/>
        <v>6.09</v>
      </c>
      <c r="F346" s="470">
        <f t="shared" si="75"/>
        <v>3.48</v>
      </c>
      <c r="G346" s="28">
        <f t="shared" si="76"/>
        <v>2.61</v>
      </c>
      <c r="H346" s="28">
        <f t="shared" si="77"/>
        <v>87</v>
      </c>
      <c r="I346" s="28">
        <f>0.6*C346</f>
        <v>55.853999999999999</v>
      </c>
      <c r="J346" s="29"/>
      <c r="K346" s="29"/>
      <c r="L346" s="29"/>
      <c r="M346" s="29"/>
      <c r="N346" s="29"/>
      <c r="O346" s="28">
        <v>11659</v>
      </c>
      <c r="P346" s="28">
        <v>11746</v>
      </c>
      <c r="Q346" s="30"/>
      <c r="R346" s="71"/>
      <c r="S346" s="54">
        <v>1</v>
      </c>
      <c r="T346" s="28">
        <f t="shared" si="79"/>
        <v>87</v>
      </c>
      <c r="U346" s="455"/>
      <c r="V346" s="783" t="s">
        <v>425</v>
      </c>
      <c r="W346" s="191" t="s">
        <v>212</v>
      </c>
      <c r="X346" s="86"/>
      <c r="Y346" s="86"/>
      <c r="Z346" s="86"/>
      <c r="AA346" s="86"/>
      <c r="AB346" s="86"/>
      <c r="AC346" s="86"/>
    </row>
    <row r="347" spans="1:29" ht="25.5">
      <c r="A347" s="19"/>
      <c r="B347" s="476" t="s">
        <v>426</v>
      </c>
      <c r="C347" s="43">
        <f t="shared" si="73"/>
        <v>101.65</v>
      </c>
      <c r="D347" s="43"/>
      <c r="E347" s="43">
        <f t="shared" si="74"/>
        <v>6.65</v>
      </c>
      <c r="F347" s="43">
        <f t="shared" si="75"/>
        <v>3.8000000000000003</v>
      </c>
      <c r="G347" s="43">
        <f t="shared" si="76"/>
        <v>2.85</v>
      </c>
      <c r="H347" s="43">
        <f t="shared" si="77"/>
        <v>95</v>
      </c>
      <c r="I347" s="43">
        <f>0.4*C347</f>
        <v>40.660000000000004</v>
      </c>
      <c r="J347" s="355"/>
      <c r="K347" s="355"/>
      <c r="L347" s="355"/>
      <c r="M347" s="355"/>
      <c r="N347" s="355"/>
      <c r="O347" s="43">
        <v>2885</v>
      </c>
      <c r="P347" s="43">
        <v>2980</v>
      </c>
      <c r="Q347" s="436"/>
      <c r="R347" s="356"/>
      <c r="S347" s="477">
        <v>1</v>
      </c>
      <c r="T347" s="43">
        <f t="shared" si="79"/>
        <v>95</v>
      </c>
      <c r="U347" s="736"/>
      <c r="V347" s="478" t="s">
        <v>427</v>
      </c>
      <c r="W347" s="14" t="s">
        <v>212</v>
      </c>
      <c r="X347" s="7"/>
      <c r="Y347" s="7"/>
      <c r="Z347" s="7"/>
      <c r="AA347" s="7"/>
      <c r="AB347" s="7"/>
      <c r="AC347" s="7"/>
    </row>
    <row r="348" spans="1:29" ht="24" customHeight="1">
      <c r="A348" s="19"/>
      <c r="B348" s="27" t="s">
        <v>947</v>
      </c>
      <c r="C348" s="28">
        <f t="shared" si="73"/>
        <v>256.8</v>
      </c>
      <c r="D348" s="28"/>
      <c r="E348" s="28">
        <f t="shared" si="74"/>
        <v>16.799999999999997</v>
      </c>
      <c r="F348" s="28">
        <f t="shared" si="75"/>
        <v>9.6</v>
      </c>
      <c r="G348" s="28">
        <f t="shared" si="76"/>
        <v>7.1999999999999993</v>
      </c>
      <c r="H348" s="28">
        <f t="shared" si="77"/>
        <v>240</v>
      </c>
      <c r="I348" s="28">
        <f>0.6*C348</f>
        <v>154.08000000000001</v>
      </c>
      <c r="J348" s="29"/>
      <c r="K348" s="29"/>
      <c r="L348" s="29"/>
      <c r="M348" s="29"/>
      <c r="N348" s="29"/>
      <c r="O348" s="28">
        <v>3514</v>
      </c>
      <c r="P348" s="28">
        <v>3754</v>
      </c>
      <c r="Q348" s="29"/>
      <c r="R348" s="348"/>
      <c r="S348" s="28">
        <v>1</v>
      </c>
      <c r="T348" s="28">
        <f t="shared" si="79"/>
        <v>240</v>
      </c>
      <c r="U348" s="455"/>
      <c r="V348" s="474" t="s">
        <v>429</v>
      </c>
      <c r="W348" s="14" t="s">
        <v>212</v>
      </c>
      <c r="X348" s="7"/>
      <c r="Y348" s="7"/>
      <c r="Z348" s="7"/>
      <c r="AA348" s="7"/>
      <c r="AB348" s="7"/>
      <c r="AC348" s="7"/>
    </row>
    <row r="349" spans="1:29" s="195" customFormat="1" ht="25.5">
      <c r="A349" s="194"/>
      <c r="B349" s="148" t="s">
        <v>430</v>
      </c>
      <c r="C349" s="91">
        <f>H349+E349</f>
        <v>-53.5</v>
      </c>
      <c r="D349" s="91"/>
      <c r="E349" s="91">
        <f t="shared" si="74"/>
        <v>-3.5</v>
      </c>
      <c r="F349" s="91">
        <f t="shared" si="75"/>
        <v>-2</v>
      </c>
      <c r="G349" s="91">
        <f t="shared" si="76"/>
        <v>-1.5</v>
      </c>
      <c r="H349" s="91">
        <f>T349</f>
        <v>-50</v>
      </c>
      <c r="I349" s="91">
        <f>0.6*C349</f>
        <v>-32.1</v>
      </c>
      <c r="J349" s="22"/>
      <c r="K349" s="22"/>
      <c r="L349" s="22"/>
      <c r="M349" s="22"/>
      <c r="N349" s="22"/>
      <c r="O349" s="91">
        <v>7166</v>
      </c>
      <c r="P349" s="91">
        <v>7211</v>
      </c>
      <c r="Q349" s="22"/>
      <c r="R349" s="142"/>
      <c r="S349" s="91">
        <v>1</v>
      </c>
      <c r="T349" s="91">
        <f>(P349-O349)*S349-T347</f>
        <v>-50</v>
      </c>
      <c r="U349" s="644">
        <v>6099</v>
      </c>
      <c r="V349" s="782" t="s">
        <v>431</v>
      </c>
      <c r="W349" s="191" t="s">
        <v>212</v>
      </c>
      <c r="X349" s="86"/>
      <c r="Y349" s="86"/>
      <c r="Z349" s="86"/>
      <c r="AA349" s="86"/>
      <c r="AB349" s="86"/>
      <c r="AC349" s="86"/>
    </row>
    <row r="350" spans="1:29" ht="25.5">
      <c r="A350" s="19"/>
      <c r="B350" s="148" t="s">
        <v>934</v>
      </c>
      <c r="C350" s="91">
        <f>H350+E350</f>
        <v>0</v>
      </c>
      <c r="D350" s="91"/>
      <c r="E350" s="91">
        <f t="shared" si="74"/>
        <v>0</v>
      </c>
      <c r="F350" s="91">
        <f t="shared" si="75"/>
        <v>0</v>
      </c>
      <c r="G350" s="91">
        <f t="shared" si="76"/>
        <v>0</v>
      </c>
      <c r="H350" s="91">
        <f t="shared" si="77"/>
        <v>0</v>
      </c>
      <c r="I350" s="91">
        <f>0.6*C350</f>
        <v>0</v>
      </c>
      <c r="J350" s="22"/>
      <c r="K350" s="22"/>
      <c r="L350" s="22"/>
      <c r="M350" s="22"/>
      <c r="N350" s="22"/>
      <c r="O350" s="91">
        <v>1050</v>
      </c>
      <c r="P350" s="91">
        <v>1050</v>
      </c>
      <c r="Q350" s="22" t="s">
        <v>37</v>
      </c>
      <c r="R350" s="142"/>
      <c r="S350" s="151">
        <v>1</v>
      </c>
      <c r="T350" s="91">
        <f t="shared" ref="T350:T361" si="80">(P350-O350)*S350</f>
        <v>0</v>
      </c>
      <c r="U350" s="644">
        <v>451396</v>
      </c>
      <c r="V350" s="782" t="s">
        <v>944</v>
      </c>
      <c r="W350" s="14" t="s">
        <v>212</v>
      </c>
      <c r="X350" s="7"/>
      <c r="Y350" s="7"/>
      <c r="Z350" s="7"/>
      <c r="AA350" s="7"/>
      <c r="AB350" s="7"/>
      <c r="AC350" s="7"/>
    </row>
    <row r="351" spans="1:29" ht="25.5">
      <c r="A351" s="19"/>
      <c r="B351" s="27" t="s">
        <v>830</v>
      </c>
      <c r="C351" s="28">
        <f t="shared" si="73"/>
        <v>173.34</v>
      </c>
      <c r="D351" s="28"/>
      <c r="E351" s="28">
        <f t="shared" si="74"/>
        <v>11.34</v>
      </c>
      <c r="F351" s="28">
        <f t="shared" si="75"/>
        <v>6.48</v>
      </c>
      <c r="G351" s="28">
        <f t="shared" si="76"/>
        <v>4.8599999999999994</v>
      </c>
      <c r="H351" s="28">
        <f t="shared" si="77"/>
        <v>162</v>
      </c>
      <c r="I351" s="28">
        <f>0.6*C351</f>
        <v>104.004</v>
      </c>
      <c r="J351" s="29"/>
      <c r="K351" s="29"/>
      <c r="L351" s="29"/>
      <c r="M351" s="29"/>
      <c r="N351" s="29"/>
      <c r="O351" s="28">
        <v>6980</v>
      </c>
      <c r="P351" s="28">
        <v>7142</v>
      </c>
      <c r="Q351" s="29" t="s">
        <v>37</v>
      </c>
      <c r="R351" s="348"/>
      <c r="S351" s="54">
        <v>1</v>
      </c>
      <c r="T351" s="28">
        <f t="shared" si="80"/>
        <v>162</v>
      </c>
      <c r="U351" s="455">
        <v>451396</v>
      </c>
      <c r="V351" s="783" t="s">
        <v>434</v>
      </c>
      <c r="W351" s="14" t="s">
        <v>212</v>
      </c>
      <c r="X351" s="7"/>
      <c r="Y351" s="7"/>
      <c r="Z351" s="7"/>
      <c r="AA351" s="7"/>
      <c r="AB351" s="7"/>
      <c r="AC351" s="7"/>
    </row>
    <row r="352" spans="1:29" ht="25.5">
      <c r="A352" s="19"/>
      <c r="B352" s="27" t="s">
        <v>1172</v>
      </c>
      <c r="C352" s="28">
        <f>H352+E352</f>
        <v>0</v>
      </c>
      <c r="D352" s="28"/>
      <c r="E352" s="28">
        <f>F352+G352</f>
        <v>0</v>
      </c>
      <c r="F352" s="28">
        <f>0.04*H352</f>
        <v>0</v>
      </c>
      <c r="G352" s="28">
        <f>0.03*H352</f>
        <v>0</v>
      </c>
      <c r="H352" s="28">
        <f>T352</f>
        <v>0</v>
      </c>
      <c r="I352" s="28">
        <f>0.6*C352</f>
        <v>0</v>
      </c>
      <c r="J352" s="29"/>
      <c r="K352" s="29"/>
      <c r="L352" s="29"/>
      <c r="M352" s="29"/>
      <c r="N352" s="29"/>
      <c r="O352" s="28">
        <v>10405</v>
      </c>
      <c r="P352" s="28">
        <v>10405</v>
      </c>
      <c r="Q352" s="29"/>
      <c r="R352" s="348"/>
      <c r="S352" s="54">
        <v>1</v>
      </c>
      <c r="T352" s="28">
        <f>(P352-O352)*S352</f>
        <v>0</v>
      </c>
      <c r="U352" s="455"/>
      <c r="V352" s="783" t="s">
        <v>1171</v>
      </c>
      <c r="W352" s="14" t="s">
        <v>212</v>
      </c>
      <c r="X352" s="7"/>
      <c r="Y352" s="7"/>
      <c r="Z352" s="7"/>
      <c r="AA352" s="7"/>
      <c r="AB352" s="7"/>
      <c r="AC352" s="7"/>
    </row>
    <row r="353" spans="1:29" ht="25.5">
      <c r="A353" s="19"/>
      <c r="B353" s="27" t="s">
        <v>1158</v>
      </c>
      <c r="C353" s="28">
        <f t="shared" si="73"/>
        <v>23.54</v>
      </c>
      <c r="D353" s="28"/>
      <c r="E353" s="28">
        <f t="shared" si="74"/>
        <v>1.54</v>
      </c>
      <c r="F353" s="28">
        <f t="shared" si="75"/>
        <v>0.88</v>
      </c>
      <c r="G353" s="28">
        <f t="shared" si="76"/>
        <v>0.65999999999999992</v>
      </c>
      <c r="H353" s="28">
        <f t="shared" si="77"/>
        <v>22</v>
      </c>
      <c r="I353" s="28">
        <f>0.4*C353</f>
        <v>9.4160000000000004</v>
      </c>
      <c r="J353" s="29"/>
      <c r="K353" s="29"/>
      <c r="L353" s="29"/>
      <c r="M353" s="29"/>
      <c r="N353" s="29"/>
      <c r="O353" s="28">
        <f>5866+10404</f>
        <v>16270</v>
      </c>
      <c r="P353" s="28">
        <f>10404+5888</f>
        <v>16292</v>
      </c>
      <c r="Q353" s="30"/>
      <c r="R353" s="351"/>
      <c r="S353" s="54">
        <v>1</v>
      </c>
      <c r="T353" s="28">
        <f t="shared" si="80"/>
        <v>22</v>
      </c>
      <c r="U353" s="455" t="s">
        <v>1168</v>
      </c>
      <c r="V353" s="783" t="s">
        <v>1167</v>
      </c>
      <c r="W353" s="14" t="s">
        <v>212</v>
      </c>
      <c r="X353" s="7"/>
      <c r="Y353" s="7"/>
      <c r="Z353" s="7"/>
      <c r="AA353" s="7"/>
      <c r="AB353" s="7"/>
      <c r="AC353" s="7"/>
    </row>
    <row r="354" spans="1:29" s="195" customFormat="1" ht="25.5">
      <c r="A354" s="194"/>
      <c r="B354" s="27" t="s">
        <v>438</v>
      </c>
      <c r="C354" s="28">
        <f t="shared" si="73"/>
        <v>164.78</v>
      </c>
      <c r="D354" s="28"/>
      <c r="E354" s="28">
        <f t="shared" si="74"/>
        <v>10.780000000000001</v>
      </c>
      <c r="F354" s="28">
        <f t="shared" si="75"/>
        <v>6.16</v>
      </c>
      <c r="G354" s="28">
        <f t="shared" si="76"/>
        <v>4.62</v>
      </c>
      <c r="H354" s="28">
        <f t="shared" si="77"/>
        <v>154</v>
      </c>
      <c r="I354" s="28">
        <f>0.4*C354</f>
        <v>65.912000000000006</v>
      </c>
      <c r="J354" s="29"/>
      <c r="K354" s="29"/>
      <c r="L354" s="29"/>
      <c r="M354" s="29"/>
      <c r="N354" s="29"/>
      <c r="O354" s="28">
        <v>2132</v>
      </c>
      <c r="P354" s="28">
        <v>2286</v>
      </c>
      <c r="Q354" s="30"/>
      <c r="R354" s="351"/>
      <c r="S354" s="54">
        <v>1</v>
      </c>
      <c r="T354" s="28">
        <f t="shared" si="80"/>
        <v>154</v>
      </c>
      <c r="U354" s="455"/>
      <c r="V354" s="783" t="s">
        <v>439</v>
      </c>
      <c r="W354" s="191" t="s">
        <v>212</v>
      </c>
      <c r="X354" s="86"/>
      <c r="Y354" s="86"/>
      <c r="Z354" s="86"/>
      <c r="AA354" s="86"/>
      <c r="AB354" s="86"/>
      <c r="AC354" s="86"/>
    </row>
    <row r="355" spans="1:29" ht="25.5">
      <c r="A355" s="19"/>
      <c r="B355" s="27" t="s">
        <v>440</v>
      </c>
      <c r="C355" s="28">
        <f>E355+H355</f>
        <v>273.92</v>
      </c>
      <c r="D355" s="28"/>
      <c r="E355" s="28">
        <f t="shared" si="74"/>
        <v>17.920000000000002</v>
      </c>
      <c r="F355" s="28">
        <f t="shared" si="75"/>
        <v>10.24</v>
      </c>
      <c r="G355" s="28">
        <f t="shared" si="76"/>
        <v>7.68</v>
      </c>
      <c r="H355" s="28">
        <f t="shared" si="77"/>
        <v>256</v>
      </c>
      <c r="I355" s="28">
        <f>H355*0.5</f>
        <v>128</v>
      </c>
      <c r="J355" s="458"/>
      <c r="K355" s="458"/>
      <c r="L355" s="458"/>
      <c r="M355" s="458"/>
      <c r="N355" s="458"/>
      <c r="O355" s="28">
        <v>4687</v>
      </c>
      <c r="P355" s="28">
        <v>4943</v>
      </c>
      <c r="Q355" s="458"/>
      <c r="R355" s="77"/>
      <c r="S355" s="54">
        <v>1</v>
      </c>
      <c r="T355" s="28">
        <f t="shared" si="80"/>
        <v>256</v>
      </c>
      <c r="U355" s="455" t="s">
        <v>441</v>
      </c>
      <c r="V355" s="783" t="s">
        <v>823</v>
      </c>
      <c r="W355" s="14" t="s">
        <v>212</v>
      </c>
      <c r="X355" s="7"/>
      <c r="Y355" s="7"/>
      <c r="Z355" s="7"/>
      <c r="AA355" s="7"/>
      <c r="AB355" s="7"/>
      <c r="AC355" s="7"/>
    </row>
    <row r="356" spans="1:29" ht="69.75">
      <c r="A356" s="19"/>
      <c r="B356" s="363" t="s">
        <v>946</v>
      </c>
      <c r="C356" s="414">
        <f>H356+E356</f>
        <v>484.71</v>
      </c>
      <c r="D356" s="414"/>
      <c r="E356" s="414">
        <f>G356+F356</f>
        <v>31.71</v>
      </c>
      <c r="F356" s="414">
        <f t="shared" si="75"/>
        <v>18.12</v>
      </c>
      <c r="G356" s="414">
        <f t="shared" si="76"/>
        <v>13.59</v>
      </c>
      <c r="H356" s="414">
        <f t="shared" si="77"/>
        <v>453</v>
      </c>
      <c r="I356" s="414">
        <f>0.6*C356</f>
        <v>290.82599999999996</v>
      </c>
      <c r="J356" s="415"/>
      <c r="K356" s="415"/>
      <c r="L356" s="415"/>
      <c r="M356" s="415"/>
      <c r="N356" s="415"/>
      <c r="O356" s="414">
        <v>36272</v>
      </c>
      <c r="P356" s="414">
        <v>36725</v>
      </c>
      <c r="Q356" s="416"/>
      <c r="R356" s="417"/>
      <c r="S356" s="418">
        <v>1</v>
      </c>
      <c r="T356" s="414">
        <f t="shared" si="80"/>
        <v>453</v>
      </c>
      <c r="U356" s="455">
        <v>492280</v>
      </c>
      <c r="V356" s="783" t="s">
        <v>443</v>
      </c>
      <c r="W356" s="14" t="s">
        <v>212</v>
      </c>
      <c r="X356" s="7"/>
      <c r="Y356" s="7"/>
      <c r="Z356" s="7"/>
      <c r="AA356" s="7"/>
      <c r="AB356" s="7"/>
      <c r="AC356" s="7"/>
    </row>
    <row r="357" spans="1:29" ht="25.5">
      <c r="A357" s="19"/>
      <c r="B357" s="27" t="s">
        <v>444</v>
      </c>
      <c r="C357" s="28">
        <f>H357+E357</f>
        <v>589.57000000000005</v>
      </c>
      <c r="D357" s="28"/>
      <c r="E357" s="28">
        <f>G357+F357</f>
        <v>38.57</v>
      </c>
      <c r="F357" s="28">
        <f t="shared" si="75"/>
        <v>22.04</v>
      </c>
      <c r="G357" s="28">
        <f t="shared" si="76"/>
        <v>16.53</v>
      </c>
      <c r="H357" s="28">
        <f t="shared" si="77"/>
        <v>551</v>
      </c>
      <c r="I357" s="28">
        <f>0.6*C357</f>
        <v>353.74200000000002</v>
      </c>
      <c r="J357" s="29"/>
      <c r="K357" s="29"/>
      <c r="L357" s="29"/>
      <c r="M357" s="29"/>
      <c r="N357" s="29"/>
      <c r="O357" s="28">
        <v>62915</v>
      </c>
      <c r="P357" s="28">
        <v>63466</v>
      </c>
      <c r="Q357" s="146"/>
      <c r="R357" s="61"/>
      <c r="S357" s="54">
        <v>1</v>
      </c>
      <c r="T357" s="28">
        <f t="shared" si="80"/>
        <v>551</v>
      </c>
      <c r="U357" s="455">
        <v>38602</v>
      </c>
      <c r="V357" s="783" t="s">
        <v>445</v>
      </c>
      <c r="W357" s="14" t="s">
        <v>212</v>
      </c>
      <c r="X357" s="7"/>
      <c r="Y357" s="7"/>
      <c r="Z357" s="7"/>
      <c r="AA357" s="7"/>
      <c r="AB357" s="7"/>
      <c r="AC357" s="7"/>
    </row>
    <row r="358" spans="1:29" ht="25.5">
      <c r="A358" s="19"/>
      <c r="B358" s="27" t="s">
        <v>446</v>
      </c>
      <c r="C358" s="28">
        <f>H358+E358</f>
        <v>618.46</v>
      </c>
      <c r="D358" s="28"/>
      <c r="E358" s="28">
        <f t="shared" ref="E358:E369" si="81">F358+G358</f>
        <v>40.46</v>
      </c>
      <c r="F358" s="28">
        <f t="shared" si="75"/>
        <v>23.12</v>
      </c>
      <c r="G358" s="28">
        <f t="shared" si="76"/>
        <v>17.34</v>
      </c>
      <c r="H358" s="28">
        <f t="shared" si="77"/>
        <v>578</v>
      </c>
      <c r="I358" s="28">
        <f>0.6*C358</f>
        <v>371.07600000000002</v>
      </c>
      <c r="J358" s="29"/>
      <c r="K358" s="29"/>
      <c r="L358" s="29"/>
      <c r="M358" s="29"/>
      <c r="N358" s="29"/>
      <c r="O358" s="28">
        <v>27943</v>
      </c>
      <c r="P358" s="28">
        <v>28521</v>
      </c>
      <c r="Q358" s="30"/>
      <c r="R358" s="351"/>
      <c r="S358" s="28">
        <v>1</v>
      </c>
      <c r="T358" s="28">
        <f t="shared" si="80"/>
        <v>578</v>
      </c>
      <c r="U358" s="455">
        <v>5978</v>
      </c>
      <c r="V358" s="783" t="s">
        <v>447</v>
      </c>
      <c r="W358" s="14" t="s">
        <v>212</v>
      </c>
      <c r="X358" s="7"/>
      <c r="Y358" s="7"/>
      <c r="Z358" s="7"/>
      <c r="AA358" s="7"/>
      <c r="AB358" s="7"/>
      <c r="AC358" s="7"/>
    </row>
    <row r="359" spans="1:29" ht="25.5">
      <c r="A359" s="19"/>
      <c r="B359" s="27" t="s">
        <v>691</v>
      </c>
      <c r="C359" s="28">
        <f>E359+H359</f>
        <v>809.99</v>
      </c>
      <c r="D359" s="28"/>
      <c r="E359" s="28">
        <f t="shared" si="81"/>
        <v>52.99</v>
      </c>
      <c r="F359" s="28">
        <f t="shared" si="75"/>
        <v>30.28</v>
      </c>
      <c r="G359" s="28">
        <f t="shared" si="76"/>
        <v>22.71</v>
      </c>
      <c r="H359" s="28">
        <f t="shared" si="77"/>
        <v>757</v>
      </c>
      <c r="I359" s="28">
        <f>H359*0.5</f>
        <v>378.5</v>
      </c>
      <c r="J359" s="458"/>
      <c r="K359" s="458"/>
      <c r="L359" s="458"/>
      <c r="M359" s="458"/>
      <c r="N359" s="458"/>
      <c r="O359" s="28">
        <v>75130</v>
      </c>
      <c r="P359" s="28">
        <v>75887</v>
      </c>
      <c r="Q359" s="458"/>
      <c r="R359" s="77"/>
      <c r="S359" s="54">
        <v>1</v>
      </c>
      <c r="T359" s="28">
        <f t="shared" si="80"/>
        <v>757</v>
      </c>
      <c r="U359" s="455" t="s">
        <v>441</v>
      </c>
      <c r="V359" s="783" t="s">
        <v>448</v>
      </c>
      <c r="W359" s="14" t="s">
        <v>212</v>
      </c>
      <c r="X359" s="7"/>
      <c r="Y359" s="7"/>
      <c r="Z359" s="7"/>
      <c r="AA359" s="7"/>
      <c r="AB359" s="7"/>
      <c r="AC359" s="7"/>
    </row>
    <row r="360" spans="1:29" ht="25.5">
      <c r="A360" s="19"/>
      <c r="B360" s="420" t="s">
        <v>449</v>
      </c>
      <c r="C360" s="28">
        <f t="shared" ref="C360:C366" si="82">H360+E360</f>
        <v>937.31999999999994</v>
      </c>
      <c r="D360" s="28"/>
      <c r="E360" s="28">
        <f t="shared" si="81"/>
        <v>61.319999999999993</v>
      </c>
      <c r="F360" s="28">
        <f t="shared" si="75"/>
        <v>35.04</v>
      </c>
      <c r="G360" s="28">
        <f t="shared" si="76"/>
        <v>26.279999999999998</v>
      </c>
      <c r="H360" s="28">
        <f t="shared" si="77"/>
        <v>876</v>
      </c>
      <c r="I360" s="28">
        <f t="shared" ref="I360:I367" si="83">0.6*C360</f>
        <v>562.39199999999994</v>
      </c>
      <c r="J360" s="29"/>
      <c r="K360" s="29"/>
      <c r="L360" s="29"/>
      <c r="M360" s="29"/>
      <c r="N360" s="29"/>
      <c r="O360" s="28">
        <v>24379</v>
      </c>
      <c r="P360" s="28">
        <v>25255</v>
      </c>
      <c r="Q360" s="30"/>
      <c r="R360" s="351"/>
      <c r="S360" s="54">
        <v>1</v>
      </c>
      <c r="T360" s="28">
        <f t="shared" si="80"/>
        <v>876</v>
      </c>
      <c r="U360" s="455"/>
      <c r="V360" s="783" t="s">
        <v>450</v>
      </c>
      <c r="W360" s="14" t="s">
        <v>212</v>
      </c>
      <c r="X360" s="7"/>
      <c r="Y360" s="7"/>
      <c r="Z360" s="7"/>
      <c r="AA360" s="7"/>
      <c r="AB360" s="7"/>
      <c r="AC360" s="7"/>
    </row>
    <row r="361" spans="1:29" ht="25.5">
      <c r="A361" s="19"/>
      <c r="B361" s="420" t="s">
        <v>449</v>
      </c>
      <c r="C361" s="28">
        <f t="shared" si="82"/>
        <v>926.62</v>
      </c>
      <c r="D361" s="28"/>
      <c r="E361" s="28">
        <f t="shared" si="81"/>
        <v>60.620000000000005</v>
      </c>
      <c r="F361" s="28">
        <f t="shared" si="75"/>
        <v>34.64</v>
      </c>
      <c r="G361" s="28">
        <f t="shared" si="76"/>
        <v>25.98</v>
      </c>
      <c r="H361" s="28">
        <f t="shared" si="77"/>
        <v>866</v>
      </c>
      <c r="I361" s="28">
        <f t="shared" si="83"/>
        <v>555.97199999999998</v>
      </c>
      <c r="J361" s="29"/>
      <c r="K361" s="29"/>
      <c r="L361" s="29"/>
      <c r="M361" s="29"/>
      <c r="N361" s="29"/>
      <c r="O361" s="28">
        <v>10791</v>
      </c>
      <c r="P361" s="28">
        <v>11657</v>
      </c>
      <c r="Q361" s="30"/>
      <c r="R361" s="351"/>
      <c r="S361" s="54">
        <v>1</v>
      </c>
      <c r="T361" s="28">
        <f t="shared" si="80"/>
        <v>866</v>
      </c>
      <c r="U361" s="455"/>
      <c r="V361" s="783" t="s">
        <v>690</v>
      </c>
      <c r="W361" s="14"/>
      <c r="X361" s="7"/>
      <c r="Y361" s="7"/>
      <c r="Z361" s="7"/>
      <c r="AA361" s="7"/>
      <c r="AB361" s="7"/>
      <c r="AC361" s="7"/>
    </row>
    <row r="362" spans="1:29" ht="30" customHeight="1">
      <c r="A362" s="19"/>
      <c r="B362" s="421" t="s">
        <v>451</v>
      </c>
      <c r="C362" s="28">
        <f>H362+E362</f>
        <v>2172.1</v>
      </c>
      <c r="D362" s="28"/>
      <c r="E362" s="28">
        <f t="shared" si="81"/>
        <v>142.1</v>
      </c>
      <c r="F362" s="28">
        <f t="shared" si="75"/>
        <v>81.2</v>
      </c>
      <c r="G362" s="28">
        <f t="shared" si="76"/>
        <v>60.9</v>
      </c>
      <c r="H362" s="28">
        <f t="shared" si="77"/>
        <v>2030</v>
      </c>
      <c r="I362" s="28">
        <f>0.6*C362</f>
        <v>1303.26</v>
      </c>
      <c r="J362" s="29"/>
      <c r="K362" s="29"/>
      <c r="L362" s="29"/>
      <c r="M362" s="29"/>
      <c r="N362" s="29"/>
      <c r="O362" s="28">
        <f>7430+49920+22830</f>
        <v>80180</v>
      </c>
      <c r="P362" s="28">
        <f>7860+50400+23950</f>
        <v>82210</v>
      </c>
      <c r="Q362" s="30"/>
      <c r="R362" s="351"/>
      <c r="S362" s="28">
        <v>1</v>
      </c>
      <c r="T362" s="28">
        <f>(P362-O362)*S362</f>
        <v>2030</v>
      </c>
      <c r="U362" s="455" t="s">
        <v>452</v>
      </c>
      <c r="V362" s="783" t="s">
        <v>886</v>
      </c>
      <c r="W362" s="14" t="s">
        <v>212</v>
      </c>
      <c r="X362" s="7"/>
      <c r="Y362" s="7"/>
      <c r="Z362" s="7"/>
      <c r="AA362" s="7"/>
      <c r="AB362" s="7"/>
      <c r="AC362" s="7"/>
    </row>
    <row r="363" spans="1:29" ht="29.25" customHeight="1">
      <c r="A363" s="19"/>
      <c r="B363" s="27"/>
      <c r="C363" s="28">
        <f t="shared" si="82"/>
        <v>0</v>
      </c>
      <c r="D363" s="28"/>
      <c r="E363" s="28">
        <f t="shared" si="81"/>
        <v>0</v>
      </c>
      <c r="F363" s="28">
        <f t="shared" si="75"/>
        <v>0</v>
      </c>
      <c r="G363" s="28">
        <f t="shared" si="76"/>
        <v>0</v>
      </c>
      <c r="H363" s="28">
        <f t="shared" si="77"/>
        <v>0</v>
      </c>
      <c r="I363" s="28">
        <f>0.6*C363</f>
        <v>0</v>
      </c>
      <c r="J363" s="29"/>
      <c r="K363" s="29"/>
      <c r="L363" s="29"/>
      <c r="M363" s="29"/>
      <c r="N363" s="29"/>
      <c r="O363" s="28">
        <v>18584</v>
      </c>
      <c r="P363" s="28">
        <v>18584</v>
      </c>
      <c r="Q363" s="146"/>
      <c r="R363" s="61"/>
      <c r="S363" s="54">
        <v>1</v>
      </c>
      <c r="T363" s="28">
        <f>(P363-O363)*S363</f>
        <v>0</v>
      </c>
      <c r="U363" s="785">
        <f>560+40550+11760+8365</f>
        <v>61235</v>
      </c>
      <c r="V363" s="783" t="s">
        <v>454</v>
      </c>
      <c r="W363" s="14" t="s">
        <v>212</v>
      </c>
      <c r="X363" s="7"/>
      <c r="Y363" s="7"/>
      <c r="Z363" s="7"/>
      <c r="AA363" s="7"/>
      <c r="AB363" s="7"/>
      <c r="AC363" s="7"/>
    </row>
    <row r="364" spans="1:29" ht="24" customHeight="1">
      <c r="A364" s="19"/>
      <c r="B364" s="27"/>
      <c r="C364" s="28">
        <f t="shared" si="82"/>
        <v>0</v>
      </c>
      <c r="D364" s="28"/>
      <c r="E364" s="28">
        <f t="shared" si="81"/>
        <v>0</v>
      </c>
      <c r="F364" s="28">
        <f t="shared" si="75"/>
        <v>0</v>
      </c>
      <c r="G364" s="28">
        <f t="shared" si="76"/>
        <v>0</v>
      </c>
      <c r="H364" s="28">
        <f t="shared" si="77"/>
        <v>0</v>
      </c>
      <c r="I364" s="28">
        <f t="shared" si="83"/>
        <v>0</v>
      </c>
      <c r="J364" s="29"/>
      <c r="K364" s="29"/>
      <c r="L364" s="29"/>
      <c r="M364" s="29"/>
      <c r="N364" s="29"/>
      <c r="O364" s="28">
        <v>12992</v>
      </c>
      <c r="P364" s="28">
        <v>12992</v>
      </c>
      <c r="Q364" s="29" t="s">
        <v>33</v>
      </c>
      <c r="R364" s="348"/>
      <c r="S364" s="28">
        <v>1</v>
      </c>
      <c r="T364" s="28">
        <f>P364-O364</f>
        <v>0</v>
      </c>
      <c r="U364" s="455">
        <v>1591</v>
      </c>
      <c r="V364" s="783" t="s">
        <v>455</v>
      </c>
      <c r="W364" s="14" t="s">
        <v>212</v>
      </c>
      <c r="X364" s="7"/>
      <c r="Y364" s="7"/>
      <c r="Z364" s="7"/>
      <c r="AA364" s="7"/>
      <c r="AB364" s="7"/>
      <c r="AC364" s="7"/>
    </row>
    <row r="365" spans="1:29" ht="26.25" customHeight="1">
      <c r="A365" s="19"/>
      <c r="B365" s="688" t="s">
        <v>889</v>
      </c>
      <c r="C365" s="28">
        <f t="shared" si="82"/>
        <v>314.58</v>
      </c>
      <c r="D365" s="28"/>
      <c r="E365" s="28">
        <f t="shared" si="81"/>
        <v>20.58</v>
      </c>
      <c r="F365" s="28">
        <f t="shared" si="75"/>
        <v>11.76</v>
      </c>
      <c r="G365" s="28">
        <f t="shared" si="76"/>
        <v>8.82</v>
      </c>
      <c r="H365" s="28">
        <f t="shared" si="77"/>
        <v>294</v>
      </c>
      <c r="I365" s="28">
        <f t="shared" si="83"/>
        <v>188.74799999999999</v>
      </c>
      <c r="J365" s="29"/>
      <c r="K365" s="29"/>
      <c r="L365" s="29"/>
      <c r="M365" s="29"/>
      <c r="N365" s="29"/>
      <c r="O365" s="28">
        <v>9844</v>
      </c>
      <c r="P365" s="28">
        <v>10138</v>
      </c>
      <c r="Q365" s="29" t="s">
        <v>33</v>
      </c>
      <c r="R365" s="348"/>
      <c r="S365" s="28">
        <v>1</v>
      </c>
      <c r="T365" s="28">
        <f>P365-O365</f>
        <v>294</v>
      </c>
      <c r="U365" s="455"/>
      <c r="V365" s="783" t="s">
        <v>887</v>
      </c>
      <c r="W365" s="14" t="s">
        <v>212</v>
      </c>
      <c r="X365" s="7"/>
      <c r="Y365" s="7"/>
      <c r="Z365" s="7"/>
      <c r="AA365" s="7"/>
      <c r="AB365" s="7"/>
      <c r="AC365" s="7"/>
    </row>
    <row r="366" spans="1:29" ht="25.5">
      <c r="A366" s="19"/>
      <c r="B366" s="472" t="s">
        <v>457</v>
      </c>
      <c r="C366" s="28">
        <f t="shared" si="82"/>
        <v>371.29</v>
      </c>
      <c r="D366" s="28"/>
      <c r="E366" s="28">
        <f t="shared" si="81"/>
        <v>24.29</v>
      </c>
      <c r="F366" s="28">
        <f t="shared" si="75"/>
        <v>13.88</v>
      </c>
      <c r="G366" s="28">
        <f t="shared" si="76"/>
        <v>10.41</v>
      </c>
      <c r="H366" s="28">
        <f t="shared" si="77"/>
        <v>347</v>
      </c>
      <c r="I366" s="28">
        <f t="shared" si="83"/>
        <v>222.774</v>
      </c>
      <c r="J366" s="29"/>
      <c r="K366" s="29"/>
      <c r="L366" s="29"/>
      <c r="M366" s="29"/>
      <c r="N366" s="29"/>
      <c r="O366" s="28">
        <v>16274</v>
      </c>
      <c r="P366" s="28">
        <v>16621</v>
      </c>
      <c r="Q366" s="29"/>
      <c r="R366" s="348"/>
      <c r="S366" s="28">
        <v>1</v>
      </c>
      <c r="T366" s="28">
        <f t="shared" ref="T366:T377" si="84">(P366-O366)*S366</f>
        <v>347</v>
      </c>
      <c r="U366" s="455">
        <v>783398</v>
      </c>
      <c r="V366" s="783" t="s">
        <v>458</v>
      </c>
      <c r="W366" s="14" t="s">
        <v>212</v>
      </c>
      <c r="X366" s="7"/>
      <c r="Y366" s="7"/>
      <c r="Z366" s="7"/>
      <c r="AA366" s="7"/>
      <c r="AB366" s="7"/>
      <c r="AC366" s="7"/>
    </row>
    <row r="367" spans="1:29" ht="25.5">
      <c r="A367" s="19"/>
      <c r="B367" s="148" t="s">
        <v>459</v>
      </c>
      <c r="C367" s="91">
        <f>H367+E367</f>
        <v>20.329999999999998</v>
      </c>
      <c r="D367" s="91"/>
      <c r="E367" s="91">
        <f t="shared" si="81"/>
        <v>1.33</v>
      </c>
      <c r="F367" s="91">
        <f t="shared" si="75"/>
        <v>0.76</v>
      </c>
      <c r="G367" s="91">
        <f t="shared" si="76"/>
        <v>0.56999999999999995</v>
      </c>
      <c r="H367" s="91">
        <f t="shared" si="77"/>
        <v>19</v>
      </c>
      <c r="I367" s="91">
        <f t="shared" si="83"/>
        <v>12.197999999999999</v>
      </c>
      <c r="J367" s="22"/>
      <c r="K367" s="22"/>
      <c r="L367" s="22"/>
      <c r="M367" s="22"/>
      <c r="N367" s="22" t="s">
        <v>460</v>
      </c>
      <c r="O367" s="340">
        <v>27978</v>
      </c>
      <c r="P367" s="340">
        <v>27997</v>
      </c>
      <c r="Q367" s="122"/>
      <c r="R367" s="173"/>
      <c r="S367" s="151">
        <v>1</v>
      </c>
      <c r="T367" s="91">
        <f t="shared" si="84"/>
        <v>19</v>
      </c>
      <c r="U367" s="644">
        <v>540368</v>
      </c>
      <c r="V367" s="782" t="s">
        <v>461</v>
      </c>
      <c r="W367" s="14" t="s">
        <v>212</v>
      </c>
      <c r="X367" s="7"/>
      <c r="Y367" s="7"/>
      <c r="Z367" s="7"/>
      <c r="AA367" s="7"/>
      <c r="AB367" s="7"/>
      <c r="AC367" s="7"/>
    </row>
    <row r="368" spans="1:29" ht="26.25">
      <c r="A368" s="19"/>
      <c r="B368" s="559" t="s">
        <v>462</v>
      </c>
      <c r="C368" s="549">
        <f>H368+E368</f>
        <v>0</v>
      </c>
      <c r="D368" s="549"/>
      <c r="E368" s="549">
        <f t="shared" si="81"/>
        <v>0</v>
      </c>
      <c r="F368" s="549">
        <f t="shared" si="75"/>
        <v>0</v>
      </c>
      <c r="G368" s="549">
        <f t="shared" si="76"/>
        <v>0</v>
      </c>
      <c r="H368" s="549">
        <f>T368</f>
        <v>0</v>
      </c>
      <c r="I368" s="560">
        <f>0.5*C368</f>
        <v>0</v>
      </c>
      <c r="J368" s="550"/>
      <c r="K368" s="550"/>
      <c r="L368" s="550"/>
      <c r="M368" s="550"/>
      <c r="N368" s="550"/>
      <c r="O368" s="549">
        <v>9</v>
      </c>
      <c r="P368" s="549">
        <v>9</v>
      </c>
      <c r="Q368" s="561"/>
      <c r="R368" s="562"/>
      <c r="S368" s="563">
        <v>1</v>
      </c>
      <c r="T368" s="549">
        <f t="shared" si="84"/>
        <v>0</v>
      </c>
      <c r="U368" s="729"/>
      <c r="V368" s="552" t="s">
        <v>463</v>
      </c>
      <c r="W368" s="14" t="s">
        <v>212</v>
      </c>
      <c r="X368" s="7"/>
      <c r="Y368" s="7"/>
      <c r="Z368" s="7"/>
      <c r="AA368" s="7"/>
      <c r="AB368" s="7"/>
      <c r="AC368" s="7"/>
    </row>
    <row r="369" spans="1:29" ht="26.25">
      <c r="A369" s="19"/>
      <c r="B369" s="148" t="s">
        <v>464</v>
      </c>
      <c r="C369" s="91">
        <f t="shared" ref="C369:C376" si="85">H369+E369</f>
        <v>11.77</v>
      </c>
      <c r="D369" s="91"/>
      <c r="E369" s="91">
        <f t="shared" si="81"/>
        <v>0.77</v>
      </c>
      <c r="F369" s="91">
        <f t="shared" si="75"/>
        <v>0.44</v>
      </c>
      <c r="G369" s="91">
        <f t="shared" si="76"/>
        <v>0.32999999999999996</v>
      </c>
      <c r="H369" s="91">
        <f>T369</f>
        <v>11</v>
      </c>
      <c r="I369" s="91">
        <f>0.5*C369</f>
        <v>5.8849999999999998</v>
      </c>
      <c r="J369" s="22"/>
      <c r="K369" s="22"/>
      <c r="L369" s="22"/>
      <c r="M369" s="22"/>
      <c r="N369" s="22"/>
      <c r="O369" s="91">
        <v>4885</v>
      </c>
      <c r="P369" s="91">
        <v>4896</v>
      </c>
      <c r="Q369" s="122"/>
      <c r="R369" s="173"/>
      <c r="S369" s="248">
        <v>1</v>
      </c>
      <c r="T369" s="91">
        <f t="shared" si="84"/>
        <v>11</v>
      </c>
      <c r="U369" s="644">
        <v>421550</v>
      </c>
      <c r="V369" s="782" t="s">
        <v>465</v>
      </c>
      <c r="W369" s="14" t="s">
        <v>212</v>
      </c>
      <c r="X369" s="7"/>
      <c r="Y369" s="7"/>
      <c r="Z369" s="7"/>
      <c r="AA369" s="7"/>
      <c r="AB369" s="7"/>
      <c r="AC369" s="7"/>
    </row>
    <row r="370" spans="1:29" s="195" customFormat="1" ht="25.5">
      <c r="A370" s="194"/>
      <c r="B370" s="148" t="s">
        <v>692</v>
      </c>
      <c r="C370" s="91">
        <f t="shared" si="85"/>
        <v>118.77</v>
      </c>
      <c r="D370" s="91"/>
      <c r="E370" s="91">
        <f>G370+F370</f>
        <v>7.7700000000000005</v>
      </c>
      <c r="F370" s="91">
        <f t="shared" si="75"/>
        <v>4.4400000000000004</v>
      </c>
      <c r="G370" s="91">
        <f t="shared" si="76"/>
        <v>3.33</v>
      </c>
      <c r="H370" s="91">
        <f>T370</f>
        <v>111</v>
      </c>
      <c r="I370" s="91">
        <f>0.6*C370</f>
        <v>71.262</v>
      </c>
      <c r="J370" s="22"/>
      <c r="K370" s="22"/>
      <c r="L370" s="22"/>
      <c r="M370" s="22"/>
      <c r="N370" s="22"/>
      <c r="O370" s="91">
        <v>34119</v>
      </c>
      <c r="P370" s="91">
        <v>34230</v>
      </c>
      <c r="Q370" s="149"/>
      <c r="R370" s="161"/>
      <c r="S370" s="151">
        <v>1</v>
      </c>
      <c r="T370" s="91">
        <f t="shared" si="84"/>
        <v>111</v>
      </c>
      <c r="U370" s="644">
        <v>78402</v>
      </c>
      <c r="V370" s="782" t="s">
        <v>466</v>
      </c>
      <c r="W370" s="14" t="s">
        <v>212</v>
      </c>
      <c r="X370" s="86"/>
      <c r="Y370" s="86"/>
      <c r="Z370" s="86"/>
      <c r="AA370" s="86"/>
      <c r="AB370" s="86"/>
      <c r="AC370" s="86"/>
    </row>
    <row r="371" spans="1:29" s="195" customFormat="1" ht="25.5">
      <c r="A371" s="194"/>
      <c r="B371" s="27" t="s">
        <v>1172</v>
      </c>
      <c r="C371" s="91">
        <f t="shared" si="85"/>
        <v>0</v>
      </c>
      <c r="D371" s="91"/>
      <c r="E371" s="91">
        <f>F371+G371</f>
        <v>0</v>
      </c>
      <c r="F371" s="91">
        <f t="shared" si="75"/>
        <v>0</v>
      </c>
      <c r="G371" s="91">
        <f t="shared" si="76"/>
        <v>0</v>
      </c>
      <c r="H371" s="91">
        <f>T371</f>
        <v>0</v>
      </c>
      <c r="I371" s="91">
        <f>0.4*C371</f>
        <v>0</v>
      </c>
      <c r="J371" s="22"/>
      <c r="K371" s="22"/>
      <c r="L371" s="22"/>
      <c r="M371" s="22"/>
      <c r="N371" s="22" t="s">
        <v>467</v>
      </c>
      <c r="O371" s="91">
        <v>7055</v>
      </c>
      <c r="P371" s="91">
        <v>7055</v>
      </c>
      <c r="Q371" s="22" t="s">
        <v>28</v>
      </c>
      <c r="R371" s="142"/>
      <c r="S371" s="151">
        <v>1</v>
      </c>
      <c r="T371" s="91">
        <f t="shared" si="84"/>
        <v>0</v>
      </c>
      <c r="U371" s="644">
        <v>295380</v>
      </c>
      <c r="V371" s="782" t="s">
        <v>1173</v>
      </c>
      <c r="W371" s="191" t="s">
        <v>212</v>
      </c>
      <c r="X371" s="86"/>
      <c r="Y371" s="86"/>
      <c r="Z371" s="86"/>
      <c r="AA371" s="86"/>
      <c r="AB371" s="86"/>
      <c r="AC371" s="86"/>
    </row>
    <row r="372" spans="1:29" ht="51">
      <c r="A372" s="19"/>
      <c r="B372" s="148" t="s">
        <v>935</v>
      </c>
      <c r="C372" s="91">
        <f t="shared" si="85"/>
        <v>0</v>
      </c>
      <c r="D372" s="91"/>
      <c r="E372" s="91">
        <f>F372+G372</f>
        <v>0</v>
      </c>
      <c r="F372" s="91">
        <f t="shared" si="75"/>
        <v>0</v>
      </c>
      <c r="G372" s="91">
        <f t="shared" si="76"/>
        <v>0</v>
      </c>
      <c r="H372" s="91">
        <f t="shared" ref="H372:H377" si="86">T372</f>
        <v>0</v>
      </c>
      <c r="I372" s="91">
        <f>0.4*C372</f>
        <v>0</v>
      </c>
      <c r="J372" s="22"/>
      <c r="K372" s="22"/>
      <c r="L372" s="22"/>
      <c r="M372" s="22"/>
      <c r="N372" s="22"/>
      <c r="O372" s="91">
        <v>6962</v>
      </c>
      <c r="P372" s="91">
        <v>6962</v>
      </c>
      <c r="Q372" s="122"/>
      <c r="R372" s="173"/>
      <c r="S372" s="151">
        <v>1</v>
      </c>
      <c r="T372" s="91">
        <f t="shared" si="84"/>
        <v>0</v>
      </c>
      <c r="U372" s="644">
        <v>2302221</v>
      </c>
      <c r="V372" s="782" t="s">
        <v>888</v>
      </c>
      <c r="W372" s="14" t="s">
        <v>212</v>
      </c>
      <c r="X372" s="7"/>
      <c r="Y372" s="7"/>
      <c r="Z372" s="7"/>
      <c r="AA372" s="7"/>
      <c r="AB372" s="7"/>
      <c r="AC372" s="7"/>
    </row>
    <row r="373" spans="1:29" s="195" customFormat="1" ht="29.25" customHeight="1">
      <c r="A373" s="194"/>
      <c r="B373" s="27" t="s">
        <v>471</v>
      </c>
      <c r="C373" s="28">
        <f t="shared" si="85"/>
        <v>210.79</v>
      </c>
      <c r="D373" s="28"/>
      <c r="E373" s="28">
        <f>F373+G373</f>
        <v>13.79</v>
      </c>
      <c r="F373" s="28">
        <f t="shared" si="75"/>
        <v>7.88</v>
      </c>
      <c r="G373" s="28">
        <f t="shared" si="76"/>
        <v>5.91</v>
      </c>
      <c r="H373" s="28">
        <f t="shared" si="86"/>
        <v>197</v>
      </c>
      <c r="I373" s="28">
        <f>0.6*C373</f>
        <v>126.47399999999999</v>
      </c>
      <c r="J373" s="29"/>
      <c r="K373" s="29"/>
      <c r="L373" s="29"/>
      <c r="M373" s="29"/>
      <c r="N373" s="29"/>
      <c r="O373" s="28">
        <v>10673</v>
      </c>
      <c r="P373" s="28">
        <v>10870</v>
      </c>
      <c r="Q373" s="146"/>
      <c r="R373" s="61"/>
      <c r="S373" s="28">
        <v>1</v>
      </c>
      <c r="T373" s="28">
        <f t="shared" si="84"/>
        <v>197</v>
      </c>
      <c r="U373" s="455">
        <v>3224</v>
      </c>
      <c r="V373" s="783" t="s">
        <v>472</v>
      </c>
      <c r="W373" s="191" t="s">
        <v>212</v>
      </c>
      <c r="X373" s="30"/>
      <c r="Y373" s="86"/>
      <c r="Z373" s="86"/>
      <c r="AA373" s="86"/>
      <c r="AB373" s="86"/>
      <c r="AC373" s="86"/>
    </row>
    <row r="374" spans="1:29" ht="25.5">
      <c r="A374" s="19"/>
      <c r="B374" s="27" t="s">
        <v>456</v>
      </c>
      <c r="C374" s="28">
        <f>H374+E374+64</f>
        <v>78.98</v>
      </c>
      <c r="D374" s="28"/>
      <c r="E374" s="28">
        <f>F374+G374</f>
        <v>0.98</v>
      </c>
      <c r="F374" s="28">
        <f>0.04*H374</f>
        <v>0.56000000000000005</v>
      </c>
      <c r="G374" s="28">
        <f>0.03*H374</f>
        <v>0.42</v>
      </c>
      <c r="H374" s="28">
        <f>T374</f>
        <v>14</v>
      </c>
      <c r="I374" s="28">
        <v>649</v>
      </c>
      <c r="J374" s="29"/>
      <c r="K374" s="29"/>
      <c r="L374" s="29"/>
      <c r="M374" s="29"/>
      <c r="N374" s="29"/>
      <c r="O374" s="28">
        <v>2238</v>
      </c>
      <c r="P374" s="28">
        <v>2252</v>
      </c>
      <c r="Q374" s="146"/>
      <c r="R374" s="61"/>
      <c r="S374" s="28">
        <v>1</v>
      </c>
      <c r="T374" s="28">
        <f t="shared" si="84"/>
        <v>14</v>
      </c>
      <c r="U374" s="455">
        <v>429663</v>
      </c>
      <c r="V374" s="783" t="s">
        <v>824</v>
      </c>
      <c r="W374" s="14" t="s">
        <v>212</v>
      </c>
      <c r="X374" s="7"/>
      <c r="Y374" s="7"/>
      <c r="Z374" s="7"/>
      <c r="AA374" s="7"/>
      <c r="AB374" s="7"/>
      <c r="AC374" s="7"/>
    </row>
    <row r="375" spans="1:29" s="195" customFormat="1" ht="29.25" customHeight="1">
      <c r="A375" s="194"/>
      <c r="B375" s="420" t="s">
        <v>473</v>
      </c>
      <c r="C375" s="28">
        <f t="shared" si="85"/>
        <v>33.17</v>
      </c>
      <c r="D375" s="28"/>
      <c r="E375" s="28">
        <f>F375+G375</f>
        <v>2.17</v>
      </c>
      <c r="F375" s="28">
        <f t="shared" si="75"/>
        <v>1.24</v>
      </c>
      <c r="G375" s="28">
        <f t="shared" si="76"/>
        <v>0.92999999999999994</v>
      </c>
      <c r="H375" s="28">
        <f t="shared" si="86"/>
        <v>31</v>
      </c>
      <c r="I375" s="28">
        <f>0.6*C375</f>
        <v>19.902000000000001</v>
      </c>
      <c r="J375" s="29"/>
      <c r="K375" s="29"/>
      <c r="L375" s="29"/>
      <c r="M375" s="29"/>
      <c r="N375" s="29"/>
      <c r="O375" s="28">
        <v>16670</v>
      </c>
      <c r="P375" s="28">
        <v>16701</v>
      </c>
      <c r="Q375" s="146"/>
      <c r="R375" s="61"/>
      <c r="S375" s="28">
        <v>1</v>
      </c>
      <c r="T375" s="28">
        <f t="shared" si="84"/>
        <v>31</v>
      </c>
      <c r="U375" s="455"/>
      <c r="V375" s="783" t="s">
        <v>474</v>
      </c>
      <c r="W375" s="14" t="s">
        <v>212</v>
      </c>
      <c r="X375" s="86"/>
      <c r="Y375" s="86"/>
      <c r="Z375" s="86"/>
      <c r="AA375" s="86"/>
      <c r="AB375" s="86"/>
      <c r="AC375" s="86"/>
    </row>
    <row r="376" spans="1:29" s="225" customFormat="1" ht="25.5">
      <c r="A376" s="223"/>
      <c r="B376" s="27" t="s">
        <v>475</v>
      </c>
      <c r="C376" s="28">
        <f t="shared" si="85"/>
        <v>1154.53</v>
      </c>
      <c r="D376" s="28"/>
      <c r="E376" s="28">
        <f>F376++G376</f>
        <v>75.53</v>
      </c>
      <c r="F376" s="28">
        <f t="shared" si="75"/>
        <v>43.160000000000004</v>
      </c>
      <c r="G376" s="28">
        <f t="shared" si="76"/>
        <v>32.369999999999997</v>
      </c>
      <c r="H376" s="28">
        <f t="shared" si="86"/>
        <v>1079</v>
      </c>
      <c r="I376" s="28">
        <f>0.6*C376</f>
        <v>692.71799999999996</v>
      </c>
      <c r="J376" s="29"/>
      <c r="K376" s="29"/>
      <c r="L376" s="29"/>
      <c r="M376" s="29"/>
      <c r="N376" s="29"/>
      <c r="O376" s="28">
        <v>404901</v>
      </c>
      <c r="P376" s="28">
        <v>405980</v>
      </c>
      <c r="Q376" s="30"/>
      <c r="R376" s="351"/>
      <c r="S376" s="54">
        <v>1</v>
      </c>
      <c r="T376" s="28">
        <f t="shared" si="84"/>
        <v>1079</v>
      </c>
      <c r="U376" s="455">
        <v>69776</v>
      </c>
      <c r="V376" s="783" t="s">
        <v>476</v>
      </c>
      <c r="W376" s="14" t="s">
        <v>212</v>
      </c>
      <c r="X376" s="224"/>
      <c r="Y376" s="224"/>
      <c r="Z376" s="224"/>
      <c r="AA376" s="224"/>
      <c r="AB376" s="224"/>
      <c r="AC376" s="224"/>
    </row>
    <row r="377" spans="1:29" ht="25.5">
      <c r="A377" s="19"/>
      <c r="B377" s="27" t="s">
        <v>477</v>
      </c>
      <c r="C377" s="28">
        <f>H377+E377</f>
        <v>1317.17</v>
      </c>
      <c r="D377" s="28"/>
      <c r="E377" s="28">
        <f>G377+F377</f>
        <v>86.17</v>
      </c>
      <c r="F377" s="28">
        <f>0.04*H377</f>
        <v>49.24</v>
      </c>
      <c r="G377" s="28">
        <f>0.03*H377</f>
        <v>36.93</v>
      </c>
      <c r="H377" s="28">
        <f t="shared" si="86"/>
        <v>1231</v>
      </c>
      <c r="I377" s="28">
        <f>0.6*C377</f>
        <v>790.30200000000002</v>
      </c>
      <c r="J377" s="29"/>
      <c r="K377" s="29"/>
      <c r="L377" s="29"/>
      <c r="M377" s="29"/>
      <c r="N377" s="29"/>
      <c r="O377" s="28">
        <v>188294</v>
      </c>
      <c r="P377" s="28">
        <v>189525</v>
      </c>
      <c r="Q377" s="146"/>
      <c r="R377" s="61"/>
      <c r="S377" s="54">
        <v>1</v>
      </c>
      <c r="T377" s="28">
        <f t="shared" si="84"/>
        <v>1231</v>
      </c>
      <c r="U377" s="455">
        <v>3868</v>
      </c>
      <c r="V377" s="783" t="s">
        <v>478</v>
      </c>
      <c r="W377" s="14" t="s">
        <v>212</v>
      </c>
      <c r="X377" s="7"/>
      <c r="Y377" s="7"/>
      <c r="Z377" s="7"/>
      <c r="AA377" s="7"/>
      <c r="AB377" s="7"/>
      <c r="AC377" s="7"/>
    </row>
    <row r="378" spans="1:29" ht="25.5">
      <c r="A378" s="19"/>
      <c r="B378" s="27"/>
      <c r="C378" s="28"/>
      <c r="D378" s="28"/>
      <c r="E378" s="28"/>
      <c r="F378" s="28"/>
      <c r="G378" s="28"/>
      <c r="H378" s="28"/>
      <c r="I378" s="28"/>
      <c r="J378" s="29"/>
      <c r="K378" s="29"/>
      <c r="L378" s="29"/>
      <c r="M378" s="29"/>
      <c r="N378" s="29"/>
      <c r="O378" s="28"/>
      <c r="P378" s="28"/>
      <c r="Q378" s="146"/>
      <c r="R378" s="61"/>
      <c r="S378" s="28"/>
      <c r="T378" s="28"/>
      <c r="U378" s="455"/>
      <c r="V378" s="780"/>
      <c r="W378" s="14"/>
      <c r="X378" s="7"/>
      <c r="Y378" s="7"/>
      <c r="Z378" s="7"/>
      <c r="AA378" s="7"/>
      <c r="AB378" s="7"/>
      <c r="AC378" s="7"/>
    </row>
    <row r="379" spans="1:29" ht="26.25">
      <c r="A379" s="19"/>
      <c r="B379" s="226" t="s">
        <v>479</v>
      </c>
      <c r="C379" s="115">
        <f>SUM(C333:C378)</f>
        <v>23723.840000000004</v>
      </c>
      <c r="D379" s="115"/>
      <c r="E379" s="115"/>
      <c r="F379" s="115"/>
      <c r="G379" s="115"/>
      <c r="H379" s="115"/>
      <c r="I379" s="115"/>
      <c r="J379" s="98"/>
      <c r="K379" s="98"/>
      <c r="L379" s="98"/>
      <c r="M379" s="98"/>
      <c r="N379" s="98"/>
      <c r="O379" s="94"/>
      <c r="P379" s="94"/>
      <c r="Q379" s="227"/>
      <c r="R379" s="228"/>
      <c r="S379" s="92"/>
      <c r="T379" s="91"/>
      <c r="U379" s="719"/>
      <c r="V379" s="1"/>
      <c r="W379" s="14"/>
      <c r="X379" s="7"/>
      <c r="Y379" s="7"/>
      <c r="Z379" s="7"/>
      <c r="AA379" s="7"/>
      <c r="AB379" s="7"/>
      <c r="AC379" s="7" t="s">
        <v>15</v>
      </c>
    </row>
    <row r="380" spans="1:29" ht="30" customHeight="1">
      <c r="A380" s="19"/>
      <c r="B380" s="143"/>
      <c r="C380" s="115"/>
      <c r="D380" s="115"/>
      <c r="E380" s="115"/>
      <c r="F380" s="115"/>
      <c r="G380" s="115"/>
      <c r="H380" s="115"/>
      <c r="I380" s="115"/>
      <c r="J380" s="98"/>
      <c r="K380" s="98"/>
      <c r="L380" s="98"/>
      <c r="M380" s="98"/>
      <c r="N380" s="98"/>
      <c r="O380" s="94"/>
      <c r="P380" s="94"/>
      <c r="Q380" s="227"/>
      <c r="R380" s="228"/>
      <c r="S380" s="92"/>
      <c r="T380" s="91"/>
      <c r="U380" s="719"/>
      <c r="V380" s="1"/>
      <c r="W380" s="14"/>
      <c r="X380" s="7"/>
      <c r="Y380" s="7"/>
      <c r="Z380" s="7"/>
      <c r="AA380" s="7"/>
      <c r="AB380" s="7"/>
      <c r="AC380" s="7"/>
    </row>
    <row r="381" spans="1:29" ht="26.25" hidden="1">
      <c r="A381" s="19"/>
      <c r="B381" s="90" t="s">
        <v>480</v>
      </c>
      <c r="C381" s="28"/>
      <c r="D381" s="28"/>
      <c r="E381" s="28"/>
      <c r="F381" s="28"/>
      <c r="G381" s="28"/>
      <c r="H381" s="28"/>
      <c r="I381" s="72"/>
      <c r="J381" s="29"/>
      <c r="K381" s="29"/>
      <c r="L381" s="29"/>
      <c r="M381" s="29"/>
      <c r="N381" s="29"/>
      <c r="O381" s="28"/>
      <c r="P381" s="28"/>
      <c r="Q381" s="146"/>
      <c r="R381" s="61"/>
      <c r="S381" s="54"/>
      <c r="T381" s="28"/>
      <c r="U381" s="455"/>
      <c r="V381" s="780"/>
      <c r="W381" s="14"/>
      <c r="X381" s="7"/>
      <c r="Y381" s="7"/>
      <c r="Z381" s="7"/>
      <c r="AA381" s="7"/>
      <c r="AB381" s="7"/>
      <c r="AC381" s="7"/>
    </row>
    <row r="382" spans="1:29" ht="9.75" hidden="1" customHeight="1">
      <c r="A382" s="19" t="s">
        <v>481</v>
      </c>
      <c r="B382" s="148" t="s">
        <v>482</v>
      </c>
      <c r="C382" s="91">
        <f>H382+E382</f>
        <v>0</v>
      </c>
      <c r="D382" s="115"/>
      <c r="E382" s="91">
        <f>F382+G382</f>
        <v>0</v>
      </c>
      <c r="F382" s="91">
        <f>0.04*H382</f>
        <v>0</v>
      </c>
      <c r="G382" s="91">
        <f>0.03*H382</f>
        <v>0</v>
      </c>
      <c r="H382" s="91">
        <f>T382</f>
        <v>0</v>
      </c>
      <c r="I382" s="91">
        <f>0.5*C382</f>
        <v>0</v>
      </c>
      <c r="J382" s="22"/>
      <c r="K382" s="22"/>
      <c r="L382" s="22"/>
      <c r="M382" s="22"/>
      <c r="N382" s="22"/>
      <c r="O382" s="229">
        <v>10678</v>
      </c>
      <c r="P382" s="229">
        <v>10678</v>
      </c>
      <c r="Q382" s="149"/>
      <c r="R382" s="161"/>
      <c r="S382" s="151">
        <v>1</v>
      </c>
      <c r="T382" s="91">
        <f>(P382-O382)*S382</f>
        <v>0</v>
      </c>
      <c r="U382" s="644">
        <v>2262538</v>
      </c>
      <c r="V382" s="782" t="s">
        <v>483</v>
      </c>
      <c r="W382" s="14"/>
      <c r="X382" s="7"/>
      <c r="Y382" s="7"/>
      <c r="Z382" s="7"/>
      <c r="AA382" s="7"/>
      <c r="AB382" s="7"/>
      <c r="AC382" s="7"/>
    </row>
    <row r="383" spans="1:29" ht="25.5" hidden="1">
      <c r="A383" s="19"/>
      <c r="B383" s="148"/>
      <c r="C383" s="91"/>
      <c r="D383" s="91"/>
      <c r="E383" s="91"/>
      <c r="F383" s="91"/>
      <c r="G383" s="91"/>
      <c r="H383" s="91"/>
      <c r="I383" s="91"/>
      <c r="J383" s="22"/>
      <c r="K383" s="22"/>
      <c r="L383" s="22"/>
      <c r="M383" s="22"/>
      <c r="N383" s="22"/>
      <c r="O383" s="91"/>
      <c r="P383" s="91"/>
      <c r="Q383" s="22"/>
      <c r="R383" s="142"/>
      <c r="S383" s="91"/>
      <c r="T383" s="91"/>
      <c r="U383" s="644"/>
      <c r="V383" s="782"/>
      <c r="W383" s="14"/>
      <c r="X383" s="7"/>
      <c r="Y383" s="7"/>
      <c r="Z383" s="7"/>
      <c r="AA383" s="7"/>
      <c r="AB383" s="7"/>
      <c r="AC383" s="7"/>
    </row>
    <row r="384" spans="1:29" ht="25.5" hidden="1" customHeight="1">
      <c r="A384" s="19">
        <v>35</v>
      </c>
      <c r="B384" s="1"/>
      <c r="U384" s="719"/>
      <c r="V384" s="1"/>
      <c r="W384" s="14"/>
      <c r="X384" s="7"/>
      <c r="Y384" s="7"/>
      <c r="Z384" s="7"/>
      <c r="AA384" s="7"/>
      <c r="AB384" s="7"/>
      <c r="AC384" s="7"/>
    </row>
    <row r="385" spans="1:29" ht="27" hidden="1" customHeight="1">
      <c r="A385" s="19">
        <v>36</v>
      </c>
      <c r="B385" s="148"/>
      <c r="C385" s="91"/>
      <c r="D385" s="91"/>
      <c r="E385" s="91"/>
      <c r="F385" s="91"/>
      <c r="G385" s="91"/>
      <c r="H385" s="91"/>
      <c r="I385" s="91"/>
      <c r="J385" s="22"/>
      <c r="K385" s="22"/>
      <c r="L385" s="22"/>
      <c r="M385" s="22"/>
      <c r="N385" s="22"/>
      <c r="O385" s="91"/>
      <c r="P385" s="91"/>
      <c r="Q385" s="149"/>
      <c r="R385" s="161"/>
      <c r="S385" s="91"/>
      <c r="T385" s="91"/>
      <c r="U385" s="644"/>
      <c r="V385" s="782"/>
      <c r="W385" s="14"/>
      <c r="X385" s="7"/>
      <c r="Y385" s="7"/>
      <c r="Z385" s="7"/>
      <c r="AA385" s="7"/>
      <c r="AB385" s="7"/>
      <c r="AC385" s="7"/>
    </row>
    <row r="386" spans="1:29" ht="25.5" hidden="1">
      <c r="A386" s="19">
        <v>37</v>
      </c>
      <c r="U386" s="644"/>
      <c r="V386" s="782"/>
      <c r="W386" s="14"/>
      <c r="X386" s="7"/>
      <c r="Y386" s="7"/>
      <c r="Z386" s="7"/>
      <c r="AA386" s="7"/>
      <c r="AB386" s="7"/>
      <c r="AC386" s="7"/>
    </row>
    <row r="387" spans="1:29" ht="25.5" hidden="1">
      <c r="A387" s="19">
        <v>38</v>
      </c>
      <c r="B387" s="148"/>
      <c r="C387" s="91"/>
      <c r="D387" s="91"/>
      <c r="E387" s="91"/>
      <c r="F387" s="91"/>
      <c r="G387" s="91"/>
      <c r="H387" s="91"/>
      <c r="I387" s="91"/>
      <c r="J387" s="22"/>
      <c r="K387" s="22"/>
      <c r="L387" s="22"/>
      <c r="M387" s="22"/>
      <c r="N387" s="22"/>
      <c r="O387" s="91"/>
      <c r="P387" s="91"/>
      <c r="Q387" s="149"/>
      <c r="R387" s="161"/>
      <c r="S387" s="91"/>
      <c r="T387" s="91"/>
      <c r="U387" s="644"/>
      <c r="V387" s="782"/>
      <c r="W387" s="14"/>
      <c r="X387" s="7"/>
      <c r="Y387" s="7"/>
      <c r="Z387" s="149"/>
      <c r="AA387" s="149"/>
      <c r="AB387" s="149"/>
      <c r="AC387" s="149"/>
    </row>
    <row r="388" spans="1:29" ht="25.5" hidden="1">
      <c r="A388" s="19">
        <v>40</v>
      </c>
      <c r="B388" s="148"/>
      <c r="C388" s="91"/>
      <c r="D388" s="91"/>
      <c r="E388" s="91"/>
      <c r="F388" s="91"/>
      <c r="G388" s="91"/>
      <c r="H388" s="91"/>
      <c r="I388" s="91"/>
      <c r="J388" s="22"/>
      <c r="K388" s="22"/>
      <c r="L388" s="22"/>
      <c r="M388" s="22"/>
      <c r="N388" s="22"/>
      <c r="O388" s="91"/>
      <c r="P388" s="91"/>
      <c r="Q388" s="22"/>
      <c r="R388" s="142"/>
      <c r="S388" s="91"/>
      <c r="T388" s="91"/>
      <c r="U388" s="644"/>
      <c r="V388" s="782"/>
      <c r="W388" s="14"/>
      <c r="X388" s="7"/>
      <c r="Y388" s="7"/>
      <c r="Z388" s="7"/>
      <c r="AA388" s="7"/>
      <c r="AB388" s="7"/>
      <c r="AC388" s="7"/>
    </row>
    <row r="389" spans="1:29" ht="56.25" hidden="1" customHeight="1">
      <c r="A389" s="19">
        <v>41</v>
      </c>
      <c r="B389" s="1"/>
      <c r="U389" s="644"/>
      <c r="V389" s="782"/>
      <c r="W389" s="14"/>
      <c r="X389" s="7"/>
      <c r="Y389" s="7"/>
      <c r="Z389" s="7"/>
      <c r="AA389" s="7"/>
      <c r="AB389" s="7"/>
      <c r="AC389" s="7"/>
    </row>
    <row r="390" spans="1:29" ht="26.25" hidden="1" customHeight="1">
      <c r="A390" s="19">
        <v>42</v>
      </c>
      <c r="U390" s="644"/>
      <c r="V390" s="782"/>
      <c r="W390" s="14"/>
      <c r="X390" s="7"/>
      <c r="Y390" s="7"/>
      <c r="Z390" s="7"/>
      <c r="AA390" s="7"/>
      <c r="AB390" s="7"/>
      <c r="AC390" s="7"/>
    </row>
    <row r="391" spans="1:29" ht="29.25" hidden="1" customHeight="1">
      <c r="A391" s="19">
        <v>43</v>
      </c>
      <c r="U391" s="644"/>
      <c r="V391" s="782"/>
      <c r="W391" s="14"/>
      <c r="X391" s="7"/>
      <c r="Y391" s="7"/>
      <c r="Z391" s="7"/>
      <c r="AA391" s="7"/>
      <c r="AB391" s="7"/>
      <c r="AC391" s="7"/>
    </row>
    <row r="392" spans="1:29" ht="28.5" hidden="1" customHeight="1">
      <c r="A392" s="230">
        <v>44</v>
      </c>
      <c r="B392" s="158"/>
      <c r="C392" s="124"/>
      <c r="D392" s="124"/>
      <c r="E392" s="124"/>
      <c r="F392" s="124"/>
      <c r="G392" s="124"/>
      <c r="H392" s="124"/>
      <c r="I392" s="124"/>
      <c r="J392" s="126"/>
      <c r="K392" s="126"/>
      <c r="L392" s="126"/>
      <c r="M392" s="126"/>
      <c r="N392" s="126"/>
      <c r="O392" s="124"/>
      <c r="P392" s="124"/>
      <c r="Q392" s="7"/>
      <c r="R392" s="159"/>
      <c r="S392" s="124"/>
      <c r="T392" s="124"/>
      <c r="U392" s="717"/>
      <c r="V392" s="128"/>
      <c r="W392" s="14"/>
      <c r="X392" s="7"/>
      <c r="Y392" s="7"/>
      <c r="Z392" s="7"/>
      <c r="AA392" s="7"/>
      <c r="AB392" s="7"/>
      <c r="AC392" s="7"/>
    </row>
    <row r="393" spans="1:29" ht="26.25" hidden="1" customHeight="1">
      <c r="A393" s="19">
        <v>45</v>
      </c>
      <c r="B393" s="1"/>
      <c r="U393" s="644"/>
      <c r="V393" s="782"/>
      <c r="W393" s="14"/>
      <c r="X393" s="7"/>
      <c r="Y393" s="7"/>
      <c r="Z393" s="7"/>
      <c r="AA393" s="7"/>
      <c r="AB393" s="7"/>
      <c r="AC393" s="7"/>
    </row>
    <row r="394" spans="1:29" ht="24.75" hidden="1" customHeight="1">
      <c r="A394" s="19">
        <v>46</v>
      </c>
      <c r="B394" s="1"/>
      <c r="U394" s="644"/>
      <c r="V394" s="782"/>
      <c r="W394" s="134"/>
      <c r="X394" s="149"/>
      <c r="Y394" s="149"/>
      <c r="Z394" s="7"/>
      <c r="AA394" s="7"/>
      <c r="AB394" s="7"/>
      <c r="AC394" s="7"/>
    </row>
    <row r="395" spans="1:29" ht="23.25" hidden="1" customHeight="1">
      <c r="A395" s="19">
        <v>47</v>
      </c>
      <c r="U395" s="644"/>
      <c r="V395" s="782"/>
      <c r="W395" s="14"/>
      <c r="X395" s="7"/>
      <c r="Y395" s="7"/>
      <c r="Z395" s="7"/>
      <c r="AA395" s="7"/>
      <c r="AB395" s="7"/>
      <c r="AC395" s="7"/>
    </row>
    <row r="396" spans="1:29" ht="28.5" hidden="1" customHeight="1">
      <c r="A396" s="19">
        <v>48</v>
      </c>
      <c r="U396" s="644"/>
      <c r="V396" s="782"/>
      <c r="W396" s="14"/>
      <c r="X396" s="7"/>
      <c r="Y396" s="7"/>
      <c r="Z396" s="7"/>
      <c r="AA396" s="7"/>
      <c r="AB396" s="7"/>
      <c r="AC396" s="7"/>
    </row>
    <row r="397" spans="1:29" ht="31.5" hidden="1" customHeight="1">
      <c r="A397" s="19">
        <v>49</v>
      </c>
      <c r="B397" s="1"/>
      <c r="U397" s="719"/>
      <c r="V397" s="1"/>
      <c r="W397" s="78"/>
      <c r="X397" s="7"/>
      <c r="Y397" s="7"/>
      <c r="Z397" s="7"/>
      <c r="AA397" s="7"/>
      <c r="AB397" s="7"/>
      <c r="AC397" s="7"/>
    </row>
    <row r="398" spans="1:29" ht="25.5" hidden="1">
      <c r="A398" s="19">
        <v>50</v>
      </c>
      <c r="U398" s="644"/>
      <c r="V398" s="782"/>
      <c r="W398" s="14" t="s">
        <v>484</v>
      </c>
      <c r="X398" s="7"/>
      <c r="Y398" s="7"/>
      <c r="Z398" s="7"/>
      <c r="AA398" s="7"/>
      <c r="AB398" s="7"/>
      <c r="AC398" s="7"/>
    </row>
    <row r="399" spans="1:29" ht="25.5" hidden="1">
      <c r="A399" s="19">
        <v>51</v>
      </c>
      <c r="U399" s="644"/>
      <c r="V399" s="782"/>
      <c r="W399" s="14"/>
      <c r="X399" s="7"/>
      <c r="Y399" s="7"/>
      <c r="Z399" s="7"/>
      <c r="AA399" s="7"/>
      <c r="AB399" s="7"/>
      <c r="AC399" s="7"/>
    </row>
    <row r="400" spans="1:29" ht="25.5" hidden="1" customHeight="1">
      <c r="A400" s="231">
        <v>52</v>
      </c>
      <c r="B400" s="1"/>
      <c r="U400" s="719"/>
      <c r="V400" s="1"/>
      <c r="W400" s="14">
        <v>176</v>
      </c>
      <c r="X400" s="7">
        <v>1764.636</v>
      </c>
      <c r="Y400" s="7"/>
      <c r="Z400" s="7"/>
      <c r="AA400" s="7"/>
      <c r="AB400" s="7"/>
      <c r="AC400" s="7"/>
    </row>
    <row r="401" spans="1:29" ht="25.5" hidden="1" customHeight="1">
      <c r="A401" s="19">
        <v>53</v>
      </c>
      <c r="B401" s="1"/>
      <c r="U401" s="719"/>
      <c r="V401" s="1"/>
      <c r="W401" s="14"/>
      <c r="X401" s="7"/>
      <c r="Y401" s="7"/>
      <c r="Z401" s="7"/>
      <c r="AA401" s="7"/>
      <c r="AB401" s="7"/>
      <c r="AC401" s="7"/>
    </row>
    <row r="402" spans="1:29" ht="23.25" hidden="1" customHeight="1">
      <c r="A402" s="19">
        <v>54</v>
      </c>
      <c r="U402" s="644"/>
      <c r="V402" s="782"/>
      <c r="W402" s="14"/>
      <c r="X402" s="7"/>
      <c r="Y402" s="7"/>
      <c r="Z402" s="7"/>
      <c r="AA402" s="7"/>
      <c r="AB402" s="7"/>
      <c r="AC402" s="7"/>
    </row>
    <row r="403" spans="1:29" ht="76.5" hidden="1">
      <c r="A403" s="19" t="s">
        <v>485</v>
      </c>
      <c r="B403" s="1"/>
      <c r="U403" s="719"/>
      <c r="V403" s="1"/>
      <c r="W403" s="14"/>
      <c r="X403" s="7"/>
      <c r="Y403" s="7"/>
      <c r="Z403" s="7"/>
      <c r="AA403" s="7"/>
      <c r="AB403" s="7"/>
      <c r="AC403" s="7"/>
    </row>
    <row r="404" spans="1:29" ht="27" hidden="1" customHeight="1">
      <c r="A404" s="19">
        <v>55</v>
      </c>
      <c r="B404" s="1"/>
      <c r="U404" s="644"/>
      <c r="V404" s="782"/>
      <c r="W404" s="14">
        <v>3160</v>
      </c>
      <c r="X404" s="7"/>
      <c r="Y404" s="7"/>
      <c r="Z404" s="7"/>
      <c r="AA404" s="7"/>
      <c r="AB404" s="7"/>
      <c r="AC404" s="7"/>
    </row>
    <row r="405" spans="1:29" ht="30" hidden="1" customHeight="1">
      <c r="A405" s="19">
        <v>56</v>
      </c>
      <c r="U405" s="644"/>
      <c r="V405" s="782"/>
      <c r="W405" s="14"/>
      <c r="X405" s="7"/>
      <c r="Y405" s="7"/>
      <c r="Z405" s="7"/>
      <c r="AA405" s="7"/>
      <c r="AB405" s="7"/>
      <c r="AC405" s="7"/>
    </row>
    <row r="406" spans="1:29" ht="76.5" hidden="1">
      <c r="A406" s="19" t="s">
        <v>486</v>
      </c>
      <c r="B406" s="148"/>
      <c r="C406" s="91"/>
      <c r="D406" s="91"/>
      <c r="E406" s="91"/>
      <c r="F406" s="91"/>
      <c r="G406" s="91"/>
      <c r="H406" s="91"/>
      <c r="I406" s="91"/>
      <c r="J406" s="22"/>
      <c r="K406" s="22"/>
      <c r="L406" s="22"/>
      <c r="M406" s="22"/>
      <c r="N406" s="22"/>
      <c r="O406" s="91"/>
      <c r="P406" s="91"/>
      <c r="Q406" s="22"/>
      <c r="R406" s="142"/>
      <c r="S406" s="91"/>
      <c r="T406" s="91">
        <f>(P406-O406)*S406</f>
        <v>0</v>
      </c>
      <c r="U406" s="644"/>
      <c r="V406" s="782"/>
      <c r="W406" s="14"/>
      <c r="X406" s="7"/>
      <c r="Y406" s="7"/>
      <c r="Z406" s="7"/>
      <c r="AA406" s="7"/>
      <c r="AB406" s="7"/>
      <c r="AC406" s="7"/>
    </row>
    <row r="407" spans="1:29" ht="23.25" hidden="1" customHeight="1">
      <c r="A407" s="19">
        <v>57</v>
      </c>
      <c r="U407" s="644"/>
      <c r="V407" s="782"/>
      <c r="W407" s="14"/>
      <c r="X407" s="7"/>
      <c r="Y407" s="7"/>
      <c r="Z407" s="7"/>
      <c r="AA407" s="7"/>
      <c r="AB407" s="7"/>
      <c r="AC407" s="7"/>
    </row>
    <row r="408" spans="1:29" ht="25.5" hidden="1">
      <c r="A408" s="19">
        <v>58</v>
      </c>
      <c r="B408" s="1"/>
      <c r="U408" s="719"/>
      <c r="V408" s="1"/>
      <c r="W408" s="14"/>
      <c r="X408" s="7"/>
      <c r="Y408" s="7"/>
      <c r="Z408" s="7"/>
      <c r="AA408" s="7"/>
      <c r="AB408" s="7"/>
      <c r="AC408" s="7"/>
    </row>
    <row r="409" spans="1:29" ht="25.5" hidden="1">
      <c r="A409" s="19"/>
      <c r="B409" s="1"/>
      <c r="U409" s="719"/>
      <c r="V409" s="1"/>
      <c r="W409" s="14"/>
      <c r="X409" s="7"/>
      <c r="Y409" s="7"/>
      <c r="Z409" s="7"/>
      <c r="AA409" s="7"/>
      <c r="AB409" s="7"/>
      <c r="AC409" s="7"/>
    </row>
    <row r="410" spans="1:29" ht="14.25" hidden="1" customHeight="1">
      <c r="A410" s="19"/>
      <c r="B410" s="1"/>
      <c r="U410" s="719"/>
      <c r="V410" s="1"/>
      <c r="W410" s="14"/>
      <c r="X410" s="7"/>
      <c r="Y410" s="7"/>
      <c r="Z410" s="7"/>
      <c r="AA410" s="7"/>
      <c r="AB410" s="7"/>
      <c r="AC410" s="7"/>
    </row>
    <row r="411" spans="1:29" ht="31.5" hidden="1" customHeight="1">
      <c r="A411" s="19"/>
      <c r="B411" s="1"/>
      <c r="U411" s="719"/>
      <c r="V411" s="1"/>
      <c r="W411" s="14"/>
      <c r="X411" s="7"/>
      <c r="Y411" s="7"/>
      <c r="Z411" s="7"/>
      <c r="AA411" s="7"/>
      <c r="AB411" s="7"/>
      <c r="AC411" s="7"/>
    </row>
    <row r="412" spans="1:29" ht="31.5" hidden="1" customHeight="1">
      <c r="A412" s="19"/>
      <c r="B412" s="1"/>
      <c r="U412" s="719"/>
      <c r="V412" s="1"/>
      <c r="W412" s="14"/>
      <c r="X412" s="7"/>
      <c r="Y412" s="7"/>
      <c r="Z412" s="7"/>
      <c r="AA412" s="7"/>
      <c r="AB412" s="7"/>
      <c r="AC412" s="7"/>
    </row>
    <row r="413" spans="1:29" ht="25.5" hidden="1">
      <c r="A413" s="19"/>
      <c r="B413" s="148"/>
      <c r="C413" s="91"/>
      <c r="D413" s="91"/>
      <c r="E413" s="91"/>
      <c r="F413" s="91"/>
      <c r="G413" s="91"/>
      <c r="H413" s="91"/>
      <c r="I413" s="91"/>
      <c r="J413" s="22"/>
      <c r="K413" s="22"/>
      <c r="L413" s="22"/>
      <c r="M413" s="22"/>
      <c r="N413" s="22"/>
      <c r="O413" s="91"/>
      <c r="P413" s="91"/>
      <c r="Q413" s="149"/>
      <c r="R413" s="200"/>
      <c r="S413" s="91"/>
      <c r="T413" s="91">
        <f t="shared" ref="T413:T418" si="87">(P413-O413)*S413</f>
        <v>0</v>
      </c>
      <c r="U413" s="644"/>
      <c r="V413" s="782"/>
      <c r="W413" s="14"/>
      <c r="X413" s="7"/>
      <c r="Y413" s="7"/>
      <c r="Z413" s="7"/>
      <c r="AA413" s="7"/>
      <c r="AB413" s="7"/>
      <c r="AC413" s="7"/>
    </row>
    <row r="414" spans="1:29" ht="25.5" hidden="1">
      <c r="A414" s="19"/>
      <c r="B414" s="148"/>
      <c r="C414" s="91"/>
      <c r="D414" s="91"/>
      <c r="E414" s="91"/>
      <c r="F414" s="91"/>
      <c r="G414" s="91"/>
      <c r="H414" s="91"/>
      <c r="I414" s="91"/>
      <c r="J414" s="22"/>
      <c r="K414" s="22"/>
      <c r="L414" s="22"/>
      <c r="M414" s="22"/>
      <c r="N414" s="22"/>
      <c r="O414" s="91"/>
      <c r="P414" s="91"/>
      <c r="Q414" s="149"/>
      <c r="R414" s="200"/>
      <c r="S414" s="91"/>
      <c r="T414" s="91">
        <f t="shared" si="87"/>
        <v>0</v>
      </c>
      <c r="U414" s="644"/>
      <c r="V414" s="782"/>
      <c r="W414" s="14"/>
      <c r="X414" s="7"/>
      <c r="Y414" s="7"/>
      <c r="Z414" s="7"/>
      <c r="AA414" s="7"/>
      <c r="AB414" s="7"/>
      <c r="AC414" s="7"/>
    </row>
    <row r="415" spans="1:29" ht="25.5" hidden="1">
      <c r="A415" s="19"/>
      <c r="B415" s="148"/>
      <c r="C415" s="91"/>
      <c r="D415" s="91"/>
      <c r="E415" s="91"/>
      <c r="F415" s="91"/>
      <c r="G415" s="91"/>
      <c r="H415" s="91"/>
      <c r="I415" s="91"/>
      <c r="J415" s="22"/>
      <c r="K415" s="22"/>
      <c r="L415" s="22"/>
      <c r="M415" s="22"/>
      <c r="N415" s="22"/>
      <c r="O415" s="91"/>
      <c r="P415" s="91"/>
      <c r="Q415" s="149"/>
      <c r="R415" s="200"/>
      <c r="S415" s="91"/>
      <c r="T415" s="91">
        <f t="shared" si="87"/>
        <v>0</v>
      </c>
      <c r="U415" s="644"/>
      <c r="V415" s="782"/>
      <c r="W415" s="14"/>
      <c r="X415" s="7"/>
      <c r="Y415" s="7"/>
      <c r="Z415" s="7"/>
      <c r="AA415" s="7"/>
      <c r="AB415" s="7"/>
      <c r="AC415" s="7"/>
    </row>
    <row r="416" spans="1:29" ht="25.5" hidden="1">
      <c r="A416" s="19"/>
      <c r="B416" s="148"/>
      <c r="C416" s="91"/>
      <c r="D416" s="91"/>
      <c r="E416" s="91"/>
      <c r="F416" s="91"/>
      <c r="G416" s="91"/>
      <c r="H416" s="91"/>
      <c r="I416" s="91"/>
      <c r="J416" s="22"/>
      <c r="K416" s="22"/>
      <c r="L416" s="22"/>
      <c r="M416" s="22"/>
      <c r="N416" s="22"/>
      <c r="O416" s="91"/>
      <c r="P416" s="91"/>
      <c r="Q416" s="149"/>
      <c r="R416" s="200"/>
      <c r="S416" s="91"/>
      <c r="T416" s="91">
        <f t="shared" si="87"/>
        <v>0</v>
      </c>
      <c r="U416" s="644"/>
      <c r="V416" s="782"/>
      <c r="W416" s="14"/>
      <c r="X416" s="7"/>
      <c r="Y416" s="7"/>
      <c r="Z416" s="7"/>
      <c r="AA416" s="7"/>
      <c r="AB416" s="7"/>
      <c r="AC416" s="7"/>
    </row>
    <row r="417" spans="1:29" ht="25.5" hidden="1">
      <c r="A417" s="19"/>
      <c r="B417" s="148"/>
      <c r="C417" s="91"/>
      <c r="D417" s="91"/>
      <c r="E417" s="91"/>
      <c r="F417" s="91"/>
      <c r="G417" s="91"/>
      <c r="H417" s="91"/>
      <c r="I417" s="91"/>
      <c r="J417" s="22"/>
      <c r="K417" s="22"/>
      <c r="L417" s="22"/>
      <c r="M417" s="22"/>
      <c r="N417" s="22"/>
      <c r="O417" s="91"/>
      <c r="P417" s="91"/>
      <c r="Q417" s="149"/>
      <c r="R417" s="200"/>
      <c r="S417" s="91"/>
      <c r="T417" s="91">
        <f t="shared" si="87"/>
        <v>0</v>
      </c>
      <c r="U417" s="644"/>
      <c r="V417" s="782"/>
      <c r="W417" s="14"/>
      <c r="X417" s="7"/>
      <c r="Y417" s="7"/>
      <c r="Z417" s="7"/>
      <c r="AA417" s="7"/>
      <c r="AB417" s="7"/>
      <c r="AC417" s="7"/>
    </row>
    <row r="418" spans="1:29" ht="25.5" hidden="1">
      <c r="A418" s="19">
        <v>59</v>
      </c>
      <c r="B418" s="148"/>
      <c r="C418" s="91"/>
      <c r="D418" s="91"/>
      <c r="E418" s="91"/>
      <c r="F418" s="91"/>
      <c r="G418" s="91"/>
      <c r="H418" s="91"/>
      <c r="I418" s="91"/>
      <c r="J418" s="22"/>
      <c r="K418" s="22"/>
      <c r="L418" s="22"/>
      <c r="M418" s="22"/>
      <c r="N418" s="22"/>
      <c r="O418" s="91"/>
      <c r="P418" s="91"/>
      <c r="Q418" s="149"/>
      <c r="R418" s="232"/>
      <c r="S418" s="91"/>
      <c r="T418" s="91">
        <f t="shared" si="87"/>
        <v>0</v>
      </c>
      <c r="U418" s="644"/>
      <c r="V418" s="782"/>
      <c r="W418" s="14"/>
      <c r="X418" s="7"/>
      <c r="Y418" s="7"/>
      <c r="Z418" s="7"/>
      <c r="AA418" s="7"/>
      <c r="AB418" s="7"/>
      <c r="AC418" s="7"/>
    </row>
    <row r="419" spans="1:29" ht="25.5" hidden="1">
      <c r="A419" s="19">
        <v>60</v>
      </c>
      <c r="B419" s="148"/>
      <c r="C419" s="91"/>
      <c r="D419" s="91"/>
      <c r="E419" s="91"/>
      <c r="F419" s="91"/>
      <c r="G419" s="91"/>
      <c r="H419" s="91"/>
      <c r="I419" s="91"/>
      <c r="J419" s="22"/>
      <c r="K419" s="22"/>
      <c r="L419" s="22"/>
      <c r="M419" s="22"/>
      <c r="N419" s="22"/>
      <c r="O419" s="91"/>
      <c r="P419" s="91"/>
      <c r="Q419" s="149"/>
      <c r="R419" s="232"/>
      <c r="S419" s="91"/>
      <c r="T419" s="91"/>
      <c r="U419" s="644"/>
      <c r="V419" s="782"/>
      <c r="W419" s="14"/>
      <c r="X419" s="7"/>
      <c r="Y419" s="7"/>
      <c r="Z419" s="7"/>
      <c r="AA419" s="7"/>
      <c r="AB419" s="7"/>
      <c r="AC419" s="7"/>
    </row>
    <row r="420" spans="1:29" ht="25.5" hidden="1">
      <c r="A420" s="19">
        <v>61.1</v>
      </c>
      <c r="B420" s="1"/>
      <c r="U420" s="644"/>
      <c r="V420" s="782"/>
      <c r="W420" s="14"/>
      <c r="X420" s="7"/>
      <c r="Y420" s="7"/>
      <c r="Z420" s="7"/>
      <c r="AA420" s="7"/>
      <c r="AB420" s="7"/>
      <c r="AC420" s="7"/>
    </row>
    <row r="421" spans="1:29" ht="25.5" hidden="1">
      <c r="A421" s="19">
        <v>61.2</v>
      </c>
      <c r="B421" s="1"/>
      <c r="U421" s="644"/>
      <c r="V421" s="782"/>
      <c r="W421" s="14"/>
      <c r="X421" s="7"/>
      <c r="Y421" s="7"/>
      <c r="Z421" s="7"/>
      <c r="AA421" s="7"/>
      <c r="AB421" s="7"/>
      <c r="AC421" s="7"/>
    </row>
    <row r="422" spans="1:29" ht="25.5" hidden="1">
      <c r="A422" s="19">
        <v>61.3</v>
      </c>
      <c r="B422" s="1"/>
      <c r="U422" s="644"/>
      <c r="V422" s="782"/>
      <c r="W422" s="14"/>
      <c r="X422" s="7"/>
      <c r="Y422" s="7"/>
      <c r="Z422" s="7"/>
      <c r="AA422" s="7"/>
      <c r="AB422" s="7"/>
      <c r="AC422" s="7"/>
    </row>
    <row r="423" spans="1:29" ht="25.5" hidden="1">
      <c r="A423" s="19">
        <v>61.4</v>
      </c>
      <c r="B423" s="1"/>
      <c r="U423" s="644"/>
      <c r="V423" s="782"/>
      <c r="W423" s="14"/>
      <c r="X423" s="7"/>
      <c r="Y423" s="7"/>
      <c r="Z423" s="7"/>
      <c r="AA423" s="7"/>
      <c r="AB423" s="7"/>
      <c r="AC423" s="7"/>
    </row>
    <row r="424" spans="1:29" ht="36" hidden="1" customHeight="1">
      <c r="A424" s="19">
        <v>61.5</v>
      </c>
      <c r="B424" s="1"/>
      <c r="U424" s="644"/>
      <c r="V424" s="782"/>
      <c r="W424" s="14"/>
      <c r="X424" s="7"/>
      <c r="Y424" s="7"/>
      <c r="Z424" s="7"/>
      <c r="AA424" s="7"/>
      <c r="AB424" s="7"/>
      <c r="AC424" s="7"/>
    </row>
    <row r="425" spans="1:29" ht="25.5" hidden="1">
      <c r="A425" s="19">
        <v>61.6</v>
      </c>
      <c r="B425" s="1"/>
      <c r="U425" s="644"/>
      <c r="V425" s="782"/>
      <c r="W425" s="14"/>
      <c r="X425" s="7"/>
      <c r="Y425" s="7"/>
      <c r="Z425" s="7"/>
      <c r="AA425" s="7"/>
      <c r="AB425" s="7"/>
      <c r="AC425" s="7"/>
    </row>
    <row r="426" spans="1:29" ht="31.5" hidden="1" customHeight="1">
      <c r="A426" s="19">
        <v>61.7</v>
      </c>
      <c r="B426" s="1"/>
      <c r="U426" s="644"/>
      <c r="V426" s="782"/>
      <c r="W426" s="14"/>
      <c r="X426" s="7"/>
      <c r="Y426" s="7"/>
      <c r="Z426" s="7"/>
      <c r="AA426" s="7"/>
      <c r="AB426" s="7"/>
      <c r="AC426" s="7"/>
    </row>
    <row r="427" spans="1:29" ht="30" hidden="1" customHeight="1">
      <c r="A427" s="19">
        <v>61.8</v>
      </c>
      <c r="B427" s="1"/>
      <c r="U427" s="644"/>
      <c r="V427" s="782"/>
      <c r="W427" s="14"/>
      <c r="X427" s="7"/>
      <c r="Y427" s="7"/>
      <c r="Z427" s="7"/>
      <c r="AA427" s="7"/>
      <c r="AB427" s="7"/>
      <c r="AC427" s="7"/>
    </row>
    <row r="428" spans="1:29" ht="25.5" hidden="1">
      <c r="A428" s="19">
        <v>61.9</v>
      </c>
      <c r="B428" s="1"/>
      <c r="U428" s="644"/>
      <c r="V428" s="782"/>
      <c r="W428" s="14"/>
      <c r="X428" s="7"/>
      <c r="Y428" s="7"/>
      <c r="Z428" s="7"/>
      <c r="AA428" s="7"/>
      <c r="AB428" s="7"/>
      <c r="AC428" s="7"/>
    </row>
    <row r="429" spans="1:29" s="234" customFormat="1" ht="28.5" hidden="1" customHeight="1">
      <c r="A429" s="233">
        <v>61.1</v>
      </c>
      <c r="U429" s="730"/>
      <c r="V429" s="235"/>
      <c r="W429" s="14"/>
      <c r="X429" s="236"/>
      <c r="Y429" s="236"/>
      <c r="Z429" s="236"/>
      <c r="AA429" s="236"/>
      <c r="AB429" s="236"/>
      <c r="AC429" s="236"/>
    </row>
    <row r="430" spans="1:29" ht="28.5" hidden="1" customHeight="1">
      <c r="A430" s="19">
        <v>61.11</v>
      </c>
      <c r="B430" s="1"/>
      <c r="U430" s="644"/>
      <c r="V430" s="782"/>
      <c r="W430" s="14"/>
      <c r="X430" s="7"/>
      <c r="Y430" s="7"/>
      <c r="Z430" s="7"/>
      <c r="AA430" s="7"/>
      <c r="AB430" s="7"/>
      <c r="AC430" s="7"/>
    </row>
    <row r="431" spans="1:29" ht="25.5" hidden="1">
      <c r="A431" s="19">
        <v>61.12</v>
      </c>
      <c r="B431" s="1"/>
      <c r="U431" s="644"/>
      <c r="V431" s="782"/>
      <c r="W431" s="14"/>
      <c r="X431" s="7"/>
      <c r="Y431" s="7"/>
      <c r="Z431" s="7"/>
      <c r="AA431" s="7"/>
      <c r="AB431" s="7"/>
      <c r="AC431" s="7"/>
    </row>
    <row r="432" spans="1:29" ht="30" hidden="1" customHeight="1">
      <c r="A432" s="19">
        <v>61.13</v>
      </c>
      <c r="B432" s="1"/>
      <c r="U432" s="644"/>
      <c r="V432" s="782"/>
      <c r="W432" s="14"/>
      <c r="X432" s="7"/>
      <c r="Y432" s="7"/>
      <c r="Z432" s="7"/>
      <c r="AA432" s="7"/>
      <c r="AB432" s="7"/>
      <c r="AC432" s="7"/>
    </row>
    <row r="433" spans="1:29" ht="28.5" hidden="1" customHeight="1">
      <c r="A433" s="19">
        <v>61.14</v>
      </c>
      <c r="B433" s="1"/>
      <c r="U433" s="644"/>
      <c r="V433" s="782"/>
      <c r="W433" s="14"/>
      <c r="X433" s="7"/>
      <c r="Y433" s="7"/>
      <c r="Z433" s="7"/>
      <c r="AA433" s="7"/>
      <c r="AB433" s="7"/>
      <c r="AC433" s="7"/>
    </row>
    <row r="434" spans="1:29" ht="27" hidden="1" customHeight="1">
      <c r="A434" s="19">
        <v>61.15</v>
      </c>
      <c r="B434" s="1"/>
      <c r="U434" s="644"/>
      <c r="V434" s="782"/>
      <c r="W434" s="14"/>
      <c r="X434" s="7"/>
      <c r="Y434" s="7"/>
      <c r="Z434" s="7"/>
      <c r="AA434" s="7"/>
      <c r="AB434" s="7"/>
      <c r="AC434" s="7"/>
    </row>
    <row r="435" spans="1:29" ht="25.5" hidden="1">
      <c r="A435" s="19">
        <v>61.16</v>
      </c>
      <c r="B435" s="148"/>
      <c r="C435" s="91"/>
      <c r="D435" s="91"/>
      <c r="E435" s="91"/>
      <c r="F435" s="91"/>
      <c r="G435" s="91"/>
      <c r="H435" s="91"/>
      <c r="I435" s="91"/>
      <c r="J435" s="22"/>
      <c r="K435" s="22"/>
      <c r="L435" s="22"/>
      <c r="M435" s="22"/>
      <c r="N435" s="22"/>
      <c r="O435" s="91"/>
      <c r="P435" s="91"/>
      <c r="Q435" s="149"/>
      <c r="R435" s="200"/>
      <c r="S435" s="91"/>
      <c r="T435" s="91">
        <f>P435-O435</f>
        <v>0</v>
      </c>
      <c r="U435" s="644"/>
      <c r="V435" s="782"/>
      <c r="W435" s="14"/>
      <c r="X435" s="7"/>
      <c r="Y435" s="7"/>
      <c r="Z435" s="7"/>
      <c r="AA435" s="7"/>
      <c r="AB435" s="7"/>
      <c r="AC435" s="7"/>
    </row>
    <row r="436" spans="1:29" ht="28.5" hidden="1" customHeight="1">
      <c r="A436" s="19">
        <v>62</v>
      </c>
      <c r="B436" s="1"/>
      <c r="U436" s="644"/>
      <c r="V436" s="782"/>
      <c r="W436" s="14"/>
      <c r="X436" s="7"/>
      <c r="Y436" s="7"/>
      <c r="Z436" s="7"/>
      <c r="AA436" s="7"/>
      <c r="AB436" s="7"/>
      <c r="AC436" s="7"/>
    </row>
    <row r="437" spans="1:29" ht="25.5" hidden="1">
      <c r="A437" s="19">
        <v>63</v>
      </c>
      <c r="B437" s="148"/>
      <c r="C437" s="91"/>
      <c r="D437" s="91"/>
      <c r="E437" s="91"/>
      <c r="F437" s="91"/>
      <c r="G437" s="91"/>
      <c r="H437" s="91"/>
      <c r="I437" s="91"/>
      <c r="J437" s="22"/>
      <c r="K437" s="22"/>
      <c r="L437" s="22"/>
      <c r="M437" s="22"/>
      <c r="N437" s="22"/>
      <c r="O437" s="91"/>
      <c r="P437" s="91"/>
      <c r="Q437" s="22"/>
      <c r="R437" s="142"/>
      <c r="S437" s="91"/>
      <c r="T437" s="91">
        <f>(P437-O437)*S437</f>
        <v>0</v>
      </c>
      <c r="U437" s="644"/>
      <c r="V437" s="782"/>
      <c r="W437" s="14"/>
      <c r="X437" s="7"/>
      <c r="Y437" s="7"/>
      <c r="Z437" s="7"/>
      <c r="AA437" s="7"/>
      <c r="AB437" s="7"/>
      <c r="AC437" s="7"/>
    </row>
    <row r="438" spans="1:29" ht="27.75" hidden="1" customHeight="1">
      <c r="A438" s="19">
        <v>64</v>
      </c>
      <c r="U438" s="644"/>
      <c r="V438" s="782"/>
      <c r="W438" s="14"/>
      <c r="X438" s="7"/>
      <c r="Y438" s="7"/>
      <c r="Z438" s="7"/>
      <c r="AA438" s="7"/>
      <c r="AB438" s="7"/>
      <c r="AC438" s="7"/>
    </row>
    <row r="439" spans="1:29" ht="28.5" hidden="1" customHeight="1">
      <c r="A439" s="19">
        <v>65</v>
      </c>
      <c r="B439" s="148"/>
      <c r="C439" s="91"/>
      <c r="D439" s="91"/>
      <c r="E439" s="91"/>
      <c r="F439" s="91"/>
      <c r="G439" s="91"/>
      <c r="H439" s="91"/>
      <c r="I439" s="91"/>
      <c r="J439" s="22"/>
      <c r="K439" s="22"/>
      <c r="L439" s="22"/>
      <c r="M439" s="22"/>
      <c r="N439" s="22"/>
      <c r="O439" s="91"/>
      <c r="P439" s="91"/>
      <c r="Q439" s="22"/>
      <c r="R439" s="142"/>
      <c r="S439" s="91"/>
      <c r="T439" s="91"/>
      <c r="U439" s="644"/>
      <c r="V439" s="782"/>
      <c r="W439" s="14"/>
      <c r="X439" s="7"/>
      <c r="Y439" s="7"/>
      <c r="Z439" s="7"/>
      <c r="AA439" s="7"/>
      <c r="AB439" s="7"/>
      <c r="AC439" s="7"/>
    </row>
    <row r="440" spans="1:29" ht="31.5" hidden="1" customHeight="1">
      <c r="A440" s="19">
        <v>66</v>
      </c>
      <c r="U440" s="644"/>
      <c r="V440" s="782"/>
      <c r="W440" s="14" t="s">
        <v>487</v>
      </c>
      <c r="X440" s="7"/>
      <c r="Y440" s="7"/>
      <c r="Z440" s="7"/>
      <c r="AA440" s="7"/>
      <c r="AB440" s="7"/>
      <c r="AC440" s="7"/>
    </row>
    <row r="441" spans="1:29" ht="25.5" hidden="1">
      <c r="A441" s="19">
        <v>68</v>
      </c>
      <c r="U441" s="644"/>
      <c r="V441" s="782"/>
      <c r="W441" s="14"/>
      <c r="X441" s="7"/>
      <c r="Y441" s="7"/>
      <c r="Z441" s="149"/>
      <c r="AA441" s="149"/>
      <c r="AB441" s="149"/>
      <c r="AC441" s="149"/>
    </row>
    <row r="442" spans="1:29" ht="27.75" hidden="1" customHeight="1">
      <c r="A442" s="19">
        <v>70</v>
      </c>
      <c r="B442" s="1"/>
      <c r="U442" s="644"/>
      <c r="V442" s="782"/>
      <c r="W442" s="14"/>
      <c r="X442" s="7"/>
      <c r="Y442" s="7"/>
      <c r="Z442" s="149"/>
      <c r="AA442" s="149"/>
      <c r="AB442" s="149"/>
      <c r="AC442" s="149"/>
    </row>
    <row r="443" spans="1:29" ht="25.5" hidden="1">
      <c r="A443" s="19">
        <v>71</v>
      </c>
      <c r="U443" s="644"/>
      <c r="V443" s="782"/>
      <c r="W443" s="14"/>
      <c r="X443" s="7"/>
      <c r="Y443" s="7"/>
      <c r="Z443" s="149"/>
      <c r="AA443" s="149"/>
      <c r="AB443" s="149"/>
      <c r="AC443" s="149"/>
    </row>
    <row r="444" spans="1:29" ht="44.25" hidden="1" customHeight="1">
      <c r="A444" s="19">
        <v>72</v>
      </c>
      <c r="B444" s="1"/>
      <c r="U444" s="719"/>
      <c r="V444" s="1"/>
      <c r="W444" s="14">
        <v>16390</v>
      </c>
      <c r="X444" s="7"/>
      <c r="Y444" s="7"/>
      <c r="Z444" s="7"/>
      <c r="AA444" s="7"/>
      <c r="AB444" s="7"/>
      <c r="AC444" s="7"/>
    </row>
    <row r="445" spans="1:29" ht="25.5" hidden="1">
      <c r="A445" s="19">
        <v>73</v>
      </c>
      <c r="B445" s="1"/>
      <c r="U445" s="719"/>
      <c r="V445" s="1"/>
      <c r="W445" s="14">
        <v>19235</v>
      </c>
      <c r="X445" s="7"/>
      <c r="Y445" s="7"/>
      <c r="Z445" s="7"/>
      <c r="AA445" s="7"/>
      <c r="AB445" s="7"/>
      <c r="AC445" s="7"/>
    </row>
    <row r="446" spans="1:29" ht="25.5" hidden="1">
      <c r="A446" s="19">
        <v>74</v>
      </c>
      <c r="U446" s="724"/>
      <c r="W446" s="14" t="s">
        <v>488</v>
      </c>
      <c r="X446" s="7"/>
      <c r="Y446" s="7"/>
      <c r="Z446" s="7"/>
      <c r="AA446" s="7"/>
      <c r="AB446" s="7"/>
      <c r="AC446" s="7"/>
    </row>
    <row r="447" spans="1:29" ht="28.5" hidden="1" customHeight="1">
      <c r="A447" s="19">
        <v>75</v>
      </c>
      <c r="B447" s="1"/>
      <c r="U447" s="719"/>
      <c r="V447" s="1"/>
      <c r="W447" s="14"/>
      <c r="X447" s="7"/>
      <c r="Y447" s="7"/>
      <c r="Z447" s="7"/>
      <c r="AA447" s="7"/>
      <c r="AB447" s="7"/>
      <c r="AC447" s="7"/>
    </row>
    <row r="448" spans="1:29" ht="22.5" hidden="1" customHeight="1">
      <c r="A448" s="19">
        <v>76</v>
      </c>
      <c r="U448" s="644"/>
      <c r="V448" s="782"/>
      <c r="W448" s="134">
        <v>590000</v>
      </c>
      <c r="X448" s="149"/>
      <c r="Y448" s="149"/>
      <c r="Z448" s="7"/>
      <c r="AA448" s="7"/>
      <c r="AB448" s="7"/>
      <c r="AC448" s="7"/>
    </row>
    <row r="449" spans="1:29" ht="34.5" hidden="1" customHeight="1">
      <c r="A449" s="19">
        <v>77</v>
      </c>
      <c r="U449" s="644"/>
      <c r="V449" s="782"/>
      <c r="W449" s="134"/>
      <c r="X449" s="149"/>
      <c r="Y449" s="149"/>
      <c r="Z449" s="7"/>
      <c r="AA449" s="7"/>
      <c r="AB449" s="7"/>
      <c r="AC449" s="7"/>
    </row>
    <row r="450" spans="1:29" ht="30" hidden="1" customHeight="1">
      <c r="A450" s="19">
        <v>78</v>
      </c>
      <c r="U450" s="644"/>
      <c r="V450" s="782"/>
      <c r="W450" s="134">
        <v>201022</v>
      </c>
      <c r="X450" s="149"/>
      <c r="Y450" s="149"/>
      <c r="Z450" s="7"/>
      <c r="AA450" s="7"/>
      <c r="AB450" s="7"/>
      <c r="AC450" s="7"/>
    </row>
    <row r="451" spans="1:29" ht="25.5" hidden="1" customHeight="1">
      <c r="A451" s="19">
        <v>79</v>
      </c>
      <c r="U451" s="644"/>
      <c r="V451" s="782"/>
      <c r="W451" s="14"/>
      <c r="X451" s="7"/>
      <c r="Y451" s="7"/>
      <c r="Z451" s="7"/>
      <c r="AA451" s="7"/>
      <c r="AB451" s="7"/>
      <c r="AC451" s="7"/>
    </row>
    <row r="452" spans="1:29" ht="33" hidden="1" customHeight="1">
      <c r="A452" s="19">
        <v>80</v>
      </c>
      <c r="B452" s="148"/>
      <c r="C452" s="91"/>
      <c r="D452" s="91"/>
      <c r="E452" s="91"/>
      <c r="F452" s="91"/>
      <c r="G452" s="91"/>
      <c r="H452" s="91"/>
      <c r="I452" s="91"/>
      <c r="J452" s="22"/>
      <c r="K452" s="22"/>
      <c r="L452" s="22"/>
      <c r="M452" s="22"/>
      <c r="N452" s="22"/>
      <c r="O452" s="91"/>
      <c r="P452" s="91"/>
      <c r="Q452" s="22"/>
      <c r="R452" s="142"/>
      <c r="S452" s="91"/>
      <c r="T452" s="91">
        <f>(P452-O452)*S452</f>
        <v>0</v>
      </c>
      <c r="U452" s="644"/>
      <c r="V452" s="782"/>
      <c r="W452" s="14"/>
      <c r="X452" s="7"/>
      <c r="Y452" s="7"/>
      <c r="Z452" s="7"/>
      <c r="AA452" s="7"/>
      <c r="AB452" s="7"/>
      <c r="AC452" s="7"/>
    </row>
    <row r="453" spans="1:29" ht="24.75" hidden="1" customHeight="1">
      <c r="A453" s="19">
        <v>81</v>
      </c>
      <c r="U453" s="644"/>
      <c r="V453" s="782"/>
      <c r="W453" s="14"/>
      <c r="X453" s="7"/>
      <c r="Y453" s="7"/>
      <c r="Z453" s="7"/>
      <c r="AA453" s="7"/>
      <c r="AB453" s="7"/>
      <c r="AC453" s="7"/>
    </row>
    <row r="454" spans="1:29" ht="26.25" hidden="1">
      <c r="A454" s="231">
        <v>82</v>
      </c>
      <c r="U454" s="644"/>
      <c r="V454" s="782"/>
      <c r="W454" s="14" t="s">
        <v>489</v>
      </c>
      <c r="X454" s="7"/>
      <c r="Y454" s="7"/>
      <c r="Z454" s="7"/>
      <c r="AA454" s="7"/>
      <c r="AB454" s="7"/>
      <c r="AC454" s="7"/>
    </row>
    <row r="455" spans="1:29" ht="26.25" hidden="1">
      <c r="A455" s="231"/>
      <c r="U455" s="644"/>
      <c r="V455" s="782"/>
      <c r="W455" s="14"/>
      <c r="X455" s="7"/>
      <c r="Y455" s="7"/>
      <c r="Z455" s="7"/>
      <c r="AA455" s="7"/>
      <c r="AB455" s="7"/>
      <c r="AC455" s="7"/>
    </row>
    <row r="456" spans="1:29" ht="26.25" hidden="1">
      <c r="A456" s="231"/>
      <c r="U456" s="644"/>
      <c r="V456" s="782"/>
      <c r="W456" s="14"/>
      <c r="X456" s="7"/>
      <c r="Y456" s="7"/>
      <c r="Z456" s="7"/>
      <c r="AA456" s="7"/>
      <c r="AB456" s="7"/>
      <c r="AC456" s="7"/>
    </row>
    <row r="457" spans="1:29" ht="26.25" hidden="1">
      <c r="A457" s="237">
        <v>83</v>
      </c>
      <c r="B457" s="1"/>
      <c r="U457" s="719"/>
      <c r="V457" s="1"/>
      <c r="W457" s="14"/>
      <c r="X457" s="7" t="s">
        <v>490</v>
      </c>
      <c r="Y457" s="7"/>
      <c r="Z457" s="7"/>
      <c r="AA457" s="7"/>
      <c r="AB457" s="7"/>
      <c r="AC457" s="7"/>
    </row>
    <row r="458" spans="1:29" ht="26.25" hidden="1">
      <c r="A458" s="231"/>
      <c r="B458" s="1"/>
      <c r="U458" s="719"/>
      <c r="V458" s="1"/>
      <c r="W458" s="14"/>
      <c r="X458" s="7"/>
      <c r="Y458" s="7"/>
      <c r="Z458" s="7"/>
      <c r="AA458" s="7"/>
      <c r="AB458" s="7"/>
      <c r="AC458" s="7"/>
    </row>
    <row r="459" spans="1:29" ht="31.5" hidden="1" customHeight="1">
      <c r="A459" s="19">
        <v>84</v>
      </c>
      <c r="U459" s="644"/>
      <c r="V459" s="782"/>
      <c r="W459" s="14"/>
      <c r="X459" s="7"/>
      <c r="Y459" s="7"/>
      <c r="Z459" s="7"/>
      <c r="AA459" s="7"/>
      <c r="AB459" s="7"/>
      <c r="AC459" s="7"/>
    </row>
    <row r="460" spans="1:29" ht="25.5" hidden="1">
      <c r="A460" s="19">
        <v>85</v>
      </c>
      <c r="B460" s="1"/>
      <c r="U460" s="719"/>
      <c r="V460" s="1"/>
      <c r="W460" s="14" t="s">
        <v>491</v>
      </c>
      <c r="X460" s="7"/>
      <c r="Y460" s="7"/>
      <c r="Z460" s="7"/>
      <c r="AA460" s="7"/>
      <c r="AB460" s="7"/>
      <c r="AC460" s="7"/>
    </row>
    <row r="461" spans="1:29" ht="26.25" hidden="1" customHeight="1">
      <c r="A461" s="19">
        <v>86</v>
      </c>
      <c r="U461" s="644"/>
      <c r="V461" s="782"/>
      <c r="W461" s="14" t="s">
        <v>492</v>
      </c>
      <c r="X461" s="7"/>
      <c r="Y461" s="7"/>
      <c r="Z461" s="7"/>
      <c r="AA461" s="7"/>
      <c r="AB461" s="7"/>
      <c r="AC461" s="7"/>
    </row>
    <row r="462" spans="1:29" ht="30" hidden="1" customHeight="1">
      <c r="A462" s="19">
        <v>87</v>
      </c>
      <c r="U462" s="644"/>
      <c r="V462" s="782"/>
      <c r="W462" s="14" t="s">
        <v>492</v>
      </c>
      <c r="X462" s="7"/>
      <c r="Y462" s="7"/>
      <c r="Z462" s="7"/>
      <c r="AA462" s="7"/>
      <c r="AB462" s="7"/>
      <c r="AC462" s="7"/>
    </row>
    <row r="463" spans="1:29" ht="26.25" hidden="1" customHeight="1">
      <c r="A463" s="19">
        <v>88</v>
      </c>
      <c r="B463" s="1"/>
      <c r="U463" s="719"/>
      <c r="V463" s="1"/>
      <c r="W463" s="14" t="s">
        <v>493</v>
      </c>
      <c r="X463" s="7"/>
      <c r="Y463" s="7"/>
      <c r="Z463" s="7"/>
      <c r="AA463" s="7"/>
      <c r="AB463" s="7"/>
      <c r="AC463" s="7"/>
    </row>
    <row r="464" spans="1:29" ht="26.25" hidden="1">
      <c r="A464" s="135">
        <v>89</v>
      </c>
      <c r="B464" s="1"/>
      <c r="U464" s="719"/>
      <c r="V464" s="1"/>
      <c r="W464" s="14"/>
      <c r="X464" s="7"/>
      <c r="Y464" s="7"/>
      <c r="Z464" s="7"/>
      <c r="AA464" s="7"/>
      <c r="AB464" s="7"/>
      <c r="AC464" s="7"/>
    </row>
    <row r="465" spans="1:29" ht="76.5" hidden="1">
      <c r="A465" s="19" t="s">
        <v>494</v>
      </c>
      <c r="B465" s="1"/>
      <c r="U465" s="719"/>
      <c r="V465" s="1"/>
      <c r="W465" s="14"/>
      <c r="X465" s="7"/>
      <c r="Y465" s="7"/>
      <c r="Z465" s="7"/>
      <c r="AA465" s="7"/>
      <c r="AB465" s="7"/>
      <c r="AC465" s="7"/>
    </row>
    <row r="466" spans="1:29" ht="25.5" hidden="1">
      <c r="A466" s="19">
        <v>90</v>
      </c>
      <c r="B466" s="1"/>
      <c r="U466" s="719"/>
      <c r="V466" s="1"/>
      <c r="W466" s="14"/>
      <c r="X466" s="7"/>
      <c r="Y466" s="7"/>
      <c r="Z466" s="7"/>
      <c r="AA466" s="7"/>
      <c r="AB466" s="7"/>
      <c r="AC466" s="7"/>
    </row>
    <row r="467" spans="1:29" ht="11.25" hidden="1" customHeight="1">
      <c r="A467" s="19">
        <v>91</v>
      </c>
      <c r="U467" s="644"/>
      <c r="V467" s="782"/>
      <c r="W467" s="14"/>
      <c r="X467" s="7"/>
      <c r="Y467" s="7"/>
      <c r="Z467" s="7"/>
      <c r="AA467" s="7"/>
      <c r="AB467" s="7"/>
      <c r="AC467" s="7"/>
    </row>
    <row r="468" spans="1:29" ht="54" hidden="1" customHeight="1">
      <c r="A468" s="19">
        <v>92</v>
      </c>
      <c r="B468" s="1"/>
      <c r="U468" s="644"/>
      <c r="V468" s="782"/>
      <c r="W468" s="14"/>
      <c r="X468" s="7"/>
      <c r="Y468" s="7"/>
      <c r="Z468" s="7"/>
      <c r="AA468" s="7"/>
      <c r="AB468" s="7"/>
      <c r="AC468" s="7"/>
    </row>
    <row r="469" spans="1:29" ht="30.75" hidden="1" customHeight="1">
      <c r="A469" s="19">
        <v>93</v>
      </c>
      <c r="B469" s="1"/>
      <c r="U469" s="644"/>
      <c r="V469" s="782"/>
      <c r="W469" s="14"/>
      <c r="X469" s="7"/>
      <c r="Y469" s="7"/>
      <c r="Z469" s="7"/>
      <c r="AA469" s="7"/>
      <c r="AB469" s="7"/>
      <c r="AC469" s="7"/>
    </row>
    <row r="470" spans="1:29" ht="57" hidden="1" customHeight="1">
      <c r="A470" s="19">
        <v>94</v>
      </c>
      <c r="B470" s="1"/>
      <c r="U470" s="644"/>
      <c r="V470" s="782"/>
      <c r="W470" s="14"/>
      <c r="X470" s="7"/>
      <c r="Y470" s="7"/>
      <c r="Z470" s="7"/>
      <c r="AA470" s="7"/>
      <c r="AB470" s="7"/>
      <c r="AC470" s="7"/>
    </row>
    <row r="471" spans="1:29" ht="28.5" hidden="1" customHeight="1">
      <c r="A471" s="19">
        <v>95</v>
      </c>
      <c r="B471" s="1"/>
      <c r="U471" s="644"/>
      <c r="V471" s="782"/>
      <c r="W471" s="14"/>
      <c r="X471" s="7"/>
      <c r="Y471" s="7"/>
      <c r="Z471" s="7"/>
      <c r="AA471" s="7"/>
      <c r="AB471" s="7"/>
      <c r="AC471" s="7"/>
    </row>
    <row r="472" spans="1:29" ht="30.75" hidden="1" customHeight="1">
      <c r="A472" s="19">
        <v>96</v>
      </c>
      <c r="B472" s="1"/>
      <c r="U472" s="644"/>
      <c r="V472" s="782"/>
      <c r="W472" s="14"/>
      <c r="X472" s="7"/>
      <c r="Y472" s="7"/>
      <c r="Z472" s="7"/>
      <c r="AA472" s="7"/>
      <c r="AB472" s="7"/>
      <c r="AC472" s="7"/>
    </row>
    <row r="473" spans="1:29" ht="30" hidden="1" customHeight="1">
      <c r="A473" s="19">
        <v>97</v>
      </c>
      <c r="B473" s="1"/>
      <c r="U473" s="644"/>
      <c r="V473" s="782"/>
      <c r="W473" s="14"/>
      <c r="X473" s="7"/>
      <c r="Y473" s="7"/>
      <c r="Z473" s="7"/>
      <c r="AA473" s="7"/>
      <c r="AB473" s="7"/>
      <c r="AC473" s="7"/>
    </row>
    <row r="474" spans="1:29" ht="27.75" hidden="1" customHeight="1">
      <c r="A474" s="19">
        <v>98</v>
      </c>
      <c r="U474" s="644"/>
      <c r="V474" s="782"/>
      <c r="W474" s="14"/>
      <c r="X474" s="7"/>
      <c r="Y474" s="7"/>
      <c r="Z474" s="7"/>
      <c r="AA474" s="7"/>
      <c r="AB474" s="7"/>
      <c r="AC474" s="7"/>
    </row>
    <row r="475" spans="1:29" ht="25.5" hidden="1">
      <c r="A475" s="19">
        <v>99</v>
      </c>
      <c r="U475" s="644"/>
      <c r="V475" s="782"/>
      <c r="W475" s="14"/>
      <c r="X475" s="7"/>
      <c r="Y475" s="7"/>
      <c r="Z475" s="7"/>
      <c r="AA475" s="7"/>
      <c r="AB475" s="7"/>
      <c r="AC475" s="7"/>
    </row>
    <row r="476" spans="1:29" ht="25.5" hidden="1">
      <c r="A476" s="19">
        <v>100</v>
      </c>
      <c r="B476" s="148"/>
      <c r="C476" s="91"/>
      <c r="D476" s="91"/>
      <c r="E476" s="91"/>
      <c r="F476" s="91"/>
      <c r="G476" s="91"/>
      <c r="H476" s="91"/>
      <c r="I476" s="91"/>
      <c r="J476" s="22"/>
      <c r="K476" s="22"/>
      <c r="L476" s="22"/>
      <c r="M476" s="22"/>
      <c r="N476" s="22"/>
      <c r="O476" s="91"/>
      <c r="P476" s="91"/>
      <c r="Q476" s="7"/>
      <c r="R476" s="200"/>
      <c r="S476" s="151"/>
      <c r="T476" s="91">
        <f>(P476-O476)*S476</f>
        <v>0</v>
      </c>
      <c r="U476" s="644"/>
      <c r="V476" s="782"/>
      <c r="W476" s="14"/>
      <c r="X476" s="7"/>
      <c r="Y476" s="7"/>
      <c r="Z476" s="7"/>
      <c r="AA476" s="7"/>
      <c r="AB476" s="7"/>
      <c r="AC476" s="7"/>
    </row>
    <row r="477" spans="1:29" ht="28.5" hidden="1" customHeight="1">
      <c r="A477" s="19">
        <v>101</v>
      </c>
      <c r="U477" s="644"/>
      <c r="V477" s="782"/>
      <c r="W477" s="14"/>
      <c r="X477" s="7"/>
      <c r="Y477" s="7"/>
      <c r="Z477" s="7"/>
      <c r="AA477" s="7"/>
      <c r="AB477" s="7"/>
      <c r="AC477" s="7"/>
    </row>
    <row r="478" spans="1:29" ht="26.25" hidden="1" customHeight="1">
      <c r="A478" s="19">
        <v>102</v>
      </c>
      <c r="U478" s="644"/>
      <c r="V478" s="782"/>
      <c r="W478" s="14">
        <v>752.1</v>
      </c>
      <c r="X478" s="238">
        <v>809.71</v>
      </c>
      <c r="Y478" s="7"/>
      <c r="Z478" s="149"/>
      <c r="AA478" s="149"/>
      <c r="AB478" s="149"/>
      <c r="AC478" s="149"/>
    </row>
    <row r="479" spans="1:29" ht="27.75" hidden="1" customHeight="1">
      <c r="A479" s="19" t="s">
        <v>495</v>
      </c>
      <c r="U479" s="644"/>
      <c r="V479" s="782"/>
      <c r="W479" s="14"/>
      <c r="X479" s="7"/>
      <c r="Y479" s="7"/>
      <c r="Z479" s="149"/>
      <c r="AA479" s="149"/>
      <c r="AB479" s="149"/>
      <c r="AC479" s="149"/>
    </row>
    <row r="480" spans="1:29" ht="31.5" hidden="1" customHeight="1">
      <c r="A480" s="19" t="s">
        <v>496</v>
      </c>
      <c r="U480" s="644"/>
      <c r="V480" s="782"/>
      <c r="W480" s="14"/>
      <c r="X480" s="7"/>
      <c r="Y480" s="7"/>
      <c r="Z480" s="7"/>
      <c r="AA480" s="7"/>
      <c r="AB480" s="7"/>
      <c r="AC480" s="7"/>
    </row>
    <row r="481" spans="1:29" ht="27.75" hidden="1" customHeight="1">
      <c r="A481" s="19">
        <v>103</v>
      </c>
      <c r="U481" s="644"/>
      <c r="V481" s="782"/>
      <c r="W481" s="14"/>
      <c r="X481" s="7"/>
      <c r="Y481" s="7"/>
      <c r="Z481" s="7"/>
      <c r="AA481" s="7"/>
      <c r="AB481" s="7"/>
      <c r="AC481" s="7"/>
    </row>
    <row r="482" spans="1:29" ht="30" hidden="1" customHeight="1">
      <c r="A482" s="19">
        <v>104</v>
      </c>
      <c r="U482" s="644"/>
      <c r="V482" s="782"/>
      <c r="W482" s="14"/>
      <c r="X482" s="7"/>
      <c r="Y482" s="7"/>
      <c r="Z482" s="7"/>
      <c r="AA482" s="7"/>
      <c r="AB482" s="7"/>
      <c r="AC482" s="7"/>
    </row>
    <row r="483" spans="1:29" ht="102" hidden="1">
      <c r="A483" s="19" t="s">
        <v>497</v>
      </c>
      <c r="B483" s="148"/>
      <c r="C483" s="199"/>
      <c r="D483" s="91"/>
      <c r="E483" s="91"/>
      <c r="F483" s="91"/>
      <c r="G483" s="91"/>
      <c r="H483" s="91"/>
      <c r="I483" s="91"/>
      <c r="J483" s="22"/>
      <c r="K483" s="22"/>
      <c r="L483" s="22"/>
      <c r="M483" s="22"/>
      <c r="N483" s="22"/>
      <c r="O483" s="91"/>
      <c r="P483" s="91"/>
      <c r="Q483" s="7"/>
      <c r="R483" s="200"/>
      <c r="S483" s="151"/>
      <c r="T483" s="91"/>
      <c r="U483" s="644"/>
      <c r="V483" s="782"/>
      <c r="W483" s="14"/>
      <c r="X483" s="7"/>
      <c r="Y483" s="7"/>
      <c r="Z483" s="7"/>
      <c r="AA483" s="7"/>
      <c r="AB483" s="7"/>
      <c r="AC483" s="7"/>
    </row>
    <row r="484" spans="1:29" ht="26.25" hidden="1">
      <c r="A484" s="231">
        <v>105</v>
      </c>
      <c r="B484" s="1"/>
      <c r="U484" s="719"/>
      <c r="V484" s="1"/>
      <c r="W484" s="14" t="s">
        <v>498</v>
      </c>
      <c r="X484" s="7">
        <v>6652</v>
      </c>
      <c r="Y484" s="7">
        <v>11490</v>
      </c>
      <c r="Z484" s="7"/>
      <c r="AA484" s="7"/>
      <c r="AB484" s="7"/>
      <c r="AC484" s="7"/>
    </row>
    <row r="485" spans="1:29" ht="25.5" hidden="1" customHeight="1">
      <c r="A485" s="19">
        <v>107</v>
      </c>
      <c r="B485" s="1"/>
      <c r="U485" s="719"/>
      <c r="V485" s="1"/>
      <c r="W485" s="134"/>
      <c r="X485" s="149"/>
      <c r="Y485" s="149"/>
      <c r="Z485" s="7"/>
      <c r="AA485" s="7"/>
      <c r="AB485" s="7"/>
      <c r="AC485" s="7"/>
    </row>
    <row r="486" spans="1:29" ht="27" hidden="1" customHeight="1">
      <c r="A486" s="19" t="s">
        <v>499</v>
      </c>
      <c r="B486" s="1"/>
      <c r="U486" s="719"/>
      <c r="V486" s="1"/>
      <c r="W486" s="134"/>
      <c r="X486" s="149"/>
      <c r="Y486" s="149"/>
      <c r="Z486" s="7"/>
      <c r="AA486" s="7"/>
      <c r="AB486" s="7"/>
      <c r="AC486" s="7"/>
    </row>
    <row r="487" spans="1:29" ht="28.5" hidden="1" customHeight="1">
      <c r="A487" s="19">
        <v>108</v>
      </c>
      <c r="B487" s="1"/>
      <c r="U487" s="719"/>
      <c r="V487" s="1"/>
      <c r="W487" s="14"/>
      <c r="X487" s="7"/>
      <c r="Y487" s="7"/>
      <c r="Z487" s="7"/>
      <c r="AA487" s="7"/>
      <c r="AB487" s="7"/>
      <c r="AC487" s="7"/>
    </row>
    <row r="488" spans="1:29" ht="25.5" hidden="1" customHeight="1">
      <c r="A488" s="19">
        <v>109</v>
      </c>
      <c r="B488" s="148"/>
      <c r="C488" s="91"/>
      <c r="D488" s="91"/>
      <c r="E488" s="91"/>
      <c r="F488" s="91"/>
      <c r="G488" s="91"/>
      <c r="H488" s="91"/>
      <c r="I488" s="91"/>
      <c r="J488" s="22"/>
      <c r="K488" s="22"/>
      <c r="L488" s="22"/>
      <c r="M488" s="22"/>
      <c r="N488" s="22"/>
      <c r="O488" s="91"/>
      <c r="P488" s="91"/>
      <c r="Q488" s="7"/>
      <c r="R488" s="94"/>
      <c r="S488" s="151"/>
      <c r="T488" s="91"/>
      <c r="U488" s="644"/>
      <c r="V488" s="782"/>
      <c r="W488" s="14"/>
      <c r="X488" s="7"/>
      <c r="Y488" s="7"/>
      <c r="Z488" s="7"/>
      <c r="AA488" s="7"/>
      <c r="AB488" s="7"/>
      <c r="AC488" s="7"/>
    </row>
    <row r="489" spans="1:29" ht="6.75" hidden="1" customHeight="1">
      <c r="A489" s="19">
        <v>110</v>
      </c>
      <c r="B489" s="1"/>
      <c r="U489" s="719"/>
      <c r="V489" s="1"/>
      <c r="W489" s="14"/>
      <c r="X489" s="7"/>
      <c r="Y489" s="7"/>
      <c r="Z489" s="7"/>
      <c r="AA489" s="7"/>
      <c r="AB489" s="7"/>
      <c r="AC489" s="7"/>
    </row>
    <row r="490" spans="1:29" ht="25.5" hidden="1">
      <c r="A490" s="19"/>
      <c r="B490" s="148"/>
      <c r="C490" s="91"/>
      <c r="D490" s="91"/>
      <c r="E490" s="91"/>
      <c r="F490" s="91"/>
      <c r="G490" s="91"/>
      <c r="H490" s="91"/>
      <c r="I490" s="91"/>
      <c r="J490" s="22"/>
      <c r="K490" s="22"/>
      <c r="L490" s="22"/>
      <c r="M490" s="22"/>
      <c r="N490" s="22"/>
      <c r="O490" s="91"/>
      <c r="P490" s="91"/>
      <c r="Q490" s="22"/>
      <c r="R490" s="142"/>
      <c r="S490" s="151"/>
      <c r="T490" s="91"/>
      <c r="U490" s="644"/>
      <c r="V490" s="782"/>
      <c r="W490" s="14"/>
      <c r="X490" s="7"/>
      <c r="Y490" s="7"/>
      <c r="Z490" s="7"/>
      <c r="AA490" s="7"/>
      <c r="AB490" s="7"/>
      <c r="AC490" s="7"/>
    </row>
    <row r="491" spans="1:29" ht="27" hidden="1" customHeight="1">
      <c r="A491" s="231">
        <v>111</v>
      </c>
      <c r="B491" s="1"/>
      <c r="U491" s="719"/>
      <c r="V491" s="1"/>
      <c r="W491" s="14"/>
      <c r="X491" s="7"/>
      <c r="Y491" s="7"/>
      <c r="Z491" s="7"/>
      <c r="AA491" s="7"/>
      <c r="AB491" s="7"/>
      <c r="AC491" s="7"/>
    </row>
    <row r="492" spans="1:29" ht="26.25" hidden="1">
      <c r="A492" s="231"/>
      <c r="B492" s="90"/>
      <c r="C492" s="91"/>
      <c r="D492" s="115"/>
      <c r="E492" s="115"/>
      <c r="F492" s="115"/>
      <c r="G492" s="115"/>
      <c r="H492" s="115"/>
      <c r="I492" s="115"/>
      <c r="J492" s="164"/>
      <c r="K492" s="164"/>
      <c r="L492" s="164"/>
      <c r="M492" s="164"/>
      <c r="N492" s="164"/>
      <c r="O492" s="91"/>
      <c r="P492" s="91"/>
      <c r="Q492" s="22"/>
      <c r="R492" s="142"/>
      <c r="S492" s="151"/>
      <c r="T492" s="91"/>
      <c r="U492" s="644"/>
      <c r="V492" s="782"/>
      <c r="W492" s="14"/>
      <c r="X492" s="7"/>
      <c r="Y492" s="7"/>
      <c r="Z492" s="7"/>
      <c r="AA492" s="7"/>
      <c r="AB492" s="7"/>
      <c r="AC492" s="7"/>
    </row>
    <row r="493" spans="1:29" ht="25.5" hidden="1">
      <c r="A493" s="19">
        <v>112</v>
      </c>
      <c r="B493" s="148"/>
      <c r="C493" s="91"/>
      <c r="D493" s="91"/>
      <c r="E493" s="91"/>
      <c r="F493" s="91"/>
      <c r="G493" s="91"/>
      <c r="H493" s="91"/>
      <c r="I493" s="91"/>
      <c r="J493" s="22"/>
      <c r="K493" s="22"/>
      <c r="L493" s="22"/>
      <c r="M493" s="22"/>
      <c r="N493" s="22"/>
      <c r="O493" s="91"/>
      <c r="P493" s="91"/>
      <c r="Q493" s="22"/>
      <c r="R493" s="142"/>
      <c r="S493" s="151"/>
      <c r="T493" s="91"/>
      <c r="U493" s="644"/>
      <c r="V493" s="782"/>
      <c r="W493" s="14"/>
      <c r="X493" s="7"/>
      <c r="Y493" s="7"/>
      <c r="Z493" s="7"/>
      <c r="AA493" s="7"/>
      <c r="AB493" s="7"/>
      <c r="AC493" s="7"/>
    </row>
    <row r="494" spans="1:29" ht="25.5" hidden="1">
      <c r="A494" s="19">
        <v>113</v>
      </c>
      <c r="B494" s="148"/>
      <c r="C494" s="91"/>
      <c r="D494" s="91"/>
      <c r="E494" s="91"/>
      <c r="F494" s="91"/>
      <c r="G494" s="91"/>
      <c r="H494" s="91"/>
      <c r="I494" s="91"/>
      <c r="J494" s="22"/>
      <c r="K494" s="22"/>
      <c r="L494" s="22"/>
      <c r="M494" s="22"/>
      <c r="N494" s="22"/>
      <c r="O494" s="91"/>
      <c r="P494" s="91"/>
      <c r="Q494" s="149"/>
      <c r="R494" s="161"/>
      <c r="S494" s="151"/>
      <c r="T494" s="91"/>
      <c r="U494" s="644"/>
      <c r="V494" s="782"/>
      <c r="W494" s="14"/>
      <c r="X494" s="7"/>
      <c r="Y494" s="7"/>
      <c r="Z494" s="7"/>
      <c r="AA494" s="7"/>
      <c r="AB494" s="7"/>
      <c r="AC494" s="7"/>
    </row>
    <row r="495" spans="1:29" ht="25.5" hidden="1">
      <c r="A495" s="19">
        <v>114</v>
      </c>
      <c r="B495" s="148"/>
      <c r="C495" s="91"/>
      <c r="D495" s="91"/>
      <c r="E495" s="91"/>
      <c r="F495" s="91"/>
      <c r="G495" s="91"/>
      <c r="H495" s="91"/>
      <c r="I495" s="91"/>
      <c r="J495" s="22"/>
      <c r="K495" s="22"/>
      <c r="L495" s="22"/>
      <c r="M495" s="22"/>
      <c r="N495" s="22"/>
      <c r="O495" s="91"/>
      <c r="P495" s="91"/>
      <c r="Q495" s="149"/>
      <c r="R495" s="161"/>
      <c r="S495" s="151"/>
      <c r="T495" s="91"/>
      <c r="U495" s="644"/>
      <c r="V495" s="782"/>
      <c r="W495" s="14"/>
      <c r="X495" s="7"/>
      <c r="Y495" s="7"/>
      <c r="Z495" s="7"/>
      <c r="AA495" s="7"/>
      <c r="AB495" s="7"/>
      <c r="AC495" s="7"/>
    </row>
    <row r="496" spans="1:29" ht="34.5" hidden="1" customHeight="1">
      <c r="A496" s="19">
        <v>115</v>
      </c>
      <c r="B496" s="1"/>
      <c r="U496" s="719"/>
      <c r="V496" s="1"/>
      <c r="W496" s="14">
        <f>20035+15857+13968</f>
        <v>49860</v>
      </c>
      <c r="X496" s="239">
        <f>27786+1606</f>
        <v>29392</v>
      </c>
      <c r="Y496" s="7"/>
      <c r="Z496" s="7"/>
      <c r="AA496" s="7"/>
      <c r="AB496" s="7"/>
      <c r="AC496" s="7"/>
    </row>
    <row r="497" spans="1:29" ht="25.5" hidden="1">
      <c r="A497" s="19">
        <v>116</v>
      </c>
      <c r="B497" s="148"/>
      <c r="C497" s="91"/>
      <c r="D497" s="91"/>
      <c r="E497" s="91"/>
      <c r="F497" s="91"/>
      <c r="G497" s="91"/>
      <c r="H497" s="91"/>
      <c r="I497" s="91"/>
      <c r="J497" s="22"/>
      <c r="K497" s="22"/>
      <c r="L497" s="22"/>
      <c r="M497" s="22"/>
      <c r="N497" s="22"/>
      <c r="O497" s="91"/>
      <c r="P497" s="91"/>
      <c r="Q497" s="22"/>
      <c r="R497" s="142"/>
      <c r="S497" s="151"/>
      <c r="T497" s="91"/>
      <c r="U497" s="644"/>
      <c r="V497" s="782"/>
      <c r="W497" s="14"/>
      <c r="X497" s="7"/>
      <c r="Y497" s="7"/>
      <c r="Z497" s="7"/>
      <c r="AA497" s="7"/>
      <c r="AB497" s="7"/>
      <c r="AC497" s="7"/>
    </row>
    <row r="498" spans="1:29" ht="25.5" hidden="1">
      <c r="A498" s="19">
        <v>117</v>
      </c>
      <c r="B498" s="1"/>
      <c r="U498" s="719"/>
      <c r="V498" s="1"/>
      <c r="W498" s="14"/>
      <c r="X498" s="7"/>
      <c r="Y498" s="7"/>
      <c r="Z498" s="7"/>
      <c r="AA498" s="7"/>
      <c r="AB498" s="7"/>
      <c r="AC498" s="7"/>
    </row>
    <row r="499" spans="1:29" ht="30.75" hidden="1" customHeight="1">
      <c r="A499" s="19">
        <v>118</v>
      </c>
      <c r="U499" s="644"/>
      <c r="V499" s="782"/>
      <c r="W499" s="14"/>
      <c r="X499" s="7"/>
      <c r="Y499" s="7"/>
      <c r="Z499" s="7"/>
      <c r="AA499" s="7"/>
      <c r="AB499" s="7"/>
      <c r="AC499" s="7"/>
    </row>
    <row r="500" spans="1:29" ht="25.5" hidden="1">
      <c r="A500" s="19">
        <v>119</v>
      </c>
      <c r="B500" s="1"/>
      <c r="U500" s="644"/>
      <c r="V500" s="782"/>
      <c r="W500" s="14"/>
      <c r="X500" s="7"/>
      <c r="Y500" s="7"/>
      <c r="Z500" s="7"/>
      <c r="AA500" s="7"/>
      <c r="AB500" s="7"/>
      <c r="AC500" s="7"/>
    </row>
    <row r="501" spans="1:29" ht="25.5" hidden="1">
      <c r="A501" s="19">
        <v>120</v>
      </c>
      <c r="B501" s="148"/>
      <c r="C501" s="91"/>
      <c r="D501" s="91"/>
      <c r="E501" s="91"/>
      <c r="F501" s="91"/>
      <c r="G501" s="91"/>
      <c r="H501" s="91"/>
      <c r="I501" s="91"/>
      <c r="J501" s="22"/>
      <c r="K501" s="22"/>
      <c r="L501" s="22"/>
      <c r="M501" s="22"/>
      <c r="N501" s="22"/>
      <c r="O501" s="91"/>
      <c r="P501" s="91"/>
      <c r="Q501" s="7"/>
      <c r="R501" s="200"/>
      <c r="S501" s="151"/>
      <c r="T501" s="91"/>
      <c r="U501" s="644"/>
      <c r="V501" s="782"/>
      <c r="W501" s="14"/>
      <c r="X501" s="7"/>
      <c r="Y501" s="7"/>
      <c r="Z501" s="7"/>
      <c r="AA501" s="7"/>
      <c r="AB501" s="7"/>
      <c r="AC501" s="7"/>
    </row>
    <row r="502" spans="1:29" ht="25.5" hidden="1">
      <c r="A502" s="19"/>
      <c r="B502" s="148"/>
      <c r="C502" s="91"/>
      <c r="D502" s="91"/>
      <c r="E502" s="91"/>
      <c r="F502" s="91"/>
      <c r="G502" s="91"/>
      <c r="H502" s="91"/>
      <c r="I502" s="91"/>
      <c r="J502" s="22"/>
      <c r="K502" s="22"/>
      <c r="L502" s="22"/>
      <c r="M502" s="22"/>
      <c r="N502" s="22"/>
      <c r="O502" s="91"/>
      <c r="P502" s="91"/>
      <c r="Q502" s="7"/>
      <c r="R502" s="200"/>
      <c r="S502" s="151"/>
      <c r="T502" s="91"/>
      <c r="U502" s="644"/>
      <c r="V502" s="782"/>
      <c r="W502" s="14"/>
      <c r="X502" s="7"/>
      <c r="Y502" s="7"/>
      <c r="Z502" s="7"/>
      <c r="AA502" s="7"/>
      <c r="AB502" s="7"/>
      <c r="AC502" s="7"/>
    </row>
    <row r="503" spans="1:29" ht="29.25" hidden="1" customHeight="1">
      <c r="A503" s="19">
        <v>121</v>
      </c>
      <c r="U503" s="644"/>
      <c r="V503" s="782"/>
      <c r="W503" s="14"/>
      <c r="X503" s="7"/>
      <c r="Y503" s="7"/>
      <c r="Z503" s="7"/>
      <c r="AA503" s="7"/>
      <c r="AB503" s="7"/>
      <c r="AC503" s="7"/>
    </row>
    <row r="504" spans="1:29" ht="25.5" hidden="1">
      <c r="A504" s="19">
        <v>122</v>
      </c>
      <c r="B504" s="148"/>
      <c r="C504" s="91"/>
      <c r="D504" s="91"/>
      <c r="E504" s="91"/>
      <c r="F504" s="91"/>
      <c r="G504" s="91"/>
      <c r="H504" s="91"/>
      <c r="I504" s="91"/>
      <c r="J504" s="22"/>
      <c r="K504" s="22"/>
      <c r="L504" s="22"/>
      <c r="M504" s="22"/>
      <c r="N504" s="22"/>
      <c r="O504" s="91"/>
      <c r="P504" s="91"/>
      <c r="Q504" s="122"/>
      <c r="R504" s="173"/>
      <c r="S504" s="151"/>
      <c r="T504" s="91"/>
      <c r="U504" s="644"/>
      <c r="V504" s="782"/>
      <c r="W504" s="14"/>
      <c r="X504" s="7"/>
      <c r="Y504" s="7"/>
      <c r="Z504" s="7"/>
      <c r="AA504" s="7"/>
      <c r="AB504" s="7"/>
      <c r="AC504" s="7"/>
    </row>
    <row r="505" spans="1:29" ht="36" hidden="1" customHeight="1">
      <c r="A505" s="19">
        <v>123</v>
      </c>
      <c r="B505" s="1"/>
      <c r="U505" s="719"/>
      <c r="V505" s="1"/>
      <c r="W505" s="14"/>
      <c r="X505" s="7"/>
      <c r="Y505" s="7"/>
      <c r="Z505" s="7"/>
      <c r="AA505" s="7"/>
      <c r="AB505" s="7"/>
      <c r="AC505" s="7"/>
    </row>
    <row r="506" spans="1:29" ht="25.5" hidden="1">
      <c r="A506" s="19"/>
      <c r="B506" s="1"/>
      <c r="U506" s="719"/>
      <c r="V506" s="1"/>
      <c r="W506" s="14"/>
      <c r="X506" s="7"/>
      <c r="Y506" s="7"/>
      <c r="Z506" s="7"/>
      <c r="AA506" s="7"/>
      <c r="AB506" s="7"/>
      <c r="AC506" s="7"/>
    </row>
    <row r="507" spans="1:29" ht="25.5" hidden="1">
      <c r="A507" s="19">
        <v>124</v>
      </c>
      <c r="B507" s="1"/>
      <c r="U507" s="644"/>
      <c r="V507" s="782"/>
      <c r="W507" s="14"/>
      <c r="X507" s="7"/>
      <c r="Y507" s="7"/>
      <c r="Z507" s="7"/>
      <c r="AA507" s="7"/>
      <c r="AB507" s="7"/>
      <c r="AC507" s="7"/>
    </row>
    <row r="508" spans="1:29" ht="25.5" hidden="1">
      <c r="A508" s="19">
        <v>125</v>
      </c>
      <c r="B508" s="148"/>
      <c r="C508" s="91"/>
      <c r="D508" s="91"/>
      <c r="E508" s="91"/>
      <c r="F508" s="91"/>
      <c r="G508" s="91"/>
      <c r="H508" s="91"/>
      <c r="I508" s="91"/>
      <c r="J508" s="22"/>
      <c r="K508" s="22"/>
      <c r="L508" s="22"/>
      <c r="M508" s="22"/>
      <c r="N508" s="22"/>
      <c r="O508" s="91"/>
      <c r="P508" s="91"/>
      <c r="Q508" s="7"/>
      <c r="R508" s="94"/>
      <c r="S508" s="151"/>
      <c r="T508" s="91"/>
      <c r="U508" s="644"/>
      <c r="V508" s="782"/>
      <c r="W508" s="14"/>
      <c r="X508" s="7"/>
      <c r="Y508" s="7"/>
      <c r="Z508" s="7"/>
      <c r="AA508" s="7"/>
      <c r="AB508" s="7"/>
      <c r="AC508" s="7"/>
    </row>
    <row r="509" spans="1:29" ht="20.25" hidden="1">
      <c r="B509" s="1"/>
      <c r="U509" s="719"/>
      <c r="V509" s="1"/>
      <c r="W509" s="14"/>
      <c r="X509" s="7"/>
      <c r="Y509" s="7"/>
      <c r="Z509" s="7"/>
      <c r="AA509" s="7"/>
      <c r="AB509" s="7"/>
      <c r="AC509" s="7"/>
    </row>
    <row r="510" spans="1:29" ht="30" hidden="1" customHeight="1">
      <c r="A510" s="19">
        <v>127</v>
      </c>
      <c r="B510" s="148"/>
      <c r="C510" s="91"/>
      <c r="D510" s="91"/>
      <c r="E510" s="91"/>
      <c r="F510" s="91"/>
      <c r="G510" s="91"/>
      <c r="H510" s="91"/>
      <c r="I510" s="91"/>
      <c r="J510" s="22"/>
      <c r="K510" s="22"/>
      <c r="L510" s="22"/>
      <c r="M510" s="22"/>
      <c r="N510" s="22"/>
      <c r="O510" s="91"/>
      <c r="P510" s="91"/>
      <c r="Q510" s="7"/>
      <c r="R510" s="94"/>
      <c r="S510" s="151"/>
      <c r="T510" s="91"/>
      <c r="U510" s="644"/>
      <c r="V510" s="782"/>
      <c r="W510" s="14"/>
      <c r="X510" s="7"/>
      <c r="Y510" s="7"/>
      <c r="Z510" s="7"/>
      <c r="AA510" s="7"/>
      <c r="AB510" s="7"/>
      <c r="AC510" s="7"/>
    </row>
    <row r="511" spans="1:29" ht="25.5" hidden="1">
      <c r="A511" s="19"/>
      <c r="B511" s="148"/>
      <c r="C511" s="91"/>
      <c r="D511" s="91"/>
      <c r="E511" s="91"/>
      <c r="F511" s="91"/>
      <c r="G511" s="91"/>
      <c r="H511" s="91"/>
      <c r="I511" s="91"/>
      <c r="J511" s="22"/>
      <c r="K511" s="22"/>
      <c r="L511" s="22"/>
      <c r="M511" s="22"/>
      <c r="N511" s="22"/>
      <c r="O511" s="91"/>
      <c r="P511" s="91"/>
      <c r="Q511" s="22"/>
      <c r="R511" s="142"/>
      <c r="S511" s="151"/>
      <c r="T511" s="91"/>
      <c r="U511" s="644"/>
      <c r="V511" s="782"/>
      <c r="W511" s="14"/>
      <c r="X511" s="7"/>
      <c r="Y511" s="7"/>
      <c r="Z511" s="7"/>
      <c r="AA511" s="7"/>
      <c r="AB511" s="7"/>
      <c r="AC511" s="7"/>
    </row>
    <row r="512" spans="1:29" ht="24.75" hidden="1" customHeight="1">
      <c r="A512" s="19">
        <v>129</v>
      </c>
      <c r="U512" s="644"/>
      <c r="V512" s="782"/>
      <c r="W512" s="14"/>
      <c r="X512" s="7"/>
      <c r="Y512" s="7"/>
      <c r="Z512" s="7"/>
      <c r="AA512" s="7"/>
      <c r="AB512" s="7"/>
      <c r="AC512" s="7"/>
    </row>
    <row r="513" spans="1:29" ht="27.75" hidden="1" customHeight="1">
      <c r="A513" s="19">
        <v>130</v>
      </c>
      <c r="B513" s="1"/>
      <c r="U513" s="644"/>
      <c r="V513" s="782"/>
      <c r="W513" s="14"/>
      <c r="X513" s="7"/>
      <c r="Y513" s="7"/>
      <c r="Z513" s="7"/>
      <c r="AA513" s="7"/>
      <c r="AB513" s="7"/>
      <c r="AC513" s="7"/>
    </row>
    <row r="514" spans="1:29" ht="19.5" hidden="1" customHeight="1">
      <c r="A514" s="19">
        <v>131</v>
      </c>
      <c r="B514" s="1"/>
      <c r="U514" s="719"/>
      <c r="V514" s="1"/>
      <c r="W514" s="14"/>
      <c r="X514" s="7"/>
      <c r="Y514" s="7"/>
      <c r="Z514" s="7"/>
      <c r="AA514" s="7"/>
      <c r="AB514" s="7"/>
      <c r="AC514" s="7"/>
    </row>
    <row r="515" spans="1:29" ht="25.5" hidden="1">
      <c r="A515" s="19"/>
      <c r="B515" s="1"/>
      <c r="U515" s="719"/>
      <c r="V515" s="1"/>
      <c r="W515" s="14"/>
      <c r="X515" s="7"/>
      <c r="Y515" s="7"/>
      <c r="Z515" s="7"/>
      <c r="AA515" s="7"/>
      <c r="AB515" s="7"/>
      <c r="AC515" s="7"/>
    </row>
    <row r="516" spans="1:29" ht="25.5" hidden="1">
      <c r="A516" s="19">
        <v>132</v>
      </c>
      <c r="U516" s="644"/>
      <c r="V516" s="782"/>
      <c r="W516" s="14"/>
      <c r="X516" s="7"/>
      <c r="Y516" s="7"/>
      <c r="Z516" s="7"/>
      <c r="AA516" s="7"/>
      <c r="AB516" s="7"/>
      <c r="AC516" s="7"/>
    </row>
    <row r="517" spans="1:29" ht="102" hidden="1">
      <c r="A517" s="19" t="s">
        <v>500</v>
      </c>
      <c r="U517" s="644"/>
      <c r="V517" s="782"/>
      <c r="W517" s="14"/>
      <c r="X517" s="7"/>
      <c r="Y517" s="7"/>
      <c r="Z517" s="7"/>
      <c r="AA517" s="7"/>
      <c r="AB517" s="7"/>
      <c r="AC517" s="7"/>
    </row>
    <row r="518" spans="1:29" ht="27" hidden="1">
      <c r="A518" s="135">
        <v>133</v>
      </c>
      <c r="B518" s="1"/>
      <c r="U518" s="719"/>
      <c r="V518" s="1"/>
      <c r="W518" s="14">
        <v>144.63999999999999</v>
      </c>
      <c r="X518" s="240">
        <v>166.05</v>
      </c>
      <c r="Y518" s="7"/>
      <c r="Z518" s="7"/>
      <c r="AA518" s="7"/>
      <c r="AB518" s="7"/>
      <c r="AC518" s="7"/>
    </row>
    <row r="519" spans="1:29" ht="25.5" hidden="1">
      <c r="A519" s="19">
        <v>134</v>
      </c>
      <c r="B519" s="1"/>
      <c r="U519" s="719"/>
      <c r="V519" s="1"/>
      <c r="W519" s="14"/>
      <c r="X519" s="7"/>
      <c r="Y519" s="7"/>
      <c r="Z519" s="7"/>
      <c r="AA519" s="7"/>
      <c r="AB519" s="7"/>
      <c r="AC519" s="7"/>
    </row>
    <row r="520" spans="1:29" ht="34.5" hidden="1" customHeight="1">
      <c r="A520" s="19" t="s">
        <v>501</v>
      </c>
      <c r="B520" s="1"/>
      <c r="U520" s="719"/>
      <c r="V520" s="1"/>
      <c r="W520" s="14"/>
      <c r="X520" s="7"/>
      <c r="Y520" s="7"/>
      <c r="Z520" s="7"/>
      <c r="AA520" s="7"/>
      <c r="AB520" s="7"/>
      <c r="AC520" s="7"/>
    </row>
    <row r="521" spans="1:29" ht="25.5" hidden="1" customHeight="1">
      <c r="A521" s="19" t="s">
        <v>502</v>
      </c>
      <c r="B521" s="1"/>
      <c r="U521" s="719"/>
      <c r="V521" s="1"/>
      <c r="W521" s="14"/>
      <c r="X521" s="7"/>
      <c r="Y521" s="7"/>
      <c r="Z521" s="7"/>
      <c r="AA521" s="7"/>
      <c r="AB521" s="7"/>
      <c r="AC521" s="7"/>
    </row>
    <row r="522" spans="1:29" ht="34.5" hidden="1" customHeight="1">
      <c r="A522" s="19" t="s">
        <v>503</v>
      </c>
      <c r="B522" s="148"/>
      <c r="C522" s="124"/>
      <c r="D522" s="124"/>
      <c r="E522" s="124"/>
      <c r="F522" s="124"/>
      <c r="G522" s="124"/>
      <c r="H522" s="124"/>
      <c r="I522" s="124"/>
      <c r="J522" s="126"/>
      <c r="K522" s="126"/>
      <c r="L522" s="126"/>
      <c r="M522" s="126"/>
      <c r="N522" s="126"/>
      <c r="O522" s="241"/>
      <c r="P522" s="241"/>
      <c r="Q522" s="7"/>
      <c r="R522" s="242"/>
      <c r="S522" s="140"/>
      <c r="T522" s="124"/>
      <c r="U522" s="717"/>
      <c r="V522" s="128"/>
      <c r="W522" s="14"/>
      <c r="X522" s="7"/>
      <c r="Y522" s="7"/>
      <c r="Z522" s="7"/>
      <c r="AA522" s="7"/>
      <c r="AB522" s="7"/>
      <c r="AC522" s="7"/>
    </row>
    <row r="523" spans="1:29" ht="102" hidden="1">
      <c r="A523" s="19" t="s">
        <v>504</v>
      </c>
      <c r="B523" s="1"/>
      <c r="U523" s="719"/>
      <c r="V523" s="1"/>
      <c r="W523" s="14"/>
      <c r="X523" s="7"/>
      <c r="Y523" s="7"/>
      <c r="Z523" s="7"/>
      <c r="AA523" s="7"/>
      <c r="AB523" s="7"/>
      <c r="AC523" s="7"/>
    </row>
    <row r="524" spans="1:29" ht="26.25" hidden="1">
      <c r="A524" s="19"/>
      <c r="B524" s="243"/>
      <c r="C524" s="124"/>
      <c r="D524" s="91"/>
      <c r="E524" s="124"/>
      <c r="F524" s="124"/>
      <c r="G524" s="124"/>
      <c r="H524" s="124"/>
      <c r="I524" s="124"/>
      <c r="J524" s="244"/>
      <c r="K524" s="244"/>
      <c r="L524" s="244"/>
      <c r="M524" s="244"/>
      <c r="N524" s="244"/>
      <c r="O524" s="115"/>
      <c r="P524" s="115"/>
      <c r="Q524" s="245"/>
      <c r="R524" s="246"/>
      <c r="S524" s="140"/>
      <c r="T524" s="124"/>
      <c r="U524" s="717"/>
      <c r="V524" s="128"/>
      <c r="W524" s="14"/>
      <c r="X524" s="7"/>
      <c r="Y524" s="7"/>
      <c r="Z524" s="7"/>
      <c r="AA524" s="7"/>
      <c r="AB524" s="7"/>
      <c r="AC524" s="7"/>
    </row>
    <row r="525" spans="1:29" ht="26.25" hidden="1">
      <c r="A525" s="135">
        <v>135</v>
      </c>
      <c r="B525" s="1"/>
      <c r="U525" s="719"/>
      <c r="V525" s="1"/>
      <c r="W525" s="14">
        <v>1687</v>
      </c>
      <c r="X525" s="48">
        <v>1800</v>
      </c>
      <c r="Y525" s="48">
        <v>60</v>
      </c>
      <c r="Z525" s="48">
        <f>(X525-W525)*Y525</f>
        <v>6780</v>
      </c>
      <c r="AA525" s="48"/>
      <c r="AB525" s="7"/>
      <c r="AC525" s="7"/>
    </row>
    <row r="526" spans="1:29" ht="30" hidden="1" customHeight="1">
      <c r="A526" s="19" t="s">
        <v>505</v>
      </c>
      <c r="B526" s="1"/>
      <c r="U526" s="644"/>
      <c r="V526" s="782"/>
      <c r="W526" s="14"/>
      <c r="X526" s="7"/>
      <c r="Y526" s="7"/>
      <c r="Z526" s="7"/>
      <c r="AA526" s="7"/>
      <c r="AB526" s="7"/>
      <c r="AC526" s="7"/>
    </row>
    <row r="527" spans="1:29" ht="30" hidden="1" customHeight="1">
      <c r="A527" s="19" t="s">
        <v>506</v>
      </c>
      <c r="U527" s="644"/>
      <c r="V527" s="782"/>
      <c r="W527" s="14"/>
      <c r="X527" s="7"/>
      <c r="Y527" s="7"/>
      <c r="Z527" s="7"/>
      <c r="AA527" s="7"/>
      <c r="AB527" s="7"/>
      <c r="AC527" s="7"/>
    </row>
    <row r="528" spans="1:29" ht="30" hidden="1" customHeight="1">
      <c r="A528" s="19" t="s">
        <v>507</v>
      </c>
      <c r="U528" s="644"/>
      <c r="V528" s="782"/>
      <c r="W528" s="14"/>
      <c r="X528" s="7"/>
      <c r="Y528" s="7"/>
      <c r="Z528" s="7"/>
      <c r="AA528" s="7"/>
      <c r="AB528" s="7"/>
      <c r="AC528" s="7"/>
    </row>
    <row r="529" spans="1:29" ht="30" hidden="1" customHeight="1">
      <c r="A529" s="19" t="s">
        <v>508</v>
      </c>
      <c r="U529" s="644"/>
      <c r="V529" s="782"/>
      <c r="W529" s="14"/>
      <c r="X529" s="7"/>
      <c r="Y529" s="7"/>
      <c r="Z529" s="7"/>
      <c r="AA529" s="7"/>
      <c r="AB529" s="7"/>
      <c r="AC529" s="7"/>
    </row>
    <row r="530" spans="1:29" ht="30" hidden="1" customHeight="1">
      <c r="A530" s="19" t="s">
        <v>509</v>
      </c>
      <c r="U530" s="644"/>
      <c r="V530" s="782"/>
      <c r="W530" s="14"/>
      <c r="X530" s="7"/>
      <c r="Y530" s="7"/>
      <c r="Z530" s="7"/>
      <c r="AA530" s="7"/>
      <c r="AB530" s="7"/>
      <c r="AC530" s="7"/>
    </row>
    <row r="531" spans="1:29" ht="30" hidden="1" customHeight="1">
      <c r="A531" s="19" t="s">
        <v>510</v>
      </c>
      <c r="U531" s="644"/>
      <c r="V531" s="782"/>
      <c r="W531" s="14"/>
      <c r="X531" s="7"/>
      <c r="Y531" s="7"/>
      <c r="Z531" s="7"/>
      <c r="AA531" s="7"/>
      <c r="AB531" s="7"/>
      <c r="AC531" s="7"/>
    </row>
    <row r="532" spans="1:29" ht="30" hidden="1" customHeight="1">
      <c r="A532" s="19" t="s">
        <v>511</v>
      </c>
      <c r="U532" s="644"/>
      <c r="V532" s="782"/>
      <c r="W532" s="14"/>
      <c r="X532" s="7"/>
      <c r="Y532" s="7"/>
      <c r="Z532" s="7"/>
      <c r="AA532" s="7"/>
      <c r="AB532" s="7"/>
      <c r="AC532" s="7"/>
    </row>
    <row r="533" spans="1:29" ht="30" hidden="1" customHeight="1">
      <c r="A533" s="19" t="s">
        <v>512</v>
      </c>
      <c r="U533" s="644"/>
      <c r="V533" s="782"/>
      <c r="W533" s="14"/>
      <c r="X533" s="7"/>
      <c r="Y533" s="7"/>
      <c r="Z533" s="7"/>
      <c r="AA533" s="7"/>
      <c r="AB533" s="7"/>
      <c r="AC533" s="7"/>
    </row>
    <row r="534" spans="1:29" ht="30" hidden="1" customHeight="1">
      <c r="A534" s="19" t="s">
        <v>513</v>
      </c>
      <c r="U534" s="644"/>
      <c r="V534" s="782"/>
      <c r="W534" s="14"/>
      <c r="X534" s="7"/>
      <c r="Y534" s="7"/>
      <c r="Z534" s="7"/>
      <c r="AA534" s="7"/>
      <c r="AB534" s="7"/>
      <c r="AC534" s="7"/>
    </row>
    <row r="535" spans="1:29" ht="28.5" hidden="1" customHeight="1">
      <c r="A535" s="19" t="s">
        <v>514</v>
      </c>
      <c r="U535" s="644"/>
      <c r="V535" s="782"/>
      <c r="W535" s="14"/>
      <c r="X535" s="7"/>
      <c r="Y535" s="7"/>
      <c r="Z535" s="7"/>
      <c r="AA535" s="7"/>
      <c r="AB535" s="7"/>
      <c r="AC535" s="7"/>
    </row>
    <row r="536" spans="1:29" ht="28.5" hidden="1" customHeight="1">
      <c r="A536" s="19"/>
      <c r="B536" s="148"/>
      <c r="C536" s="91"/>
      <c r="D536" s="91"/>
      <c r="E536" s="91"/>
      <c r="F536" s="91"/>
      <c r="G536" s="91"/>
      <c r="H536" s="91"/>
      <c r="I536" s="91"/>
      <c r="J536" s="22"/>
      <c r="K536" s="22"/>
      <c r="L536" s="22"/>
      <c r="M536" s="22"/>
      <c r="N536" s="22"/>
      <c r="O536" s="91"/>
      <c r="P536" s="91"/>
      <c r="Q536" s="7"/>
      <c r="R536" s="94"/>
      <c r="S536" s="151"/>
      <c r="T536" s="91"/>
      <c r="U536" s="644"/>
      <c r="V536" s="782"/>
      <c r="W536" s="14"/>
      <c r="X536" s="7"/>
      <c r="Y536" s="7"/>
      <c r="Z536" s="7"/>
      <c r="AA536" s="7"/>
      <c r="AB536" s="7"/>
      <c r="AC536" s="7"/>
    </row>
    <row r="537" spans="1:29" ht="25.5" hidden="1">
      <c r="A537" s="19">
        <v>137</v>
      </c>
      <c r="B537" s="1"/>
      <c r="U537" s="719"/>
      <c r="V537" s="1"/>
      <c r="W537" s="14"/>
      <c r="X537" s="7"/>
      <c r="Y537" s="7"/>
      <c r="Z537" s="7"/>
      <c r="AA537" s="7"/>
      <c r="AB537" s="7"/>
      <c r="AC537" s="7"/>
    </row>
    <row r="538" spans="1:29" ht="26.25" hidden="1" customHeight="1">
      <c r="A538" s="19">
        <v>138</v>
      </c>
      <c r="B538" s="1"/>
      <c r="U538" s="644"/>
      <c r="V538" s="782"/>
      <c r="W538" s="14"/>
      <c r="X538" s="7"/>
      <c r="Y538" s="7"/>
      <c r="Z538" s="7"/>
      <c r="AA538" s="7"/>
      <c r="AB538" s="7"/>
      <c r="AC538" s="7"/>
    </row>
    <row r="539" spans="1:29" ht="48" hidden="1" customHeight="1">
      <c r="A539" s="19">
        <v>139</v>
      </c>
      <c r="B539" s="1"/>
      <c r="U539" s="719"/>
      <c r="V539" s="1"/>
      <c r="W539" s="14"/>
      <c r="X539" s="7"/>
      <c r="Y539" s="7"/>
      <c r="Z539" s="7"/>
      <c r="AA539" s="7"/>
      <c r="AB539" s="7"/>
      <c r="AC539" s="7"/>
    </row>
    <row r="540" spans="1:29" ht="30" hidden="1" customHeight="1">
      <c r="A540" s="19" t="s">
        <v>515</v>
      </c>
      <c r="B540" s="1"/>
      <c r="U540" s="719"/>
      <c r="V540" s="1"/>
      <c r="W540" s="14"/>
      <c r="X540" s="7"/>
      <c r="Y540" s="7"/>
      <c r="Z540" s="7"/>
      <c r="AA540" s="7"/>
      <c r="AB540" s="7"/>
      <c r="AC540" s="7"/>
    </row>
    <row r="541" spans="1:29" ht="31.5" hidden="1" customHeight="1">
      <c r="A541" s="19">
        <v>140</v>
      </c>
      <c r="U541" s="644"/>
      <c r="V541" s="782"/>
      <c r="W541" s="14"/>
      <c r="X541" s="7"/>
      <c r="Y541" s="7"/>
      <c r="Z541" s="7"/>
      <c r="AA541" s="7"/>
      <c r="AB541" s="7"/>
      <c r="AC541" s="7"/>
    </row>
    <row r="542" spans="1:29" ht="28.5" hidden="1" customHeight="1">
      <c r="A542" s="19">
        <v>141</v>
      </c>
      <c r="B542" s="1"/>
      <c r="U542" s="719"/>
      <c r="V542" s="1"/>
      <c r="W542" s="14"/>
      <c r="X542" s="7"/>
      <c r="Y542" s="7"/>
      <c r="Z542" s="7"/>
      <c r="AA542" s="7"/>
      <c r="AB542" s="7"/>
      <c r="AC542" s="7"/>
    </row>
    <row r="543" spans="1:29" ht="25.5" hidden="1">
      <c r="A543" s="19">
        <v>142</v>
      </c>
      <c r="B543" s="1"/>
      <c r="U543" s="719"/>
      <c r="V543" s="1"/>
      <c r="W543" s="14"/>
      <c r="X543" s="7"/>
      <c r="Y543" s="7"/>
      <c r="Z543" s="7"/>
      <c r="AA543" s="7"/>
      <c r="AB543" s="7"/>
      <c r="AC543" s="7"/>
    </row>
    <row r="544" spans="1:29" ht="25.5" hidden="1">
      <c r="A544" s="19">
        <v>143</v>
      </c>
      <c r="B544" s="1"/>
      <c r="U544" s="644"/>
      <c r="V544" s="782"/>
      <c r="W544" s="14"/>
      <c r="X544" s="7"/>
      <c r="Y544" s="7"/>
      <c r="Z544" s="105"/>
      <c r="AA544" s="244"/>
      <c r="AB544" s="244"/>
      <c r="AC544" s="7"/>
    </row>
    <row r="545" spans="1:29" ht="30" hidden="1" customHeight="1">
      <c r="A545" s="19">
        <v>144</v>
      </c>
      <c r="B545" s="1"/>
      <c r="U545" s="644"/>
      <c r="V545" s="782"/>
      <c r="W545" s="14"/>
      <c r="X545" s="7"/>
      <c r="Y545" s="7"/>
      <c r="Z545" s="7"/>
      <c r="AA545" s="7"/>
      <c r="AB545" s="7"/>
      <c r="AC545" s="7"/>
    </row>
    <row r="546" spans="1:29" ht="25.5" hidden="1">
      <c r="A546" s="19">
        <v>145</v>
      </c>
      <c r="U546" s="644"/>
      <c r="V546" s="782"/>
      <c r="W546" s="14"/>
      <c r="X546" s="7"/>
      <c r="Y546" s="7"/>
      <c r="Z546" s="7"/>
      <c r="AA546" s="7"/>
      <c r="AB546" s="7"/>
      <c r="AC546" s="7"/>
    </row>
    <row r="547" spans="1:29" ht="25.5" hidden="1">
      <c r="A547" s="19">
        <v>146</v>
      </c>
      <c r="B547" s="148"/>
      <c r="C547" s="91"/>
      <c r="D547" s="91"/>
      <c r="E547" s="91"/>
      <c r="F547" s="91"/>
      <c r="G547" s="91"/>
      <c r="H547" s="91"/>
      <c r="I547" s="91"/>
      <c r="J547" s="22"/>
      <c r="K547" s="22"/>
      <c r="L547" s="22"/>
      <c r="M547" s="22"/>
      <c r="N547" s="22"/>
      <c r="O547" s="91"/>
      <c r="P547" s="91"/>
      <c r="Q547" s="149"/>
      <c r="R547" s="161"/>
      <c r="S547" s="151"/>
      <c r="T547" s="91">
        <f>(P547-O547)*S547</f>
        <v>0</v>
      </c>
      <c r="U547" s="644"/>
      <c r="V547" s="782"/>
      <c r="W547" s="134"/>
      <c r="X547" s="7"/>
      <c r="Y547" s="7"/>
      <c r="Z547" s="7"/>
      <c r="AA547" s="7"/>
      <c r="AB547" s="7"/>
      <c r="AC547" s="7"/>
    </row>
    <row r="548" spans="1:29" ht="25.5" hidden="1">
      <c r="A548" s="19">
        <v>147</v>
      </c>
      <c r="B548" s="1"/>
      <c r="U548" s="644"/>
      <c r="V548" s="782"/>
      <c r="W548" s="14"/>
      <c r="X548" s="7"/>
      <c r="Y548" s="7"/>
      <c r="Z548" s="7"/>
      <c r="AA548" s="7"/>
      <c r="AB548" s="7"/>
      <c r="AC548" s="7"/>
    </row>
    <row r="549" spans="1:29" ht="102" hidden="1">
      <c r="A549" s="19" t="s">
        <v>516</v>
      </c>
      <c r="U549" s="644"/>
      <c r="V549" s="782"/>
      <c r="W549" s="14"/>
      <c r="X549" s="7"/>
      <c r="Y549" s="7"/>
      <c r="Z549" s="7"/>
      <c r="AA549" s="7"/>
      <c r="AB549" s="7"/>
      <c r="AC549" s="7"/>
    </row>
    <row r="550" spans="1:29" ht="25.5" hidden="1">
      <c r="A550" s="19">
        <v>148</v>
      </c>
      <c r="U550" s="644"/>
      <c r="V550" s="782"/>
      <c r="W550" s="14"/>
      <c r="X550" s="7"/>
      <c r="Y550" s="7"/>
      <c r="Z550" s="7"/>
      <c r="AA550" s="7"/>
      <c r="AB550" s="7"/>
      <c r="AC550" s="7"/>
    </row>
    <row r="551" spans="1:29" ht="102" hidden="1">
      <c r="A551" s="19" t="s">
        <v>517</v>
      </c>
      <c r="B551" s="148"/>
      <c r="C551" s="91"/>
      <c r="D551" s="91"/>
      <c r="E551" s="91"/>
      <c r="F551" s="91"/>
      <c r="G551" s="91"/>
      <c r="H551" s="91"/>
      <c r="I551" s="91"/>
      <c r="J551" s="22"/>
      <c r="K551" s="22"/>
      <c r="L551" s="22"/>
      <c r="M551" s="22"/>
      <c r="N551" s="22"/>
      <c r="O551" s="91"/>
      <c r="P551" s="91"/>
      <c r="Q551" s="149"/>
      <c r="R551" s="161"/>
      <c r="S551" s="151"/>
      <c r="T551" s="91">
        <f>(P551-O551)*S551</f>
        <v>0</v>
      </c>
      <c r="U551" s="644"/>
      <c r="V551" s="782"/>
      <c r="W551" s="14"/>
      <c r="X551" s="244"/>
      <c r="Y551" s="244"/>
      <c r="Z551" s="7"/>
      <c r="AA551" s="7"/>
      <c r="AB551" s="7"/>
      <c r="AC551" s="7"/>
    </row>
    <row r="552" spans="1:29" ht="25.5" hidden="1">
      <c r="A552" s="19">
        <v>149</v>
      </c>
      <c r="B552" s="148"/>
      <c r="C552" s="91"/>
      <c r="D552" s="91"/>
      <c r="E552" s="91"/>
      <c r="F552" s="91"/>
      <c r="G552" s="91"/>
      <c r="H552" s="91"/>
      <c r="I552" s="91"/>
      <c r="J552" s="22"/>
      <c r="K552" s="22"/>
      <c r="L552" s="22"/>
      <c r="M552" s="22"/>
      <c r="N552" s="22"/>
      <c r="O552" s="91"/>
      <c r="P552" s="91"/>
      <c r="Q552" s="149"/>
      <c r="R552" s="161"/>
      <c r="S552" s="151"/>
      <c r="T552" s="91">
        <f>(P552-O552)*S552</f>
        <v>0</v>
      </c>
      <c r="U552" s="644"/>
      <c r="V552" s="782"/>
      <c r="W552" s="14"/>
      <c r="X552" s="7"/>
      <c r="Y552" s="7"/>
      <c r="Z552" s="7"/>
      <c r="AA552" s="7"/>
      <c r="AB552" s="7"/>
      <c r="AC552" s="7"/>
    </row>
    <row r="553" spans="1:29" ht="20.25" hidden="1" customHeight="1">
      <c r="A553" s="19">
        <v>150</v>
      </c>
      <c r="B553" s="148"/>
      <c r="C553" s="91"/>
      <c r="D553" s="91"/>
      <c r="E553" s="91"/>
      <c r="F553" s="91"/>
      <c r="G553" s="91"/>
      <c r="H553" s="91"/>
      <c r="I553" s="91"/>
      <c r="J553" s="22"/>
      <c r="K553" s="22"/>
      <c r="L553" s="22"/>
      <c r="M553" s="22"/>
      <c r="N553" s="22"/>
      <c r="O553" s="115"/>
      <c r="P553" s="115"/>
      <c r="Q553" s="149"/>
      <c r="R553" s="247"/>
      <c r="S553" s="248"/>
      <c r="T553" s="91">
        <f>(P553-O553)*S553</f>
        <v>0</v>
      </c>
      <c r="U553" s="644"/>
      <c r="V553" s="782"/>
      <c r="W553" s="134"/>
      <c r="X553" s="7"/>
      <c r="Y553" s="7"/>
      <c r="Z553" s="7"/>
      <c r="AA553" s="7"/>
      <c r="AB553" s="7"/>
      <c r="AC553" s="7"/>
    </row>
    <row r="554" spans="1:29" ht="25.5" hidden="1">
      <c r="A554" s="19">
        <v>151</v>
      </c>
      <c r="U554" s="644"/>
      <c r="V554" s="782"/>
      <c r="W554" s="14"/>
      <c r="X554" s="7"/>
      <c r="Y554" s="7"/>
      <c r="Z554" s="7"/>
      <c r="AA554" s="7"/>
      <c r="AB554" s="7"/>
      <c r="AC554" s="7"/>
    </row>
    <row r="555" spans="1:29" ht="102" hidden="1">
      <c r="A555" s="19" t="s">
        <v>518</v>
      </c>
      <c r="U555" s="644"/>
      <c r="V555" s="782"/>
      <c r="W555" s="134"/>
      <c r="X555" s="7"/>
      <c r="Y555" s="7"/>
      <c r="Z555" s="7"/>
      <c r="AA555" s="7"/>
      <c r="AB555" s="7"/>
      <c r="AC555" s="7"/>
    </row>
    <row r="556" spans="1:29" ht="102" hidden="1">
      <c r="A556" s="19" t="s">
        <v>519</v>
      </c>
      <c r="B556" s="1"/>
      <c r="U556" s="644"/>
      <c r="V556" s="782"/>
      <c r="W556" s="14"/>
      <c r="X556" s="7"/>
      <c r="Y556" s="7"/>
      <c r="Z556" s="7"/>
      <c r="AA556" s="7"/>
      <c r="AB556" s="7"/>
      <c r="AC556" s="7"/>
    </row>
    <row r="557" spans="1:29" ht="26.25" hidden="1">
      <c r="A557" s="231">
        <v>152</v>
      </c>
      <c r="B557" s="1"/>
      <c r="U557" s="719"/>
      <c r="V557" s="1"/>
      <c r="W557" s="14"/>
      <c r="X557" s="7"/>
      <c r="Y557" s="7"/>
      <c r="Z557" s="7"/>
      <c r="AA557" s="7"/>
      <c r="AB557" s="7"/>
      <c r="AC557" s="7"/>
    </row>
    <row r="558" spans="1:29" ht="28.5" hidden="1" customHeight="1">
      <c r="A558" s="19">
        <v>153</v>
      </c>
      <c r="U558" s="644"/>
      <c r="V558" s="782"/>
      <c r="W558" s="14"/>
      <c r="X558" s="7"/>
      <c r="Y558" s="7"/>
      <c r="Z558" s="7"/>
      <c r="AA558" s="7"/>
      <c r="AB558" s="7"/>
      <c r="AC558" s="7"/>
    </row>
    <row r="559" spans="1:29" ht="25.5" hidden="1">
      <c r="A559" s="19">
        <v>154</v>
      </c>
      <c r="B559" s="1"/>
      <c r="U559" s="644"/>
      <c r="V559" s="782"/>
      <c r="W559" s="14"/>
      <c r="X559" s="7"/>
      <c r="Y559" s="7"/>
      <c r="Z559" s="7"/>
      <c r="AA559" s="7"/>
      <c r="AB559" s="7"/>
      <c r="AC559" s="7"/>
    </row>
    <row r="560" spans="1:29" ht="25.5" hidden="1">
      <c r="A560" s="19">
        <v>155</v>
      </c>
      <c r="B560" s="1"/>
      <c r="U560" s="719"/>
      <c r="V560" s="1"/>
      <c r="W560" s="14"/>
      <c r="X560" s="7"/>
      <c r="Y560" s="7"/>
      <c r="Z560" s="7"/>
      <c r="AA560" s="7"/>
      <c r="AB560" s="7"/>
      <c r="AC560" s="7"/>
    </row>
    <row r="561" spans="1:29" ht="25.5" hidden="1">
      <c r="A561" s="19">
        <v>156</v>
      </c>
      <c r="B561" s="1"/>
      <c r="U561" s="719"/>
      <c r="V561" s="1"/>
      <c r="W561" s="14"/>
      <c r="X561" s="7"/>
      <c r="Y561" s="7"/>
      <c r="Z561" s="7"/>
      <c r="AA561" s="7"/>
      <c r="AB561" s="7"/>
      <c r="AC561" s="7"/>
    </row>
    <row r="562" spans="1:29" ht="25.5" hidden="1">
      <c r="A562" s="19"/>
      <c r="B562" s="1"/>
      <c r="U562" s="719"/>
      <c r="V562" s="1"/>
      <c r="W562" s="14"/>
      <c r="X562" s="7"/>
      <c r="Y562" s="7"/>
      <c r="Z562" s="7"/>
      <c r="AA562" s="7"/>
      <c r="AB562" s="7"/>
      <c r="AC562" s="7"/>
    </row>
    <row r="563" spans="1:29" ht="25.5" hidden="1">
      <c r="A563" s="19"/>
      <c r="B563" s="1"/>
      <c r="U563" s="719"/>
      <c r="V563" s="1"/>
      <c r="W563" s="14" t="s">
        <v>520</v>
      </c>
      <c r="X563" s="7"/>
      <c r="Y563" s="7"/>
      <c r="Z563" s="7"/>
      <c r="AA563" s="7"/>
      <c r="AB563" s="7"/>
      <c r="AC563" s="7"/>
    </row>
    <row r="564" spans="1:29" ht="25.5" hidden="1">
      <c r="A564" s="19"/>
      <c r="B564" s="1"/>
      <c r="U564" s="719"/>
      <c r="V564" s="1"/>
      <c r="W564" s="14"/>
      <c r="X564" s="7"/>
      <c r="Y564" s="7"/>
      <c r="Z564" s="7"/>
      <c r="AA564" s="7"/>
      <c r="AB564" s="7"/>
      <c r="AC564" s="7"/>
    </row>
    <row r="565" spans="1:29" ht="25.5" hidden="1">
      <c r="A565" s="19"/>
      <c r="B565" s="1"/>
      <c r="U565" s="719"/>
      <c r="V565" s="1"/>
      <c r="W565" s="14" t="s">
        <v>521</v>
      </c>
      <c r="X565" s="7"/>
      <c r="Y565" s="7"/>
      <c r="Z565" s="7"/>
      <c r="AA565" s="7"/>
      <c r="AB565" s="7"/>
      <c r="AC565" s="7"/>
    </row>
    <row r="566" spans="1:29" ht="25.5" hidden="1">
      <c r="A566" s="19"/>
      <c r="B566" s="1"/>
      <c r="U566" s="719"/>
      <c r="V566" s="1"/>
      <c r="W566" s="14" t="s">
        <v>522</v>
      </c>
      <c r="X566" s="7"/>
      <c r="Y566" s="7"/>
      <c r="Z566" s="7"/>
      <c r="AA566" s="7"/>
      <c r="AB566" s="7"/>
      <c r="AC566" s="7"/>
    </row>
    <row r="567" spans="1:29" ht="25.5" hidden="1">
      <c r="A567" s="19"/>
      <c r="B567" s="1"/>
      <c r="U567" s="719"/>
      <c r="V567" s="1"/>
      <c r="W567" s="14">
        <v>9462</v>
      </c>
      <c r="X567" s="7"/>
      <c r="Y567" s="7"/>
      <c r="Z567" s="7"/>
      <c r="AA567" s="7"/>
      <c r="AB567" s="7"/>
      <c r="AC567" s="7"/>
    </row>
    <row r="568" spans="1:29" ht="25.5" hidden="1">
      <c r="A568" s="19"/>
      <c r="B568" s="1"/>
      <c r="U568" s="719"/>
      <c r="V568" s="1"/>
      <c r="W568" s="14">
        <v>6899</v>
      </c>
      <c r="X568" s="48">
        <v>7486</v>
      </c>
      <c r="Y568" s="7"/>
      <c r="Z568" s="7"/>
      <c r="AA568" s="7"/>
      <c r="AB568" s="7"/>
      <c r="AC568" s="7"/>
    </row>
    <row r="569" spans="1:29" ht="26.25" hidden="1">
      <c r="A569" s="231">
        <v>157</v>
      </c>
      <c r="B569" s="90"/>
      <c r="C569" s="91"/>
      <c r="D569" s="115"/>
      <c r="E569" s="115"/>
      <c r="F569" s="249"/>
      <c r="G569" s="115"/>
      <c r="H569" s="115"/>
      <c r="I569" s="115"/>
      <c r="J569" s="22"/>
      <c r="K569" s="22"/>
      <c r="L569" s="22"/>
      <c r="M569" s="22"/>
      <c r="N569" s="22"/>
      <c r="O569" s="91"/>
      <c r="P569" s="91"/>
      <c r="Q569" s="7"/>
      <c r="R569" s="94"/>
      <c r="S569" s="151"/>
      <c r="T569" s="91"/>
      <c r="U569" s="644"/>
      <c r="V569" s="782"/>
      <c r="W569" s="14"/>
      <c r="X569" s="7"/>
      <c r="Y569" s="7"/>
      <c r="Z569" s="7"/>
      <c r="AA569" s="7"/>
      <c r="AB569" s="7"/>
      <c r="AC569" s="7"/>
    </row>
    <row r="570" spans="1:29" ht="25.5" hidden="1">
      <c r="A570" s="19">
        <v>158</v>
      </c>
      <c r="U570" s="644"/>
      <c r="V570" s="782"/>
      <c r="W570" s="14"/>
      <c r="X570" s="7"/>
      <c r="Y570" s="7"/>
      <c r="Z570" s="7"/>
      <c r="AA570" s="7"/>
      <c r="AB570" s="7"/>
      <c r="AC570" s="7"/>
    </row>
    <row r="571" spans="1:29" ht="26.25" hidden="1">
      <c r="A571" s="19"/>
      <c r="B571" s="148"/>
      <c r="C571" s="91"/>
      <c r="D571" s="91"/>
      <c r="E571" s="91"/>
      <c r="F571" s="91"/>
      <c r="G571" s="91"/>
      <c r="H571" s="91"/>
      <c r="I571" s="115"/>
      <c r="J571" s="22"/>
      <c r="K571" s="22"/>
      <c r="L571" s="22"/>
      <c r="M571" s="22"/>
      <c r="N571" s="22"/>
      <c r="O571" s="91"/>
      <c r="P571" s="91"/>
      <c r="Q571" s="22"/>
      <c r="R571" s="142"/>
      <c r="S571" s="151"/>
      <c r="T571" s="91"/>
      <c r="U571" s="644"/>
      <c r="V571" s="782"/>
      <c r="W571" s="14"/>
      <c r="X571" s="7"/>
      <c r="Y571" s="7"/>
      <c r="Z571" s="7"/>
      <c r="AA571" s="7"/>
      <c r="AB571" s="7"/>
      <c r="AC571" s="7"/>
    </row>
    <row r="572" spans="1:29" ht="25.5" hidden="1">
      <c r="A572" s="19">
        <v>160</v>
      </c>
      <c r="B572" s="1"/>
      <c r="U572" s="644"/>
      <c r="V572" s="782"/>
      <c r="W572" s="14"/>
      <c r="X572" s="7"/>
      <c r="Y572" s="7"/>
      <c r="Z572" s="7"/>
      <c r="AA572" s="7"/>
      <c r="AB572" s="7"/>
      <c r="AC572" s="7"/>
    </row>
    <row r="573" spans="1:29" ht="25.5" hidden="1">
      <c r="A573" s="19">
        <v>161</v>
      </c>
      <c r="B573" s="1"/>
      <c r="U573" s="719"/>
      <c r="V573" s="1"/>
      <c r="W573" s="14"/>
      <c r="X573" s="7"/>
      <c r="Y573" s="7"/>
      <c r="Z573" s="7"/>
      <c r="AA573" s="7"/>
      <c r="AB573" s="7"/>
      <c r="AC573" s="7"/>
    </row>
    <row r="574" spans="1:29" ht="20.25" hidden="1" customHeight="1">
      <c r="A574" s="19">
        <v>163</v>
      </c>
      <c r="B574" s="1"/>
      <c r="U574" s="719"/>
      <c r="V574" s="1"/>
      <c r="W574" s="14" t="s">
        <v>523</v>
      </c>
      <c r="X574" s="7"/>
      <c r="Y574" s="7"/>
      <c r="Z574" s="7"/>
      <c r="AA574" s="7"/>
      <c r="AB574" s="7"/>
      <c r="AC574" s="7"/>
    </row>
    <row r="575" spans="1:29" ht="26.25" hidden="1">
      <c r="A575" s="19"/>
      <c r="B575" s="148"/>
      <c r="C575" s="91"/>
      <c r="D575" s="91"/>
      <c r="E575" s="91"/>
      <c r="F575" s="250"/>
      <c r="G575" s="251"/>
      <c r="H575" s="91"/>
      <c r="I575" s="115"/>
      <c r="J575" s="22"/>
      <c r="K575" s="22"/>
      <c r="L575" s="22"/>
      <c r="M575" s="22"/>
      <c r="N575" s="22"/>
      <c r="O575" s="91"/>
      <c r="P575" s="91"/>
      <c r="Q575" s="22"/>
      <c r="R575" s="142"/>
      <c r="S575" s="151"/>
      <c r="T575" s="91"/>
      <c r="U575" s="644"/>
      <c r="V575" s="782"/>
      <c r="W575" s="14"/>
      <c r="X575" s="7"/>
      <c r="Y575" s="7"/>
      <c r="Z575" s="7"/>
      <c r="AA575" s="7"/>
      <c r="AB575" s="7"/>
      <c r="AC575" s="7"/>
    </row>
    <row r="576" spans="1:29" ht="25.5" hidden="1">
      <c r="A576" s="19">
        <v>164</v>
      </c>
      <c r="U576" s="644"/>
      <c r="V576" s="782"/>
      <c r="W576" s="14"/>
      <c r="X576" s="7"/>
      <c r="Y576" s="7"/>
      <c r="Z576" s="7"/>
      <c r="AA576" s="7"/>
      <c r="AB576" s="7"/>
      <c r="AC576" s="7"/>
    </row>
    <row r="577" spans="1:29" ht="32.25" hidden="1" customHeight="1">
      <c r="A577" s="19">
        <v>165</v>
      </c>
      <c r="U577" s="644"/>
      <c r="V577" s="782"/>
      <c r="W577" s="14"/>
      <c r="X577" s="7"/>
      <c r="Y577" s="7"/>
      <c r="Z577" s="7"/>
      <c r="AA577" s="7"/>
      <c r="AB577" s="7"/>
      <c r="AC577" s="7"/>
    </row>
    <row r="578" spans="1:29" ht="26.25" hidden="1">
      <c r="A578" s="19">
        <v>166</v>
      </c>
      <c r="B578" s="148"/>
      <c r="C578" s="91"/>
      <c r="D578" s="91"/>
      <c r="E578" s="91"/>
      <c r="F578" s="91"/>
      <c r="G578" s="91"/>
      <c r="H578" s="91"/>
      <c r="I578" s="115"/>
      <c r="J578" s="22"/>
      <c r="K578" s="22"/>
      <c r="L578" s="22"/>
      <c r="M578" s="22"/>
      <c r="N578" s="22"/>
      <c r="O578" s="91"/>
      <c r="P578" s="91"/>
      <c r="Q578" s="149"/>
      <c r="R578" s="161"/>
      <c r="S578" s="151"/>
      <c r="T578" s="91">
        <f>(P578-O578)*S578</f>
        <v>0</v>
      </c>
      <c r="U578" s="644"/>
      <c r="V578" s="782"/>
      <c r="W578" s="14"/>
      <c r="X578" s="7"/>
      <c r="Y578" s="7"/>
      <c r="Z578" s="7"/>
      <c r="AA578" s="7"/>
      <c r="AB578" s="7"/>
      <c r="AC578" s="7"/>
    </row>
    <row r="579" spans="1:29" ht="25.5" hidden="1">
      <c r="A579" s="19">
        <v>167</v>
      </c>
      <c r="U579" s="644"/>
      <c r="V579" s="782"/>
      <c r="W579" s="14"/>
      <c r="X579" s="7"/>
      <c r="Y579" s="7"/>
      <c r="Z579" s="7"/>
      <c r="AA579" s="7"/>
      <c r="AB579" s="7"/>
      <c r="AC579" s="7"/>
    </row>
    <row r="580" spans="1:29" ht="25.5" hidden="1">
      <c r="A580" s="19">
        <v>168</v>
      </c>
      <c r="B580" s="1"/>
      <c r="U580" s="719"/>
      <c r="V580" s="1"/>
      <c r="W580" s="14"/>
      <c r="X580" s="7"/>
      <c r="Y580" s="7"/>
      <c r="Z580" s="7"/>
      <c r="AA580" s="7"/>
      <c r="AB580" s="7"/>
      <c r="AC580" s="7"/>
    </row>
    <row r="581" spans="1:29" ht="27.75" hidden="1" customHeight="1">
      <c r="A581" s="19">
        <v>169</v>
      </c>
      <c r="U581" s="644"/>
      <c r="V581" s="782"/>
      <c r="W581" s="14"/>
      <c r="X581" s="7"/>
      <c r="Y581" s="7"/>
      <c r="Z581" s="7"/>
      <c r="AA581" s="7"/>
      <c r="AB581" s="7"/>
      <c r="AC581" s="7"/>
    </row>
    <row r="582" spans="1:29" ht="25.5" hidden="1">
      <c r="A582" s="19">
        <v>170</v>
      </c>
      <c r="B582" s="1"/>
      <c r="U582" s="719"/>
      <c r="V582" s="1"/>
      <c r="W582" s="14"/>
      <c r="X582" s="7"/>
      <c r="Y582" s="7"/>
      <c r="Z582" s="7"/>
      <c r="AA582" s="7"/>
      <c r="AB582" s="7"/>
      <c r="AC582" s="7"/>
    </row>
    <row r="583" spans="1:29" ht="26.25" hidden="1">
      <c r="A583" s="19">
        <v>171</v>
      </c>
      <c r="B583" s="148"/>
      <c r="C583" s="91"/>
      <c r="D583" s="91"/>
      <c r="E583" s="91"/>
      <c r="F583" s="91"/>
      <c r="G583" s="91"/>
      <c r="H583" s="91"/>
      <c r="I583" s="115"/>
      <c r="J583" s="22"/>
      <c r="K583" s="22"/>
      <c r="L583" s="22"/>
      <c r="M583" s="22"/>
      <c r="N583" s="22"/>
      <c r="O583" s="91"/>
      <c r="P583" s="91"/>
      <c r="Q583" s="22"/>
      <c r="R583" s="142"/>
      <c r="S583" s="151"/>
      <c r="T583" s="91">
        <f>(P583-O583)*S583</f>
        <v>0</v>
      </c>
      <c r="U583" s="644"/>
      <c r="V583" s="782"/>
      <c r="W583" s="14"/>
      <c r="X583" s="7"/>
      <c r="Y583" s="7"/>
      <c r="Z583" s="7"/>
      <c r="AA583" s="7"/>
      <c r="AB583" s="7"/>
      <c r="AC583" s="7"/>
    </row>
    <row r="584" spans="1:29" ht="36.75" hidden="1" customHeight="1">
      <c r="A584" s="19" t="s">
        <v>524</v>
      </c>
      <c r="B584" s="1"/>
      <c r="U584" s="719"/>
      <c r="V584" s="1"/>
      <c r="W584" s="14"/>
      <c r="X584" s="7"/>
      <c r="Y584" s="7"/>
      <c r="Z584" s="7"/>
      <c r="AA584" s="7"/>
      <c r="AB584" s="7"/>
      <c r="AC584" s="7"/>
    </row>
    <row r="585" spans="1:29" ht="23.25" hidden="1" customHeight="1">
      <c r="A585" s="19">
        <v>172</v>
      </c>
      <c r="B585" s="1"/>
      <c r="U585" s="719"/>
      <c r="V585" s="1"/>
      <c r="W585" s="14"/>
      <c r="X585" s="7"/>
      <c r="Y585" s="7"/>
      <c r="Z585" s="7"/>
      <c r="AA585" s="7"/>
      <c r="AB585" s="7"/>
      <c r="AC585" s="7"/>
    </row>
    <row r="586" spans="1:29" ht="25.5" hidden="1">
      <c r="A586" s="19"/>
      <c r="B586" s="1"/>
      <c r="U586" s="719"/>
      <c r="V586" s="1"/>
      <c r="W586" s="14" t="s">
        <v>525</v>
      </c>
      <c r="X586" s="7"/>
      <c r="Y586" s="7"/>
      <c r="Z586" s="7"/>
      <c r="AA586" s="7"/>
      <c r="AB586" s="7"/>
      <c r="AC586" s="7"/>
    </row>
    <row r="587" spans="1:29" ht="25.5" hidden="1">
      <c r="A587" s="19"/>
      <c r="B587" s="1"/>
      <c r="U587" s="719"/>
      <c r="V587" s="1"/>
      <c r="W587" s="14"/>
      <c r="X587" s="7"/>
      <c r="Y587" s="7"/>
      <c r="Z587" s="7"/>
      <c r="AA587" s="7"/>
      <c r="AB587" s="7"/>
      <c r="AC587" s="7"/>
    </row>
    <row r="588" spans="1:29" ht="25.5" hidden="1">
      <c r="A588" s="19"/>
      <c r="B588" s="1"/>
      <c r="U588" s="719"/>
      <c r="V588" s="1"/>
      <c r="W588" s="14"/>
      <c r="X588" s="7"/>
      <c r="Y588" s="7"/>
      <c r="Z588" s="7"/>
      <c r="AA588" s="7"/>
      <c r="AB588" s="7"/>
      <c r="AC588" s="7"/>
    </row>
    <row r="589" spans="1:29" ht="12" hidden="1" customHeight="1">
      <c r="A589" s="19"/>
      <c r="B589" s="1"/>
      <c r="U589" s="719"/>
      <c r="V589" s="1"/>
      <c r="W589" s="14" t="s">
        <v>526</v>
      </c>
      <c r="X589" s="7"/>
      <c r="Y589" s="7"/>
      <c r="Z589" s="7"/>
      <c r="AA589" s="7"/>
      <c r="AB589" s="7"/>
      <c r="AC589" s="7"/>
    </row>
    <row r="590" spans="1:29" ht="25.5" hidden="1">
      <c r="A590" s="19">
        <v>173</v>
      </c>
      <c r="B590" s="1"/>
      <c r="U590" s="719"/>
      <c r="V590" s="1"/>
      <c r="W590" s="14" t="s">
        <v>493</v>
      </c>
      <c r="X590" s="7"/>
      <c r="Y590" s="7"/>
      <c r="Z590" s="7"/>
      <c r="AA590" s="7"/>
      <c r="AB590" s="7"/>
      <c r="AC590" s="7"/>
    </row>
    <row r="591" spans="1:29" ht="26.25" hidden="1" customHeight="1">
      <c r="A591" s="19">
        <v>174</v>
      </c>
      <c r="B591" s="1"/>
      <c r="U591" s="719"/>
      <c r="V591" s="1"/>
      <c r="W591" s="14"/>
      <c r="X591" s="7"/>
      <c r="Y591" s="7"/>
      <c r="Z591" s="7"/>
      <c r="AA591" s="7"/>
      <c r="AB591" s="7"/>
      <c r="AC591" s="7"/>
    </row>
    <row r="592" spans="1:29" ht="68.25" hidden="1" customHeight="1">
      <c r="A592" s="19">
        <v>175</v>
      </c>
      <c r="U592" s="644"/>
      <c r="V592" s="782"/>
      <c r="W592" s="14"/>
      <c r="X592" s="7"/>
      <c r="Y592" s="7"/>
      <c r="Z592" s="7"/>
      <c r="AA592" s="7"/>
      <c r="AB592" s="7"/>
      <c r="AC592" s="7"/>
    </row>
    <row r="593" spans="1:29" ht="25.5" hidden="1">
      <c r="A593" s="19">
        <v>177</v>
      </c>
      <c r="U593" s="644"/>
      <c r="V593" s="782"/>
      <c r="W593" s="14">
        <v>126691</v>
      </c>
      <c r="X593" s="7"/>
      <c r="Y593" s="7"/>
      <c r="Z593" s="7"/>
      <c r="AA593" s="7"/>
      <c r="AB593" s="7"/>
      <c r="AC593" s="7"/>
    </row>
    <row r="594" spans="1:29" ht="32.25" hidden="1" customHeight="1">
      <c r="A594" s="19">
        <v>178</v>
      </c>
      <c r="U594" s="644"/>
      <c r="V594" s="782"/>
      <c r="W594" s="14"/>
      <c r="X594" s="7"/>
      <c r="Y594" s="7"/>
      <c r="Z594" s="7"/>
      <c r="AA594" s="7"/>
      <c r="AB594" s="7"/>
      <c r="AC594" s="7"/>
    </row>
    <row r="595" spans="1:29" ht="25.5" hidden="1">
      <c r="A595" s="19">
        <v>179</v>
      </c>
      <c r="B595" s="1"/>
      <c r="U595" s="719"/>
      <c r="V595" s="1"/>
      <c r="W595" s="14"/>
      <c r="X595" s="7"/>
      <c r="Y595" s="7"/>
      <c r="Z595" s="7"/>
      <c r="AA595" s="7"/>
      <c r="AB595" s="7"/>
      <c r="AC595" s="7"/>
    </row>
    <row r="596" spans="1:29" ht="27.75" hidden="1" customHeight="1">
      <c r="A596" s="19">
        <v>180</v>
      </c>
      <c r="B596" s="1"/>
      <c r="U596" s="644"/>
      <c r="V596" s="782"/>
      <c r="W596" s="14"/>
      <c r="X596" s="7"/>
      <c r="Y596" s="7"/>
      <c r="Z596" s="7"/>
      <c r="AA596" s="7"/>
      <c r="AB596" s="7"/>
      <c r="AC596" s="7"/>
    </row>
    <row r="597" spans="1:29" ht="25.5" hidden="1">
      <c r="A597" s="252">
        <v>181</v>
      </c>
      <c r="U597" s="644"/>
      <c r="V597" s="782"/>
      <c r="W597" s="14"/>
      <c r="X597" s="7"/>
      <c r="Y597" s="7"/>
      <c r="Z597" s="7"/>
      <c r="AA597" s="7"/>
      <c r="AB597" s="7"/>
      <c r="AC597" s="7"/>
    </row>
    <row r="598" spans="1:29" ht="25.5" hidden="1">
      <c r="A598" s="19">
        <v>182</v>
      </c>
      <c r="B598" s="1"/>
      <c r="U598" s="719"/>
      <c r="V598" s="1"/>
      <c r="W598" s="14"/>
      <c r="X598" s="7"/>
      <c r="Y598" s="7"/>
      <c r="Z598" s="7"/>
      <c r="AA598" s="7"/>
      <c r="AB598" s="7"/>
      <c r="AC598" s="7"/>
    </row>
    <row r="599" spans="1:29" ht="29.25" hidden="1" customHeight="1">
      <c r="A599" s="19">
        <v>183</v>
      </c>
      <c r="B599" s="1"/>
      <c r="U599" s="644"/>
      <c r="V599" s="782"/>
      <c r="W599" s="14"/>
      <c r="X599" s="7"/>
      <c r="Y599" s="7"/>
      <c r="Z599" s="7"/>
      <c r="AA599" s="7"/>
      <c r="AB599" s="7"/>
      <c r="AC599" s="7"/>
    </row>
    <row r="600" spans="1:29" ht="29.25" hidden="1" customHeight="1">
      <c r="A600" s="19">
        <v>184</v>
      </c>
      <c r="U600" s="644"/>
      <c r="V600" s="782"/>
      <c r="W600" s="14"/>
      <c r="X600" s="7"/>
      <c r="Y600" s="7"/>
      <c r="Z600" s="253"/>
      <c r="AA600" s="253"/>
      <c r="AB600" s="254"/>
      <c r="AC600" s="253"/>
    </row>
    <row r="601" spans="1:29" ht="26.25" hidden="1">
      <c r="A601" s="19">
        <v>185</v>
      </c>
      <c r="B601" s="148"/>
      <c r="C601" s="91"/>
      <c r="D601" s="91"/>
      <c r="E601" s="91"/>
      <c r="F601" s="91"/>
      <c r="G601" s="91"/>
      <c r="H601" s="91"/>
      <c r="I601" s="115"/>
      <c r="J601" s="22"/>
      <c r="K601" s="22"/>
      <c r="L601" s="22"/>
      <c r="M601" s="22"/>
      <c r="N601" s="22"/>
      <c r="O601" s="91"/>
      <c r="P601" s="91"/>
      <c r="Q601" s="122"/>
      <c r="R601" s="173"/>
      <c r="S601" s="151"/>
      <c r="T601" s="91"/>
      <c r="U601" s="644"/>
      <c r="V601" s="782"/>
      <c r="W601" s="14"/>
      <c r="X601" s="7"/>
      <c r="Y601" s="7"/>
      <c r="Z601" s="7"/>
      <c r="AA601" s="7"/>
      <c r="AB601" s="7"/>
      <c r="AC601" s="7"/>
    </row>
    <row r="602" spans="1:29" ht="32.25" hidden="1" customHeight="1">
      <c r="A602" s="19">
        <v>186</v>
      </c>
      <c r="U602" s="644"/>
      <c r="V602" s="782"/>
      <c r="W602" s="14"/>
      <c r="X602" s="7"/>
      <c r="Y602" s="7"/>
      <c r="Z602" s="7"/>
      <c r="AA602" s="7"/>
      <c r="AB602" s="7"/>
      <c r="AC602" s="7"/>
    </row>
    <row r="603" spans="1:29" ht="30" hidden="1" customHeight="1">
      <c r="A603" s="19">
        <v>187</v>
      </c>
      <c r="B603" s="1"/>
      <c r="U603" s="644"/>
      <c r="V603" s="782"/>
      <c r="W603" s="14"/>
      <c r="X603" s="7"/>
      <c r="Y603" s="7"/>
      <c r="Z603" s="7"/>
      <c r="AA603" s="7"/>
      <c r="AB603" s="7"/>
      <c r="AC603" s="7"/>
    </row>
    <row r="604" spans="1:29" ht="26.25" hidden="1">
      <c r="A604" s="19">
        <v>188</v>
      </c>
      <c r="B604" s="148"/>
      <c r="C604" s="91"/>
      <c r="D604" s="91"/>
      <c r="E604" s="91"/>
      <c r="F604" s="91"/>
      <c r="G604" s="91"/>
      <c r="H604" s="91"/>
      <c r="I604" s="115"/>
      <c r="J604" s="22"/>
      <c r="K604" s="22"/>
      <c r="L604" s="22"/>
      <c r="M604" s="22"/>
      <c r="N604" s="22"/>
      <c r="O604" s="91"/>
      <c r="P604" s="91"/>
      <c r="Q604" s="7"/>
      <c r="R604" s="200"/>
      <c r="S604" s="151"/>
      <c r="T604" s="91">
        <f>(P604-O604)*S604</f>
        <v>0</v>
      </c>
      <c r="U604" s="644"/>
      <c r="V604" s="782"/>
      <c r="W604" s="14"/>
      <c r="X604" s="7"/>
      <c r="Y604" s="7"/>
      <c r="Z604" s="7"/>
      <c r="AA604" s="7"/>
      <c r="AB604" s="7"/>
      <c r="AC604" s="7"/>
    </row>
    <row r="605" spans="1:29" ht="25.5" hidden="1">
      <c r="A605" s="19">
        <v>189</v>
      </c>
      <c r="B605" s="1"/>
      <c r="U605" s="644"/>
      <c r="V605" s="782"/>
      <c r="W605" s="14"/>
      <c r="X605" s="7"/>
      <c r="Y605" s="7"/>
      <c r="Z605" s="7"/>
      <c r="AA605" s="7"/>
      <c r="AB605" s="7"/>
      <c r="AC605" s="7"/>
    </row>
    <row r="606" spans="1:29" ht="26.25" hidden="1">
      <c r="A606" s="19">
        <v>190</v>
      </c>
      <c r="B606" s="148"/>
      <c r="C606" s="91"/>
      <c r="D606" s="91"/>
      <c r="E606" s="91"/>
      <c r="F606" s="91"/>
      <c r="G606" s="91"/>
      <c r="H606" s="91"/>
      <c r="I606" s="115"/>
      <c r="J606" s="22"/>
      <c r="K606" s="22"/>
      <c r="L606" s="22"/>
      <c r="M606" s="22"/>
      <c r="N606" s="22"/>
      <c r="O606" s="91"/>
      <c r="P606" s="91"/>
      <c r="Q606" s="7"/>
      <c r="R606" s="142"/>
      <c r="S606" s="151"/>
      <c r="T606" s="91">
        <f>(P606-O606)*S606</f>
        <v>0</v>
      </c>
      <c r="U606" s="644"/>
      <c r="V606" s="782"/>
      <c r="W606" s="14" t="s">
        <v>527</v>
      </c>
      <c r="X606" s="7"/>
      <c r="Y606" s="7"/>
      <c r="Z606" s="7"/>
      <c r="AA606" s="7"/>
      <c r="AB606" s="7"/>
      <c r="AC606" s="7"/>
    </row>
    <row r="607" spans="1:29" ht="26.25" hidden="1" customHeight="1">
      <c r="A607" s="19">
        <v>191</v>
      </c>
      <c r="U607" s="644"/>
      <c r="V607" s="782"/>
      <c r="W607" s="14"/>
      <c r="X607" s="7"/>
      <c r="Y607" s="7"/>
      <c r="Z607" s="7"/>
      <c r="AA607" s="7"/>
      <c r="AB607" s="7"/>
      <c r="AC607" s="7"/>
    </row>
    <row r="608" spans="1:29" ht="25.5" hidden="1">
      <c r="A608" s="19">
        <v>192</v>
      </c>
      <c r="B608" s="1"/>
      <c r="U608" s="719"/>
      <c r="V608" s="1"/>
      <c r="W608" s="14"/>
      <c r="X608" s="7"/>
      <c r="Y608" s="7"/>
      <c r="Z608" s="7"/>
      <c r="AA608" s="7"/>
      <c r="AB608" s="7"/>
      <c r="AC608" s="7"/>
    </row>
    <row r="609" spans="1:29" ht="26.25" hidden="1">
      <c r="A609" s="19">
        <v>193</v>
      </c>
      <c r="B609" s="148"/>
      <c r="C609" s="91"/>
      <c r="D609" s="91"/>
      <c r="E609" s="91"/>
      <c r="F609" s="91"/>
      <c r="G609" s="91"/>
      <c r="H609" s="91"/>
      <c r="I609" s="115"/>
      <c r="J609" s="22"/>
      <c r="K609" s="22"/>
      <c r="L609" s="22"/>
      <c r="M609" s="22"/>
      <c r="N609" s="22"/>
      <c r="O609" s="91"/>
      <c r="P609" s="91"/>
      <c r="Q609" s="22"/>
      <c r="R609" s="142"/>
      <c r="S609" s="151"/>
      <c r="T609" s="91">
        <f>(P609-O609)*S609</f>
        <v>0</v>
      </c>
      <c r="U609" s="644"/>
      <c r="V609" s="782"/>
      <c r="W609" s="14"/>
      <c r="X609" s="7"/>
      <c r="Y609" s="7"/>
      <c r="Z609" s="7"/>
      <c r="AA609" s="7"/>
      <c r="AB609" s="7"/>
      <c r="AC609" s="7"/>
    </row>
    <row r="610" spans="1:29" ht="29.25" hidden="1" customHeight="1">
      <c r="A610" s="19">
        <v>194</v>
      </c>
      <c r="U610" s="644"/>
      <c r="V610" s="782"/>
      <c r="W610" s="14"/>
      <c r="X610" s="7"/>
      <c r="Y610" s="7"/>
      <c r="Z610" s="7"/>
      <c r="AA610" s="7"/>
      <c r="AB610" s="7"/>
      <c r="AC610" s="7"/>
    </row>
    <row r="611" spans="1:29" ht="26.25" hidden="1">
      <c r="A611" s="19">
        <v>195</v>
      </c>
      <c r="B611" s="148"/>
      <c r="C611" s="91"/>
      <c r="D611" s="91"/>
      <c r="E611" s="91"/>
      <c r="F611" s="91"/>
      <c r="G611" s="91"/>
      <c r="H611" s="91"/>
      <c r="I611" s="115"/>
      <c r="J611" s="22"/>
      <c r="K611" s="22"/>
      <c r="L611" s="22"/>
      <c r="M611" s="22"/>
      <c r="N611" s="22"/>
      <c r="O611" s="91"/>
      <c r="P611" s="91"/>
      <c r="Q611" s="149"/>
      <c r="R611" s="161"/>
      <c r="S611" s="151"/>
      <c r="T611" s="91"/>
      <c r="U611" s="644"/>
      <c r="V611" s="782"/>
      <c r="W611" s="14" t="s">
        <v>528</v>
      </c>
      <c r="X611" s="7"/>
      <c r="Y611" s="7"/>
      <c r="Z611" s="7"/>
      <c r="AA611" s="7"/>
      <c r="AB611" s="7"/>
      <c r="AC611" s="7"/>
    </row>
    <row r="612" spans="1:29" ht="30" hidden="1" customHeight="1">
      <c r="A612" s="19">
        <v>196</v>
      </c>
      <c r="U612" s="644"/>
      <c r="V612" s="782"/>
      <c r="W612" s="14"/>
      <c r="X612" s="7"/>
      <c r="Y612" s="7"/>
      <c r="Z612" s="7"/>
      <c r="AA612" s="7"/>
      <c r="AB612" s="7"/>
      <c r="AC612" s="7"/>
    </row>
    <row r="613" spans="1:29" ht="27" hidden="1" customHeight="1">
      <c r="A613" s="19"/>
      <c r="B613" s="90"/>
      <c r="C613" s="115"/>
      <c r="D613" s="115"/>
      <c r="E613" s="115"/>
      <c r="F613" s="91"/>
      <c r="G613" s="91"/>
      <c r="H613" s="115"/>
      <c r="I613" s="115"/>
      <c r="J613" s="22"/>
      <c r="K613" s="22"/>
      <c r="L613" s="22"/>
      <c r="M613" s="22"/>
      <c r="N613" s="22"/>
      <c r="O613" s="91"/>
      <c r="P613" s="91"/>
      <c r="Q613" s="149"/>
      <c r="R613" s="161"/>
      <c r="S613" s="151"/>
      <c r="T613" s="91">
        <f>(P613-O613)*S613</f>
        <v>0</v>
      </c>
      <c r="U613" s="644"/>
      <c r="V613" s="782"/>
      <c r="W613" s="14"/>
      <c r="X613" s="7"/>
      <c r="Y613" s="7"/>
      <c r="Z613" s="7"/>
      <c r="AA613" s="7"/>
      <c r="AB613" s="7"/>
      <c r="AC613" s="7"/>
    </row>
    <row r="614" spans="1:29" ht="29.25" customHeight="1">
      <c r="A614" s="19"/>
      <c r="B614" s="90" t="s">
        <v>480</v>
      </c>
      <c r="C614" s="91"/>
      <c r="D614" s="91"/>
      <c r="E614" s="91"/>
      <c r="F614" s="91"/>
      <c r="G614" s="91"/>
      <c r="H614" s="91"/>
      <c r="I614" s="115"/>
      <c r="J614" s="22"/>
      <c r="K614" s="22"/>
      <c r="L614" s="22"/>
      <c r="M614" s="22"/>
      <c r="N614" s="22"/>
      <c r="O614" s="91"/>
      <c r="P614" s="91"/>
      <c r="Q614" s="149"/>
      <c r="R614" s="161"/>
      <c r="S614" s="151"/>
      <c r="T614" s="91"/>
      <c r="U614" s="644"/>
      <c r="V614" s="782"/>
      <c r="W614" s="14"/>
      <c r="X614" s="7"/>
      <c r="Y614" s="7"/>
      <c r="Z614" s="255"/>
      <c r="AA614" s="255"/>
      <c r="AB614" s="255"/>
      <c r="AC614" s="255"/>
    </row>
    <row r="615" spans="1:29" ht="29.25" customHeight="1">
      <c r="A615" s="19"/>
      <c r="B615" s="27" t="s">
        <v>529</v>
      </c>
      <c r="C615" s="28">
        <f>H615+E615</f>
        <v>239.68</v>
      </c>
      <c r="D615" s="72"/>
      <c r="E615" s="28">
        <f>F615+G615</f>
        <v>15.68</v>
      </c>
      <c r="F615" s="28">
        <f t="shared" ref="F615:F654" si="88">0.04*H615</f>
        <v>8.9600000000000009</v>
      </c>
      <c r="G615" s="28">
        <f t="shared" ref="G615:G654" si="89">0.03*H615</f>
        <v>6.72</v>
      </c>
      <c r="H615" s="28">
        <f>T615</f>
        <v>224</v>
      </c>
      <c r="I615" s="28">
        <f>0.5*C615</f>
        <v>119.84</v>
      </c>
      <c r="J615" s="29"/>
      <c r="K615" s="29"/>
      <c r="L615" s="29"/>
      <c r="M615" s="29"/>
      <c r="N615" s="29"/>
      <c r="O615" s="414">
        <v>15585</v>
      </c>
      <c r="P615" s="414">
        <v>15809</v>
      </c>
      <c r="Q615" s="146"/>
      <c r="R615" s="61"/>
      <c r="S615" s="54">
        <v>1</v>
      </c>
      <c r="T615" s="28">
        <f t="shared" ref="T615:T638" si="90">(P615-O615)*S615</f>
        <v>224</v>
      </c>
      <c r="U615" s="455">
        <v>2262538</v>
      </c>
      <c r="V615" s="783" t="s">
        <v>530</v>
      </c>
      <c r="W615" s="14" t="s">
        <v>43</v>
      </c>
      <c r="X615" s="7"/>
      <c r="Y615" s="7"/>
      <c r="Z615" s="7"/>
      <c r="AA615" s="7"/>
      <c r="AB615" s="7"/>
      <c r="AC615" s="7"/>
    </row>
    <row r="616" spans="1:29" ht="30" customHeight="1">
      <c r="A616" s="19"/>
      <c r="B616" s="27" t="s">
        <v>531</v>
      </c>
      <c r="C616" s="28">
        <f t="shared" ref="C616:C646" si="91">H616+E616</f>
        <v>0</v>
      </c>
      <c r="D616" s="28"/>
      <c r="E616" s="28">
        <f t="shared" ref="E616:E654" si="92">F616+G616</f>
        <v>0</v>
      </c>
      <c r="F616" s="28">
        <f t="shared" si="88"/>
        <v>0</v>
      </c>
      <c r="G616" s="28">
        <f t="shared" si="89"/>
        <v>0</v>
      </c>
      <c r="H616" s="28">
        <f>T616</f>
        <v>0</v>
      </c>
      <c r="I616" s="28">
        <f t="shared" ref="I616:I646" si="93">0.5*C616</f>
        <v>0</v>
      </c>
      <c r="J616" s="29"/>
      <c r="K616" s="29"/>
      <c r="L616" s="29"/>
      <c r="M616" s="29"/>
      <c r="N616" s="29"/>
      <c r="O616" s="414">
        <v>45710</v>
      </c>
      <c r="P616" s="414">
        <v>45710</v>
      </c>
      <c r="Q616" s="29"/>
      <c r="R616" s="348"/>
      <c r="S616" s="54">
        <v>1</v>
      </c>
      <c r="T616" s="28">
        <f t="shared" si="90"/>
        <v>0</v>
      </c>
      <c r="U616" s="455">
        <v>5521045</v>
      </c>
      <c r="V616" s="783" t="s">
        <v>1170</v>
      </c>
      <c r="W616" s="14" t="s">
        <v>43</v>
      </c>
      <c r="X616" s="7"/>
      <c r="Y616" s="7"/>
      <c r="Z616" s="7"/>
      <c r="AA616" s="7"/>
      <c r="AB616" s="7"/>
      <c r="AC616" s="7"/>
    </row>
    <row r="617" spans="1:29" ht="27" customHeight="1">
      <c r="A617" s="19"/>
      <c r="B617" s="27" t="s">
        <v>533</v>
      </c>
      <c r="C617" s="28">
        <f t="shared" si="91"/>
        <v>395.9</v>
      </c>
      <c r="D617" s="77"/>
      <c r="E617" s="28">
        <f t="shared" si="92"/>
        <v>25.9</v>
      </c>
      <c r="F617" s="28">
        <f t="shared" si="88"/>
        <v>14.8</v>
      </c>
      <c r="G617" s="28">
        <f t="shared" si="89"/>
        <v>11.1</v>
      </c>
      <c r="H617" s="28">
        <f t="shared" ref="H617:H650" si="94">T617</f>
        <v>370</v>
      </c>
      <c r="I617" s="28">
        <f t="shared" si="93"/>
        <v>197.95</v>
      </c>
      <c r="J617" s="29"/>
      <c r="K617" s="29"/>
      <c r="L617" s="29"/>
      <c r="M617" s="29"/>
      <c r="N617" s="29"/>
      <c r="O617" s="414">
        <v>37727</v>
      </c>
      <c r="P617" s="414">
        <v>38097</v>
      </c>
      <c r="Q617" s="30"/>
      <c r="R617" s="256"/>
      <c r="S617" s="54">
        <v>1</v>
      </c>
      <c r="T617" s="28">
        <f t="shared" si="90"/>
        <v>370</v>
      </c>
      <c r="U617" s="455">
        <v>2261340</v>
      </c>
      <c r="V617" s="783" t="s">
        <v>534</v>
      </c>
      <c r="W617" s="14" t="s">
        <v>43</v>
      </c>
      <c r="X617" s="7"/>
      <c r="Y617" s="7"/>
      <c r="Z617" s="7"/>
      <c r="AA617" s="7"/>
      <c r="AB617" s="7"/>
      <c r="AC617" s="7"/>
    </row>
    <row r="618" spans="1:29" ht="30" customHeight="1">
      <c r="A618" s="19"/>
      <c r="B618" s="27" t="s">
        <v>535</v>
      </c>
      <c r="C618" s="28">
        <f t="shared" si="91"/>
        <v>756.49</v>
      </c>
      <c r="D618" s="77"/>
      <c r="E618" s="28">
        <f t="shared" si="92"/>
        <v>49.49</v>
      </c>
      <c r="F618" s="28">
        <f t="shared" si="88"/>
        <v>28.28</v>
      </c>
      <c r="G618" s="28">
        <f t="shared" si="89"/>
        <v>21.21</v>
      </c>
      <c r="H618" s="28">
        <f t="shared" si="94"/>
        <v>707</v>
      </c>
      <c r="I618" s="28">
        <f t="shared" si="93"/>
        <v>378.245</v>
      </c>
      <c r="J618" s="29"/>
      <c r="K618" s="29"/>
      <c r="L618" s="29"/>
      <c r="M618" s="29"/>
      <c r="N618" s="29"/>
      <c r="O618" s="414">
        <v>47544</v>
      </c>
      <c r="P618" s="414">
        <v>48251</v>
      </c>
      <c r="Q618" s="30"/>
      <c r="R618" s="256"/>
      <c r="S618" s="54">
        <v>1</v>
      </c>
      <c r="T618" s="28">
        <f t="shared" si="90"/>
        <v>707</v>
      </c>
      <c r="U618" s="455">
        <v>5510929</v>
      </c>
      <c r="V618" s="783" t="s">
        <v>536</v>
      </c>
      <c r="W618" s="14" t="s">
        <v>43</v>
      </c>
      <c r="X618" s="7"/>
      <c r="Y618" s="7"/>
      <c r="Z618" s="7"/>
      <c r="AA618" s="7"/>
      <c r="AB618" s="7"/>
      <c r="AC618" s="7"/>
    </row>
    <row r="619" spans="1:29" ht="27.75" customHeight="1">
      <c r="A619" s="19"/>
      <c r="B619" s="27" t="s">
        <v>537</v>
      </c>
      <c r="C619" s="28">
        <f t="shared" si="91"/>
        <v>390.55</v>
      </c>
      <c r="D619" s="72"/>
      <c r="E619" s="28">
        <f t="shared" si="92"/>
        <v>25.549999999999997</v>
      </c>
      <c r="F619" s="28">
        <f t="shared" si="88"/>
        <v>14.6</v>
      </c>
      <c r="G619" s="28">
        <f t="shared" si="89"/>
        <v>10.95</v>
      </c>
      <c r="H619" s="28">
        <f t="shared" si="94"/>
        <v>365</v>
      </c>
      <c r="I619" s="28">
        <f t="shared" si="93"/>
        <v>195.27500000000001</v>
      </c>
      <c r="J619" s="29"/>
      <c r="K619" s="29"/>
      <c r="L619" s="29"/>
      <c r="M619" s="29"/>
      <c r="N619" s="29"/>
      <c r="O619" s="414">
        <v>69881</v>
      </c>
      <c r="P619" s="414">
        <v>70246</v>
      </c>
      <c r="Q619" s="30"/>
      <c r="R619" s="256"/>
      <c r="S619" s="54">
        <v>1</v>
      </c>
      <c r="T619" s="28">
        <f t="shared" si="90"/>
        <v>365</v>
      </c>
      <c r="U619" s="455">
        <v>5511505</v>
      </c>
      <c r="V619" s="783" t="s">
        <v>538</v>
      </c>
      <c r="W619" s="14" t="s">
        <v>43</v>
      </c>
      <c r="X619" s="7"/>
      <c r="Y619" s="7"/>
      <c r="Z619" s="7"/>
      <c r="AA619" s="7"/>
      <c r="AB619" s="7"/>
      <c r="AC619" s="7"/>
    </row>
    <row r="620" spans="1:29" ht="27" customHeight="1">
      <c r="A620" s="19"/>
      <c r="B620" s="27" t="s">
        <v>539</v>
      </c>
      <c r="C620" s="28">
        <f t="shared" si="91"/>
        <v>193.67</v>
      </c>
      <c r="D620" s="77"/>
      <c r="E620" s="28">
        <f t="shared" si="92"/>
        <v>12.67</v>
      </c>
      <c r="F620" s="28">
        <f t="shared" si="88"/>
        <v>7.24</v>
      </c>
      <c r="G620" s="28">
        <f t="shared" si="89"/>
        <v>5.43</v>
      </c>
      <c r="H620" s="28">
        <f t="shared" si="94"/>
        <v>181</v>
      </c>
      <c r="I620" s="28">
        <f t="shared" si="93"/>
        <v>96.834999999999994</v>
      </c>
      <c r="J620" s="29"/>
      <c r="K620" s="29"/>
      <c r="L620" s="29"/>
      <c r="M620" s="29"/>
      <c r="N620" s="29"/>
      <c r="O620" s="414">
        <v>39617</v>
      </c>
      <c r="P620" s="414">
        <v>39798</v>
      </c>
      <c r="Q620" s="30"/>
      <c r="R620" s="256"/>
      <c r="S620" s="54">
        <v>1</v>
      </c>
      <c r="T620" s="28">
        <f t="shared" si="90"/>
        <v>181</v>
      </c>
      <c r="U620" s="455">
        <v>5510311</v>
      </c>
      <c r="V620" s="783" t="s">
        <v>540</v>
      </c>
      <c r="W620" s="14" t="s">
        <v>43</v>
      </c>
      <c r="X620" s="7"/>
      <c r="Y620" s="7"/>
      <c r="Z620" s="7"/>
      <c r="AA620" s="7"/>
      <c r="AB620" s="7"/>
      <c r="AC620" s="7"/>
    </row>
    <row r="621" spans="1:29" ht="25.5" customHeight="1">
      <c r="A621" s="19"/>
      <c r="B621" s="27" t="s">
        <v>890</v>
      </c>
      <c r="C621" s="28">
        <f t="shared" si="91"/>
        <v>286.76</v>
      </c>
      <c r="D621" s="77"/>
      <c r="E621" s="28">
        <f t="shared" si="92"/>
        <v>18.759999999999998</v>
      </c>
      <c r="F621" s="28">
        <f t="shared" si="88"/>
        <v>10.72</v>
      </c>
      <c r="G621" s="28">
        <f t="shared" si="89"/>
        <v>8.0399999999999991</v>
      </c>
      <c r="H621" s="28">
        <f t="shared" si="94"/>
        <v>268</v>
      </c>
      <c r="I621" s="28">
        <f t="shared" si="93"/>
        <v>143.38</v>
      </c>
      <c r="J621" s="29"/>
      <c r="K621" s="29"/>
      <c r="L621" s="29"/>
      <c r="M621" s="29"/>
      <c r="N621" s="29"/>
      <c r="O621" s="414">
        <v>50405</v>
      </c>
      <c r="P621" s="414">
        <v>50673</v>
      </c>
      <c r="Q621" s="30"/>
      <c r="R621" s="256"/>
      <c r="S621" s="54">
        <v>1</v>
      </c>
      <c r="T621" s="28">
        <f t="shared" si="90"/>
        <v>268</v>
      </c>
      <c r="U621" s="455">
        <v>5510177</v>
      </c>
      <c r="V621" s="783" t="s">
        <v>542</v>
      </c>
      <c r="W621" s="14" t="s">
        <v>90</v>
      </c>
      <c r="X621" s="255"/>
      <c r="Y621" s="255"/>
      <c r="Z621" s="7"/>
      <c r="AA621" s="7"/>
      <c r="AB621" s="7"/>
      <c r="AC621" s="7"/>
    </row>
    <row r="622" spans="1:29" ht="31.5" customHeight="1">
      <c r="A622" s="19"/>
      <c r="B622" s="27" t="s">
        <v>750</v>
      </c>
      <c r="C622" s="28">
        <f t="shared" si="91"/>
        <v>330.63</v>
      </c>
      <c r="D622" s="77"/>
      <c r="E622" s="28">
        <f t="shared" si="92"/>
        <v>21.63</v>
      </c>
      <c r="F622" s="28">
        <f t="shared" si="88"/>
        <v>12.36</v>
      </c>
      <c r="G622" s="28">
        <f t="shared" si="89"/>
        <v>9.27</v>
      </c>
      <c r="H622" s="28">
        <f t="shared" si="94"/>
        <v>309</v>
      </c>
      <c r="I622" s="28">
        <f t="shared" si="93"/>
        <v>165.315</v>
      </c>
      <c r="J622" s="29"/>
      <c r="K622" s="29"/>
      <c r="L622" s="29"/>
      <c r="M622" s="29"/>
      <c r="N622" s="29"/>
      <c r="O622" s="414">
        <v>90467</v>
      </c>
      <c r="P622" s="414">
        <v>90776</v>
      </c>
      <c r="Q622" s="30"/>
      <c r="R622" s="256"/>
      <c r="S622" s="54">
        <v>1</v>
      </c>
      <c r="T622" s="28">
        <f t="shared" si="90"/>
        <v>309</v>
      </c>
      <c r="U622" s="455">
        <v>2262535</v>
      </c>
      <c r="V622" s="783" t="s">
        <v>543</v>
      </c>
      <c r="W622" s="14" t="s">
        <v>90</v>
      </c>
      <c r="X622" s="7"/>
      <c r="Y622" s="7"/>
      <c r="Z622" s="7"/>
      <c r="AA622" s="7"/>
      <c r="AB622" s="7"/>
      <c r="AC622" s="7"/>
    </row>
    <row r="623" spans="1:29" ht="25.5">
      <c r="A623" s="19"/>
      <c r="B623" s="27" t="s">
        <v>544</v>
      </c>
      <c r="C623" s="28">
        <f t="shared" si="91"/>
        <v>925.55</v>
      </c>
      <c r="D623" s="77"/>
      <c r="E623" s="28">
        <f t="shared" si="92"/>
        <v>60.55</v>
      </c>
      <c r="F623" s="28">
        <f t="shared" si="88"/>
        <v>34.6</v>
      </c>
      <c r="G623" s="28">
        <f t="shared" si="89"/>
        <v>25.95</v>
      </c>
      <c r="H623" s="28">
        <f t="shared" si="94"/>
        <v>865</v>
      </c>
      <c r="I623" s="28">
        <f t="shared" si="93"/>
        <v>462.77499999999998</v>
      </c>
      <c r="J623" s="29"/>
      <c r="K623" s="29"/>
      <c r="L623" s="29"/>
      <c r="M623" s="29"/>
      <c r="N623" s="29"/>
      <c r="O623" s="414">
        <v>47388</v>
      </c>
      <c r="P623" s="414">
        <v>48253</v>
      </c>
      <c r="Q623" s="146"/>
      <c r="R623" s="147"/>
      <c r="S623" s="54">
        <v>1</v>
      </c>
      <c r="T623" s="28">
        <f t="shared" si="90"/>
        <v>865</v>
      </c>
      <c r="U623" s="455" t="s">
        <v>1037</v>
      </c>
      <c r="V623" s="783" t="s">
        <v>546</v>
      </c>
      <c r="W623" s="14" t="s">
        <v>90</v>
      </c>
      <c r="X623" s="7"/>
      <c r="Y623" s="7"/>
      <c r="Z623" s="7"/>
      <c r="AA623" s="7"/>
      <c r="AB623" s="7"/>
      <c r="AC623" s="7"/>
    </row>
    <row r="624" spans="1:29" ht="27" customHeight="1">
      <c r="A624" s="19"/>
      <c r="B624" s="806" t="s">
        <v>547</v>
      </c>
      <c r="C624" s="28">
        <f t="shared" si="91"/>
        <v>12892.43</v>
      </c>
      <c r="D624" s="77"/>
      <c r="E624" s="28">
        <f t="shared" si="92"/>
        <v>843.43000000000006</v>
      </c>
      <c r="F624" s="28">
        <f t="shared" si="88"/>
        <v>481.96000000000004</v>
      </c>
      <c r="G624" s="28">
        <f t="shared" si="89"/>
        <v>361.46999999999997</v>
      </c>
      <c r="H624" s="28">
        <f t="shared" si="94"/>
        <v>12049</v>
      </c>
      <c r="I624" s="28">
        <f t="shared" si="93"/>
        <v>6446.2150000000001</v>
      </c>
      <c r="J624" s="29"/>
      <c r="K624" s="29"/>
      <c r="L624" s="29"/>
      <c r="M624" s="29"/>
      <c r="N624" s="29"/>
      <c r="O624" s="414">
        <v>309092</v>
      </c>
      <c r="P624" s="414">
        <v>321141</v>
      </c>
      <c r="Q624" s="146"/>
      <c r="R624" s="147"/>
      <c r="S624" s="54">
        <v>1</v>
      </c>
      <c r="T624" s="28">
        <f t="shared" si="90"/>
        <v>12049</v>
      </c>
      <c r="U624" s="455" t="s">
        <v>1093</v>
      </c>
      <c r="V624" s="783" t="s">
        <v>548</v>
      </c>
      <c r="W624" s="14" t="s">
        <v>90</v>
      </c>
      <c r="X624" s="7"/>
      <c r="Y624" s="7"/>
      <c r="Z624" s="7"/>
      <c r="AA624" s="7"/>
      <c r="AB624" s="7"/>
      <c r="AC624" s="7"/>
    </row>
    <row r="625" spans="1:29" ht="26.25">
      <c r="A625" s="257"/>
      <c r="B625" s="850"/>
      <c r="C625" s="28">
        <f t="shared" si="91"/>
        <v>1627.47</v>
      </c>
      <c r="D625" s="72"/>
      <c r="E625" s="28">
        <f t="shared" si="92"/>
        <v>106.47</v>
      </c>
      <c r="F625" s="28">
        <f t="shared" si="88"/>
        <v>60.84</v>
      </c>
      <c r="G625" s="28">
        <f t="shared" si="89"/>
        <v>45.629999999999995</v>
      </c>
      <c r="H625" s="28">
        <f>T625</f>
        <v>1521</v>
      </c>
      <c r="I625" s="28">
        <f t="shared" si="93"/>
        <v>813.73500000000001</v>
      </c>
      <c r="J625" s="348"/>
      <c r="K625" s="348"/>
      <c r="L625" s="348"/>
      <c r="M625" s="348"/>
      <c r="N625" s="348"/>
      <c r="O625" s="454">
        <v>666</v>
      </c>
      <c r="P625" s="454">
        <v>2187</v>
      </c>
      <c r="Q625" s="351"/>
      <c r="R625" s="351"/>
      <c r="S625" s="77">
        <v>1</v>
      </c>
      <c r="T625" s="28">
        <f>(P625-O625)*S625</f>
        <v>1521</v>
      </c>
      <c r="U625" s="736" t="s">
        <v>1091</v>
      </c>
      <c r="V625" s="783" t="s">
        <v>548</v>
      </c>
      <c r="W625" s="14" t="s">
        <v>90</v>
      </c>
      <c r="X625" s="7"/>
      <c r="Y625" s="7"/>
      <c r="Z625" s="7"/>
      <c r="AA625" s="7"/>
      <c r="AB625" s="7"/>
      <c r="AC625" s="7"/>
    </row>
    <row r="626" spans="1:29" ht="26.25">
      <c r="A626" s="23"/>
      <c r="B626" s="807"/>
      <c r="C626" s="28">
        <f t="shared" si="91"/>
        <v>28.89</v>
      </c>
      <c r="D626" s="72"/>
      <c r="E626" s="28">
        <f t="shared" si="92"/>
        <v>1.8900000000000001</v>
      </c>
      <c r="F626" s="28">
        <f t="shared" si="88"/>
        <v>1.08</v>
      </c>
      <c r="G626" s="28">
        <f t="shared" si="89"/>
        <v>0.80999999999999994</v>
      </c>
      <c r="H626" s="28">
        <f>T626</f>
        <v>27</v>
      </c>
      <c r="I626" s="28">
        <f t="shared" si="93"/>
        <v>14.445</v>
      </c>
      <c r="J626" s="348"/>
      <c r="K626" s="348"/>
      <c r="L626" s="348"/>
      <c r="M626" s="348"/>
      <c r="N626" s="348"/>
      <c r="O626" s="454">
        <v>311</v>
      </c>
      <c r="P626" s="454">
        <v>338</v>
      </c>
      <c r="Q626" s="351"/>
      <c r="R626" s="351"/>
      <c r="S626" s="77">
        <v>1</v>
      </c>
      <c r="T626" s="28">
        <f>(P626-O626)*S626</f>
        <v>27</v>
      </c>
      <c r="U626" s="455" t="s">
        <v>1092</v>
      </c>
      <c r="V626" s="783" t="s">
        <v>548</v>
      </c>
      <c r="W626" s="14" t="s">
        <v>90</v>
      </c>
      <c r="X626" s="7"/>
      <c r="Y626" s="7"/>
      <c r="Z626" s="7"/>
      <c r="AA626" s="7"/>
      <c r="AB626" s="7"/>
      <c r="AC626" s="7"/>
    </row>
    <row r="627" spans="1:29" ht="25.5">
      <c r="A627" s="23"/>
      <c r="B627" s="62" t="s">
        <v>553</v>
      </c>
      <c r="C627" s="28">
        <f t="shared" si="91"/>
        <v>356.31</v>
      </c>
      <c r="D627" s="77"/>
      <c r="E627" s="28">
        <f t="shared" si="92"/>
        <v>23.310000000000002</v>
      </c>
      <c r="F627" s="28">
        <f t="shared" si="88"/>
        <v>13.32</v>
      </c>
      <c r="G627" s="28">
        <f t="shared" si="89"/>
        <v>9.99</v>
      </c>
      <c r="H627" s="28">
        <f t="shared" si="94"/>
        <v>333</v>
      </c>
      <c r="I627" s="28">
        <f t="shared" si="93"/>
        <v>178.155</v>
      </c>
      <c r="J627" s="348"/>
      <c r="K627" s="348"/>
      <c r="L627" s="348"/>
      <c r="M627" s="348"/>
      <c r="N627" s="348"/>
      <c r="O627" s="454">
        <v>28648</v>
      </c>
      <c r="P627" s="454">
        <v>28981</v>
      </c>
      <c r="Q627" s="351"/>
      <c r="R627" s="351"/>
      <c r="S627" s="54">
        <v>1</v>
      </c>
      <c r="T627" s="28">
        <f t="shared" si="90"/>
        <v>333</v>
      </c>
      <c r="U627" s="455">
        <v>5510402</v>
      </c>
      <c r="V627" s="783" t="s">
        <v>554</v>
      </c>
      <c r="W627" s="14" t="s">
        <v>43</v>
      </c>
      <c r="X627" s="7"/>
      <c r="Y627" s="7"/>
      <c r="Z627" s="7"/>
      <c r="AA627" s="7"/>
      <c r="AB627" s="7"/>
      <c r="AC627" s="7"/>
    </row>
    <row r="628" spans="1:29" ht="25.5">
      <c r="A628" s="23"/>
      <c r="B628" s="62" t="s">
        <v>892</v>
      </c>
      <c r="C628" s="28">
        <f t="shared" si="91"/>
        <v>339.19</v>
      </c>
      <c r="D628" s="77"/>
      <c r="E628" s="28">
        <f t="shared" si="92"/>
        <v>22.189999999999998</v>
      </c>
      <c r="F628" s="28">
        <f t="shared" si="88"/>
        <v>12.68</v>
      </c>
      <c r="G628" s="28">
        <f t="shared" si="89"/>
        <v>9.51</v>
      </c>
      <c r="H628" s="28">
        <f t="shared" si="94"/>
        <v>317</v>
      </c>
      <c r="I628" s="28">
        <f t="shared" si="93"/>
        <v>169.595</v>
      </c>
      <c r="J628" s="348"/>
      <c r="K628" s="348"/>
      <c r="L628" s="348"/>
      <c r="M628" s="348"/>
      <c r="N628" s="348"/>
      <c r="O628" s="454">
        <v>38683</v>
      </c>
      <c r="P628" s="454">
        <v>39000</v>
      </c>
      <c r="Q628" s="351"/>
      <c r="R628" s="351"/>
      <c r="S628" s="54">
        <v>1</v>
      </c>
      <c r="T628" s="28">
        <f t="shared" si="90"/>
        <v>317</v>
      </c>
      <c r="U628" s="455">
        <v>5509256</v>
      </c>
      <c r="V628" s="783" t="s">
        <v>263</v>
      </c>
      <c r="W628" s="14" t="s">
        <v>43</v>
      </c>
      <c r="X628" s="7"/>
      <c r="Y628" s="7"/>
      <c r="Z628" s="7"/>
      <c r="AA628" s="7"/>
      <c r="AB628" s="7"/>
      <c r="AC628" s="7"/>
    </row>
    <row r="629" spans="1:29" ht="25.5">
      <c r="A629" s="23"/>
      <c r="B629" s="62" t="s">
        <v>556</v>
      </c>
      <c r="C629" s="28">
        <f>H629+E629</f>
        <v>539.28</v>
      </c>
      <c r="D629" s="77"/>
      <c r="E629" s="28">
        <f t="shared" si="92"/>
        <v>35.28</v>
      </c>
      <c r="F629" s="28">
        <f t="shared" si="88"/>
        <v>20.16</v>
      </c>
      <c r="G629" s="28">
        <f t="shared" si="89"/>
        <v>15.12</v>
      </c>
      <c r="H629" s="28">
        <f t="shared" si="94"/>
        <v>504</v>
      </c>
      <c r="I629" s="28">
        <f t="shared" si="93"/>
        <v>269.64</v>
      </c>
      <c r="J629" s="348"/>
      <c r="K629" s="348"/>
      <c r="L629" s="348"/>
      <c r="M629" s="348"/>
      <c r="N629" s="348"/>
      <c r="O629" s="454">
        <v>34671</v>
      </c>
      <c r="P629" s="454">
        <v>35175</v>
      </c>
      <c r="Q629" s="351"/>
      <c r="R629" s="351"/>
      <c r="S629" s="54">
        <v>1</v>
      </c>
      <c r="T629" s="28">
        <f>(P629-O629)*S629</f>
        <v>504</v>
      </c>
      <c r="U629" s="455">
        <v>5509265</v>
      </c>
      <c r="V629" s="783" t="s">
        <v>557</v>
      </c>
      <c r="W629" s="14" t="s">
        <v>43</v>
      </c>
      <c r="X629" s="7"/>
      <c r="Y629" s="7"/>
      <c r="Z629" s="7"/>
      <c r="AA629" s="7"/>
      <c r="AB629" s="7"/>
      <c r="AC629" s="7"/>
    </row>
    <row r="630" spans="1:29" ht="25.5">
      <c r="A630" s="23"/>
      <c r="B630" s="62" t="s">
        <v>558</v>
      </c>
      <c r="C630" s="28">
        <f t="shared" si="91"/>
        <v>278.2</v>
      </c>
      <c r="D630" s="77"/>
      <c r="E630" s="28">
        <f t="shared" si="92"/>
        <v>18.2</v>
      </c>
      <c r="F630" s="28">
        <f t="shared" si="88"/>
        <v>10.4</v>
      </c>
      <c r="G630" s="28">
        <f t="shared" si="89"/>
        <v>7.8</v>
      </c>
      <c r="H630" s="28">
        <f t="shared" si="94"/>
        <v>260</v>
      </c>
      <c r="I630" s="28">
        <f t="shared" si="93"/>
        <v>139.1</v>
      </c>
      <c r="J630" s="348"/>
      <c r="K630" s="348"/>
      <c r="L630" s="348"/>
      <c r="M630" s="348"/>
      <c r="N630" s="348"/>
      <c r="O630" s="454">
        <v>23641</v>
      </c>
      <c r="P630" s="454">
        <v>23901</v>
      </c>
      <c r="Q630" s="351"/>
      <c r="R630" s="351"/>
      <c r="S630" s="54">
        <v>1</v>
      </c>
      <c r="T630" s="28">
        <f t="shared" si="90"/>
        <v>260</v>
      </c>
      <c r="U630" s="455">
        <v>5518342</v>
      </c>
      <c r="V630" s="783" t="s">
        <v>559</v>
      </c>
      <c r="W630" s="14" t="s">
        <v>43</v>
      </c>
      <c r="X630" s="7"/>
      <c r="Y630" s="7"/>
      <c r="Z630" s="7"/>
      <c r="AA630" s="7"/>
      <c r="AB630" s="7"/>
      <c r="AC630" s="7"/>
    </row>
    <row r="631" spans="1:29" ht="25.5">
      <c r="A631" s="23"/>
      <c r="B631" s="62" t="s">
        <v>560</v>
      </c>
      <c r="C631" s="28">
        <f t="shared" si="91"/>
        <v>362.73</v>
      </c>
      <c r="D631" s="77"/>
      <c r="E631" s="28">
        <f t="shared" si="92"/>
        <v>23.73</v>
      </c>
      <c r="F631" s="28">
        <f t="shared" si="88"/>
        <v>13.56</v>
      </c>
      <c r="G631" s="28">
        <f t="shared" si="89"/>
        <v>10.17</v>
      </c>
      <c r="H631" s="28">
        <f t="shared" si="94"/>
        <v>339</v>
      </c>
      <c r="I631" s="28">
        <f t="shared" si="93"/>
        <v>181.36500000000001</v>
      </c>
      <c r="J631" s="348"/>
      <c r="K631" s="348"/>
      <c r="L631" s="348"/>
      <c r="M631" s="348"/>
      <c r="N631" s="348"/>
      <c r="O631" s="454">
        <v>26310</v>
      </c>
      <c r="P631" s="454">
        <v>26649</v>
      </c>
      <c r="Q631" s="351"/>
      <c r="R631" s="351"/>
      <c r="S631" s="54">
        <v>1</v>
      </c>
      <c r="T631" s="28">
        <f t="shared" si="90"/>
        <v>339</v>
      </c>
      <c r="U631" s="455">
        <v>2262004</v>
      </c>
      <c r="V631" s="783" t="s">
        <v>561</v>
      </c>
      <c r="W631" s="14" t="s">
        <v>43</v>
      </c>
      <c r="X631" s="7"/>
      <c r="Y631" s="7"/>
      <c r="Z631" s="7"/>
      <c r="AA631" s="7"/>
      <c r="AB631" s="7"/>
      <c r="AC631" s="7"/>
    </row>
    <row r="632" spans="1:29" ht="25.5">
      <c r="A632" s="23"/>
      <c r="B632" s="62" t="s">
        <v>893</v>
      </c>
      <c r="C632" s="28">
        <f t="shared" si="91"/>
        <v>388.40999999999997</v>
      </c>
      <c r="D632" s="77"/>
      <c r="E632" s="28">
        <f t="shared" si="92"/>
        <v>25.409999999999997</v>
      </c>
      <c r="F632" s="28">
        <f t="shared" si="88"/>
        <v>14.52</v>
      </c>
      <c r="G632" s="28">
        <f t="shared" si="89"/>
        <v>10.889999999999999</v>
      </c>
      <c r="H632" s="28">
        <f t="shared" si="94"/>
        <v>363</v>
      </c>
      <c r="I632" s="28">
        <f t="shared" si="93"/>
        <v>194.20499999999998</v>
      </c>
      <c r="J632" s="348"/>
      <c r="K632" s="348"/>
      <c r="L632" s="348"/>
      <c r="M632" s="348"/>
      <c r="N632" s="348"/>
      <c r="O632" s="454">
        <v>23771</v>
      </c>
      <c r="P632" s="454">
        <v>24134</v>
      </c>
      <c r="Q632" s="351"/>
      <c r="R632" s="351"/>
      <c r="S632" s="54">
        <v>1</v>
      </c>
      <c r="T632" s="28">
        <f t="shared" si="90"/>
        <v>363</v>
      </c>
      <c r="U632" s="455">
        <v>2262573</v>
      </c>
      <c r="V632" s="783" t="s">
        <v>813</v>
      </c>
      <c r="W632" s="14" t="s">
        <v>43</v>
      </c>
      <c r="X632" s="7"/>
      <c r="Y632" s="7"/>
      <c r="Z632" s="7"/>
      <c r="AA632" s="7"/>
      <c r="AB632" s="7"/>
      <c r="AC632" s="7"/>
    </row>
    <row r="633" spans="1:29" ht="25.5">
      <c r="A633" s="23"/>
      <c r="B633" s="62" t="s">
        <v>894</v>
      </c>
      <c r="C633" s="28">
        <f t="shared" si="91"/>
        <v>491.13</v>
      </c>
      <c r="D633" s="77"/>
      <c r="E633" s="28">
        <f t="shared" si="92"/>
        <v>32.129999999999995</v>
      </c>
      <c r="F633" s="28">
        <f t="shared" si="88"/>
        <v>18.36</v>
      </c>
      <c r="G633" s="28">
        <f t="shared" si="89"/>
        <v>13.77</v>
      </c>
      <c r="H633" s="28">
        <f t="shared" si="94"/>
        <v>459</v>
      </c>
      <c r="I633" s="28">
        <f t="shared" si="93"/>
        <v>245.565</v>
      </c>
      <c r="J633" s="348"/>
      <c r="K633" s="348"/>
      <c r="L633" s="348"/>
      <c r="M633" s="348"/>
      <c r="N633" s="348"/>
      <c r="O633" s="454">
        <v>63384</v>
      </c>
      <c r="P633" s="454">
        <v>63843</v>
      </c>
      <c r="Q633" s="351"/>
      <c r="R633" s="351"/>
      <c r="S633" s="54">
        <v>1</v>
      </c>
      <c r="T633" s="28">
        <f t="shared" si="90"/>
        <v>459</v>
      </c>
      <c r="U633" s="455">
        <v>2262504</v>
      </c>
      <c r="V633" s="783" t="s">
        <v>385</v>
      </c>
      <c r="W633" s="14" t="s">
        <v>43</v>
      </c>
      <c r="X633" s="7"/>
      <c r="Y633" s="7"/>
      <c r="Z633" s="7"/>
      <c r="AA633" s="7"/>
      <c r="AB633" s="7"/>
      <c r="AC633" s="7"/>
    </row>
    <row r="634" spans="1:29" ht="25.5">
      <c r="A634" s="23"/>
      <c r="B634" s="62" t="s">
        <v>564</v>
      </c>
      <c r="C634" s="28">
        <f t="shared" si="91"/>
        <v>186.18</v>
      </c>
      <c r="D634" s="77"/>
      <c r="E634" s="28">
        <f t="shared" si="92"/>
        <v>12.18</v>
      </c>
      <c r="F634" s="28">
        <f t="shared" si="88"/>
        <v>6.96</v>
      </c>
      <c r="G634" s="28">
        <f t="shared" si="89"/>
        <v>5.22</v>
      </c>
      <c r="H634" s="28">
        <f t="shared" si="94"/>
        <v>174</v>
      </c>
      <c r="I634" s="28">
        <f t="shared" si="93"/>
        <v>93.09</v>
      </c>
      <c r="J634" s="348"/>
      <c r="K634" s="348"/>
      <c r="L634" s="348"/>
      <c r="M634" s="348"/>
      <c r="N634" s="348"/>
      <c r="O634" s="454">
        <v>15247</v>
      </c>
      <c r="P634" s="454">
        <v>15421</v>
      </c>
      <c r="Q634" s="351"/>
      <c r="R634" s="351"/>
      <c r="S634" s="54">
        <v>1</v>
      </c>
      <c r="T634" s="28">
        <f t="shared" si="90"/>
        <v>174</v>
      </c>
      <c r="U634" s="455">
        <v>282333</v>
      </c>
      <c r="V634" s="783" t="s">
        <v>565</v>
      </c>
      <c r="W634" s="14" t="s">
        <v>43</v>
      </c>
      <c r="X634" s="7"/>
      <c r="Y634" s="7"/>
      <c r="Z634" s="7"/>
      <c r="AA634" s="7"/>
      <c r="AB634" s="7"/>
      <c r="AC634" s="7"/>
    </row>
    <row r="635" spans="1:29" ht="26.25">
      <c r="A635" s="23"/>
      <c r="B635" s="449" t="s">
        <v>549</v>
      </c>
      <c r="C635" s="28">
        <f>H635+E635</f>
        <v>540.35</v>
      </c>
      <c r="D635" s="450"/>
      <c r="E635" s="28">
        <f>F635+G635</f>
        <v>35.349999999999994</v>
      </c>
      <c r="F635" s="28">
        <f>0.04*H635</f>
        <v>20.2</v>
      </c>
      <c r="G635" s="28">
        <f>0.03*H635</f>
        <v>15.149999999999999</v>
      </c>
      <c r="H635" s="28">
        <f>T635</f>
        <v>505</v>
      </c>
      <c r="I635" s="28">
        <f>0.5*C635</f>
        <v>270.17500000000001</v>
      </c>
      <c r="J635" s="46"/>
      <c r="K635" s="29"/>
      <c r="L635" s="29"/>
      <c r="M635" s="29"/>
      <c r="N635" s="29"/>
      <c r="O635" s="451">
        <v>50865</v>
      </c>
      <c r="P635" s="451">
        <v>51370</v>
      </c>
      <c r="Q635" s="30"/>
      <c r="R635" s="452"/>
      <c r="S635" s="54">
        <v>1</v>
      </c>
      <c r="T635" s="28">
        <f>(P635-O635)*S635</f>
        <v>505</v>
      </c>
      <c r="U635" s="455">
        <v>2261380</v>
      </c>
      <c r="V635" s="783" t="s">
        <v>550</v>
      </c>
      <c r="W635" s="14" t="s">
        <v>90</v>
      </c>
      <c r="X635" s="7"/>
      <c r="Y635" s="7"/>
      <c r="Z635" s="7"/>
      <c r="AA635" s="7"/>
      <c r="AB635" s="7"/>
      <c r="AC635" s="7"/>
    </row>
    <row r="636" spans="1:29" s="195" customFormat="1" ht="25.5">
      <c r="A636" s="479"/>
      <c r="B636" s="62" t="s">
        <v>566</v>
      </c>
      <c r="C636" s="28">
        <f t="shared" si="91"/>
        <v>0</v>
      </c>
      <c r="D636" s="77"/>
      <c r="E636" s="28">
        <f t="shared" si="92"/>
        <v>0</v>
      </c>
      <c r="F636" s="28">
        <f t="shared" si="88"/>
        <v>0</v>
      </c>
      <c r="G636" s="28">
        <f t="shared" si="89"/>
        <v>0</v>
      </c>
      <c r="H636" s="28">
        <f t="shared" si="94"/>
        <v>0</v>
      </c>
      <c r="I636" s="28">
        <f t="shared" si="93"/>
        <v>0</v>
      </c>
      <c r="J636" s="348"/>
      <c r="K636" s="348"/>
      <c r="L636" s="348"/>
      <c r="M636" s="348"/>
      <c r="N636" s="348"/>
      <c r="O636" s="454">
        <v>42066</v>
      </c>
      <c r="P636" s="454">
        <v>42066</v>
      </c>
      <c r="Q636" s="351"/>
      <c r="R636" s="351"/>
      <c r="S636" s="54">
        <v>1</v>
      </c>
      <c r="T636" s="28">
        <f t="shared" si="90"/>
        <v>0</v>
      </c>
      <c r="U636" s="455">
        <v>3263</v>
      </c>
      <c r="V636" s="783" t="s">
        <v>567</v>
      </c>
      <c r="W636" s="191" t="s">
        <v>43</v>
      </c>
      <c r="X636" s="86"/>
      <c r="Y636" s="86"/>
      <c r="Z636" s="86"/>
      <c r="AA636" s="86"/>
      <c r="AB636" s="86"/>
      <c r="AC636" s="86"/>
    </row>
    <row r="637" spans="1:29" ht="25.5">
      <c r="A637" s="23"/>
      <c r="B637" s="62" t="s">
        <v>568</v>
      </c>
      <c r="C637" s="28">
        <f>H637+E637</f>
        <v>56.71</v>
      </c>
      <c r="D637" s="77"/>
      <c r="E637" s="28">
        <f t="shared" si="92"/>
        <v>3.71</v>
      </c>
      <c r="F637" s="28">
        <f t="shared" si="88"/>
        <v>2.12</v>
      </c>
      <c r="G637" s="28">
        <f t="shared" si="89"/>
        <v>1.5899999999999999</v>
      </c>
      <c r="H637" s="28">
        <f t="shared" si="94"/>
        <v>53</v>
      </c>
      <c r="I637" s="28">
        <f t="shared" si="93"/>
        <v>28.355</v>
      </c>
      <c r="J637" s="348"/>
      <c r="K637" s="348"/>
      <c r="L637" s="348"/>
      <c r="M637" s="348"/>
      <c r="N637" s="348"/>
      <c r="O637" s="454">
        <v>911</v>
      </c>
      <c r="P637" s="454">
        <v>964</v>
      </c>
      <c r="Q637" s="351"/>
      <c r="R637" s="351"/>
      <c r="S637" s="54">
        <v>1</v>
      </c>
      <c r="T637" s="28">
        <f>(P637-O637)*S637</f>
        <v>53</v>
      </c>
      <c r="U637" s="455" t="s">
        <v>1039</v>
      </c>
      <c r="V637" s="783" t="s">
        <v>1038</v>
      </c>
      <c r="W637" s="14" t="s">
        <v>90</v>
      </c>
      <c r="X637" s="7"/>
      <c r="Y637" s="7"/>
      <c r="Z637" s="7"/>
      <c r="AA637" s="7"/>
      <c r="AB637" s="7"/>
      <c r="AC637" s="7"/>
    </row>
    <row r="638" spans="1:29" ht="25.5">
      <c r="A638" s="23"/>
      <c r="B638" s="62" t="s">
        <v>570</v>
      </c>
      <c r="C638" s="28">
        <f>H638+E638</f>
        <v>449.4</v>
      </c>
      <c r="D638" s="77"/>
      <c r="E638" s="28">
        <f t="shared" si="92"/>
        <v>29.4</v>
      </c>
      <c r="F638" s="28">
        <f t="shared" si="88"/>
        <v>16.8</v>
      </c>
      <c r="G638" s="28">
        <f t="shared" si="89"/>
        <v>12.6</v>
      </c>
      <c r="H638" s="28">
        <f t="shared" si="94"/>
        <v>420</v>
      </c>
      <c r="I638" s="28">
        <f t="shared" si="93"/>
        <v>224.7</v>
      </c>
      <c r="J638" s="348"/>
      <c r="K638" s="348"/>
      <c r="L638" s="348"/>
      <c r="M638" s="348"/>
      <c r="N638" s="348"/>
      <c r="O638" s="454">
        <v>10963</v>
      </c>
      <c r="P638" s="454">
        <v>11383</v>
      </c>
      <c r="Q638" s="351"/>
      <c r="R638" s="351"/>
      <c r="S638" s="54">
        <v>1</v>
      </c>
      <c r="T638" s="28">
        <f t="shared" si="90"/>
        <v>420</v>
      </c>
      <c r="U638" s="455" t="s">
        <v>1040</v>
      </c>
      <c r="V638" s="783" t="s">
        <v>571</v>
      </c>
      <c r="W638" s="14" t="s">
        <v>90</v>
      </c>
      <c r="X638" s="7"/>
      <c r="Y638" s="7"/>
      <c r="Z638" s="7"/>
      <c r="AA638" s="7"/>
      <c r="AB638" s="7"/>
      <c r="AC638" s="7"/>
    </row>
    <row r="639" spans="1:29" ht="25.5">
      <c r="A639" s="23"/>
      <c r="B639" s="62" t="s">
        <v>572</v>
      </c>
      <c r="C639" s="28">
        <f t="shared" si="91"/>
        <v>588.5</v>
      </c>
      <c r="D639" s="77"/>
      <c r="E639" s="28">
        <f t="shared" si="92"/>
        <v>38.5</v>
      </c>
      <c r="F639" s="28">
        <f t="shared" si="88"/>
        <v>22</v>
      </c>
      <c r="G639" s="28">
        <f t="shared" si="89"/>
        <v>16.5</v>
      </c>
      <c r="H639" s="28">
        <f t="shared" si="94"/>
        <v>550</v>
      </c>
      <c r="I639" s="28">
        <f t="shared" si="93"/>
        <v>294.25</v>
      </c>
      <c r="J639" s="348"/>
      <c r="K639" s="348"/>
      <c r="L639" s="348"/>
      <c r="M639" s="348"/>
      <c r="N639" s="348"/>
      <c r="O639" s="454">
        <v>110446</v>
      </c>
      <c r="P639" s="454">
        <v>110996</v>
      </c>
      <c r="Q639" s="351"/>
      <c r="R639" s="351"/>
      <c r="S639" s="54">
        <v>1</v>
      </c>
      <c r="T639" s="28">
        <f>(P639-O639)*S639</f>
        <v>550</v>
      </c>
      <c r="U639" s="455" t="s">
        <v>1041</v>
      </c>
      <c r="V639" s="783" t="s">
        <v>573</v>
      </c>
      <c r="W639" s="14" t="s">
        <v>90</v>
      </c>
      <c r="X639" s="7"/>
      <c r="Y639" s="7"/>
      <c r="Z639" s="7"/>
      <c r="AA639" s="7"/>
      <c r="AB639" s="7"/>
      <c r="AC639" s="7"/>
    </row>
    <row r="640" spans="1:29" ht="25.5">
      <c r="A640" s="23"/>
      <c r="B640" s="62" t="s">
        <v>701</v>
      </c>
      <c r="C640" s="28">
        <f t="shared" si="91"/>
        <v>2075.8000000000002</v>
      </c>
      <c r="D640" s="77"/>
      <c r="E640" s="28">
        <f t="shared" si="92"/>
        <v>135.80000000000001</v>
      </c>
      <c r="F640" s="28">
        <f t="shared" si="88"/>
        <v>77.600000000000009</v>
      </c>
      <c r="G640" s="28">
        <f t="shared" si="89"/>
        <v>58.199999999999996</v>
      </c>
      <c r="H640" s="28">
        <f t="shared" si="94"/>
        <v>1940</v>
      </c>
      <c r="I640" s="28">
        <f t="shared" si="93"/>
        <v>1037.9000000000001</v>
      </c>
      <c r="J640" s="348"/>
      <c r="K640" s="348"/>
      <c r="L640" s="348"/>
      <c r="M640" s="348"/>
      <c r="N640" s="348"/>
      <c r="O640" s="454">
        <v>259728</v>
      </c>
      <c r="P640" s="454">
        <v>261668</v>
      </c>
      <c r="Q640" s="351"/>
      <c r="R640" s="351"/>
      <c r="S640" s="54">
        <v>1</v>
      </c>
      <c r="T640" s="28">
        <f>(P640-O640)*S640</f>
        <v>1940</v>
      </c>
      <c r="U640" s="455" t="s">
        <v>1042</v>
      </c>
      <c r="V640" s="783" t="s">
        <v>574</v>
      </c>
      <c r="W640" s="14" t="s">
        <v>90</v>
      </c>
      <c r="X640" s="7"/>
      <c r="Y640" s="7"/>
      <c r="Z640" s="7"/>
      <c r="AA640" s="7"/>
      <c r="AB640" s="7"/>
      <c r="AC640" s="7"/>
    </row>
    <row r="641" spans="1:29" ht="25.5">
      <c r="A641" s="23"/>
      <c r="B641" s="62" t="s">
        <v>891</v>
      </c>
      <c r="C641" s="28">
        <f>H641+E641</f>
        <v>1500.1399999999999</v>
      </c>
      <c r="D641" s="453"/>
      <c r="E641" s="28">
        <f>F641+G641</f>
        <v>98.139999999999986</v>
      </c>
      <c r="F641" s="28">
        <f>0.04*H641</f>
        <v>56.08</v>
      </c>
      <c r="G641" s="28">
        <f>0.03*H641</f>
        <v>42.059999999999995</v>
      </c>
      <c r="H641" s="28">
        <f>T641</f>
        <v>1402</v>
      </c>
      <c r="I641" s="28">
        <f>0.5*C641</f>
        <v>750.06999999999994</v>
      </c>
      <c r="J641" s="348"/>
      <c r="K641" s="348"/>
      <c r="L641" s="348"/>
      <c r="M641" s="348"/>
      <c r="N641" s="348"/>
      <c r="O641" s="454">
        <v>71938</v>
      </c>
      <c r="P641" s="454">
        <v>73340</v>
      </c>
      <c r="Q641" s="351"/>
      <c r="R641" s="351"/>
      <c r="S641" s="54">
        <v>1</v>
      </c>
      <c r="T641" s="28">
        <f>(P641-O641)*S641</f>
        <v>1402</v>
      </c>
      <c r="U641" s="455">
        <v>2261167</v>
      </c>
      <c r="V641" s="783" t="s">
        <v>552</v>
      </c>
      <c r="W641" s="14"/>
      <c r="X641" s="7"/>
      <c r="Y641" s="7"/>
      <c r="Z641" s="7"/>
      <c r="AA641" s="7"/>
      <c r="AB641" s="7"/>
      <c r="AC641" s="7"/>
    </row>
    <row r="642" spans="1:29" ht="26.25">
      <c r="A642" s="23"/>
      <c r="B642" s="62" t="s">
        <v>575</v>
      </c>
      <c r="C642" s="28">
        <f t="shared" ref="C642" si="95">H642+E642</f>
        <v>483.64</v>
      </c>
      <c r="D642" s="72"/>
      <c r="E642" s="28">
        <f t="shared" ref="E642" si="96">F642+G642</f>
        <v>31.64</v>
      </c>
      <c r="F642" s="28">
        <f t="shared" ref="F642" si="97">0.04*H642</f>
        <v>18.080000000000002</v>
      </c>
      <c r="G642" s="28">
        <f t="shared" ref="G642" si="98">0.03*H642</f>
        <v>13.559999999999999</v>
      </c>
      <c r="H642" s="28">
        <f>T642</f>
        <v>452</v>
      </c>
      <c r="I642" s="28">
        <f t="shared" ref="I642" si="99">0.5*C642</f>
        <v>241.82</v>
      </c>
      <c r="J642" s="348"/>
      <c r="K642" s="348"/>
      <c r="L642" s="348"/>
      <c r="M642" s="348"/>
      <c r="N642" s="348"/>
      <c r="O642" s="454">
        <v>4706</v>
      </c>
      <c r="P642" s="454">
        <v>5158</v>
      </c>
      <c r="Q642" s="351"/>
      <c r="R642" s="351"/>
      <c r="S642" s="77">
        <v>1</v>
      </c>
      <c r="T642" s="28">
        <f>(P642-O642)*S642</f>
        <v>452</v>
      </c>
      <c r="U642" s="455" t="s">
        <v>1043</v>
      </c>
      <c r="V642" s="783" t="s">
        <v>814</v>
      </c>
      <c r="W642" s="14"/>
      <c r="X642" s="7"/>
      <c r="Y642" s="7"/>
      <c r="Z642" s="7"/>
      <c r="AA642" s="7"/>
      <c r="AB642" s="7"/>
      <c r="AC642" s="7"/>
    </row>
    <row r="643" spans="1:29" ht="26.25">
      <c r="A643" s="23"/>
      <c r="B643" s="62" t="s">
        <v>895</v>
      </c>
      <c r="C643" s="28">
        <f t="shared" si="91"/>
        <v>49.22</v>
      </c>
      <c r="D643" s="72"/>
      <c r="E643" s="28">
        <f t="shared" si="92"/>
        <v>3.2199999999999998</v>
      </c>
      <c r="F643" s="28">
        <f t="shared" si="88"/>
        <v>1.84</v>
      </c>
      <c r="G643" s="28">
        <f t="shared" si="89"/>
        <v>1.38</v>
      </c>
      <c r="H643" s="28">
        <f>T643</f>
        <v>46</v>
      </c>
      <c r="I643" s="28">
        <f t="shared" si="93"/>
        <v>24.61</v>
      </c>
      <c r="J643" s="348"/>
      <c r="K643" s="348"/>
      <c r="L643" s="348"/>
      <c r="M643" s="348"/>
      <c r="N643" s="348"/>
      <c r="O643" s="454">
        <v>13911</v>
      </c>
      <c r="P643" s="454">
        <v>13957</v>
      </c>
      <c r="Q643" s="351"/>
      <c r="R643" s="351"/>
      <c r="S643" s="77">
        <v>1</v>
      </c>
      <c r="T643" s="28">
        <f>(P643-O643)*S643</f>
        <v>46</v>
      </c>
      <c r="U643" s="455">
        <v>370293</v>
      </c>
      <c r="V643" s="783" t="s">
        <v>815</v>
      </c>
      <c r="W643" s="14" t="s">
        <v>90</v>
      </c>
      <c r="X643" s="7"/>
      <c r="Y643" s="7"/>
      <c r="Z643" s="7"/>
      <c r="AA643" s="7"/>
      <c r="AB643" s="7"/>
      <c r="AC643" s="7"/>
    </row>
    <row r="644" spans="1:29" ht="57" customHeight="1">
      <c r="A644" s="252"/>
      <c r="B644" s="218"/>
      <c r="C644" s="195"/>
      <c r="D644" s="195"/>
      <c r="E644" s="195"/>
      <c r="F644" s="195"/>
      <c r="G644" s="195"/>
      <c r="H644" s="195"/>
      <c r="I644" s="195"/>
      <c r="J644" s="195"/>
      <c r="K644" s="195"/>
      <c r="L644" s="195"/>
      <c r="M644" s="195"/>
      <c r="N644" s="195"/>
      <c r="O644" s="195"/>
      <c r="P644" s="195"/>
      <c r="Q644" s="195"/>
      <c r="R644" s="195"/>
      <c r="S644" s="195"/>
      <c r="T644" s="195"/>
      <c r="U644" s="408"/>
      <c r="V644" s="786"/>
      <c r="W644" s="14"/>
      <c r="X644" s="7"/>
      <c r="Y644" s="7"/>
      <c r="Z644" s="7"/>
      <c r="AA644" s="7"/>
      <c r="AB644" s="7"/>
      <c r="AC644" s="7"/>
    </row>
    <row r="645" spans="1:29" ht="25.5">
      <c r="A645" s="252"/>
      <c r="B645" s="218"/>
      <c r="C645" s="195"/>
      <c r="D645" s="195"/>
      <c r="E645" s="195"/>
      <c r="F645" s="195"/>
      <c r="G645" s="195"/>
      <c r="H645" s="195"/>
      <c r="I645" s="195"/>
      <c r="J645" s="195"/>
      <c r="K645" s="195"/>
      <c r="L645" s="195"/>
      <c r="M645" s="195"/>
      <c r="N645" s="195"/>
      <c r="O645" s="195"/>
      <c r="P645" s="195"/>
      <c r="Q645" s="195"/>
      <c r="R645" s="195"/>
      <c r="S645" s="195"/>
      <c r="T645" s="195"/>
      <c r="U645" s="408"/>
      <c r="V645" s="786"/>
      <c r="W645" s="14"/>
      <c r="X645" s="7"/>
      <c r="Y645" s="7"/>
      <c r="Z645" s="7"/>
      <c r="AA645" s="7"/>
      <c r="AB645" s="7"/>
      <c r="AC645" s="7"/>
    </row>
    <row r="646" spans="1:29" ht="26.25">
      <c r="A646" s="252"/>
      <c r="B646" s="62" t="s">
        <v>948</v>
      </c>
      <c r="C646" s="28">
        <f t="shared" si="91"/>
        <v>0</v>
      </c>
      <c r="D646" s="72"/>
      <c r="E646" s="28">
        <f t="shared" si="92"/>
        <v>0</v>
      </c>
      <c r="F646" s="28">
        <f t="shared" si="88"/>
        <v>0</v>
      </c>
      <c r="G646" s="28">
        <f t="shared" si="89"/>
        <v>0</v>
      </c>
      <c r="H646" s="28">
        <f t="shared" si="94"/>
        <v>0</v>
      </c>
      <c r="I646" s="28">
        <f t="shared" si="93"/>
        <v>0</v>
      </c>
      <c r="J646" s="348"/>
      <c r="K646" s="348"/>
      <c r="L646" s="348"/>
      <c r="M646" s="348"/>
      <c r="N646" s="348"/>
      <c r="O646" s="454">
        <v>6544</v>
      </c>
      <c r="P646" s="454">
        <v>6544</v>
      </c>
      <c r="Q646" s="351"/>
      <c r="R646" s="351"/>
      <c r="S646" s="77">
        <v>1</v>
      </c>
      <c r="T646" s="28">
        <f>(P646-O646)*S646</f>
        <v>0</v>
      </c>
      <c r="U646" s="455">
        <v>1940</v>
      </c>
      <c r="V646" s="783" t="s">
        <v>816</v>
      </c>
      <c r="W646" s="14" t="s">
        <v>90</v>
      </c>
      <c r="X646" s="7"/>
      <c r="Y646" s="7"/>
      <c r="Z646" s="7"/>
      <c r="AA646" s="7"/>
      <c r="AB646" s="7"/>
      <c r="AC646" s="7"/>
    </row>
    <row r="647" spans="1:29" ht="26.25">
      <c r="A647" s="268"/>
      <c r="B647" s="357" t="s">
        <v>703</v>
      </c>
      <c r="C647" s="28">
        <f>H647+E647</f>
        <v>417.3</v>
      </c>
      <c r="D647" s="28"/>
      <c r="E647" s="28">
        <f>G647+F647</f>
        <v>27.299999999999997</v>
      </c>
      <c r="F647" s="28">
        <f>0.04*H647</f>
        <v>15.6</v>
      </c>
      <c r="G647" s="28">
        <f>0.03*H647</f>
        <v>11.7</v>
      </c>
      <c r="H647" s="28">
        <f>T647</f>
        <v>390</v>
      </c>
      <c r="I647" s="28">
        <f>0.6*C647</f>
        <v>250.38</v>
      </c>
      <c r="J647" s="29"/>
      <c r="K647" s="29"/>
      <c r="L647" s="29"/>
      <c r="M647" s="29"/>
      <c r="N647" s="29"/>
      <c r="O647" s="28">
        <v>18764</v>
      </c>
      <c r="P647" s="28">
        <v>19154</v>
      </c>
      <c r="Q647" s="30"/>
      <c r="R647" s="439"/>
      <c r="S647" s="54">
        <v>1</v>
      </c>
      <c r="T647" s="28">
        <f>(P647-O647)*S647</f>
        <v>390</v>
      </c>
      <c r="U647" s="455" t="s">
        <v>1044</v>
      </c>
      <c r="V647" s="783" t="s">
        <v>751</v>
      </c>
      <c r="W647" s="14" t="s">
        <v>90</v>
      </c>
      <c r="X647" s="7"/>
      <c r="Y647" s="7"/>
      <c r="Z647" s="7"/>
      <c r="AA647" s="7"/>
      <c r="AB647" s="7"/>
      <c r="AC647" s="7"/>
    </row>
    <row r="648" spans="1:29" ht="26.25">
      <c r="A648" s="268"/>
      <c r="B648" s="62"/>
      <c r="C648" s="28"/>
      <c r="D648" s="28"/>
      <c r="E648" s="28"/>
      <c r="F648" s="28"/>
      <c r="G648" s="28"/>
      <c r="H648" s="28"/>
      <c r="I648" s="28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28"/>
      <c r="U648" s="455"/>
      <c r="V648" s="783"/>
      <c r="W648" s="14" t="s">
        <v>43</v>
      </c>
      <c r="X648" s="7"/>
      <c r="Y648" s="7"/>
      <c r="Z648" s="7"/>
      <c r="AA648" s="7"/>
      <c r="AB648" s="7"/>
      <c r="AC648" s="7"/>
    </row>
    <row r="649" spans="1:29" ht="26.25">
      <c r="A649" s="268"/>
      <c r="B649" s="269"/>
      <c r="C649" s="28"/>
      <c r="D649" s="28"/>
      <c r="E649" s="28"/>
      <c r="F649" s="28"/>
      <c r="G649" s="28"/>
      <c r="H649" s="28"/>
      <c r="I649" s="28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28"/>
      <c r="U649" s="455"/>
      <c r="V649" s="783"/>
      <c r="W649" s="14"/>
      <c r="X649" s="7"/>
      <c r="Y649" s="7"/>
      <c r="Z649" s="7"/>
      <c r="AA649" s="7"/>
      <c r="AB649" s="7"/>
      <c r="AC649" s="7"/>
    </row>
    <row r="650" spans="1:29" ht="26.25">
      <c r="A650" s="268"/>
      <c r="B650" s="62" t="s">
        <v>579</v>
      </c>
      <c r="C650" s="28">
        <f>H650+E650</f>
        <v>95.23</v>
      </c>
      <c r="D650" s="28"/>
      <c r="E650" s="28">
        <f t="shared" si="92"/>
        <v>6.23</v>
      </c>
      <c r="F650" s="28">
        <f t="shared" si="88"/>
        <v>3.56</v>
      </c>
      <c r="G650" s="28">
        <f t="shared" si="89"/>
        <v>2.67</v>
      </c>
      <c r="H650" s="28">
        <f t="shared" si="94"/>
        <v>89</v>
      </c>
      <c r="I650" s="28"/>
      <c r="J650" s="77"/>
      <c r="K650" s="77"/>
      <c r="L650" s="77"/>
      <c r="M650" s="77"/>
      <c r="N650" s="77"/>
      <c r="O650" s="77">
        <v>4560</v>
      </c>
      <c r="P650" s="77">
        <v>4649</v>
      </c>
      <c r="Q650" s="77"/>
      <c r="R650" s="77"/>
      <c r="S650" s="77">
        <v>1</v>
      </c>
      <c r="T650" s="28">
        <f>(P650-O650)*S650</f>
        <v>89</v>
      </c>
      <c r="U650" s="455" t="s">
        <v>1045</v>
      </c>
      <c r="V650" s="783" t="s">
        <v>581</v>
      </c>
      <c r="W650" s="795" t="s">
        <v>90</v>
      </c>
      <c r="X650" s="7"/>
      <c r="Y650" s="7"/>
      <c r="Z650" s="7"/>
      <c r="AA650" s="7"/>
      <c r="AB650" s="7"/>
      <c r="AC650" s="7"/>
    </row>
    <row r="651" spans="1:29" ht="26.25">
      <c r="A651" s="268"/>
      <c r="B651" s="687"/>
      <c r="C651" s="43"/>
      <c r="D651" s="43"/>
      <c r="E651" s="43"/>
      <c r="F651" s="43"/>
      <c r="G651" s="43"/>
      <c r="H651" s="43"/>
      <c r="I651" s="43"/>
      <c r="J651" s="270"/>
      <c r="K651" s="270"/>
      <c r="L651" s="270"/>
      <c r="M651" s="270"/>
      <c r="N651" s="270"/>
      <c r="O651" s="270"/>
      <c r="P651" s="270"/>
      <c r="Q651" s="270"/>
      <c r="R651" s="270"/>
      <c r="S651" s="270"/>
      <c r="T651" s="43"/>
      <c r="U651" s="736"/>
      <c r="V651" s="44"/>
      <c r="W651" s="796"/>
      <c r="X651" s="7"/>
      <c r="Y651" s="7"/>
      <c r="Z651" s="7"/>
      <c r="AA651" s="7"/>
      <c r="AB651" s="7"/>
      <c r="AC651" s="7"/>
    </row>
    <row r="652" spans="1:29" ht="26.25">
      <c r="A652" s="268"/>
      <c r="B652" s="62"/>
      <c r="C652" s="28"/>
      <c r="D652" s="28"/>
      <c r="E652" s="28"/>
      <c r="F652" s="28"/>
      <c r="G652" s="28"/>
      <c r="H652" s="28"/>
      <c r="I652" s="28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28"/>
      <c r="U652" s="455"/>
      <c r="V652" s="783"/>
      <c r="W652" s="797"/>
      <c r="X652" s="7"/>
      <c r="Y652" s="7"/>
      <c r="Z652" s="7"/>
      <c r="AA652" s="7"/>
      <c r="AB652" s="7"/>
      <c r="AC652" s="7"/>
    </row>
    <row r="653" spans="1:29" ht="26.25">
      <c r="A653" s="268"/>
      <c r="B653" s="357" t="s">
        <v>704</v>
      </c>
      <c r="C653" s="28">
        <f>H653+E653</f>
        <v>119.84</v>
      </c>
      <c r="D653" s="28"/>
      <c r="E653" s="28">
        <f>F653+G653</f>
        <v>7.84</v>
      </c>
      <c r="F653" s="28">
        <f>0.04*H653</f>
        <v>4.4800000000000004</v>
      </c>
      <c r="G653" s="28">
        <f>0.03*H653</f>
        <v>3.36</v>
      </c>
      <c r="H653" s="28">
        <f>T653</f>
        <v>112</v>
      </c>
      <c r="I653" s="28">
        <f>0.6*C653</f>
        <v>71.903999999999996</v>
      </c>
      <c r="J653" s="29"/>
      <c r="K653" s="29"/>
      <c r="L653" s="29"/>
      <c r="M653" s="29"/>
      <c r="N653" s="29"/>
      <c r="O653" s="28">
        <v>9564</v>
      </c>
      <c r="P653" s="28">
        <v>9676</v>
      </c>
      <c r="Q653" s="29" t="s">
        <v>28</v>
      </c>
      <c r="R653" s="348"/>
      <c r="S653" s="54">
        <v>1</v>
      </c>
      <c r="T653" s="28">
        <f>(P653-O653)*S653</f>
        <v>112</v>
      </c>
      <c r="U653" s="455" t="s">
        <v>1046</v>
      </c>
      <c r="V653" s="783" t="s">
        <v>583</v>
      </c>
      <c r="W653" s="14" t="s">
        <v>90</v>
      </c>
      <c r="X653" s="7"/>
      <c r="Y653" s="7"/>
      <c r="Z653" s="7"/>
      <c r="AA653" s="7"/>
      <c r="AB653" s="7"/>
      <c r="AC653" s="7"/>
    </row>
    <row r="654" spans="1:29" ht="26.25">
      <c r="A654" s="271"/>
      <c r="B654" s="143" t="s">
        <v>584</v>
      </c>
      <c r="C654" s="115">
        <f>SUM(C615:C653)</f>
        <v>27385.579999999998</v>
      </c>
      <c r="D654" s="115"/>
      <c r="E654" s="115">
        <f t="shared" si="92"/>
        <v>1734.53</v>
      </c>
      <c r="F654" s="115">
        <f t="shared" si="88"/>
        <v>991.16</v>
      </c>
      <c r="G654" s="115">
        <f t="shared" si="89"/>
        <v>743.37</v>
      </c>
      <c r="H654" s="115">
        <f>SUM(H616:H643)</f>
        <v>24779</v>
      </c>
      <c r="I654" s="115">
        <f>SUM(I616:I647)</f>
        <v>13507.144999999999</v>
      </c>
      <c r="J654" s="142"/>
      <c r="K654" s="142"/>
      <c r="L654" s="142"/>
      <c r="M654" s="142"/>
      <c r="N654" s="142"/>
      <c r="O654" s="94"/>
      <c r="P654" s="94"/>
      <c r="Q654" s="94"/>
      <c r="R654" s="94"/>
      <c r="S654" s="92"/>
      <c r="T654" s="91"/>
      <c r="U654" s="644"/>
      <c r="V654" s="782"/>
      <c r="W654" s="14"/>
      <c r="X654" s="7"/>
      <c r="Y654" s="7"/>
      <c r="Z654" s="7"/>
      <c r="AA654" s="7"/>
      <c r="AB654" s="7"/>
      <c r="AC654" s="7"/>
    </row>
    <row r="655" spans="1:29" ht="26.25">
      <c r="A655" s="271"/>
      <c r="B655" s="143"/>
      <c r="C655" s="115"/>
      <c r="D655" s="115"/>
      <c r="E655" s="115"/>
      <c r="F655" s="115"/>
      <c r="G655" s="115"/>
      <c r="H655" s="115"/>
      <c r="I655" s="115"/>
      <c r="J655" s="98"/>
      <c r="K655" s="98"/>
      <c r="L655" s="98"/>
      <c r="M655" s="98"/>
      <c r="N655" s="98"/>
      <c r="O655" s="94"/>
      <c r="P655" s="94"/>
      <c r="Q655" s="227"/>
      <c r="R655" s="228"/>
      <c r="S655" s="92"/>
      <c r="T655" s="91"/>
      <c r="U655" s="644"/>
      <c r="V655" s="782"/>
      <c r="W655" s="14"/>
      <c r="X655" s="7"/>
      <c r="Y655" s="7"/>
      <c r="Z655" s="7"/>
      <c r="AA655" s="7"/>
      <c r="AB655" s="7"/>
      <c r="AC655" s="7"/>
    </row>
    <row r="656" spans="1:29" ht="26.25">
      <c r="A656" s="271"/>
      <c r="B656" s="143" t="s">
        <v>585</v>
      </c>
      <c r="C656" s="117"/>
      <c r="D656" s="595"/>
      <c r="E656" s="117"/>
      <c r="F656" s="117"/>
      <c r="G656" s="117"/>
      <c r="H656" s="595"/>
      <c r="I656" s="595"/>
      <c r="J656" s="98"/>
      <c r="K656" s="98"/>
      <c r="L656" s="98"/>
      <c r="M656" s="98"/>
      <c r="N656" s="98"/>
      <c r="O656" s="595"/>
      <c r="P656" s="595"/>
      <c r="Q656" s="105"/>
      <c r="R656" s="597"/>
      <c r="S656" s="595"/>
      <c r="T656" s="117"/>
      <c r="U656" s="644"/>
      <c r="V656" s="782"/>
      <c r="W656" s="14"/>
      <c r="X656" s="7"/>
      <c r="Y656" s="7"/>
      <c r="Z656" s="7"/>
      <c r="AA656" s="7"/>
      <c r="AB656" s="7"/>
      <c r="AC656" s="7"/>
    </row>
    <row r="657" spans="1:29" ht="25.5">
      <c r="A657" s="252"/>
      <c r="B657" s="449" t="s">
        <v>705</v>
      </c>
      <c r="C657" s="28">
        <f>H657+E657</f>
        <v>2349.7199999999998</v>
      </c>
      <c r="D657" s="77"/>
      <c r="E657" s="28">
        <f>F657+G657</f>
        <v>153.72</v>
      </c>
      <c r="F657" s="28">
        <f>0.04*T657</f>
        <v>87.84</v>
      </c>
      <c r="G657" s="28">
        <f>0.03*T657</f>
        <v>65.88</v>
      </c>
      <c r="H657" s="28">
        <f>T657</f>
        <v>2196</v>
      </c>
      <c r="I657" s="28">
        <f>H657*0.5</f>
        <v>1098</v>
      </c>
      <c r="J657" s="348"/>
      <c r="K657" s="348"/>
      <c r="L657" s="348"/>
      <c r="M657" s="348"/>
      <c r="N657" s="348"/>
      <c r="O657" s="77">
        <v>49509</v>
      </c>
      <c r="P657" s="77">
        <v>51705</v>
      </c>
      <c r="Q657" s="77"/>
      <c r="R657" s="77"/>
      <c r="S657" s="77">
        <v>1</v>
      </c>
      <c r="T657" s="28">
        <f>(P657-O657)*S657</f>
        <v>2196</v>
      </c>
      <c r="U657" s="455" t="s">
        <v>1047</v>
      </c>
      <c r="V657" s="783" t="s">
        <v>587</v>
      </c>
      <c r="W657" s="14"/>
      <c r="X657" s="7"/>
      <c r="Y657" s="7"/>
      <c r="Z657" s="7"/>
      <c r="AA657" s="7"/>
      <c r="AB657" s="7"/>
      <c r="AC657" s="7"/>
    </row>
    <row r="658" spans="1:29" ht="25.5">
      <c r="A658" s="252"/>
      <c r="B658" s="846" t="s">
        <v>836</v>
      </c>
      <c r="C658" s="382">
        <f t="shared" ref="C658:C696" si="100">H658+E658</f>
        <v>3324.49</v>
      </c>
      <c r="D658" s="381"/>
      <c r="E658" s="382">
        <f t="shared" ref="E658:E696" si="101">F658+G658</f>
        <v>217.49</v>
      </c>
      <c r="F658" s="382">
        <f t="shared" ref="F658:F696" si="102">0.04*T658</f>
        <v>124.28</v>
      </c>
      <c r="G658" s="382">
        <f t="shared" ref="G658:G696" si="103">0.03*T658</f>
        <v>93.21</v>
      </c>
      <c r="H658" s="382">
        <f t="shared" ref="H658:H696" si="104">T658</f>
        <v>3107</v>
      </c>
      <c r="I658" s="382">
        <f t="shared" ref="I658:I696" si="105">H658*0.5</f>
        <v>1553.5</v>
      </c>
      <c r="J658" s="46"/>
      <c r="K658" s="46"/>
      <c r="L658" s="46"/>
      <c r="M658" s="46"/>
      <c r="N658" s="46"/>
      <c r="O658" s="381">
        <v>119850</v>
      </c>
      <c r="P658" s="381">
        <v>122957</v>
      </c>
      <c r="Q658" s="79"/>
      <c r="R658" s="749"/>
      <c r="S658" s="381">
        <v>1</v>
      </c>
      <c r="T658" s="382">
        <f t="shared" ref="T658:T694" si="106">(P658-O658)*S658</f>
        <v>3107</v>
      </c>
      <c r="U658" s="447">
        <v>3855</v>
      </c>
      <c r="V658" s="783" t="s">
        <v>753</v>
      </c>
      <c r="W658" s="14" t="s">
        <v>48</v>
      </c>
      <c r="X658" s="7"/>
      <c r="Y658" s="7"/>
      <c r="Z658" s="7"/>
      <c r="AA658" s="7"/>
      <c r="AB658" s="7"/>
      <c r="AC658" s="7"/>
    </row>
    <row r="659" spans="1:29" ht="25.5">
      <c r="A659" s="252"/>
      <c r="B659" s="847"/>
      <c r="C659" s="382">
        <f t="shared" si="100"/>
        <v>347.75</v>
      </c>
      <c r="D659" s="381"/>
      <c r="E659" s="382">
        <f t="shared" si="101"/>
        <v>22.75</v>
      </c>
      <c r="F659" s="382">
        <f t="shared" si="102"/>
        <v>13</v>
      </c>
      <c r="G659" s="382">
        <f t="shared" si="103"/>
        <v>9.75</v>
      </c>
      <c r="H659" s="382">
        <f t="shared" si="104"/>
        <v>325</v>
      </c>
      <c r="I659" s="382">
        <f t="shared" si="105"/>
        <v>162.5</v>
      </c>
      <c r="J659" s="46"/>
      <c r="K659" s="46"/>
      <c r="L659" s="46"/>
      <c r="M659" s="46"/>
      <c r="N659" s="46"/>
      <c r="O659" s="381">
        <v>51110</v>
      </c>
      <c r="P659" s="381">
        <v>51435</v>
      </c>
      <c r="Q659" s="79"/>
      <c r="R659" s="749"/>
      <c r="S659" s="381">
        <v>1</v>
      </c>
      <c r="T659" s="382">
        <f t="shared" si="106"/>
        <v>325</v>
      </c>
      <c r="U659" s="455" t="s">
        <v>1094</v>
      </c>
      <c r="V659" s="783" t="s">
        <v>753</v>
      </c>
      <c r="W659" s="14" t="s">
        <v>48</v>
      </c>
      <c r="X659" s="7"/>
      <c r="Y659" s="7"/>
      <c r="Z659" s="7"/>
      <c r="AA659" s="7"/>
      <c r="AB659" s="7"/>
      <c r="AC659" s="7"/>
    </row>
    <row r="660" spans="1:29" ht="25.5">
      <c r="A660" s="252"/>
      <c r="B660" s="62" t="s">
        <v>588</v>
      </c>
      <c r="C660" s="28">
        <f t="shared" si="100"/>
        <v>145.52000000000001</v>
      </c>
      <c r="D660" s="77"/>
      <c r="E660" s="28">
        <f t="shared" si="101"/>
        <v>9.52</v>
      </c>
      <c r="F660" s="28">
        <f t="shared" si="102"/>
        <v>5.44</v>
      </c>
      <c r="G660" s="28">
        <f t="shared" si="103"/>
        <v>4.08</v>
      </c>
      <c r="H660" s="28">
        <f t="shared" si="104"/>
        <v>136</v>
      </c>
      <c r="I660" s="28">
        <f t="shared" si="105"/>
        <v>68</v>
      </c>
      <c r="J660" s="46"/>
      <c r="K660" s="46"/>
      <c r="L660" s="46"/>
      <c r="M660" s="46"/>
      <c r="N660" s="46"/>
      <c r="O660" s="77">
        <v>16157</v>
      </c>
      <c r="P660" s="77">
        <v>16293</v>
      </c>
      <c r="Q660" s="79"/>
      <c r="R660" s="80"/>
      <c r="S660" s="77">
        <v>1</v>
      </c>
      <c r="T660" s="28">
        <f t="shared" si="106"/>
        <v>136</v>
      </c>
      <c r="U660" s="455" t="s">
        <v>1049</v>
      </c>
      <c r="V660" s="783" t="s">
        <v>589</v>
      </c>
      <c r="W660" s="14" t="s">
        <v>48</v>
      </c>
      <c r="X660" s="7"/>
      <c r="Y660" s="7"/>
      <c r="Z660" s="7"/>
      <c r="AA660" s="7"/>
      <c r="AB660" s="7"/>
      <c r="AC660" s="7"/>
    </row>
    <row r="661" spans="1:29" ht="25.5">
      <c r="A661" s="252"/>
      <c r="B661" s="62" t="s">
        <v>590</v>
      </c>
      <c r="C661" s="28">
        <f t="shared" si="100"/>
        <v>247.17000000000002</v>
      </c>
      <c r="D661" s="77"/>
      <c r="E661" s="28">
        <f t="shared" si="101"/>
        <v>16.170000000000002</v>
      </c>
      <c r="F661" s="28">
        <f t="shared" si="102"/>
        <v>9.24</v>
      </c>
      <c r="G661" s="28">
        <f t="shared" si="103"/>
        <v>6.93</v>
      </c>
      <c r="H661" s="28">
        <f t="shared" si="104"/>
        <v>231</v>
      </c>
      <c r="I661" s="28">
        <f t="shared" si="105"/>
        <v>115.5</v>
      </c>
      <c r="J661" s="46"/>
      <c r="K661" s="46"/>
      <c r="L661" s="46"/>
      <c r="M661" s="46"/>
      <c r="N661" s="46"/>
      <c r="O661" s="77">
        <v>18828</v>
      </c>
      <c r="P661" s="77">
        <v>19059</v>
      </c>
      <c r="Q661" s="79"/>
      <c r="R661" s="80"/>
      <c r="S661" s="77">
        <v>1</v>
      </c>
      <c r="T661" s="28">
        <f t="shared" si="106"/>
        <v>231</v>
      </c>
      <c r="U661" s="455" t="s">
        <v>1050</v>
      </c>
      <c r="V661" s="783" t="s">
        <v>591</v>
      </c>
      <c r="W661" s="14" t="s">
        <v>48</v>
      </c>
      <c r="X661" s="7"/>
      <c r="Y661" s="7"/>
      <c r="Z661" s="7"/>
      <c r="AA661" s="7"/>
      <c r="AB661" s="7"/>
      <c r="AC661" s="7"/>
    </row>
    <row r="662" spans="1:29" ht="25.5">
      <c r="A662" s="252"/>
      <c r="B662" s="62" t="s">
        <v>592</v>
      </c>
      <c r="C662" s="28">
        <f t="shared" si="100"/>
        <v>208.65</v>
      </c>
      <c r="D662" s="77"/>
      <c r="E662" s="28">
        <f t="shared" si="101"/>
        <v>13.649999999999999</v>
      </c>
      <c r="F662" s="28">
        <f t="shared" si="102"/>
        <v>7.8</v>
      </c>
      <c r="G662" s="28">
        <f t="shared" si="103"/>
        <v>5.85</v>
      </c>
      <c r="H662" s="28">
        <f t="shared" si="104"/>
        <v>195</v>
      </c>
      <c r="I662" s="28">
        <f t="shared" si="105"/>
        <v>97.5</v>
      </c>
      <c r="J662" s="46"/>
      <c r="K662" s="46"/>
      <c r="L662" s="46"/>
      <c r="M662" s="46"/>
      <c r="N662" s="46"/>
      <c r="O662" s="77">
        <v>18641</v>
      </c>
      <c r="P662" s="77">
        <v>18836</v>
      </c>
      <c r="Q662" s="79"/>
      <c r="R662" s="80"/>
      <c r="S662" s="77">
        <v>1</v>
      </c>
      <c r="T662" s="28">
        <f t="shared" si="106"/>
        <v>195</v>
      </c>
      <c r="U662" s="455" t="s">
        <v>1051</v>
      </c>
      <c r="V662" s="783" t="s">
        <v>593</v>
      </c>
      <c r="W662" s="14" t="s">
        <v>48</v>
      </c>
      <c r="X662" s="7"/>
      <c r="Y662" s="7"/>
      <c r="Z662" s="7"/>
      <c r="AA662" s="7"/>
      <c r="AB662" s="7"/>
      <c r="AC662" s="7"/>
    </row>
    <row r="663" spans="1:29" ht="25.5">
      <c r="A663" s="252"/>
      <c r="B663" s="62" t="s">
        <v>594</v>
      </c>
      <c r="C663" s="28">
        <f t="shared" si="100"/>
        <v>247.17000000000002</v>
      </c>
      <c r="D663" s="77"/>
      <c r="E663" s="28">
        <f t="shared" si="101"/>
        <v>16.170000000000002</v>
      </c>
      <c r="F663" s="28">
        <f t="shared" si="102"/>
        <v>9.24</v>
      </c>
      <c r="G663" s="28">
        <f t="shared" si="103"/>
        <v>6.93</v>
      </c>
      <c r="H663" s="28">
        <f t="shared" si="104"/>
        <v>231</v>
      </c>
      <c r="I663" s="28">
        <f t="shared" si="105"/>
        <v>115.5</v>
      </c>
      <c r="J663" s="46"/>
      <c r="K663" s="46"/>
      <c r="L663" s="46"/>
      <c r="M663" s="46"/>
      <c r="N663" s="46"/>
      <c r="O663" s="77">
        <v>22091</v>
      </c>
      <c r="P663" s="77">
        <v>22322</v>
      </c>
      <c r="Q663" s="79"/>
      <c r="R663" s="80"/>
      <c r="S663" s="77">
        <v>1</v>
      </c>
      <c r="T663" s="28">
        <f t="shared" si="106"/>
        <v>231</v>
      </c>
      <c r="U663" s="455" t="s">
        <v>1052</v>
      </c>
      <c r="V663" s="783" t="s">
        <v>595</v>
      </c>
      <c r="W663" s="14" t="s">
        <v>48</v>
      </c>
      <c r="X663" s="7"/>
      <c r="Y663" s="7"/>
      <c r="Z663" s="7"/>
      <c r="AA663" s="7"/>
      <c r="AB663" s="7"/>
      <c r="AC663" s="7"/>
    </row>
    <row r="664" spans="1:29" ht="25.5">
      <c r="A664" s="252"/>
      <c r="B664" s="62" t="s">
        <v>596</v>
      </c>
      <c r="C664" s="28">
        <f t="shared" si="100"/>
        <v>176.55</v>
      </c>
      <c r="D664" s="77"/>
      <c r="E664" s="28">
        <f t="shared" si="101"/>
        <v>11.55</v>
      </c>
      <c r="F664" s="28">
        <f t="shared" si="102"/>
        <v>6.6000000000000005</v>
      </c>
      <c r="G664" s="28">
        <f t="shared" si="103"/>
        <v>4.95</v>
      </c>
      <c r="H664" s="28">
        <f t="shared" si="104"/>
        <v>165</v>
      </c>
      <c r="I664" s="28">
        <f t="shared" si="105"/>
        <v>82.5</v>
      </c>
      <c r="J664" s="46"/>
      <c r="K664" s="46"/>
      <c r="L664" s="46"/>
      <c r="M664" s="46"/>
      <c r="N664" s="46"/>
      <c r="O664" s="77">
        <v>21385</v>
      </c>
      <c r="P664" s="77">
        <v>21550</v>
      </c>
      <c r="Q664" s="79"/>
      <c r="R664" s="80"/>
      <c r="S664" s="77">
        <v>1</v>
      </c>
      <c r="T664" s="28">
        <f t="shared" si="106"/>
        <v>165</v>
      </c>
      <c r="U664" s="455" t="s">
        <v>1053</v>
      </c>
      <c r="V664" s="783" t="s">
        <v>598</v>
      </c>
      <c r="W664" s="14" t="s">
        <v>48</v>
      </c>
      <c r="X664" s="7"/>
      <c r="Y664" s="7"/>
      <c r="Z664" s="7"/>
      <c r="AA664" s="7"/>
      <c r="AB664" s="7"/>
      <c r="AC664" s="7"/>
    </row>
    <row r="665" spans="1:29" ht="25.5">
      <c r="A665" s="252"/>
      <c r="B665" s="841" t="s">
        <v>599</v>
      </c>
      <c r="C665" s="28">
        <f t="shared" si="100"/>
        <v>750.06999999999994</v>
      </c>
      <c r="D665" s="77"/>
      <c r="E665" s="28">
        <f t="shared" si="101"/>
        <v>49.069999999999993</v>
      </c>
      <c r="F665" s="28">
        <f t="shared" si="102"/>
        <v>28.04</v>
      </c>
      <c r="G665" s="28">
        <f t="shared" si="103"/>
        <v>21.029999999999998</v>
      </c>
      <c r="H665" s="28">
        <f t="shared" si="104"/>
        <v>701</v>
      </c>
      <c r="I665" s="28">
        <f t="shared" si="105"/>
        <v>350.5</v>
      </c>
      <c r="J665" s="46"/>
      <c r="K665" s="46"/>
      <c r="L665" s="46"/>
      <c r="M665" s="46"/>
      <c r="N665" s="46"/>
      <c r="O665" s="77">
        <v>37450</v>
      </c>
      <c r="P665" s="77">
        <v>38151</v>
      </c>
      <c r="Q665" s="79"/>
      <c r="R665" s="80"/>
      <c r="S665" s="77">
        <v>1</v>
      </c>
      <c r="T665" s="28">
        <f t="shared" si="106"/>
        <v>701</v>
      </c>
      <c r="U665" s="455" t="s">
        <v>1054</v>
      </c>
      <c r="V665" s="783" t="s">
        <v>600</v>
      </c>
      <c r="W665" s="14" t="s">
        <v>48</v>
      </c>
      <c r="X665" s="7"/>
      <c r="Y665" s="7"/>
      <c r="Z665" s="7"/>
      <c r="AA665" s="7"/>
      <c r="AB665" s="7"/>
      <c r="AC665" s="7"/>
    </row>
    <row r="666" spans="1:29" ht="25.5">
      <c r="A666" s="252"/>
      <c r="B666" s="842"/>
      <c r="C666" s="28">
        <f t="shared" si="100"/>
        <v>145.52000000000001</v>
      </c>
      <c r="D666" s="77"/>
      <c r="E666" s="28">
        <f t="shared" si="101"/>
        <v>9.52</v>
      </c>
      <c r="F666" s="28">
        <f t="shared" si="102"/>
        <v>5.44</v>
      </c>
      <c r="G666" s="28">
        <f t="shared" si="103"/>
        <v>4.08</v>
      </c>
      <c r="H666" s="28">
        <f t="shared" si="104"/>
        <v>136</v>
      </c>
      <c r="I666" s="28">
        <f t="shared" si="105"/>
        <v>68</v>
      </c>
      <c r="J666" s="46"/>
      <c r="K666" s="46"/>
      <c r="L666" s="46"/>
      <c r="M666" s="46"/>
      <c r="N666" s="46"/>
      <c r="O666" s="77">
        <v>10045</v>
      </c>
      <c r="P666" s="77">
        <v>10181</v>
      </c>
      <c r="Q666" s="79"/>
      <c r="R666" s="80"/>
      <c r="S666" s="77">
        <v>1</v>
      </c>
      <c r="T666" s="28">
        <f t="shared" si="106"/>
        <v>136</v>
      </c>
      <c r="U666" s="455" t="s">
        <v>1055</v>
      </c>
      <c r="V666" s="783" t="s">
        <v>602</v>
      </c>
      <c r="W666" s="14" t="s">
        <v>48</v>
      </c>
      <c r="X666" s="7"/>
      <c r="Y666" s="7"/>
      <c r="Z666" s="7"/>
      <c r="AA666" s="7"/>
      <c r="AB666" s="7"/>
      <c r="AC666" s="7"/>
    </row>
    <row r="667" spans="1:29" ht="25.5">
      <c r="A667" s="252"/>
      <c r="B667" s="62" t="s">
        <v>706</v>
      </c>
      <c r="C667" s="28">
        <f t="shared" si="100"/>
        <v>1065.72</v>
      </c>
      <c r="D667" s="77"/>
      <c r="E667" s="28">
        <f t="shared" si="101"/>
        <v>69.72</v>
      </c>
      <c r="F667" s="28">
        <f t="shared" si="102"/>
        <v>39.840000000000003</v>
      </c>
      <c r="G667" s="28">
        <f t="shared" si="103"/>
        <v>29.88</v>
      </c>
      <c r="H667" s="28">
        <f t="shared" si="104"/>
        <v>996</v>
      </c>
      <c r="I667" s="28">
        <f t="shared" si="105"/>
        <v>498</v>
      </c>
      <c r="J667" s="46"/>
      <c r="K667" s="46"/>
      <c r="L667" s="46"/>
      <c r="M667" s="46"/>
      <c r="N667" s="46"/>
      <c r="O667" s="77">
        <v>92147</v>
      </c>
      <c r="P667" s="77">
        <v>93143</v>
      </c>
      <c r="Q667" s="79"/>
      <c r="R667" s="80"/>
      <c r="S667" s="77">
        <v>1</v>
      </c>
      <c r="T667" s="28">
        <f t="shared" si="106"/>
        <v>996</v>
      </c>
      <c r="U667" s="455" t="s">
        <v>1056</v>
      </c>
      <c r="V667" s="783" t="s">
        <v>603</v>
      </c>
      <c r="W667" s="14" t="s">
        <v>48</v>
      </c>
      <c r="X667" s="7"/>
      <c r="Y667" s="7"/>
      <c r="Z667" s="7"/>
      <c r="AA667" s="7"/>
      <c r="AB667" s="7"/>
      <c r="AC667" s="7"/>
    </row>
    <row r="668" spans="1:29" ht="25.5">
      <c r="A668" s="252"/>
      <c r="B668" s="62" t="s">
        <v>604</v>
      </c>
      <c r="C668" s="28">
        <f t="shared" si="100"/>
        <v>479.36</v>
      </c>
      <c r="D668" s="77"/>
      <c r="E668" s="28">
        <f t="shared" si="101"/>
        <v>31.36</v>
      </c>
      <c r="F668" s="28">
        <f t="shared" si="102"/>
        <v>17.920000000000002</v>
      </c>
      <c r="G668" s="28">
        <f t="shared" si="103"/>
        <v>13.44</v>
      </c>
      <c r="H668" s="28">
        <f t="shared" si="104"/>
        <v>448</v>
      </c>
      <c r="I668" s="28">
        <f t="shared" si="105"/>
        <v>224</v>
      </c>
      <c r="J668" s="46"/>
      <c r="K668" s="46"/>
      <c r="L668" s="46"/>
      <c r="M668" s="46"/>
      <c r="N668" s="46"/>
      <c r="O668" s="77">
        <v>42900</v>
      </c>
      <c r="P668" s="77">
        <v>43348</v>
      </c>
      <c r="Q668" s="79"/>
      <c r="R668" s="80"/>
      <c r="S668" s="77">
        <v>1</v>
      </c>
      <c r="T668" s="28">
        <f t="shared" si="106"/>
        <v>448</v>
      </c>
      <c r="U668" s="455" t="s">
        <v>1057</v>
      </c>
      <c r="V668" s="783" t="s">
        <v>605</v>
      </c>
      <c r="W668" s="14" t="s">
        <v>48</v>
      </c>
      <c r="X668" s="7"/>
      <c r="Y668" s="7"/>
      <c r="Z668" s="7"/>
      <c r="AA668" s="7"/>
      <c r="AB668" s="7"/>
      <c r="AC668" s="7"/>
    </row>
    <row r="669" spans="1:29" ht="25.5">
      <c r="A669" s="252"/>
      <c r="B669" s="62" t="s">
        <v>606</v>
      </c>
      <c r="C669" s="28">
        <f t="shared" si="100"/>
        <v>92.02</v>
      </c>
      <c r="D669" s="77"/>
      <c r="E669" s="28">
        <f t="shared" si="101"/>
        <v>6.02</v>
      </c>
      <c r="F669" s="28">
        <f t="shared" si="102"/>
        <v>3.44</v>
      </c>
      <c r="G669" s="28">
        <f t="shared" si="103"/>
        <v>2.58</v>
      </c>
      <c r="H669" s="28">
        <f t="shared" si="104"/>
        <v>86</v>
      </c>
      <c r="I669" s="28">
        <f t="shared" si="105"/>
        <v>43</v>
      </c>
      <c r="J669" s="46"/>
      <c r="K669" s="46"/>
      <c r="L669" s="46"/>
      <c r="M669" s="46"/>
      <c r="N669" s="46"/>
      <c r="O669" s="77">
        <v>9640</v>
      </c>
      <c r="P669" s="77">
        <v>9726</v>
      </c>
      <c r="Q669" s="79"/>
      <c r="R669" s="80"/>
      <c r="S669" s="77">
        <v>1</v>
      </c>
      <c r="T669" s="28">
        <f t="shared" si="106"/>
        <v>86</v>
      </c>
      <c r="U669" s="455" t="s">
        <v>1058</v>
      </c>
      <c r="V669" s="783" t="s">
        <v>607</v>
      </c>
      <c r="W669" s="14" t="s">
        <v>48</v>
      </c>
      <c r="X669" s="7"/>
      <c r="Y669" s="7"/>
      <c r="Z669" s="7"/>
      <c r="AA669" s="7"/>
      <c r="AB669" s="7"/>
      <c r="AC669" s="7"/>
    </row>
    <row r="670" spans="1:29" ht="25.5">
      <c r="A670" s="252"/>
      <c r="B670" s="62" t="s">
        <v>952</v>
      </c>
      <c r="C670" s="28">
        <f t="shared" si="100"/>
        <v>0</v>
      </c>
      <c r="D670" s="77"/>
      <c r="E670" s="28">
        <f t="shared" si="101"/>
        <v>0</v>
      </c>
      <c r="F670" s="28">
        <f t="shared" si="102"/>
        <v>0</v>
      </c>
      <c r="G670" s="28">
        <f t="shared" si="103"/>
        <v>0</v>
      </c>
      <c r="H670" s="28">
        <f t="shared" si="104"/>
        <v>0</v>
      </c>
      <c r="I670" s="28">
        <f t="shared" si="105"/>
        <v>0</v>
      </c>
      <c r="J670" s="46"/>
      <c r="K670" s="46"/>
      <c r="L670" s="46"/>
      <c r="M670" s="46"/>
      <c r="N670" s="46"/>
      <c r="O670" s="77">
        <v>15474</v>
      </c>
      <c r="P670" s="77">
        <v>15474</v>
      </c>
      <c r="Q670" s="79"/>
      <c r="R670" s="80"/>
      <c r="S670" s="77">
        <v>1</v>
      </c>
      <c r="T670" s="28">
        <f t="shared" si="106"/>
        <v>0</v>
      </c>
      <c r="U670" s="455" t="s">
        <v>1059</v>
      </c>
      <c r="V670" s="783" t="s">
        <v>951</v>
      </c>
      <c r="W670" s="14" t="s">
        <v>48</v>
      </c>
      <c r="X670" s="7"/>
      <c r="Y670" s="7"/>
      <c r="Z670" s="7"/>
      <c r="AA670" s="7"/>
      <c r="AB670" s="7"/>
      <c r="AC670" s="7"/>
    </row>
    <row r="671" spans="1:29" ht="25.5">
      <c r="A671" s="252"/>
      <c r="B671" s="62" t="s">
        <v>707</v>
      </c>
      <c r="C671" s="28">
        <f t="shared" si="100"/>
        <v>681.59</v>
      </c>
      <c r="D671" s="77"/>
      <c r="E671" s="28">
        <f t="shared" si="101"/>
        <v>44.59</v>
      </c>
      <c r="F671" s="28">
        <f t="shared" si="102"/>
        <v>25.48</v>
      </c>
      <c r="G671" s="28">
        <f t="shared" si="103"/>
        <v>19.11</v>
      </c>
      <c r="H671" s="28">
        <f t="shared" si="104"/>
        <v>637</v>
      </c>
      <c r="I671" s="28">
        <f t="shared" si="105"/>
        <v>318.5</v>
      </c>
      <c r="J671" s="46"/>
      <c r="K671" s="46"/>
      <c r="L671" s="46"/>
      <c r="M671" s="46"/>
      <c r="N671" s="46"/>
      <c r="O671" s="77">
        <v>24937</v>
      </c>
      <c r="P671" s="77">
        <v>25574</v>
      </c>
      <c r="Q671" s="79"/>
      <c r="R671" s="80"/>
      <c r="S671" s="77">
        <v>1</v>
      </c>
      <c r="T671" s="28">
        <f t="shared" si="106"/>
        <v>637</v>
      </c>
      <c r="U671" s="455" t="s">
        <v>1060</v>
      </c>
      <c r="V671" s="783" t="s">
        <v>687</v>
      </c>
      <c r="W671" s="14" t="s">
        <v>48</v>
      </c>
      <c r="X671" s="7"/>
      <c r="Y671" s="7"/>
      <c r="Z671" s="7"/>
      <c r="AA671" s="7"/>
      <c r="AB671" s="7"/>
      <c r="AC671" s="7"/>
    </row>
    <row r="672" spans="1:29" ht="27" customHeight="1">
      <c r="B672" s="62" t="s">
        <v>840</v>
      </c>
      <c r="C672" s="28">
        <f t="shared" si="100"/>
        <v>988.68000000000006</v>
      </c>
      <c r="D672" s="77"/>
      <c r="E672" s="28">
        <f t="shared" si="101"/>
        <v>64.680000000000007</v>
      </c>
      <c r="F672" s="28">
        <f t="shared" si="102"/>
        <v>36.96</v>
      </c>
      <c r="G672" s="28">
        <f t="shared" si="103"/>
        <v>27.72</v>
      </c>
      <c r="H672" s="28">
        <f t="shared" si="104"/>
        <v>924</v>
      </c>
      <c r="I672" s="28">
        <f t="shared" si="105"/>
        <v>462</v>
      </c>
      <c r="J672" s="46"/>
      <c r="K672" s="46"/>
      <c r="L672" s="46"/>
      <c r="M672" s="46"/>
      <c r="N672" s="46"/>
      <c r="O672" s="77">
        <v>14319</v>
      </c>
      <c r="P672" s="77">
        <v>15243</v>
      </c>
      <c r="Q672" s="79"/>
      <c r="R672" s="80"/>
      <c r="S672" s="77">
        <v>1</v>
      </c>
      <c r="T672" s="28">
        <f t="shared" si="106"/>
        <v>924</v>
      </c>
      <c r="U672" s="455" t="s">
        <v>1061</v>
      </c>
      <c r="V672" s="783" t="s">
        <v>841</v>
      </c>
    </row>
    <row r="673" spans="1:29" ht="25.5">
      <c r="A673" s="252"/>
      <c r="B673" s="62" t="s">
        <v>896</v>
      </c>
      <c r="C673" s="28">
        <f t="shared" si="100"/>
        <v>274.99</v>
      </c>
      <c r="D673" s="77"/>
      <c r="E673" s="28">
        <f t="shared" si="101"/>
        <v>17.989999999999998</v>
      </c>
      <c r="F673" s="28">
        <f t="shared" si="102"/>
        <v>10.28</v>
      </c>
      <c r="G673" s="28">
        <f t="shared" si="103"/>
        <v>7.71</v>
      </c>
      <c r="H673" s="28">
        <f t="shared" si="104"/>
        <v>257</v>
      </c>
      <c r="I673" s="28">
        <f t="shared" si="105"/>
        <v>128.5</v>
      </c>
      <c r="J673" s="46"/>
      <c r="K673" s="46"/>
      <c r="L673" s="46"/>
      <c r="M673" s="46"/>
      <c r="N673" s="46"/>
      <c r="O673" s="77">
        <v>17358</v>
      </c>
      <c r="P673" s="77">
        <v>17615</v>
      </c>
      <c r="Q673" s="79"/>
      <c r="R673" s="80"/>
      <c r="S673" s="77">
        <v>1</v>
      </c>
      <c r="T673" s="28">
        <f t="shared" si="106"/>
        <v>257</v>
      </c>
      <c r="U673" s="455" t="s">
        <v>1062</v>
      </c>
      <c r="V673" s="783" t="s">
        <v>289</v>
      </c>
      <c r="W673" s="14" t="s">
        <v>48</v>
      </c>
      <c r="X673" s="7"/>
      <c r="Y673" s="7"/>
      <c r="Z673" s="7"/>
      <c r="AA673" s="7"/>
      <c r="AB673" s="7"/>
      <c r="AC673" s="7"/>
    </row>
    <row r="674" spans="1:29" ht="25.5">
      <c r="A674" s="252"/>
      <c r="B674" s="62" t="s">
        <v>612</v>
      </c>
      <c r="C674" s="28">
        <f t="shared" si="100"/>
        <v>286.76</v>
      </c>
      <c r="D674" s="77"/>
      <c r="E674" s="28">
        <f t="shared" si="101"/>
        <v>18.759999999999998</v>
      </c>
      <c r="F674" s="28">
        <f t="shared" si="102"/>
        <v>10.72</v>
      </c>
      <c r="G674" s="28">
        <f t="shared" si="103"/>
        <v>8.0399999999999991</v>
      </c>
      <c r="H674" s="28">
        <f t="shared" si="104"/>
        <v>268</v>
      </c>
      <c r="I674" s="28">
        <f t="shared" si="105"/>
        <v>134</v>
      </c>
      <c r="J674" s="46"/>
      <c r="K674" s="46"/>
      <c r="L674" s="46"/>
      <c r="M674" s="46"/>
      <c r="N674" s="46"/>
      <c r="O674" s="77">
        <v>46075</v>
      </c>
      <c r="P674" s="77">
        <v>46343</v>
      </c>
      <c r="Q674" s="79"/>
      <c r="R674" s="80"/>
      <c r="S674" s="77">
        <v>1</v>
      </c>
      <c r="T674" s="28">
        <f t="shared" si="106"/>
        <v>268</v>
      </c>
      <c r="U674" s="455" t="s">
        <v>1063</v>
      </c>
      <c r="V674" s="783" t="s">
        <v>613</v>
      </c>
      <c r="W674" s="14" t="s">
        <v>48</v>
      </c>
      <c r="X674" s="7"/>
      <c r="Y674" s="7"/>
      <c r="Z674" s="7"/>
      <c r="AA674" s="7"/>
      <c r="AB674" s="7"/>
      <c r="AC674" s="7"/>
    </row>
    <row r="675" spans="1:29" ht="25.5">
      <c r="A675" s="252"/>
      <c r="B675" s="62" t="s">
        <v>614</v>
      </c>
      <c r="C675" s="28">
        <f t="shared" si="100"/>
        <v>361.65999999999997</v>
      </c>
      <c r="D675" s="77"/>
      <c r="E675" s="28">
        <f t="shared" si="101"/>
        <v>23.659999999999997</v>
      </c>
      <c r="F675" s="28">
        <f t="shared" si="102"/>
        <v>13.52</v>
      </c>
      <c r="G675" s="28">
        <f t="shared" si="103"/>
        <v>10.139999999999999</v>
      </c>
      <c r="H675" s="28">
        <f t="shared" si="104"/>
        <v>338</v>
      </c>
      <c r="I675" s="28">
        <f t="shared" si="105"/>
        <v>169</v>
      </c>
      <c r="J675" s="46"/>
      <c r="K675" s="46"/>
      <c r="L675" s="46"/>
      <c r="M675" s="46"/>
      <c r="N675" s="46"/>
      <c r="O675" s="77">
        <v>24773</v>
      </c>
      <c r="P675" s="77">
        <v>25111</v>
      </c>
      <c r="Q675" s="79"/>
      <c r="R675" s="80"/>
      <c r="S675" s="77">
        <v>1</v>
      </c>
      <c r="T675" s="28">
        <f t="shared" si="106"/>
        <v>338</v>
      </c>
      <c r="U675" s="455" t="s">
        <v>1064</v>
      </c>
      <c r="V675" s="783" t="s">
        <v>615</v>
      </c>
      <c r="W675" s="14" t="s">
        <v>48</v>
      </c>
      <c r="X675" s="7"/>
      <c r="Y675" s="7"/>
      <c r="Z675" s="7"/>
      <c r="AA675" s="7"/>
      <c r="AB675" s="7"/>
      <c r="AC675" s="7"/>
    </row>
    <row r="676" spans="1:29" ht="25.5">
      <c r="A676" s="252"/>
      <c r="B676" s="62" t="s">
        <v>616</v>
      </c>
      <c r="C676" s="28">
        <f t="shared" si="100"/>
        <v>399.11</v>
      </c>
      <c r="D676" s="77"/>
      <c r="E676" s="28">
        <f t="shared" si="101"/>
        <v>26.11</v>
      </c>
      <c r="F676" s="28">
        <f t="shared" si="102"/>
        <v>14.92</v>
      </c>
      <c r="G676" s="28">
        <f t="shared" si="103"/>
        <v>11.19</v>
      </c>
      <c r="H676" s="28">
        <f t="shared" si="104"/>
        <v>373</v>
      </c>
      <c r="I676" s="28">
        <f t="shared" si="105"/>
        <v>186.5</v>
      </c>
      <c r="J676" s="46"/>
      <c r="K676" s="46"/>
      <c r="L676" s="46"/>
      <c r="M676" s="46"/>
      <c r="N676" s="46"/>
      <c r="O676" s="77">
        <v>36173</v>
      </c>
      <c r="P676" s="77">
        <v>36546</v>
      </c>
      <c r="Q676" s="79"/>
      <c r="R676" s="80"/>
      <c r="S676" s="77">
        <v>1</v>
      </c>
      <c r="T676" s="28">
        <f t="shared" si="106"/>
        <v>373</v>
      </c>
      <c r="U676" s="455" t="s">
        <v>1065</v>
      </c>
      <c r="V676" s="783" t="s">
        <v>617</v>
      </c>
      <c r="W676" s="14" t="s">
        <v>48</v>
      </c>
      <c r="X676" s="7"/>
      <c r="Y676" s="7"/>
      <c r="Z676" s="7"/>
      <c r="AA676" s="7"/>
      <c r="AB676" s="7"/>
      <c r="AC676" s="7"/>
    </row>
    <row r="677" spans="1:29" ht="25.5">
      <c r="A677" s="252"/>
      <c r="B677" s="62" t="s">
        <v>837</v>
      </c>
      <c r="C677" s="28">
        <f t="shared" si="100"/>
        <v>0</v>
      </c>
      <c r="D677" s="77"/>
      <c r="E677" s="28">
        <f t="shared" si="101"/>
        <v>0</v>
      </c>
      <c r="F677" s="28">
        <f t="shared" si="102"/>
        <v>0</v>
      </c>
      <c r="G677" s="28">
        <f t="shared" si="103"/>
        <v>0</v>
      </c>
      <c r="H677" s="28">
        <f t="shared" si="104"/>
        <v>0</v>
      </c>
      <c r="I677" s="28">
        <f t="shared" si="105"/>
        <v>0</v>
      </c>
      <c r="J677" s="46"/>
      <c r="K677" s="46"/>
      <c r="L677" s="46"/>
      <c r="M677" s="46"/>
      <c r="N677" s="46"/>
      <c r="O677" s="456">
        <v>66445</v>
      </c>
      <c r="P677" s="456">
        <v>66445</v>
      </c>
      <c r="Q677" s="79"/>
      <c r="R677" s="80"/>
      <c r="S677" s="77">
        <v>1</v>
      </c>
      <c r="T677" s="28">
        <f t="shared" si="106"/>
        <v>0</v>
      </c>
      <c r="U677" s="455" t="s">
        <v>1066</v>
      </c>
      <c r="V677" s="783" t="s">
        <v>817</v>
      </c>
      <c r="W677" s="14" t="s">
        <v>48</v>
      </c>
      <c r="X677" s="7"/>
      <c r="Y677" s="7"/>
      <c r="Z677" s="7"/>
      <c r="AA677" s="7"/>
      <c r="AB677" s="7"/>
      <c r="AC677" s="7"/>
    </row>
    <row r="678" spans="1:29" ht="25.5">
      <c r="A678" s="252"/>
      <c r="B678" s="62" t="s">
        <v>618</v>
      </c>
      <c r="C678" s="28">
        <f t="shared" si="100"/>
        <v>950.16</v>
      </c>
      <c r="D678" s="77"/>
      <c r="E678" s="28">
        <f t="shared" si="101"/>
        <v>62.160000000000004</v>
      </c>
      <c r="F678" s="28">
        <f t="shared" si="102"/>
        <v>35.520000000000003</v>
      </c>
      <c r="G678" s="28">
        <f t="shared" si="103"/>
        <v>26.64</v>
      </c>
      <c r="H678" s="28">
        <f t="shared" si="104"/>
        <v>888</v>
      </c>
      <c r="I678" s="28">
        <f t="shared" si="105"/>
        <v>444</v>
      </c>
      <c r="J678" s="46"/>
      <c r="K678" s="46"/>
      <c r="L678" s="46"/>
      <c r="M678" s="46"/>
      <c r="N678" s="46"/>
      <c r="O678" s="77">
        <v>60945</v>
      </c>
      <c r="P678" s="77">
        <v>61833</v>
      </c>
      <c r="Q678" s="79"/>
      <c r="R678" s="80"/>
      <c r="S678" s="77">
        <v>1</v>
      </c>
      <c r="T678" s="28">
        <f t="shared" si="106"/>
        <v>888</v>
      </c>
      <c r="U678" s="455" t="s">
        <v>1067</v>
      </c>
      <c r="V678" s="783" t="s">
        <v>838</v>
      </c>
      <c r="W678" s="14" t="s">
        <v>48</v>
      </c>
      <c r="X678" s="7"/>
      <c r="Y678" s="7"/>
      <c r="Z678" s="7"/>
      <c r="AA678" s="7"/>
      <c r="AB678" s="7"/>
      <c r="AC678" s="7"/>
    </row>
    <row r="679" spans="1:29" ht="25.5">
      <c r="A679" s="252"/>
      <c r="B679" s="62" t="s">
        <v>619</v>
      </c>
      <c r="C679" s="28">
        <f>H679+E679</f>
        <v>1292.56</v>
      </c>
      <c r="D679" s="28"/>
      <c r="E679" s="28">
        <f>F679+G679</f>
        <v>84.56</v>
      </c>
      <c r="F679" s="28">
        <f>0.04*H679</f>
        <v>48.32</v>
      </c>
      <c r="G679" s="28">
        <f>0.03*H679</f>
        <v>36.24</v>
      </c>
      <c r="H679" s="28">
        <f>T679</f>
        <v>1208</v>
      </c>
      <c r="I679" s="28">
        <f>0.5*C679</f>
        <v>646.28</v>
      </c>
      <c r="J679" s="29"/>
      <c r="K679" s="29"/>
      <c r="L679" s="29"/>
      <c r="M679" s="29"/>
      <c r="N679" s="29"/>
      <c r="O679" s="28">
        <v>76705</v>
      </c>
      <c r="P679" s="28">
        <v>77913</v>
      </c>
      <c r="Q679" s="30"/>
      <c r="R679" s="457"/>
      <c r="S679" s="28">
        <v>1</v>
      </c>
      <c r="T679" s="28">
        <f t="shared" si="106"/>
        <v>1208</v>
      </c>
      <c r="U679" s="455" t="s">
        <v>1068</v>
      </c>
      <c r="V679" s="783" t="s">
        <v>839</v>
      </c>
      <c r="W679" s="14" t="s">
        <v>48</v>
      </c>
      <c r="X679" s="7"/>
      <c r="Y679" s="7"/>
      <c r="Z679" s="7"/>
      <c r="AA679" s="7"/>
      <c r="AB679" s="7"/>
      <c r="AC679" s="7"/>
    </row>
    <row r="680" spans="1:29" ht="25.5">
      <c r="A680" s="252"/>
      <c r="B680" s="62" t="s">
        <v>1098</v>
      </c>
      <c r="C680" s="28">
        <f t="shared" si="100"/>
        <v>1600.72</v>
      </c>
      <c r="D680" s="77"/>
      <c r="E680" s="28">
        <f t="shared" si="101"/>
        <v>104.72</v>
      </c>
      <c r="F680" s="28">
        <f t="shared" si="102"/>
        <v>59.84</v>
      </c>
      <c r="G680" s="28">
        <f t="shared" si="103"/>
        <v>44.879999999999995</v>
      </c>
      <c r="H680" s="28">
        <f t="shared" si="104"/>
        <v>1496</v>
      </c>
      <c r="I680" s="28">
        <f t="shared" si="105"/>
        <v>748</v>
      </c>
      <c r="J680" s="46"/>
      <c r="K680" s="46"/>
      <c r="L680" s="46"/>
      <c r="M680" s="46"/>
      <c r="N680" s="46"/>
      <c r="O680" s="77">
        <v>46237</v>
      </c>
      <c r="P680" s="77">
        <v>47733</v>
      </c>
      <c r="Q680" s="79"/>
      <c r="R680" s="80"/>
      <c r="S680" s="77">
        <v>1</v>
      </c>
      <c r="T680" s="28">
        <f t="shared" si="106"/>
        <v>1496</v>
      </c>
      <c r="U680" s="455" t="s">
        <v>1069</v>
      </c>
      <c r="V680" s="783" t="s">
        <v>620</v>
      </c>
      <c r="W680" s="14" t="s">
        <v>48</v>
      </c>
      <c r="X680" s="7"/>
      <c r="Y680" s="7"/>
      <c r="Z680" s="7"/>
      <c r="AA680" s="7"/>
      <c r="AB680" s="7"/>
      <c r="AC680" s="7"/>
    </row>
    <row r="681" spans="1:29" ht="25.5">
      <c r="A681" s="252"/>
      <c r="B681" s="62" t="s">
        <v>621</v>
      </c>
      <c r="C681" s="28">
        <f t="shared" si="100"/>
        <v>624.88</v>
      </c>
      <c r="D681" s="77"/>
      <c r="E681" s="28">
        <f t="shared" si="101"/>
        <v>40.879999999999995</v>
      </c>
      <c r="F681" s="28">
        <f t="shared" si="102"/>
        <v>23.36</v>
      </c>
      <c r="G681" s="28">
        <f t="shared" si="103"/>
        <v>17.52</v>
      </c>
      <c r="H681" s="28">
        <f t="shared" si="104"/>
        <v>584</v>
      </c>
      <c r="I681" s="28">
        <f t="shared" si="105"/>
        <v>292</v>
      </c>
      <c r="J681" s="46"/>
      <c r="K681" s="46"/>
      <c r="L681" s="46"/>
      <c r="M681" s="46"/>
      <c r="N681" s="46"/>
      <c r="O681" s="77">
        <v>56994</v>
      </c>
      <c r="P681" s="77">
        <v>57578</v>
      </c>
      <c r="Q681" s="79"/>
      <c r="R681" s="80"/>
      <c r="S681" s="77">
        <v>1</v>
      </c>
      <c r="T681" s="28">
        <f t="shared" si="106"/>
        <v>584</v>
      </c>
      <c r="U681" s="455" t="s">
        <v>1070</v>
      </c>
      <c r="V681" s="783" t="s">
        <v>622</v>
      </c>
      <c r="W681" s="14" t="s">
        <v>48</v>
      </c>
      <c r="X681" s="7"/>
      <c r="Y681" s="7"/>
      <c r="Z681" s="7"/>
      <c r="AA681" s="7"/>
      <c r="AB681" s="7"/>
      <c r="AC681" s="7"/>
    </row>
    <row r="682" spans="1:29" ht="25.5">
      <c r="A682" s="252"/>
      <c r="B682" s="62" t="s">
        <v>623</v>
      </c>
      <c r="C682" s="28">
        <f t="shared" si="100"/>
        <v>912.71</v>
      </c>
      <c r="D682" s="77"/>
      <c r="E682" s="28">
        <f t="shared" si="101"/>
        <v>59.709999999999994</v>
      </c>
      <c r="F682" s="28">
        <f t="shared" si="102"/>
        <v>34.119999999999997</v>
      </c>
      <c r="G682" s="28">
        <f t="shared" si="103"/>
        <v>25.59</v>
      </c>
      <c r="H682" s="28">
        <f t="shared" si="104"/>
        <v>853</v>
      </c>
      <c r="I682" s="28">
        <f t="shared" si="105"/>
        <v>426.5</v>
      </c>
      <c r="J682" s="46"/>
      <c r="K682" s="46"/>
      <c r="L682" s="46"/>
      <c r="M682" s="46"/>
      <c r="N682" s="46"/>
      <c r="O682" s="77">
        <v>180061</v>
      </c>
      <c r="P682" s="77">
        <v>180914</v>
      </c>
      <c r="Q682" s="79"/>
      <c r="R682" s="80"/>
      <c r="S682" s="77">
        <v>1</v>
      </c>
      <c r="T682" s="28">
        <f t="shared" si="106"/>
        <v>853</v>
      </c>
      <c r="U682" s="455" t="s">
        <v>1071</v>
      </c>
      <c r="V682" s="783" t="s">
        <v>624</v>
      </c>
      <c r="W682" s="14" t="s">
        <v>48</v>
      </c>
      <c r="X682" s="7"/>
      <c r="Y682" s="7"/>
      <c r="Z682" s="7"/>
      <c r="AA682" s="7"/>
      <c r="AB682" s="7"/>
      <c r="AC682" s="7"/>
    </row>
    <row r="683" spans="1:29" ht="25.5">
      <c r="A683" s="252"/>
      <c r="B683" s="62" t="s">
        <v>625</v>
      </c>
      <c r="C683" s="28">
        <f t="shared" si="100"/>
        <v>592.78</v>
      </c>
      <c r="D683" s="77"/>
      <c r="E683" s="28">
        <f t="shared" si="101"/>
        <v>38.78</v>
      </c>
      <c r="F683" s="28">
        <f t="shared" si="102"/>
        <v>22.16</v>
      </c>
      <c r="G683" s="28">
        <f t="shared" si="103"/>
        <v>16.62</v>
      </c>
      <c r="H683" s="28">
        <f t="shared" si="104"/>
        <v>554</v>
      </c>
      <c r="I683" s="28">
        <f t="shared" si="105"/>
        <v>277</v>
      </c>
      <c r="J683" s="29"/>
      <c r="K683" s="29"/>
      <c r="L683" s="29"/>
      <c r="M683" s="29"/>
      <c r="N683" s="29"/>
      <c r="O683" s="28">
        <v>59166</v>
      </c>
      <c r="P683" s="28">
        <v>59720</v>
      </c>
      <c r="Q683" s="458"/>
      <c r="R683" s="80"/>
      <c r="S683" s="54">
        <v>1</v>
      </c>
      <c r="T683" s="28">
        <f t="shared" si="106"/>
        <v>554</v>
      </c>
      <c r="U683" s="455" t="s">
        <v>1072</v>
      </c>
      <c r="V683" s="783" t="s">
        <v>626</v>
      </c>
      <c r="W683" s="14" t="s">
        <v>48</v>
      </c>
      <c r="X683" s="7"/>
      <c r="Y683" s="7"/>
      <c r="Z683" s="7"/>
      <c r="AA683" s="7"/>
      <c r="AB683" s="7"/>
      <c r="AC683" s="7"/>
    </row>
    <row r="684" spans="1:29" ht="25.5">
      <c r="A684" s="252"/>
      <c r="B684" s="62" t="s">
        <v>627</v>
      </c>
      <c r="C684" s="28">
        <f t="shared" si="100"/>
        <v>364.87</v>
      </c>
      <c r="D684" s="77"/>
      <c r="E684" s="28">
        <f t="shared" si="101"/>
        <v>23.87</v>
      </c>
      <c r="F684" s="28">
        <f t="shared" si="102"/>
        <v>13.64</v>
      </c>
      <c r="G684" s="28">
        <f t="shared" si="103"/>
        <v>10.23</v>
      </c>
      <c r="H684" s="28">
        <f t="shared" si="104"/>
        <v>341</v>
      </c>
      <c r="I684" s="28">
        <f t="shared" si="105"/>
        <v>170.5</v>
      </c>
      <c r="J684" s="29"/>
      <c r="K684" s="29"/>
      <c r="L684" s="29"/>
      <c r="M684" s="29"/>
      <c r="N684" s="29"/>
      <c r="O684" s="28">
        <v>34036</v>
      </c>
      <c r="P684" s="28">
        <v>34377</v>
      </c>
      <c r="Q684" s="458"/>
      <c r="R684" s="80"/>
      <c r="S684" s="54">
        <v>1</v>
      </c>
      <c r="T684" s="28">
        <f t="shared" si="106"/>
        <v>341</v>
      </c>
      <c r="U684" s="455" t="s">
        <v>1073</v>
      </c>
      <c r="V684" s="783" t="s">
        <v>628</v>
      </c>
      <c r="W684" s="14" t="s">
        <v>48</v>
      </c>
      <c r="X684" s="7"/>
      <c r="Y684" s="7"/>
      <c r="Z684" s="7"/>
      <c r="AA684" s="7"/>
      <c r="AB684" s="7"/>
      <c r="AC684" s="7"/>
    </row>
    <row r="685" spans="1:29" ht="25.5">
      <c r="A685" s="252"/>
      <c r="B685" s="62" t="s">
        <v>629</v>
      </c>
      <c r="C685" s="28">
        <f t="shared" si="100"/>
        <v>354.17</v>
      </c>
      <c r="D685" s="77"/>
      <c r="E685" s="28">
        <f t="shared" si="101"/>
        <v>23.17</v>
      </c>
      <c r="F685" s="28">
        <f t="shared" si="102"/>
        <v>13.24</v>
      </c>
      <c r="G685" s="28">
        <f t="shared" si="103"/>
        <v>9.93</v>
      </c>
      <c r="H685" s="28">
        <f t="shared" si="104"/>
        <v>331</v>
      </c>
      <c r="I685" s="28">
        <f t="shared" si="105"/>
        <v>165.5</v>
      </c>
      <c r="J685" s="29"/>
      <c r="K685" s="29"/>
      <c r="L685" s="29"/>
      <c r="M685" s="29"/>
      <c r="N685" s="29"/>
      <c r="O685" s="28">
        <v>17425</v>
      </c>
      <c r="P685" s="28">
        <v>17756</v>
      </c>
      <c r="Q685" s="458"/>
      <c r="R685" s="80"/>
      <c r="S685" s="54">
        <v>1</v>
      </c>
      <c r="T685" s="28">
        <f t="shared" si="106"/>
        <v>331</v>
      </c>
      <c r="U685" s="455" t="s">
        <v>1074</v>
      </c>
      <c r="V685" s="783" t="s">
        <v>630</v>
      </c>
      <c r="W685" s="14" t="s">
        <v>48</v>
      </c>
      <c r="X685" s="7"/>
      <c r="Y685" s="7"/>
      <c r="Z685" s="7"/>
      <c r="AA685" s="7"/>
      <c r="AB685" s="7"/>
      <c r="AC685" s="7"/>
    </row>
    <row r="686" spans="1:29" ht="25.5">
      <c r="A686" s="252"/>
      <c r="B686" s="62" t="s">
        <v>950</v>
      </c>
      <c r="C686" s="28">
        <f t="shared" si="100"/>
        <v>1022.92</v>
      </c>
      <c r="D686" s="77"/>
      <c r="E686" s="28">
        <f t="shared" si="101"/>
        <v>66.92</v>
      </c>
      <c r="F686" s="28">
        <f t="shared" si="102"/>
        <v>38.24</v>
      </c>
      <c r="G686" s="28">
        <f t="shared" si="103"/>
        <v>28.68</v>
      </c>
      <c r="H686" s="28">
        <f t="shared" si="104"/>
        <v>956</v>
      </c>
      <c r="I686" s="28">
        <f t="shared" si="105"/>
        <v>478</v>
      </c>
      <c r="J686" s="29"/>
      <c r="K686" s="29"/>
      <c r="L686" s="29"/>
      <c r="M686" s="29"/>
      <c r="N686" s="29"/>
      <c r="O686" s="28">
        <v>244632</v>
      </c>
      <c r="P686" s="28">
        <v>245588</v>
      </c>
      <c r="Q686" s="458"/>
      <c r="R686" s="80"/>
      <c r="S686" s="54">
        <v>1</v>
      </c>
      <c r="T686" s="28">
        <f t="shared" si="106"/>
        <v>956</v>
      </c>
      <c r="U686" s="455" t="s">
        <v>1075</v>
      </c>
      <c r="V686" s="783" t="s">
        <v>930</v>
      </c>
      <c r="W686" s="14" t="s">
        <v>48</v>
      </c>
      <c r="X686" s="7"/>
      <c r="Y686" s="7"/>
      <c r="Z686" s="7"/>
      <c r="AA686" s="7"/>
      <c r="AB686" s="7"/>
      <c r="AC686" s="7"/>
    </row>
    <row r="687" spans="1:29" ht="25.5">
      <c r="A687" s="252"/>
      <c r="B687" s="62"/>
      <c r="C687" s="28"/>
      <c r="D687" s="77"/>
      <c r="E687" s="28"/>
      <c r="F687" s="28"/>
      <c r="G687" s="28"/>
      <c r="H687" s="28"/>
      <c r="I687" s="28"/>
      <c r="J687" s="29"/>
      <c r="K687" s="29"/>
      <c r="L687" s="29"/>
      <c r="M687" s="29"/>
      <c r="N687" s="29"/>
      <c r="O687" s="28"/>
      <c r="P687" s="28"/>
      <c r="Q687" s="458"/>
      <c r="R687" s="80"/>
      <c r="S687" s="54"/>
      <c r="T687" s="28"/>
      <c r="U687" s="455"/>
      <c r="V687" s="783"/>
      <c r="W687" s="14" t="s">
        <v>48</v>
      </c>
      <c r="X687" s="7"/>
      <c r="Y687" s="7"/>
      <c r="Z687" s="7"/>
      <c r="AA687" s="7"/>
      <c r="AB687" s="7"/>
      <c r="AC687" s="7"/>
    </row>
    <row r="688" spans="1:29" ht="30.75" customHeight="1">
      <c r="A688" s="252"/>
      <c r="B688" s="62"/>
      <c r="C688" s="28"/>
      <c r="D688" s="77"/>
      <c r="E688" s="28"/>
      <c r="F688" s="28"/>
      <c r="G688" s="28"/>
      <c r="H688" s="28"/>
      <c r="I688" s="28"/>
      <c r="J688" s="29"/>
      <c r="K688" s="29"/>
      <c r="L688" s="29"/>
      <c r="M688" s="29"/>
      <c r="N688" s="29"/>
      <c r="O688" s="28"/>
      <c r="P688" s="28"/>
      <c r="Q688" s="458"/>
      <c r="R688" s="80"/>
      <c r="S688" s="54"/>
      <c r="T688" s="28"/>
      <c r="U688" s="455"/>
      <c r="V688" s="783"/>
      <c r="W688" s="14" t="s">
        <v>48</v>
      </c>
      <c r="X688" s="7"/>
      <c r="Y688" s="7"/>
      <c r="Z688" s="7"/>
      <c r="AA688" s="7"/>
      <c r="AB688" s="7"/>
      <c r="AC688" s="7"/>
    </row>
    <row r="689" spans="1:29" ht="25.5">
      <c r="A689" s="252"/>
      <c r="B689" s="62" t="s">
        <v>631</v>
      </c>
      <c r="C689" s="28">
        <f t="shared" si="100"/>
        <v>609.9</v>
      </c>
      <c r="D689" s="77"/>
      <c r="E689" s="28">
        <f t="shared" si="101"/>
        <v>39.9</v>
      </c>
      <c r="F689" s="28">
        <f t="shared" si="102"/>
        <v>22.8</v>
      </c>
      <c r="G689" s="28">
        <f t="shared" si="103"/>
        <v>17.099999999999998</v>
      </c>
      <c r="H689" s="28">
        <f t="shared" si="104"/>
        <v>570</v>
      </c>
      <c r="I689" s="28">
        <f t="shared" si="105"/>
        <v>285</v>
      </c>
      <c r="J689" s="29"/>
      <c r="K689" s="29"/>
      <c r="L689" s="29"/>
      <c r="M689" s="29"/>
      <c r="N689" s="29"/>
      <c r="O689" s="28">
        <v>44291</v>
      </c>
      <c r="P689" s="28">
        <v>44861</v>
      </c>
      <c r="Q689" s="458"/>
      <c r="R689" s="80"/>
      <c r="S689" s="54">
        <v>1</v>
      </c>
      <c r="T689" s="28">
        <f t="shared" si="106"/>
        <v>570</v>
      </c>
      <c r="U689" s="455" t="s">
        <v>1076</v>
      </c>
      <c r="V689" s="783" t="s">
        <v>633</v>
      </c>
      <c r="W689" s="14" t="s">
        <v>48</v>
      </c>
      <c r="X689" s="7"/>
      <c r="Y689" s="7"/>
      <c r="Z689" s="7"/>
      <c r="AA689" s="7"/>
      <c r="AB689" s="7"/>
      <c r="AC689" s="7"/>
    </row>
    <row r="690" spans="1:29" ht="25.5">
      <c r="A690" s="252"/>
      <c r="B690" s="269"/>
      <c r="C690" s="28"/>
      <c r="D690" s="77"/>
      <c r="E690" s="28"/>
      <c r="F690" s="28"/>
      <c r="G690" s="28"/>
      <c r="H690" s="28"/>
      <c r="I690" s="28"/>
      <c r="J690" s="29"/>
      <c r="K690" s="29"/>
      <c r="L690" s="29"/>
      <c r="M690" s="29"/>
      <c r="N690" s="29"/>
      <c r="O690" s="28"/>
      <c r="P690" s="28"/>
      <c r="Q690" s="458"/>
      <c r="R690" s="80"/>
      <c r="S690" s="54"/>
      <c r="T690" s="28"/>
      <c r="U690" s="455"/>
      <c r="V690" s="783"/>
      <c r="W690" s="14" t="s">
        <v>48</v>
      </c>
      <c r="X690" s="7"/>
      <c r="Y690" s="7"/>
      <c r="Z690" s="7"/>
      <c r="AA690" s="7"/>
      <c r="AB690" s="7"/>
      <c r="AC690" s="7"/>
    </row>
    <row r="691" spans="1:29" ht="25.5">
      <c r="A691" s="252"/>
      <c r="B691" s="62"/>
      <c r="C691" s="28"/>
      <c r="D691" s="77"/>
      <c r="E691" s="28"/>
      <c r="F691" s="28"/>
      <c r="G691" s="28"/>
      <c r="H691" s="28"/>
      <c r="I691" s="28"/>
      <c r="J691" s="29"/>
      <c r="K691" s="29"/>
      <c r="L691" s="29"/>
      <c r="M691" s="29"/>
      <c r="N691" s="29"/>
      <c r="O691" s="28"/>
      <c r="P691" s="28"/>
      <c r="Q691" s="458"/>
      <c r="R691" s="80"/>
      <c r="S691" s="54"/>
      <c r="T691" s="28"/>
      <c r="U691" s="455"/>
      <c r="V691" s="783"/>
      <c r="W691" s="14" t="s">
        <v>48</v>
      </c>
      <c r="X691" s="7"/>
      <c r="Y691" s="7"/>
      <c r="Z691" s="7"/>
      <c r="AA691" s="7"/>
      <c r="AB691" s="7"/>
      <c r="AC691" s="7"/>
    </row>
    <row r="692" spans="1:29" ht="25.5">
      <c r="A692" s="252"/>
      <c r="B692" s="846" t="s">
        <v>634</v>
      </c>
      <c r="C692" s="28">
        <f t="shared" ref="C692" si="107">H692+E692</f>
        <v>1907.81</v>
      </c>
      <c r="D692" s="77"/>
      <c r="E692" s="28">
        <f t="shared" ref="E692" si="108">F692+G692</f>
        <v>124.81</v>
      </c>
      <c r="F692" s="28">
        <f t="shared" ref="F692" si="109">0.04*T692</f>
        <v>71.320000000000007</v>
      </c>
      <c r="G692" s="28">
        <f t="shared" ref="G692" si="110">0.03*T692</f>
        <v>53.489999999999995</v>
      </c>
      <c r="H692" s="28">
        <f t="shared" ref="H692" si="111">T692</f>
        <v>1783</v>
      </c>
      <c r="I692" s="28">
        <f t="shared" ref="I692" si="112">H692*0.5</f>
        <v>891.5</v>
      </c>
      <c r="J692" s="29"/>
      <c r="K692" s="29"/>
      <c r="L692" s="29"/>
      <c r="M692" s="29"/>
      <c r="N692" s="29"/>
      <c r="O692" s="28">
        <v>27245</v>
      </c>
      <c r="P692" s="28">
        <v>29028</v>
      </c>
      <c r="Q692" s="458"/>
      <c r="R692" s="80"/>
      <c r="S692" s="54">
        <v>1</v>
      </c>
      <c r="T692" s="28">
        <f t="shared" ref="T692" si="113">(P692-O692)*S692</f>
        <v>1783</v>
      </c>
      <c r="U692" s="455" t="s">
        <v>1096</v>
      </c>
      <c r="V692" s="783" t="s">
        <v>1097</v>
      </c>
      <c r="W692" s="14" t="s">
        <v>48</v>
      </c>
      <c r="X692" s="7"/>
      <c r="Y692" s="7"/>
      <c r="Z692" s="7"/>
      <c r="AA692" s="7"/>
      <c r="AB692" s="7"/>
      <c r="AC692" s="7"/>
    </row>
    <row r="693" spans="1:29" ht="25.5">
      <c r="A693" s="252"/>
      <c r="B693" s="847"/>
      <c r="C693" s="28">
        <f t="shared" si="100"/>
        <v>1665.99</v>
      </c>
      <c r="D693" s="77"/>
      <c r="E693" s="28">
        <f t="shared" si="101"/>
        <v>108.99000000000001</v>
      </c>
      <c r="F693" s="28">
        <f t="shared" si="102"/>
        <v>62.28</v>
      </c>
      <c r="G693" s="28">
        <f t="shared" si="103"/>
        <v>46.71</v>
      </c>
      <c r="H693" s="28">
        <f t="shared" si="104"/>
        <v>1557</v>
      </c>
      <c r="I693" s="28">
        <f t="shared" si="105"/>
        <v>778.5</v>
      </c>
      <c r="J693" s="29"/>
      <c r="K693" s="29"/>
      <c r="L693" s="29"/>
      <c r="M693" s="29"/>
      <c r="N693" s="29"/>
      <c r="O693" s="28">
        <v>36408</v>
      </c>
      <c r="P693" s="28">
        <v>37965</v>
      </c>
      <c r="Q693" s="458"/>
      <c r="R693" s="80"/>
      <c r="S693" s="54">
        <v>1</v>
      </c>
      <c r="T693" s="28">
        <f t="shared" si="106"/>
        <v>1557</v>
      </c>
      <c r="U693" s="455" t="s">
        <v>1095</v>
      </c>
      <c r="V693" s="783" t="s">
        <v>1097</v>
      </c>
      <c r="W693" s="14" t="s">
        <v>48</v>
      </c>
      <c r="X693" s="7"/>
      <c r="Y693" s="7"/>
      <c r="Z693" s="7"/>
      <c r="AA693" s="7"/>
      <c r="AB693" s="7"/>
      <c r="AC693" s="7"/>
    </row>
    <row r="694" spans="1:29" ht="25.5">
      <c r="A694" s="252"/>
      <c r="B694" s="62" t="s">
        <v>767</v>
      </c>
      <c r="C694" s="28">
        <f t="shared" si="100"/>
        <v>10009.85</v>
      </c>
      <c r="D694" s="77"/>
      <c r="E694" s="28">
        <f t="shared" si="101"/>
        <v>654.84999999999991</v>
      </c>
      <c r="F694" s="28">
        <f t="shared" si="102"/>
        <v>374.2</v>
      </c>
      <c r="G694" s="28">
        <f t="shared" si="103"/>
        <v>280.64999999999998</v>
      </c>
      <c r="H694" s="28">
        <f t="shared" si="104"/>
        <v>9355</v>
      </c>
      <c r="I694" s="28">
        <f t="shared" si="105"/>
        <v>4677.5</v>
      </c>
      <c r="J694" s="29"/>
      <c r="K694" s="29"/>
      <c r="L694" s="29"/>
      <c r="M694" s="29"/>
      <c r="N694" s="29"/>
      <c r="O694" s="28">
        <v>109174</v>
      </c>
      <c r="P694" s="28">
        <v>118529</v>
      </c>
      <c r="Q694" s="458"/>
      <c r="R694" s="80"/>
      <c r="S694" s="54">
        <v>1</v>
      </c>
      <c r="T694" s="28">
        <f t="shared" si="106"/>
        <v>9355</v>
      </c>
      <c r="U694" s="455" t="s">
        <v>958</v>
      </c>
      <c r="V694" s="783" t="s">
        <v>760</v>
      </c>
      <c r="W694" s="14" t="s">
        <v>48</v>
      </c>
      <c r="X694" s="7"/>
      <c r="Y694" s="7"/>
      <c r="Z694" s="7"/>
      <c r="AA694" s="7"/>
      <c r="AB694" s="7"/>
      <c r="AC694" s="7"/>
    </row>
    <row r="695" spans="1:29" ht="25.5">
      <c r="A695" s="252"/>
      <c r="B695" s="62"/>
      <c r="C695" s="28"/>
      <c r="D695" s="77"/>
      <c r="E695" s="28"/>
      <c r="F695" s="28"/>
      <c r="G695" s="28"/>
      <c r="H695" s="28"/>
      <c r="I695" s="28"/>
      <c r="J695" s="29"/>
      <c r="K695" s="29"/>
      <c r="L695" s="29"/>
      <c r="M695" s="29"/>
      <c r="N695" s="29"/>
      <c r="O695" s="28"/>
      <c r="P695" s="28"/>
      <c r="Q695" s="458"/>
      <c r="R695" s="80"/>
      <c r="S695" s="54"/>
      <c r="T695" s="28"/>
      <c r="U695" s="455"/>
      <c r="V695" s="783"/>
      <c r="W695" s="14" t="s">
        <v>48</v>
      </c>
      <c r="X695" s="7"/>
      <c r="Y695" s="7"/>
      <c r="Z695" s="7"/>
      <c r="AA695" s="7"/>
      <c r="AB695" s="7"/>
      <c r="AC695" s="7"/>
    </row>
    <row r="696" spans="1:29" ht="25.5">
      <c r="A696" s="252"/>
      <c r="B696" s="62" t="s">
        <v>636</v>
      </c>
      <c r="C696" s="28">
        <f t="shared" si="100"/>
        <v>29.96</v>
      </c>
      <c r="D696" s="77"/>
      <c r="E696" s="28">
        <f t="shared" si="101"/>
        <v>1.96</v>
      </c>
      <c r="F696" s="28">
        <f t="shared" si="102"/>
        <v>1.1200000000000001</v>
      </c>
      <c r="G696" s="28">
        <f t="shared" si="103"/>
        <v>0.84</v>
      </c>
      <c r="H696" s="28">
        <f t="shared" si="104"/>
        <v>28</v>
      </c>
      <c r="I696" s="28">
        <f t="shared" si="105"/>
        <v>14</v>
      </c>
      <c r="J696" s="29"/>
      <c r="K696" s="29"/>
      <c r="L696" s="29"/>
      <c r="M696" s="29"/>
      <c r="N696" s="29"/>
      <c r="O696" s="28">
        <v>65889</v>
      </c>
      <c r="P696" s="28">
        <v>66471</v>
      </c>
      <c r="Q696" s="458"/>
      <c r="R696" s="80"/>
      <c r="S696" s="54">
        <v>1</v>
      </c>
      <c r="T696" s="28">
        <f>(P696-O696)*S696-T683</f>
        <v>28</v>
      </c>
      <c r="U696" s="455" t="s">
        <v>1078</v>
      </c>
      <c r="V696" s="783" t="s">
        <v>638</v>
      </c>
      <c r="W696" s="14" t="s">
        <v>48</v>
      </c>
      <c r="X696" s="7"/>
      <c r="Y696" s="7"/>
      <c r="Z696" s="7"/>
      <c r="AA696" s="7"/>
      <c r="AB696" s="7"/>
      <c r="AC696" s="7"/>
    </row>
    <row r="697" spans="1:29" ht="25.5">
      <c r="A697" s="252"/>
      <c r="B697" s="430"/>
      <c r="C697" s="34"/>
      <c r="D697" s="370"/>
      <c r="E697" s="34"/>
      <c r="F697" s="34"/>
      <c r="G697" s="34"/>
      <c r="H697" s="34"/>
      <c r="I697" s="34"/>
      <c r="J697" s="36"/>
      <c r="K697" s="36"/>
      <c r="L697" s="36"/>
      <c r="M697" s="36"/>
      <c r="N697" s="36"/>
      <c r="O697" s="34"/>
      <c r="P697" s="34"/>
      <c r="Q697" s="371"/>
      <c r="R697" s="372"/>
      <c r="S697" s="373"/>
      <c r="T697" s="34"/>
      <c r="U697" s="718"/>
      <c r="V697" s="39"/>
      <c r="W697" s="14" t="s">
        <v>48</v>
      </c>
      <c r="X697" s="7"/>
      <c r="Y697" s="7"/>
      <c r="Z697" s="7"/>
      <c r="AA697" s="7"/>
      <c r="AB697" s="7"/>
      <c r="AC697" s="7"/>
    </row>
    <row r="698" spans="1:29" ht="25.5">
      <c r="A698" s="252"/>
      <c r="B698" s="430"/>
      <c r="C698" s="34"/>
      <c r="D698" s="370"/>
      <c r="E698" s="34"/>
      <c r="F698" s="34"/>
      <c r="G698" s="34"/>
      <c r="H698" s="34"/>
      <c r="I698" s="34"/>
      <c r="J698" s="36"/>
      <c r="K698" s="36"/>
      <c r="L698" s="36"/>
      <c r="M698" s="36"/>
      <c r="N698" s="36"/>
      <c r="O698" s="34"/>
      <c r="P698" s="34"/>
      <c r="Q698" s="371"/>
      <c r="R698" s="372"/>
      <c r="S698" s="373"/>
      <c r="T698" s="34"/>
      <c r="U698" s="718"/>
      <c r="V698" s="39"/>
      <c r="W698" s="14" t="s">
        <v>48</v>
      </c>
      <c r="X698" s="7"/>
      <c r="Y698" s="7"/>
      <c r="Z698" s="7"/>
      <c r="AA698" s="7"/>
      <c r="AB698" s="7"/>
      <c r="AC698" s="7"/>
    </row>
    <row r="699" spans="1:29" ht="25.5">
      <c r="A699" s="252"/>
      <c r="B699" s="314"/>
      <c r="C699" s="315"/>
      <c r="D699" s="315"/>
      <c r="E699" s="315"/>
      <c r="F699" s="315"/>
      <c r="G699" s="315"/>
      <c r="H699" s="315"/>
      <c r="I699" s="315"/>
      <c r="J699" s="316"/>
      <c r="K699" s="316"/>
      <c r="L699" s="316"/>
      <c r="M699" s="316"/>
      <c r="N699" s="316"/>
      <c r="O699" s="315"/>
      <c r="P699" s="315"/>
      <c r="Q699" s="344"/>
      <c r="R699" s="318"/>
      <c r="S699" s="315"/>
      <c r="T699" s="315"/>
      <c r="U699" s="712"/>
      <c r="V699" s="317"/>
      <c r="W699" s="14" t="s">
        <v>48</v>
      </c>
      <c r="X699" s="7"/>
      <c r="Y699" s="7"/>
      <c r="Z699" s="7"/>
      <c r="AA699" s="7"/>
      <c r="AB699" s="7"/>
      <c r="AC699" s="7"/>
    </row>
    <row r="700" spans="1:29" ht="25.5">
      <c r="A700" s="252"/>
      <c r="B700" s="459"/>
      <c r="C700" s="315"/>
      <c r="D700" s="315"/>
      <c r="E700" s="315"/>
      <c r="F700" s="315"/>
      <c r="G700" s="315"/>
      <c r="H700" s="315"/>
      <c r="I700" s="315"/>
      <c r="J700" s="316"/>
      <c r="K700" s="316"/>
      <c r="L700" s="316"/>
      <c r="M700" s="316"/>
      <c r="N700" s="316"/>
      <c r="O700" s="315"/>
      <c r="P700" s="315"/>
      <c r="Q700" s="344"/>
      <c r="R700" s="460"/>
      <c r="S700" s="315"/>
      <c r="T700" s="315"/>
      <c r="U700" s="712"/>
      <c r="V700" s="317"/>
      <c r="W700" s="14" t="s">
        <v>48</v>
      </c>
      <c r="X700" s="7"/>
      <c r="Y700" s="7"/>
      <c r="Z700" s="7"/>
      <c r="AA700" s="7"/>
      <c r="AB700" s="7"/>
      <c r="AC700" s="7"/>
    </row>
    <row r="701" spans="1:29" ht="25.5">
      <c r="A701" s="252"/>
      <c r="B701" s="430"/>
      <c r="C701" s="34"/>
      <c r="D701" s="34"/>
      <c r="E701" s="34"/>
      <c r="F701" s="34"/>
      <c r="G701" s="34"/>
      <c r="H701" s="34"/>
      <c r="I701" s="34"/>
      <c r="J701" s="36"/>
      <c r="K701" s="36"/>
      <c r="L701" s="36"/>
      <c r="M701" s="36"/>
      <c r="N701" s="36"/>
      <c r="O701" s="34"/>
      <c r="P701" s="34"/>
      <c r="Q701" s="437"/>
      <c r="R701" s="461"/>
      <c r="S701" s="373"/>
      <c r="T701" s="34"/>
      <c r="U701" s="718"/>
      <c r="V701" s="39"/>
      <c r="W701" s="14" t="s">
        <v>48</v>
      </c>
      <c r="X701" s="7"/>
      <c r="Y701" s="7"/>
      <c r="Z701" s="7"/>
      <c r="AA701" s="7"/>
      <c r="AB701" s="7"/>
      <c r="AC701" s="7"/>
    </row>
    <row r="702" spans="1:29" ht="25.5">
      <c r="A702" s="252"/>
      <c r="B702" s="430"/>
      <c r="C702" s="34"/>
      <c r="D702" s="34"/>
      <c r="E702" s="34"/>
      <c r="F702" s="34"/>
      <c r="G702" s="34"/>
      <c r="H702" s="34"/>
      <c r="I702" s="34"/>
      <c r="J702" s="36"/>
      <c r="K702" s="36"/>
      <c r="L702" s="36"/>
      <c r="M702" s="36"/>
      <c r="N702" s="36"/>
      <c r="O702" s="34"/>
      <c r="P702" s="34"/>
      <c r="Q702" s="437"/>
      <c r="R702" s="461"/>
      <c r="S702" s="373"/>
      <c r="T702" s="34"/>
      <c r="U702" s="718"/>
      <c r="V702" s="39"/>
      <c r="W702" s="14" t="s">
        <v>48</v>
      </c>
      <c r="X702" s="7"/>
      <c r="Y702" s="7"/>
      <c r="Z702" s="7"/>
      <c r="AA702" s="7"/>
      <c r="AB702" s="7"/>
      <c r="AC702" s="7"/>
    </row>
    <row r="703" spans="1:29" ht="25.5">
      <c r="A703" s="252"/>
      <c r="B703" s="430"/>
      <c r="C703" s="34"/>
      <c r="D703" s="34"/>
      <c r="E703" s="34"/>
      <c r="F703" s="34"/>
      <c r="G703" s="34"/>
      <c r="H703" s="34"/>
      <c r="I703" s="34"/>
      <c r="J703" s="36"/>
      <c r="K703" s="36"/>
      <c r="L703" s="36"/>
      <c r="M703" s="36"/>
      <c r="N703" s="36"/>
      <c r="O703" s="34"/>
      <c r="P703" s="34"/>
      <c r="Q703" s="437"/>
      <c r="R703" s="461"/>
      <c r="S703" s="373"/>
      <c r="T703" s="34"/>
      <c r="U703" s="718"/>
      <c r="V703" s="39"/>
      <c r="W703" s="14" t="s">
        <v>48</v>
      </c>
      <c r="X703" s="7"/>
      <c r="Y703" s="7"/>
      <c r="Z703" s="7"/>
      <c r="AA703" s="7"/>
      <c r="AB703" s="7"/>
      <c r="AC703" s="7"/>
    </row>
    <row r="704" spans="1:29" ht="25.5">
      <c r="A704" s="252"/>
      <c r="B704" s="430"/>
      <c r="C704" s="34"/>
      <c r="D704" s="34"/>
      <c r="E704" s="34"/>
      <c r="F704" s="34"/>
      <c r="G704" s="34"/>
      <c r="H704" s="34"/>
      <c r="I704" s="34"/>
      <c r="J704" s="36"/>
      <c r="K704" s="36"/>
      <c r="L704" s="36"/>
      <c r="M704" s="36"/>
      <c r="N704" s="36"/>
      <c r="O704" s="34"/>
      <c r="P704" s="34"/>
      <c r="Q704" s="437"/>
      <c r="R704" s="462"/>
      <c r="S704" s="34"/>
      <c r="T704" s="34"/>
      <c r="U704" s="718"/>
      <c r="V704" s="39"/>
      <c r="W704" s="14" t="s">
        <v>48</v>
      </c>
      <c r="X704" s="7"/>
      <c r="Y704" s="7"/>
      <c r="Z704" s="7"/>
      <c r="AA704" s="7"/>
      <c r="AB704" s="7"/>
      <c r="AC704" s="7"/>
    </row>
    <row r="705" spans="1:29" ht="25.5">
      <c r="A705" s="252"/>
      <c r="B705" s="104"/>
      <c r="C705" s="91"/>
      <c r="D705" s="91"/>
      <c r="E705" s="91"/>
      <c r="F705" s="91"/>
      <c r="G705" s="91"/>
      <c r="H705" s="91"/>
      <c r="I705" s="91"/>
      <c r="J705" s="22"/>
      <c r="K705" s="22"/>
      <c r="L705" s="22"/>
      <c r="M705" s="22"/>
      <c r="N705" s="22"/>
      <c r="O705" s="91"/>
      <c r="P705" s="91"/>
      <c r="Q705" s="7"/>
      <c r="R705" s="272"/>
      <c r="S705" s="151"/>
      <c r="T705" s="91"/>
      <c r="U705" s="644"/>
      <c r="V705" s="782"/>
      <c r="W705" s="14"/>
      <c r="X705" s="7"/>
      <c r="Y705" s="7"/>
      <c r="Z705" s="7"/>
      <c r="AA705" s="7"/>
      <c r="AB705" s="7"/>
      <c r="AC705" s="7"/>
    </row>
    <row r="706" spans="1:29" ht="26.25">
      <c r="A706" s="19"/>
      <c r="B706" s="143" t="s">
        <v>639</v>
      </c>
      <c r="C706" s="115">
        <f>SUM(C657:C705)</f>
        <v>34511.78</v>
      </c>
      <c r="D706" s="246"/>
      <c r="E706" s="115"/>
      <c r="F706" s="115"/>
      <c r="G706" s="115"/>
      <c r="H706" s="115"/>
      <c r="I706" s="115">
        <f>SUM(I657:I691)</f>
        <v>9807.7799999999988</v>
      </c>
      <c r="J706" s="22"/>
      <c r="K706" s="22"/>
      <c r="L706" s="22"/>
      <c r="M706" s="22"/>
      <c r="N706" s="22"/>
      <c r="O706" s="91"/>
      <c r="P706" s="91"/>
      <c r="Q706" s="244"/>
      <c r="R706" s="106"/>
      <c r="S706" s="151"/>
      <c r="T706" s="91"/>
      <c r="U706" s="644"/>
      <c r="V706" s="782"/>
      <c r="W706" s="14"/>
      <c r="X706" s="7"/>
      <c r="Y706" s="7"/>
      <c r="Z706" s="7"/>
      <c r="AA706" s="7"/>
      <c r="AB706" s="7"/>
      <c r="AC706" s="7"/>
    </row>
    <row r="707" spans="1:29" ht="25.5">
      <c r="A707" s="19"/>
      <c r="B707" s="104"/>
      <c r="C707" s="91"/>
      <c r="D707" s="92"/>
      <c r="E707" s="91"/>
      <c r="F707" s="91"/>
      <c r="G707" s="91"/>
      <c r="H707" s="91"/>
      <c r="I707" s="91"/>
      <c r="J707" s="22"/>
      <c r="K707" s="22"/>
      <c r="L707" s="22"/>
      <c r="M707" s="22"/>
      <c r="N707" s="22"/>
      <c r="O707" s="91"/>
      <c r="P707" s="91"/>
      <c r="Q707" s="244"/>
      <c r="R707" s="106"/>
      <c r="S707" s="151"/>
      <c r="T707" s="91"/>
      <c r="U707" s="644"/>
      <c r="V707" s="782"/>
      <c r="W707" s="14"/>
      <c r="X707" s="7"/>
      <c r="Y707" s="7"/>
      <c r="Z707" s="7"/>
      <c r="AA707" s="7"/>
      <c r="AB707" s="7"/>
      <c r="AC707" s="7"/>
    </row>
    <row r="708" spans="1:29" ht="25.5">
      <c r="A708" s="19"/>
      <c r="B708" s="148"/>
      <c r="C708" s="91"/>
      <c r="D708" s="92"/>
      <c r="E708" s="91"/>
      <c r="F708" s="91"/>
      <c r="G708" s="91"/>
      <c r="H708" s="91"/>
      <c r="I708" s="91"/>
      <c r="J708" s="22"/>
      <c r="K708" s="22"/>
      <c r="L708" s="22"/>
      <c r="M708" s="22"/>
      <c r="N708" s="22"/>
      <c r="O708" s="91"/>
      <c r="P708" s="91"/>
      <c r="Q708" s="244"/>
      <c r="R708" s="106"/>
      <c r="S708" s="151"/>
      <c r="T708" s="91"/>
      <c r="U708" s="644"/>
      <c r="V708" s="782"/>
      <c r="W708" s="14"/>
      <c r="X708" s="7"/>
      <c r="Y708" s="7"/>
      <c r="Z708" s="7"/>
      <c r="AA708" s="7"/>
      <c r="AB708" s="7"/>
      <c r="AC708" s="7"/>
    </row>
    <row r="709" spans="1:29" ht="26.25">
      <c r="A709" s="19"/>
      <c r="B709" s="90" t="s">
        <v>640</v>
      </c>
      <c r="C709" s="115">
        <f>C85+C109+C132+C329+C379+C654+C706+C163+D142</f>
        <v>1410574.7307999986</v>
      </c>
      <c r="D709" s="115">
        <f>D109+D86+D613</f>
        <v>0</v>
      </c>
      <c r="E709" s="115" t="e">
        <f>#REF!+E86+E109+E613</f>
        <v>#REF!</v>
      </c>
      <c r="F709" s="115"/>
      <c r="G709" s="115"/>
      <c r="H709" s="115" t="e">
        <f>#REF!+H109+H92+H613+H656+#REF!+H659+H56+H663</f>
        <v>#REF!</v>
      </c>
      <c r="I709" s="115">
        <f>I654+I85+I109+I613+I706</f>
        <v>247409.59500000032</v>
      </c>
      <c r="J709" s="22"/>
      <c r="K709" s="22"/>
      <c r="L709" s="22"/>
      <c r="M709" s="22"/>
      <c r="N709" s="22"/>
      <c r="O709" s="91"/>
      <c r="P709" s="91"/>
      <c r="Q709" s="7"/>
      <c r="R709" s="228"/>
      <c r="S709" s="151"/>
      <c r="T709" s="91"/>
      <c r="U709" s="644"/>
      <c r="V709" s="782"/>
      <c r="W709" s="14"/>
      <c r="X709" s="7"/>
      <c r="Y709" s="7"/>
      <c r="Z709" s="7"/>
      <c r="AA709" s="7"/>
      <c r="AB709" s="7"/>
      <c r="AC709" s="7"/>
    </row>
    <row r="710" spans="1:29" ht="26.25">
      <c r="A710" s="19"/>
      <c r="B710" s="148"/>
      <c r="C710" s="91"/>
      <c r="D710" s="115"/>
      <c r="E710" s="91"/>
      <c r="F710" s="91"/>
      <c r="G710" s="91"/>
      <c r="H710" s="91"/>
      <c r="I710" s="91"/>
      <c r="J710" s="22"/>
      <c r="K710" s="22"/>
      <c r="L710" s="22"/>
      <c r="M710" s="22"/>
      <c r="N710" s="22"/>
      <c r="O710" s="91"/>
      <c r="P710" s="91"/>
      <c r="Q710" s="7"/>
      <c r="R710" s="228"/>
      <c r="S710" s="248"/>
      <c r="T710" s="91"/>
      <c r="U710" s="644"/>
      <c r="V710" s="782"/>
      <c r="W710" s="14"/>
      <c r="X710" s="7"/>
      <c r="Y710" s="7"/>
      <c r="Z710" s="7"/>
      <c r="AA710" s="7"/>
      <c r="AB710" s="7"/>
      <c r="AC710" s="7"/>
    </row>
    <row r="711" spans="1:29" ht="26.25">
      <c r="A711" s="19"/>
      <c r="B711" s="148"/>
      <c r="C711" s="115"/>
      <c r="D711" s="92"/>
      <c r="E711" s="91"/>
      <c r="F711" s="91"/>
      <c r="G711" s="91"/>
      <c r="H711" s="91"/>
      <c r="I711" s="91"/>
      <c r="J711" s="22"/>
      <c r="K711" s="22"/>
      <c r="L711" s="22"/>
      <c r="M711" s="22"/>
      <c r="N711" s="22"/>
      <c r="O711" s="91"/>
      <c r="P711" s="91"/>
      <c r="Q711" s="7"/>
      <c r="R711" s="228"/>
      <c r="S711" s="248"/>
      <c r="T711" s="91"/>
      <c r="U711" s="644"/>
      <c r="V711" s="782"/>
      <c r="W711" s="14"/>
      <c r="X711" s="7"/>
      <c r="Y711" s="7"/>
      <c r="Z711" s="7"/>
      <c r="AA711" s="7"/>
      <c r="AB711" s="7"/>
      <c r="AC711" s="7"/>
    </row>
    <row r="712" spans="1:29" ht="25.5">
      <c r="A712" s="19"/>
      <c r="B712" s="148"/>
      <c r="C712" s="91"/>
      <c r="D712" s="92"/>
      <c r="E712" s="91"/>
      <c r="F712" s="91"/>
      <c r="G712" s="91"/>
      <c r="H712" s="91"/>
      <c r="I712" s="91"/>
      <c r="J712" s="22"/>
      <c r="K712" s="22"/>
      <c r="L712" s="22"/>
      <c r="M712" s="22"/>
      <c r="N712" s="22"/>
      <c r="O712" s="91"/>
      <c r="P712" s="91"/>
      <c r="Q712" s="7"/>
      <c r="R712" s="228"/>
      <c r="S712" s="151"/>
      <c r="T712" s="91"/>
      <c r="U712" s="644"/>
      <c r="V712" s="782"/>
      <c r="W712" s="14"/>
      <c r="X712" s="7"/>
      <c r="Y712" s="7"/>
      <c r="Z712" s="7"/>
      <c r="AA712" s="7"/>
      <c r="AB712" s="7"/>
      <c r="AC712" s="7"/>
    </row>
    <row r="713" spans="1:29" ht="25.5">
      <c r="A713" s="19"/>
      <c r="B713" s="148"/>
      <c r="C713" s="28"/>
      <c r="D713" s="77"/>
      <c r="E713" s="28"/>
      <c r="F713" s="28"/>
      <c r="G713" s="28"/>
      <c r="H713" s="28"/>
      <c r="I713" s="28"/>
      <c r="J713" s="29"/>
      <c r="K713" s="29"/>
      <c r="L713" s="29"/>
      <c r="M713" s="29"/>
      <c r="N713" s="29"/>
      <c r="O713" s="91"/>
      <c r="P713" s="91"/>
      <c r="Q713" s="30"/>
      <c r="R713" s="256"/>
      <c r="S713" s="54"/>
      <c r="T713" s="28"/>
      <c r="U713" s="644"/>
      <c r="V713" s="782"/>
      <c r="W713" s="14"/>
      <c r="X713" s="7"/>
      <c r="Y713" s="7"/>
      <c r="Z713" s="7"/>
      <c r="AA713" s="7"/>
      <c r="AB713" s="7"/>
      <c r="AC713" s="7"/>
    </row>
    <row r="714" spans="1:29" ht="25.5">
      <c r="A714" s="19"/>
      <c r="B714" s="148"/>
      <c r="C714" s="28"/>
      <c r="D714" s="77"/>
      <c r="E714" s="28"/>
      <c r="F714" s="28"/>
      <c r="G714" s="28"/>
      <c r="H714" s="28"/>
      <c r="I714" s="28"/>
      <c r="J714" s="29"/>
      <c r="K714" s="29"/>
      <c r="L714" s="29"/>
      <c r="M714" s="29"/>
      <c r="N714" s="29"/>
      <c r="O714" s="28"/>
      <c r="P714" s="28"/>
      <c r="Q714" s="30"/>
      <c r="R714" s="256"/>
      <c r="S714" s="54"/>
      <c r="T714" s="28"/>
      <c r="U714" s="644"/>
      <c r="V714" s="782"/>
      <c r="W714" s="14"/>
      <c r="X714" s="7"/>
      <c r="Y714" s="7"/>
      <c r="Z714" s="7"/>
      <c r="AA714" s="7"/>
      <c r="AB714" s="7"/>
      <c r="AC714" s="7"/>
    </row>
    <row r="715" spans="1:29" ht="26.25">
      <c r="A715" s="19"/>
      <c r="B715" s="148"/>
      <c r="C715" s="115"/>
      <c r="D715" s="92"/>
      <c r="E715" s="91"/>
      <c r="F715" s="91"/>
      <c r="G715" s="91"/>
      <c r="H715" s="91"/>
      <c r="I715" s="91"/>
      <c r="J715" s="22"/>
      <c r="K715" s="22"/>
      <c r="L715" s="22"/>
      <c r="M715" s="22"/>
      <c r="N715" s="22"/>
      <c r="O715" s="91"/>
      <c r="P715" s="91"/>
      <c r="Q715" s="149"/>
      <c r="R715" s="150"/>
      <c r="S715" s="151"/>
      <c r="T715" s="91"/>
      <c r="U715" s="644"/>
      <c r="V715" s="782"/>
      <c r="W715" s="14"/>
      <c r="X715" s="7"/>
      <c r="Y715" s="7"/>
      <c r="Z715" s="7"/>
      <c r="AA715" s="7"/>
      <c r="AB715" s="7"/>
      <c r="AC715" s="7"/>
    </row>
    <row r="716" spans="1:29" ht="26.25">
      <c r="A716" s="19"/>
      <c r="B716" s="148"/>
      <c r="C716" s="115"/>
      <c r="D716" s="91"/>
      <c r="E716" s="91"/>
      <c r="F716" s="91"/>
      <c r="G716" s="91"/>
      <c r="H716" s="91"/>
      <c r="I716" s="91"/>
      <c r="J716" s="22"/>
      <c r="K716" s="22"/>
      <c r="L716" s="22"/>
      <c r="M716" s="22"/>
      <c r="N716" s="22"/>
      <c r="O716" s="91"/>
      <c r="P716" s="91"/>
      <c r="Q716" s="149"/>
      <c r="R716" s="150"/>
      <c r="S716" s="151"/>
      <c r="T716" s="91"/>
      <c r="U716" s="644"/>
      <c r="V716" s="782"/>
      <c r="W716" s="14"/>
      <c r="X716" s="7"/>
      <c r="Y716" s="7"/>
      <c r="Z716" s="7"/>
      <c r="AA716" s="7"/>
      <c r="AB716" s="7"/>
      <c r="AC716" s="7"/>
    </row>
    <row r="717" spans="1:29" ht="25.5">
      <c r="A717" s="19"/>
      <c r="B717" s="104"/>
      <c r="C717" s="92"/>
      <c r="D717" s="92"/>
      <c r="E717" s="92"/>
      <c r="F717" s="92"/>
      <c r="G717" s="92"/>
      <c r="H717" s="92"/>
      <c r="I717" s="92"/>
      <c r="J717" s="142"/>
      <c r="K717" s="142"/>
      <c r="L717" s="142"/>
      <c r="M717" s="142"/>
      <c r="N717" s="142"/>
      <c r="O717" s="94"/>
      <c r="P717" s="94"/>
      <c r="Q717" s="94"/>
      <c r="R717" s="94"/>
      <c r="S717" s="94"/>
      <c r="T717" s="94"/>
      <c r="U717" s="731"/>
      <c r="V717" s="274"/>
      <c r="W717" s="14"/>
      <c r="X717" s="7"/>
      <c r="Y717" s="7"/>
      <c r="Z717" s="7"/>
      <c r="AA717" s="7"/>
      <c r="AB717" s="7"/>
      <c r="AC717" s="7"/>
    </row>
    <row r="718" spans="1:29" ht="26.25">
      <c r="A718" s="19"/>
      <c r="B718" s="123" t="s">
        <v>641</v>
      </c>
      <c r="C718" s="115"/>
      <c r="D718" s="92"/>
      <c r="E718" s="91">
        <f>F718+G718</f>
        <v>0</v>
      </c>
      <c r="F718" s="91"/>
      <c r="G718" s="91"/>
      <c r="H718" s="91"/>
      <c r="I718" s="91"/>
      <c r="J718" s="22"/>
      <c r="K718" s="22"/>
      <c r="L718" s="22"/>
      <c r="M718" s="22"/>
      <c r="N718" s="22"/>
      <c r="O718" s="91"/>
      <c r="P718" s="91"/>
      <c r="Q718" s="7"/>
      <c r="R718" s="228"/>
      <c r="S718" s="151"/>
      <c r="T718" s="91"/>
      <c r="U718" s="644"/>
      <c r="V718" s="782"/>
      <c r="W718" s="14"/>
      <c r="X718" s="7"/>
      <c r="Y718" s="7"/>
      <c r="Z718" s="7"/>
      <c r="AA718" s="7"/>
      <c r="AB718" s="7"/>
      <c r="AC718" s="7"/>
    </row>
    <row r="719" spans="1:29" ht="26.25">
      <c r="A719" s="19"/>
      <c r="B719" s="27" t="s">
        <v>642</v>
      </c>
      <c r="C719" s="72">
        <f>T719</f>
        <v>92</v>
      </c>
      <c r="D719" s="77"/>
      <c r="E719" s="28"/>
      <c r="F719" s="28"/>
      <c r="G719" s="28"/>
      <c r="H719" s="28"/>
      <c r="I719" s="28"/>
      <c r="J719" s="29"/>
      <c r="K719" s="29"/>
      <c r="L719" s="29"/>
      <c r="M719" s="29"/>
      <c r="N719" s="29"/>
      <c r="O719" s="28">
        <v>8241</v>
      </c>
      <c r="P719" s="28">
        <v>8333</v>
      </c>
      <c r="Q719" s="30"/>
      <c r="R719" s="256"/>
      <c r="S719" s="54">
        <v>1</v>
      </c>
      <c r="T719" s="28">
        <f>(P719-O719)*S719</f>
        <v>92</v>
      </c>
      <c r="U719" s="644"/>
      <c r="V719" s="782"/>
      <c r="W719" s="14"/>
      <c r="X719" s="7"/>
      <c r="Y719" s="7"/>
      <c r="Z719" s="7"/>
      <c r="AA719" s="7"/>
      <c r="AB719" s="7"/>
      <c r="AC719" s="7"/>
    </row>
    <row r="720" spans="1:29" ht="26.25">
      <c r="A720" s="19"/>
      <c r="B720" s="27" t="s">
        <v>643</v>
      </c>
      <c r="C720" s="28"/>
      <c r="D720" s="72">
        <f>P720-O720</f>
        <v>380</v>
      </c>
      <c r="E720" s="28"/>
      <c r="F720" s="28"/>
      <c r="G720" s="28"/>
      <c r="H720" s="28"/>
      <c r="I720" s="28"/>
      <c r="J720" s="29"/>
      <c r="K720" s="29"/>
      <c r="L720" s="29"/>
      <c r="M720" s="29"/>
      <c r="N720" s="29"/>
      <c r="O720" s="28">
        <v>125000</v>
      </c>
      <c r="P720" s="28">
        <v>125380</v>
      </c>
      <c r="Q720" s="30"/>
      <c r="R720" s="256"/>
      <c r="S720" s="171">
        <v>1</v>
      </c>
      <c r="T720" s="28">
        <f>(P720-O720)*S720</f>
        <v>380</v>
      </c>
      <c r="U720" s="644"/>
      <c r="V720" s="782"/>
      <c r="W720" s="14"/>
      <c r="X720" s="7"/>
      <c r="Y720" s="7"/>
      <c r="Z720" s="7"/>
      <c r="AA720" s="7"/>
      <c r="AB720" s="7"/>
      <c r="AC720" s="7"/>
    </row>
    <row r="721" spans="1:29" ht="26.25">
      <c r="A721" s="19"/>
      <c r="B721" s="27" t="s">
        <v>644</v>
      </c>
      <c r="C721" s="72">
        <f>P721-O721</f>
        <v>47</v>
      </c>
      <c r="D721" s="77"/>
      <c r="E721" s="28"/>
      <c r="F721" s="28"/>
      <c r="G721" s="28"/>
      <c r="H721" s="28"/>
      <c r="I721" s="28"/>
      <c r="J721" s="29"/>
      <c r="K721" s="29"/>
      <c r="L721" s="29"/>
      <c r="M721" s="29"/>
      <c r="N721" s="29"/>
      <c r="O721" s="28">
        <v>15027</v>
      </c>
      <c r="P721" s="28">
        <v>15074</v>
      </c>
      <c r="Q721" s="30"/>
      <c r="R721" s="256"/>
      <c r="S721" s="171">
        <v>1</v>
      </c>
      <c r="T721" s="28">
        <f>(P721-O721)*S721</f>
        <v>47</v>
      </c>
      <c r="U721" s="644"/>
      <c r="V721" s="782"/>
      <c r="W721" s="14"/>
      <c r="X721" s="7"/>
      <c r="Y721" s="7"/>
      <c r="Z721" s="7"/>
      <c r="AA721" s="7"/>
      <c r="AB721" s="7"/>
      <c r="AC721" s="7"/>
    </row>
    <row r="722" spans="1:29" ht="26.25">
      <c r="A722" s="19"/>
      <c r="B722" s="27" t="s">
        <v>1099</v>
      </c>
      <c r="C722" s="72">
        <f>P722-O722</f>
        <v>712</v>
      </c>
      <c r="D722" s="77"/>
      <c r="E722" s="28"/>
      <c r="F722" s="28"/>
      <c r="G722" s="28"/>
      <c r="H722" s="28"/>
      <c r="I722" s="28"/>
      <c r="J722" s="29"/>
      <c r="K722" s="29"/>
      <c r="L722" s="29"/>
      <c r="M722" s="29"/>
      <c r="N722" s="29"/>
      <c r="O722" s="470">
        <v>91948</v>
      </c>
      <c r="P722" s="470">
        <v>92660</v>
      </c>
      <c r="Q722" s="30"/>
      <c r="R722" s="256"/>
      <c r="S722" s="171">
        <v>1</v>
      </c>
      <c r="T722" s="28">
        <f>(P722-O722)*S722</f>
        <v>712</v>
      </c>
      <c r="U722" s="644"/>
      <c r="V722" s="782"/>
      <c r="W722" s="14"/>
      <c r="X722" s="7"/>
      <c r="Y722" s="7"/>
      <c r="Z722" s="7"/>
      <c r="AA722" s="7"/>
      <c r="AB722" s="7"/>
      <c r="AC722" s="7"/>
    </row>
    <row r="723" spans="1:29" ht="25.5">
      <c r="A723" s="19"/>
      <c r="B723" s="27" t="s">
        <v>646</v>
      </c>
      <c r="C723" s="28">
        <f>T723</f>
        <v>98</v>
      </c>
      <c r="D723" s="77"/>
      <c r="E723" s="28"/>
      <c r="F723" s="28"/>
      <c r="G723" s="28"/>
      <c r="H723" s="28"/>
      <c r="I723" s="28"/>
      <c r="J723" s="29"/>
      <c r="K723" s="29"/>
      <c r="L723" s="29"/>
      <c r="M723" s="29"/>
      <c r="N723" s="29"/>
      <c r="O723" s="28">
        <v>51469</v>
      </c>
      <c r="P723" s="28">
        <v>51567</v>
      </c>
      <c r="Q723" s="30"/>
      <c r="R723" s="256"/>
      <c r="S723" s="54">
        <v>1</v>
      </c>
      <c r="T723" s="28">
        <f>(P723-O723)*S723</f>
        <v>98</v>
      </c>
      <c r="U723" s="644"/>
      <c r="V723" s="782"/>
      <c r="W723" s="14"/>
      <c r="X723" s="7"/>
      <c r="Y723" s="7"/>
      <c r="Z723" s="7"/>
      <c r="AA723" s="7"/>
      <c r="AB723" s="7"/>
      <c r="AC723" s="7"/>
    </row>
    <row r="724" spans="1:29" ht="26.25">
      <c r="A724" s="19"/>
      <c r="B724" s="27" t="s">
        <v>1100</v>
      </c>
      <c r="C724" s="72">
        <f>T724</f>
        <v>1893</v>
      </c>
      <c r="D724" s="77">
        <v>0</v>
      </c>
      <c r="E724" s="28"/>
      <c r="F724" s="28"/>
      <c r="G724" s="28"/>
      <c r="H724" s="28"/>
      <c r="I724" s="28"/>
      <c r="J724" s="29"/>
      <c r="K724" s="29"/>
      <c r="L724" s="29"/>
      <c r="M724" s="29"/>
      <c r="N724" s="29"/>
      <c r="O724" s="28">
        <v>10741</v>
      </c>
      <c r="P724" s="28">
        <v>12634</v>
      </c>
      <c r="Q724" s="146"/>
      <c r="R724" s="147"/>
      <c r="S724" s="54">
        <v>1</v>
      </c>
      <c r="T724" s="28">
        <f>P724-O724</f>
        <v>1893</v>
      </c>
      <c r="U724" s="644"/>
      <c r="V724" s="782"/>
      <c r="W724" s="14"/>
      <c r="X724" s="7"/>
      <c r="Y724" s="7"/>
      <c r="Z724" s="7"/>
      <c r="AA724" s="7"/>
      <c r="AB724" s="7"/>
      <c r="AC724" s="7"/>
    </row>
    <row r="725" spans="1:29" ht="26.25">
      <c r="A725" s="19"/>
      <c r="B725" s="218"/>
      <c r="C725" s="72"/>
      <c r="D725" s="77"/>
      <c r="E725" s="28"/>
      <c r="F725" s="28"/>
      <c r="G725" s="28"/>
      <c r="H725" s="28"/>
      <c r="I725" s="28"/>
      <c r="J725" s="29"/>
      <c r="K725" s="29"/>
      <c r="L725" s="29"/>
      <c r="M725" s="29"/>
      <c r="N725" s="29"/>
      <c r="O725" s="28"/>
      <c r="P725" s="28"/>
      <c r="Q725" s="146"/>
      <c r="R725" s="147"/>
      <c r="S725" s="54"/>
      <c r="T725" s="28"/>
      <c r="U725" s="644"/>
      <c r="V725" s="782"/>
      <c r="W725" s="14"/>
      <c r="X725" s="7"/>
      <c r="Y725" s="7"/>
      <c r="Z725" s="7"/>
      <c r="AA725" s="7"/>
      <c r="AB725" s="7"/>
      <c r="AC725" s="7"/>
    </row>
    <row r="726" spans="1:29" ht="26.25">
      <c r="A726" s="19"/>
      <c r="B726" s="148" t="s">
        <v>86</v>
      </c>
      <c r="C726" s="115">
        <f>C719+C721+C723+C722+C724</f>
        <v>2842</v>
      </c>
      <c r="D726" s="91">
        <f>D720+D724</f>
        <v>380</v>
      </c>
      <c r="E726" s="28"/>
      <c r="F726" s="28"/>
      <c r="G726" s="28"/>
      <c r="H726" s="28"/>
      <c r="I726" s="28"/>
      <c r="J726" s="29"/>
      <c r="K726" s="29"/>
      <c r="L726" s="29"/>
      <c r="M726" s="29"/>
      <c r="N726" s="29"/>
      <c r="O726" s="28"/>
      <c r="P726" s="28"/>
      <c r="Q726" s="146"/>
      <c r="R726" s="147"/>
      <c r="S726" s="54"/>
      <c r="T726" s="28"/>
      <c r="U726" s="644"/>
      <c r="V726" s="782"/>
      <c r="W726" s="14"/>
      <c r="X726" s="7"/>
      <c r="Y726" s="7"/>
      <c r="Z726" s="7"/>
      <c r="AA726" s="7"/>
      <c r="AB726" s="7"/>
      <c r="AC726" s="7"/>
    </row>
    <row r="727" spans="1:29" ht="25.5">
      <c r="A727" s="19"/>
      <c r="B727" s="104"/>
      <c r="C727" s="92"/>
      <c r="D727" s="92"/>
      <c r="E727" s="92"/>
      <c r="F727" s="92"/>
      <c r="G727" s="92"/>
      <c r="H727" s="92"/>
      <c r="I727" s="92"/>
      <c r="J727" s="142"/>
      <c r="K727" s="142"/>
      <c r="L727" s="142"/>
      <c r="M727" s="142"/>
      <c r="N727" s="142"/>
      <c r="O727" s="94"/>
      <c r="P727" s="91"/>
      <c r="Q727" s="94"/>
      <c r="R727" s="94"/>
      <c r="S727" s="94"/>
      <c r="T727" s="94"/>
      <c r="U727" s="731"/>
      <c r="V727" s="274"/>
      <c r="W727" s="14"/>
      <c r="X727" s="7"/>
      <c r="Y727" s="7"/>
      <c r="Z727" s="7"/>
      <c r="AA727" s="7"/>
      <c r="AB727" s="7"/>
      <c r="AC727" s="7"/>
    </row>
    <row r="728" spans="1:29" ht="26.25">
      <c r="A728" s="19"/>
      <c r="B728" s="143"/>
      <c r="C728" s="92"/>
      <c r="D728" s="92"/>
      <c r="E728" s="246"/>
      <c r="F728" s="246"/>
      <c r="G728" s="92"/>
      <c r="H728" s="92"/>
      <c r="I728" s="92"/>
      <c r="J728" s="142"/>
      <c r="K728" s="142"/>
      <c r="L728" s="142"/>
      <c r="M728" s="142"/>
      <c r="N728" s="142"/>
      <c r="O728" s="94"/>
      <c r="P728" s="94"/>
      <c r="Q728" s="94"/>
      <c r="R728" s="94"/>
      <c r="S728" s="94"/>
      <c r="T728" s="94"/>
      <c r="U728" s="731"/>
      <c r="V728" s="274"/>
      <c r="W728" s="14"/>
      <c r="X728" s="7"/>
      <c r="Y728" s="7"/>
      <c r="Z728" s="7"/>
      <c r="AA728" s="7"/>
      <c r="AB728" s="7"/>
      <c r="AC728" s="7"/>
    </row>
    <row r="729" spans="1:29" ht="26.25">
      <c r="A729" s="271"/>
      <c r="B729" s="143" t="s">
        <v>648</v>
      </c>
      <c r="C729" s="115">
        <f>C709+C92</f>
        <v>1439251.8027999988</v>
      </c>
      <c r="D729" s="115">
        <f>D709+D726</f>
        <v>380</v>
      </c>
      <c r="E729" s="115" t="e">
        <f>E709</f>
        <v>#REF!</v>
      </c>
      <c r="F729" s="91"/>
      <c r="G729" s="91"/>
      <c r="H729" s="248" t="e">
        <f>H709</f>
        <v>#REF!</v>
      </c>
      <c r="I729" s="115">
        <f>I709</f>
        <v>247409.59500000032</v>
      </c>
      <c r="J729" s="142"/>
      <c r="K729" s="142"/>
      <c r="L729" s="142"/>
      <c r="M729" s="142"/>
      <c r="N729" s="142"/>
      <c r="O729" s="94"/>
      <c r="P729" s="94"/>
      <c r="Q729" s="94"/>
      <c r="R729" s="94"/>
      <c r="S729" s="94"/>
      <c r="T729" s="94"/>
      <c r="U729" s="731"/>
      <c r="V729" s="274"/>
      <c r="W729" s="14"/>
      <c r="X729" s="7"/>
      <c r="Y729" s="7"/>
      <c r="Z729" s="7"/>
      <c r="AA729" s="7"/>
      <c r="AB729" s="7"/>
      <c r="AC729" s="7"/>
    </row>
    <row r="730" spans="1:29" ht="26.25">
      <c r="A730" s="271"/>
      <c r="B730" s="143"/>
      <c r="C730" s="246"/>
      <c r="D730" s="246"/>
      <c r="E730" s="246"/>
      <c r="F730" s="92"/>
      <c r="G730" s="92"/>
      <c r="H730" s="92"/>
      <c r="I730" s="92"/>
      <c r="J730" s="142"/>
      <c r="K730" s="142"/>
      <c r="L730" s="142"/>
      <c r="M730" s="142"/>
      <c r="N730" s="142"/>
      <c r="O730" s="94"/>
      <c r="P730" s="94"/>
      <c r="Q730" s="94"/>
      <c r="R730" s="94"/>
      <c r="S730" s="94"/>
      <c r="T730" s="94"/>
      <c r="U730" s="731"/>
      <c r="V730" s="274"/>
      <c r="W730" s="14"/>
      <c r="X730" s="7"/>
      <c r="Y730" s="7"/>
      <c r="Z730" s="7"/>
      <c r="AA730" s="7"/>
      <c r="AB730" s="7"/>
      <c r="AC730" s="7"/>
    </row>
    <row r="731" spans="1:29" ht="25.5">
      <c r="A731" s="271"/>
      <c r="B731" s="104"/>
      <c r="C731" s="92"/>
      <c r="D731" s="92"/>
      <c r="E731" s="92"/>
      <c r="F731" s="92"/>
      <c r="G731" s="92"/>
      <c r="H731" s="92"/>
      <c r="I731" s="92"/>
      <c r="J731" s="142"/>
      <c r="K731" s="142"/>
      <c r="L731" s="142"/>
      <c r="M731" s="142"/>
      <c r="N731" s="142"/>
      <c r="O731" s="94"/>
      <c r="P731" s="94"/>
      <c r="Q731" s="94"/>
      <c r="R731" s="94"/>
      <c r="S731" s="94"/>
      <c r="T731" s="94"/>
      <c r="U731" s="731"/>
      <c r="V731" s="274"/>
      <c r="W731" s="14"/>
      <c r="X731" s="7"/>
      <c r="Y731" s="7"/>
      <c r="Z731" s="7"/>
      <c r="AA731" s="7"/>
      <c r="AB731" s="7"/>
      <c r="AC731" s="7"/>
    </row>
    <row r="732" spans="1:29" ht="26.25">
      <c r="A732" s="271"/>
      <c r="B732" s="143" t="s">
        <v>649</v>
      </c>
      <c r="C732" s="246"/>
      <c r="D732" s="246"/>
      <c r="E732" s="246"/>
      <c r="F732" s="92"/>
      <c r="G732" s="275"/>
      <c r="H732" s="92"/>
      <c r="I732" s="92"/>
      <c r="J732" s="142"/>
      <c r="K732" s="142"/>
      <c r="L732" s="142"/>
      <c r="M732" s="142"/>
      <c r="N732" s="142"/>
      <c r="O732" s="94"/>
      <c r="P732" s="94"/>
      <c r="Q732" s="94"/>
      <c r="R732" s="94"/>
      <c r="S732" s="94"/>
      <c r="T732" s="94"/>
      <c r="U732" s="731"/>
      <c r="V732" s="274"/>
      <c r="W732" s="14"/>
      <c r="X732" s="7"/>
      <c r="Y732" s="7"/>
      <c r="Z732" s="7"/>
      <c r="AA732" s="7"/>
      <c r="AB732" s="7"/>
      <c r="AC732" s="7"/>
    </row>
    <row r="733" spans="1:29" ht="25.5">
      <c r="A733" s="271"/>
      <c r="B733" s="104"/>
      <c r="C733" s="92"/>
      <c r="D733" s="92"/>
      <c r="E733" s="92"/>
      <c r="F733" s="92"/>
      <c r="G733" s="275"/>
      <c r="H733" s="92"/>
      <c r="I733" s="92"/>
      <c r="J733" s="142"/>
      <c r="K733" s="142"/>
      <c r="L733" s="142"/>
      <c r="M733" s="142"/>
      <c r="N733" s="142"/>
      <c r="O733" s="94"/>
      <c r="P733" s="94"/>
      <c r="Q733" s="94"/>
      <c r="R733" s="94"/>
      <c r="S733" s="94"/>
      <c r="T733" s="94"/>
      <c r="U733" s="731"/>
      <c r="V733" s="274"/>
      <c r="W733" s="14"/>
      <c r="X733" s="7"/>
      <c r="Y733" s="7"/>
      <c r="Z733" s="7"/>
      <c r="AA733" s="7"/>
      <c r="AB733" s="7"/>
      <c r="AC733" s="7"/>
    </row>
    <row r="734" spans="1:29" ht="25.5">
      <c r="A734" s="276"/>
      <c r="B734" s="277"/>
      <c r="C734" s="105"/>
      <c r="D734" s="105"/>
      <c r="E734" s="105"/>
      <c r="F734" s="105"/>
      <c r="G734" s="105"/>
      <c r="H734" s="105"/>
      <c r="I734" s="105"/>
      <c r="J734" s="98"/>
      <c r="K734" s="98"/>
      <c r="L734" s="98"/>
      <c r="M734" s="98"/>
      <c r="N734" s="98"/>
      <c r="O734" s="227"/>
      <c r="P734" s="227"/>
      <c r="Q734" s="227"/>
      <c r="R734" s="227"/>
      <c r="S734" s="227"/>
      <c r="T734" s="227"/>
      <c r="U734" s="273"/>
      <c r="V734" s="274"/>
      <c r="W734" s="7"/>
      <c r="X734" s="7"/>
      <c r="Y734" s="7"/>
      <c r="Z734" s="7"/>
      <c r="AA734" s="7"/>
      <c r="AB734" s="7"/>
      <c r="AC734" s="7"/>
    </row>
    <row r="735" spans="1:29" ht="25.5">
      <c r="A735" s="276"/>
      <c r="B735" s="277"/>
      <c r="C735" s="105"/>
      <c r="D735" s="105"/>
      <c r="E735" s="105"/>
      <c r="F735" s="105"/>
      <c r="G735" s="105"/>
      <c r="H735" s="105"/>
      <c r="I735" s="105"/>
      <c r="J735" s="98"/>
      <c r="K735" s="98"/>
      <c r="L735" s="98"/>
      <c r="M735" s="98"/>
      <c r="N735" s="98"/>
      <c r="O735" s="227"/>
      <c r="P735" s="227"/>
      <c r="Q735" s="227"/>
      <c r="R735" s="227"/>
      <c r="S735" s="227"/>
      <c r="T735" s="227"/>
      <c r="U735" s="273"/>
      <c r="V735" s="274"/>
      <c r="W735" s="7"/>
      <c r="X735" s="7"/>
      <c r="Y735" s="7"/>
      <c r="Z735" s="7"/>
      <c r="AA735" s="7"/>
      <c r="AB735" s="7"/>
      <c r="AC735" s="7"/>
    </row>
    <row r="736" spans="1:29" ht="25.5">
      <c r="A736" s="276"/>
      <c r="B736" s="277"/>
      <c r="C736" s="105"/>
      <c r="D736" s="105"/>
      <c r="E736" s="105"/>
      <c r="F736" s="105"/>
      <c r="G736" s="105"/>
      <c r="H736" s="105"/>
      <c r="I736" s="105"/>
      <c r="J736" s="98"/>
      <c r="K736" s="98"/>
      <c r="L736" s="98"/>
      <c r="M736" s="98"/>
      <c r="N736" s="98"/>
      <c r="O736" s="227"/>
      <c r="P736" s="227"/>
      <c r="Q736" s="227"/>
      <c r="R736" s="227"/>
      <c r="S736" s="227"/>
      <c r="T736" s="227"/>
      <c r="U736" s="273"/>
      <c r="V736" s="274"/>
      <c r="W736" s="7"/>
      <c r="X736" s="7"/>
      <c r="Y736" s="7"/>
      <c r="Z736" s="7"/>
      <c r="AA736" s="7"/>
      <c r="AB736" s="7"/>
      <c r="AC736" s="7"/>
    </row>
    <row r="737" spans="1:29" ht="25.5">
      <c r="A737" s="276"/>
      <c r="B737" s="277"/>
      <c r="C737" s="105"/>
      <c r="D737" s="105"/>
      <c r="E737" s="105"/>
      <c r="F737" s="105"/>
      <c r="G737" s="105"/>
      <c r="H737" s="105"/>
      <c r="I737" s="105"/>
      <c r="J737" s="98"/>
      <c r="K737" s="98"/>
      <c r="L737" s="98"/>
      <c r="M737" s="98"/>
      <c r="N737" s="98"/>
      <c r="O737" s="227"/>
      <c r="P737" s="227"/>
      <c r="Q737" s="227"/>
      <c r="R737" s="227"/>
      <c r="S737" s="227"/>
      <c r="T737" s="227"/>
      <c r="U737" s="273"/>
      <c r="V737" s="274"/>
      <c r="W737" s="7"/>
      <c r="X737" s="7"/>
      <c r="Y737" s="7"/>
      <c r="Z737" s="7"/>
      <c r="AA737" s="7"/>
      <c r="AB737" s="7"/>
      <c r="AC737" s="7"/>
    </row>
    <row r="738" spans="1:29" ht="25.5">
      <c r="A738" s="276"/>
      <c r="B738" s="277"/>
      <c r="C738" s="105"/>
      <c r="D738" s="105"/>
      <c r="E738" s="105"/>
      <c r="F738" s="105"/>
      <c r="G738" s="105"/>
      <c r="H738" s="105"/>
      <c r="I738" s="105"/>
      <c r="J738" s="98"/>
      <c r="K738" s="98"/>
      <c r="L738" s="98"/>
      <c r="M738" s="98"/>
      <c r="N738" s="98"/>
      <c r="O738" s="227"/>
      <c r="P738" s="227"/>
      <c r="Q738" s="227"/>
      <c r="R738" s="227"/>
      <c r="S738" s="227"/>
      <c r="T738" s="227"/>
      <c r="U738" s="273"/>
      <c r="V738" s="274"/>
      <c r="W738" s="7"/>
      <c r="X738" s="7"/>
      <c r="Y738" s="7"/>
      <c r="Z738" s="7"/>
      <c r="AA738" s="7"/>
      <c r="AB738" s="7"/>
      <c r="AC738" s="7"/>
    </row>
    <row r="739" spans="1:29" ht="25.5">
      <c r="A739" s="276"/>
      <c r="B739" s="277"/>
      <c r="C739" s="105"/>
      <c r="D739" s="105"/>
      <c r="E739" s="105"/>
      <c r="F739" s="105"/>
      <c r="G739" s="105"/>
      <c r="H739" s="105"/>
      <c r="I739" s="105"/>
      <c r="J739" s="98"/>
      <c r="K739" s="98"/>
      <c r="L739" s="98"/>
      <c r="M739" s="98"/>
      <c r="N739" s="98"/>
      <c r="O739" s="227"/>
      <c r="P739" s="227"/>
      <c r="Q739" s="227"/>
      <c r="R739" s="227"/>
      <c r="S739" s="227"/>
      <c r="T739" s="227"/>
      <c r="U739" s="273"/>
      <c r="V739" s="274"/>
      <c r="W739" s="7"/>
      <c r="X739" s="7"/>
      <c r="Y739" s="7"/>
      <c r="Z739" s="7"/>
      <c r="AA739" s="7"/>
      <c r="AB739" s="7"/>
      <c r="AC739" s="7"/>
    </row>
    <row r="740" spans="1:29" ht="25.5">
      <c r="A740" s="276"/>
      <c r="B740" s="277"/>
      <c r="C740" s="105"/>
      <c r="D740" s="105"/>
      <c r="E740" s="105"/>
      <c r="F740" s="105"/>
      <c r="G740" s="105"/>
      <c r="H740" s="105"/>
      <c r="I740" s="105"/>
      <c r="J740" s="98"/>
      <c r="K740" s="98"/>
      <c r="L740" s="98"/>
      <c r="M740" s="98"/>
      <c r="N740" s="98"/>
      <c r="O740" s="227"/>
      <c r="P740" s="227"/>
      <c r="Q740" s="227"/>
      <c r="R740" s="227"/>
      <c r="S740" s="227"/>
      <c r="T740" s="227"/>
      <c r="U740" s="273"/>
      <c r="V740" s="274"/>
      <c r="W740" s="7"/>
      <c r="X740" s="7"/>
      <c r="Y740" s="7"/>
      <c r="Z740" s="7"/>
      <c r="AA740" s="7"/>
      <c r="AB740" s="7"/>
      <c r="AC740" s="7"/>
    </row>
    <row r="741" spans="1:29" ht="25.5">
      <c r="A741" s="276"/>
      <c r="B741" s="277"/>
      <c r="C741" s="105"/>
      <c r="D741" s="105"/>
      <c r="E741" s="105"/>
      <c r="F741" s="105"/>
      <c r="G741" s="105"/>
      <c r="H741" s="105"/>
      <c r="I741" s="105"/>
      <c r="J741" s="98"/>
      <c r="K741" s="98"/>
      <c r="L741" s="98"/>
      <c r="M741" s="98"/>
      <c r="N741" s="98"/>
      <c r="O741" s="227"/>
      <c r="P741" s="227"/>
      <c r="Q741" s="227"/>
      <c r="R741" s="227"/>
      <c r="S741" s="227"/>
      <c r="T741" s="227"/>
      <c r="U741" s="273"/>
      <c r="V741" s="274"/>
      <c r="W741" s="7"/>
      <c r="X741" s="7"/>
      <c r="Y741" s="7"/>
      <c r="Z741" s="7"/>
      <c r="AA741" s="7"/>
      <c r="AB741" s="7"/>
      <c r="AC741" s="7"/>
    </row>
    <row r="742" spans="1:29" ht="25.5">
      <c r="A742" s="276"/>
      <c r="B742" s="277"/>
      <c r="C742" s="105"/>
      <c r="D742" s="105"/>
      <c r="E742" s="105"/>
      <c r="F742" s="105"/>
      <c r="G742" s="105"/>
      <c r="H742" s="105"/>
      <c r="I742" s="105"/>
      <c r="J742" s="98"/>
      <c r="K742" s="98"/>
      <c r="L742" s="98"/>
      <c r="M742" s="98"/>
      <c r="N742" s="98"/>
      <c r="O742" s="227"/>
      <c r="P742" s="227"/>
      <c r="Q742" s="227"/>
      <c r="R742" s="227"/>
      <c r="S742" s="227"/>
      <c r="T742" s="227"/>
      <c r="U742" s="273"/>
      <c r="V742" s="274"/>
      <c r="W742" s="7"/>
      <c r="X742" s="7"/>
      <c r="Y742" s="7"/>
      <c r="Z742" s="7"/>
      <c r="AA742" s="7"/>
      <c r="AB742" s="7"/>
      <c r="AC742" s="7"/>
    </row>
    <row r="743" spans="1:29" ht="25.5">
      <c r="A743" s="276"/>
      <c r="B743" s="277"/>
      <c r="C743" s="105"/>
      <c r="D743" s="105"/>
      <c r="E743" s="105"/>
      <c r="F743" s="105"/>
      <c r="G743" s="105"/>
      <c r="H743" s="105"/>
      <c r="I743" s="105"/>
      <c r="J743" s="98"/>
      <c r="K743" s="98"/>
      <c r="L743" s="98"/>
      <c r="M743" s="98"/>
      <c r="N743" s="98"/>
      <c r="O743" s="227"/>
      <c r="P743" s="227"/>
      <c r="Q743" s="227"/>
      <c r="R743" s="227"/>
      <c r="S743" s="227"/>
      <c r="T743" s="227"/>
      <c r="U743" s="273"/>
      <c r="V743" s="274"/>
      <c r="W743" s="7"/>
      <c r="X743" s="7"/>
      <c r="Y743" s="7"/>
      <c r="Z743" s="7"/>
      <c r="AA743" s="7"/>
      <c r="AB743" s="7"/>
      <c r="AC743" s="7"/>
    </row>
    <row r="744" spans="1:29" ht="25.5">
      <c r="A744" s="276"/>
      <c r="B744" s="277"/>
      <c r="C744" s="105"/>
      <c r="D744" s="105"/>
      <c r="E744" s="105"/>
      <c r="F744" s="105"/>
      <c r="G744" s="105"/>
      <c r="H744" s="105"/>
      <c r="I744" s="105"/>
      <c r="J744" s="98"/>
      <c r="K744" s="98"/>
      <c r="L744" s="98"/>
      <c r="M744" s="98"/>
      <c r="N744" s="98"/>
      <c r="O744" s="227"/>
      <c r="P744" s="227"/>
      <c r="Q744" s="227"/>
      <c r="R744" s="227"/>
      <c r="S744" s="227"/>
      <c r="T744" s="227"/>
      <c r="U744" s="273"/>
      <c r="V744" s="274"/>
      <c r="W744" s="7"/>
      <c r="X744" s="7"/>
      <c r="Y744" s="7"/>
      <c r="Z744" s="7"/>
      <c r="AA744" s="7"/>
      <c r="AB744" s="7"/>
      <c r="AC744" s="7"/>
    </row>
    <row r="745" spans="1:29" ht="25.5">
      <c r="A745" s="276"/>
      <c r="B745" s="277"/>
      <c r="C745" s="105"/>
      <c r="D745" s="105"/>
      <c r="E745" s="105"/>
      <c r="F745" s="105"/>
      <c r="G745" s="105"/>
      <c r="H745" s="105"/>
      <c r="I745" s="105"/>
      <c r="J745" s="98"/>
      <c r="K745" s="98"/>
      <c r="L745" s="98"/>
      <c r="M745" s="98"/>
      <c r="N745" s="98"/>
      <c r="O745" s="227"/>
      <c r="P745" s="227"/>
      <c r="Q745" s="227"/>
      <c r="R745" s="227"/>
      <c r="S745" s="227"/>
      <c r="T745" s="227"/>
      <c r="U745" s="273"/>
      <c r="V745" s="274"/>
      <c r="W745" s="7"/>
      <c r="X745" s="7"/>
      <c r="Y745" s="7"/>
      <c r="Z745" s="7"/>
      <c r="AA745" s="7"/>
      <c r="AB745" s="7"/>
      <c r="AC745" s="7"/>
    </row>
    <row r="746" spans="1:29" ht="25.5">
      <c r="A746" s="276"/>
      <c r="B746" s="277"/>
      <c r="C746" s="105"/>
      <c r="D746" s="105"/>
      <c r="E746" s="105"/>
      <c r="F746" s="105"/>
      <c r="G746" s="105"/>
      <c r="H746" s="105"/>
      <c r="I746" s="105"/>
      <c r="J746" s="98"/>
      <c r="K746" s="98"/>
      <c r="L746" s="98"/>
      <c r="M746" s="98"/>
      <c r="N746" s="98"/>
      <c r="O746" s="227"/>
      <c r="P746" s="227"/>
      <c r="Q746" s="227"/>
      <c r="R746" s="227"/>
      <c r="S746" s="227"/>
      <c r="T746" s="227"/>
      <c r="U746" s="273"/>
      <c r="V746" s="274"/>
      <c r="W746" s="7"/>
      <c r="X746" s="7"/>
      <c r="Y746" s="7"/>
      <c r="Z746" s="7"/>
      <c r="AA746" s="7"/>
      <c r="AB746" s="7"/>
      <c r="AC746" s="7"/>
    </row>
    <row r="747" spans="1:29" ht="25.5">
      <c r="A747" s="276"/>
      <c r="B747" s="277"/>
      <c r="C747" s="105"/>
      <c r="D747" s="105"/>
      <c r="E747" s="105"/>
      <c r="F747" s="105"/>
      <c r="G747" s="105"/>
      <c r="H747" s="105"/>
      <c r="I747" s="105"/>
      <c r="J747" s="98"/>
      <c r="K747" s="98"/>
      <c r="L747" s="98"/>
      <c r="M747" s="98"/>
      <c r="N747" s="98"/>
      <c r="O747" s="227"/>
      <c r="P747" s="227"/>
      <c r="Q747" s="227"/>
      <c r="R747" s="227"/>
      <c r="S747" s="227"/>
      <c r="T747" s="227"/>
      <c r="U747" s="273"/>
      <c r="V747" s="274"/>
      <c r="W747" s="7"/>
      <c r="X747" s="7"/>
      <c r="Y747" s="7"/>
      <c r="Z747" s="7"/>
      <c r="AA747" s="7"/>
      <c r="AB747" s="7"/>
      <c r="AC747" s="7"/>
    </row>
  </sheetData>
  <mergeCells count="30">
    <mergeCell ref="B692:B693"/>
    <mergeCell ref="V283:V284"/>
    <mergeCell ref="B297:B298"/>
    <mergeCell ref="B624:B626"/>
    <mergeCell ref="W650:W652"/>
    <mergeCell ref="B658:B659"/>
    <mergeCell ref="B665:B666"/>
    <mergeCell ref="B247:B248"/>
    <mergeCell ref="V247:V248"/>
    <mergeCell ref="P4:P5"/>
    <mergeCell ref="S4:S5"/>
    <mergeCell ref="T4:T5"/>
    <mergeCell ref="V61:V62"/>
    <mergeCell ref="A87:B87"/>
    <mergeCell ref="A94:B94"/>
    <mergeCell ref="B98:B99"/>
    <mergeCell ref="B176:B177"/>
    <mergeCell ref="B187:B188"/>
    <mergeCell ref="V200:V201"/>
    <mergeCell ref="V211:V212"/>
    <mergeCell ref="AQ1:BJ1"/>
    <mergeCell ref="A3:T3"/>
    <mergeCell ref="A4:A5"/>
    <mergeCell ref="B4:B5"/>
    <mergeCell ref="C4:C5"/>
    <mergeCell ref="D4:D5"/>
    <mergeCell ref="E4:G4"/>
    <mergeCell ref="H4:H5"/>
    <mergeCell ref="I4:I5"/>
    <mergeCell ref="O4:O5"/>
  </mergeCells>
  <pageMargins left="0.27559055118110237" right="0" top="0.39370078740157483" bottom="0.39370078740157483" header="0.31496062992125984" footer="0.31496062992125984"/>
  <pageSetup paperSize="9" scale="43" orientation="landscape" r:id="rId1"/>
  <colBreaks count="1" manualBreakCount="1">
    <brk id="22" max="635" man="1"/>
  </colBreaks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7"/>
  <sheetViews>
    <sheetView topLeftCell="A33" zoomScale="55" zoomScaleNormal="55" workbookViewId="0">
      <selection activeCell="AA45" sqref="AA45"/>
    </sheetView>
  </sheetViews>
  <sheetFormatPr defaultRowHeight="26.25"/>
  <cols>
    <col min="1" max="1" width="90" style="282" customWidth="1"/>
    <col min="2" max="2" width="21" style="282" customWidth="1"/>
    <col min="3" max="3" width="0.140625" style="282" customWidth="1"/>
    <col min="4" max="4" width="19" style="282" customWidth="1"/>
    <col min="5" max="5" width="17.7109375" style="282" customWidth="1"/>
    <col min="6" max="6" width="18.5703125" style="282" customWidth="1"/>
    <col min="7" max="7" width="21.5703125" style="282" customWidth="1"/>
    <col min="8" max="8" width="19.5703125" style="282" customWidth="1"/>
    <col min="9" max="12" width="9.140625" style="282" hidden="1" customWidth="1"/>
    <col min="13" max="13" width="21.7109375" style="282" hidden="1" customWidth="1"/>
    <col min="14" max="14" width="18.5703125" style="282" customWidth="1"/>
    <col min="15" max="15" width="26.42578125" style="282" customWidth="1"/>
    <col min="16" max="16" width="9.140625" style="282" hidden="1" customWidth="1"/>
    <col min="17" max="17" width="14.85546875" style="282" hidden="1" customWidth="1"/>
    <col min="18" max="18" width="11.7109375" style="282" customWidth="1"/>
    <col min="19" max="19" width="21.5703125" style="282" customWidth="1"/>
    <col min="20" max="20" width="17.42578125" style="282" customWidth="1"/>
    <col min="21" max="16384" width="9.140625" style="282"/>
  </cols>
  <sheetData>
    <row r="1" spans="1:21">
      <c r="A1" s="278"/>
      <c r="B1" s="279"/>
      <c r="C1" s="279"/>
      <c r="D1" s="279"/>
      <c r="E1" s="279"/>
      <c r="F1" s="279"/>
      <c r="G1" s="279"/>
      <c r="H1" s="279"/>
      <c r="I1" s="280"/>
      <c r="J1" s="280"/>
      <c r="K1" s="280"/>
      <c r="L1" s="280"/>
      <c r="M1" s="280"/>
      <c r="N1" s="279"/>
      <c r="O1" s="279"/>
      <c r="P1" s="280"/>
      <c r="Q1" s="280"/>
      <c r="R1" s="279"/>
      <c r="S1" s="279"/>
      <c r="T1" s="281"/>
      <c r="U1" s="281"/>
    </row>
    <row r="2" spans="1:21">
      <c r="A2" s="278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</row>
    <row r="3" spans="1:21">
      <c r="A3" s="278"/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</row>
    <row r="4" spans="1:21">
      <c r="A4" s="278"/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</row>
    <row r="5" spans="1:21">
      <c r="A5" s="278"/>
      <c r="B5" s="281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</row>
    <row r="6" spans="1:21">
      <c r="A6" s="278"/>
      <c r="B6" s="281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</row>
    <row r="7" spans="1:21">
      <c r="A7" s="278"/>
      <c r="B7" s="281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</row>
    <row r="8" spans="1:21">
      <c r="A8" s="278"/>
      <c r="B8" s="281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</row>
    <row r="9" spans="1:21">
      <c r="A9" s="278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</row>
    <row r="10" spans="1:21">
      <c r="A10" s="278"/>
      <c r="B10" s="281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</row>
    <row r="11" spans="1:21">
      <c r="A11" s="278"/>
      <c r="B11" s="281"/>
      <c r="C11" s="279"/>
      <c r="D11" s="279"/>
      <c r="E11" s="279"/>
      <c r="F11" s="279"/>
      <c r="G11" s="279"/>
      <c r="H11" s="279"/>
      <c r="I11" s="279"/>
      <c r="J11" s="280"/>
      <c r="K11" s="280"/>
      <c r="L11" s="280"/>
      <c r="M11" s="280"/>
      <c r="N11" s="280"/>
      <c r="O11" s="279"/>
      <c r="P11" s="279"/>
      <c r="Q11" s="280"/>
      <c r="R11" s="280"/>
      <c r="S11" s="279"/>
      <c r="T11" s="279"/>
      <c r="U11" s="281"/>
    </row>
    <row r="12" spans="1:21">
      <c r="A12" s="278"/>
      <c r="B12" s="281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</row>
    <row r="13" spans="1:21">
      <c r="A13" s="278"/>
    </row>
    <row r="14" spans="1:21">
      <c r="A14" s="278"/>
    </row>
    <row r="15" spans="1:21">
      <c r="A15" s="278"/>
    </row>
    <row r="16" spans="1:21">
      <c r="A16" s="278"/>
    </row>
    <row r="17" spans="1:30">
      <c r="A17" s="278"/>
    </row>
    <row r="18" spans="1:30">
      <c r="A18" s="278"/>
    </row>
    <row r="19" spans="1:30">
      <c r="A19" s="278"/>
    </row>
    <row r="20" spans="1:30">
      <c r="A20" s="278"/>
    </row>
    <row r="21" spans="1:30">
      <c r="A21" s="278"/>
    </row>
    <row r="22" spans="1:30">
      <c r="A22" s="278"/>
    </row>
    <row r="23" spans="1:30">
      <c r="A23" s="278"/>
    </row>
    <row r="24" spans="1:30">
      <c r="A24" s="283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</row>
    <row r="25" spans="1:30">
      <c r="A25" s="284"/>
      <c r="B25" s="279"/>
      <c r="C25" s="279"/>
      <c r="D25" s="279"/>
      <c r="E25" s="279"/>
      <c r="F25" s="279"/>
      <c r="G25" s="279"/>
      <c r="H25" s="279"/>
      <c r="I25" s="280"/>
      <c r="J25" s="280"/>
      <c r="K25" s="280"/>
      <c r="L25" s="280"/>
      <c r="M25" s="280"/>
      <c r="N25" s="279"/>
      <c r="O25" s="279"/>
      <c r="P25" s="280"/>
      <c r="Q25" s="280"/>
      <c r="R25" s="279"/>
      <c r="S25" s="279"/>
    </row>
    <row r="26" spans="1:30">
      <c r="A26" s="283"/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</row>
    <row r="27" spans="1:30">
      <c r="A27" s="281"/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</row>
    <row r="28" spans="1:30" ht="15" customHeight="1" thickBot="1">
      <c r="A28" s="281"/>
      <c r="B28" s="281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</row>
    <row r="29" spans="1:30" ht="41.25" customHeight="1" thickBot="1">
      <c r="A29" s="285"/>
      <c r="B29" s="843" t="s">
        <v>1160</v>
      </c>
      <c r="C29" s="844"/>
      <c r="D29" s="844"/>
      <c r="E29" s="844"/>
      <c r="F29" s="844"/>
      <c r="G29" s="844"/>
      <c r="H29" s="844"/>
      <c r="I29" s="844"/>
      <c r="J29" s="844"/>
      <c r="K29" s="844"/>
      <c r="L29" s="844"/>
      <c r="M29" s="844"/>
      <c r="N29" s="845"/>
      <c r="O29" s="285"/>
      <c r="P29" s="285"/>
      <c r="Q29" s="285"/>
      <c r="R29" s="285"/>
      <c r="S29" s="285"/>
      <c r="T29" s="286"/>
      <c r="U29" s="286"/>
      <c r="V29" s="286"/>
      <c r="W29" s="286"/>
      <c r="X29" s="286"/>
      <c r="Y29" s="286"/>
      <c r="Z29" s="286"/>
      <c r="AA29" s="286"/>
      <c r="AB29" s="286"/>
      <c r="AC29" s="286"/>
      <c r="AD29" s="286"/>
    </row>
    <row r="30" spans="1:30" ht="9.75" customHeight="1">
      <c r="A30" s="285"/>
      <c r="B30" s="285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5"/>
      <c r="N30" s="285"/>
      <c r="O30" s="285"/>
      <c r="P30" s="285"/>
      <c r="Q30" s="285"/>
      <c r="R30" s="285"/>
      <c r="S30" s="285"/>
      <c r="T30" s="286"/>
      <c r="U30" s="286"/>
      <c r="V30" s="286"/>
      <c r="W30" s="286"/>
      <c r="X30" s="286"/>
      <c r="Y30" s="286"/>
      <c r="Z30" s="286"/>
      <c r="AA30" s="286"/>
      <c r="AB30" s="286"/>
      <c r="AC30" s="286"/>
      <c r="AD30" s="286"/>
    </row>
    <row r="31" spans="1:30" ht="33.75" customHeight="1">
      <c r="A31" s="829" t="s">
        <v>1</v>
      </c>
      <c r="B31" s="826" t="s">
        <v>2</v>
      </c>
      <c r="C31" s="826" t="s">
        <v>3</v>
      </c>
      <c r="D31" s="826" t="s">
        <v>4</v>
      </c>
      <c r="E31" s="826"/>
      <c r="F31" s="826"/>
      <c r="G31" s="826" t="s">
        <v>5</v>
      </c>
      <c r="H31" s="826" t="s">
        <v>6</v>
      </c>
      <c r="I31" s="206"/>
      <c r="J31" s="287"/>
      <c r="K31" s="287"/>
      <c r="L31" s="287"/>
      <c r="M31" s="287"/>
      <c r="N31" s="824" t="s">
        <v>7</v>
      </c>
      <c r="O31" s="826" t="s">
        <v>8</v>
      </c>
      <c r="P31" s="287"/>
      <c r="Q31" s="287"/>
      <c r="R31" s="826" t="s">
        <v>9</v>
      </c>
      <c r="S31" s="826" t="s">
        <v>2</v>
      </c>
      <c r="T31" s="858" t="s">
        <v>1123</v>
      </c>
      <c r="U31" s="286"/>
      <c r="V31" s="286"/>
      <c r="W31" s="286"/>
      <c r="X31" s="286"/>
      <c r="Y31" s="286"/>
      <c r="Z31" s="286"/>
      <c r="AA31" s="286"/>
      <c r="AB31" s="286"/>
      <c r="AC31" s="286"/>
      <c r="AD31" s="286"/>
    </row>
    <row r="32" spans="1:30" ht="51" customHeight="1">
      <c r="A32" s="829"/>
      <c r="B32" s="826"/>
      <c r="C32" s="826"/>
      <c r="D32" s="781" t="s">
        <v>10</v>
      </c>
      <c r="E32" s="781" t="s">
        <v>11</v>
      </c>
      <c r="F32" s="781" t="s">
        <v>12</v>
      </c>
      <c r="G32" s="826"/>
      <c r="H32" s="826"/>
      <c r="I32" s="206"/>
      <c r="J32" s="287"/>
      <c r="K32" s="287"/>
      <c r="L32" s="287"/>
      <c r="M32" s="287"/>
      <c r="N32" s="825"/>
      <c r="O32" s="826"/>
      <c r="P32" s="287"/>
      <c r="Q32" s="288"/>
      <c r="R32" s="826"/>
      <c r="S32" s="826"/>
      <c r="T32" s="859"/>
      <c r="U32" s="286"/>
      <c r="V32" s="286"/>
      <c r="W32" s="286"/>
      <c r="X32" s="286"/>
      <c r="Y32" s="286"/>
      <c r="Z32" s="286"/>
      <c r="AA32" s="286"/>
      <c r="AB32" s="286"/>
      <c r="AC32" s="286"/>
      <c r="AD32" s="286"/>
    </row>
    <row r="33" spans="1:30" ht="35.1" customHeight="1">
      <c r="A33" s="289" t="s">
        <v>650</v>
      </c>
      <c r="B33" s="206">
        <f t="shared" ref="B33:B60" si="0">G33+D33</f>
        <v>2311.1999999999998</v>
      </c>
      <c r="C33" s="206"/>
      <c r="D33" s="206">
        <f t="shared" ref="D33:D56" si="1">E33+F33</f>
        <v>151.19999999999999</v>
      </c>
      <c r="E33" s="206">
        <f t="shared" ref="E33:E56" si="2">0.04*G33</f>
        <v>86.4</v>
      </c>
      <c r="F33" s="206">
        <f t="shared" ref="F33:F56" si="3">0.03*G33</f>
        <v>64.8</v>
      </c>
      <c r="G33" s="206">
        <f t="shared" ref="G33:G56" si="4">S33</f>
        <v>2160</v>
      </c>
      <c r="H33" s="206">
        <f t="shared" ref="H33:H60" si="5">0.6*B33</f>
        <v>1386.7199999999998</v>
      </c>
      <c r="I33" s="290"/>
      <c r="J33" s="290"/>
      <c r="K33" s="290"/>
      <c r="L33" s="290"/>
      <c r="M33" s="290"/>
      <c r="N33" s="206">
        <v>4832</v>
      </c>
      <c r="O33" s="206">
        <v>4886</v>
      </c>
      <c r="P33" s="203"/>
      <c r="Q33" s="205"/>
      <c r="R33" s="291">
        <v>40</v>
      </c>
      <c r="S33" s="206">
        <f t="shared" ref="S33:S47" si="6">(O33-N33)*R33</f>
        <v>2160</v>
      </c>
      <c r="T33" s="765" t="s">
        <v>1124</v>
      </c>
      <c r="U33" s="286"/>
      <c r="V33" s="286"/>
      <c r="W33" s="286"/>
      <c r="X33" s="286"/>
      <c r="Y33" s="286"/>
      <c r="Z33" s="286"/>
      <c r="AA33" s="286"/>
      <c r="AB33" s="286"/>
      <c r="AC33" s="286"/>
      <c r="AD33" s="286"/>
    </row>
    <row r="34" spans="1:30" ht="35.1" customHeight="1">
      <c r="A34" s="289" t="s">
        <v>651</v>
      </c>
      <c r="B34" s="206">
        <f t="shared" si="0"/>
        <v>2867.6</v>
      </c>
      <c r="C34" s="206"/>
      <c r="D34" s="206">
        <f t="shared" si="1"/>
        <v>187.6</v>
      </c>
      <c r="E34" s="206">
        <f t="shared" si="2"/>
        <v>107.2</v>
      </c>
      <c r="F34" s="206">
        <f t="shared" si="3"/>
        <v>80.399999999999991</v>
      </c>
      <c r="G34" s="206">
        <f t="shared" si="4"/>
        <v>2680</v>
      </c>
      <c r="H34" s="206">
        <f t="shared" si="5"/>
        <v>1720.56</v>
      </c>
      <c r="I34" s="290"/>
      <c r="J34" s="290"/>
      <c r="K34" s="290"/>
      <c r="L34" s="290"/>
      <c r="M34" s="290"/>
      <c r="N34" s="206">
        <v>4441</v>
      </c>
      <c r="O34" s="206">
        <v>4508</v>
      </c>
      <c r="P34" s="203"/>
      <c r="Q34" s="205"/>
      <c r="R34" s="291">
        <v>40</v>
      </c>
      <c r="S34" s="206">
        <f t="shared" si="6"/>
        <v>2680</v>
      </c>
      <c r="T34" s="765" t="s">
        <v>1125</v>
      </c>
      <c r="U34" s="286"/>
      <c r="V34" s="286"/>
      <c r="W34" s="286"/>
      <c r="X34" s="286"/>
      <c r="Y34" s="286"/>
      <c r="Z34" s="286"/>
      <c r="AA34" s="286"/>
      <c r="AB34" s="286"/>
      <c r="AC34" s="286"/>
      <c r="AD34" s="286"/>
    </row>
    <row r="35" spans="1:30" ht="35.1" customHeight="1">
      <c r="A35" s="289" t="s">
        <v>652</v>
      </c>
      <c r="B35" s="206">
        <f t="shared" si="0"/>
        <v>3466.8</v>
      </c>
      <c r="C35" s="206"/>
      <c r="D35" s="206">
        <f t="shared" si="1"/>
        <v>226.8</v>
      </c>
      <c r="E35" s="206">
        <f t="shared" si="2"/>
        <v>129.6</v>
      </c>
      <c r="F35" s="206">
        <f t="shared" si="3"/>
        <v>97.2</v>
      </c>
      <c r="G35" s="206">
        <f t="shared" si="4"/>
        <v>3240</v>
      </c>
      <c r="H35" s="206">
        <f t="shared" si="5"/>
        <v>2080.08</v>
      </c>
      <c r="I35" s="290"/>
      <c r="J35" s="290"/>
      <c r="K35" s="290"/>
      <c r="L35" s="290"/>
      <c r="M35" s="290"/>
      <c r="N35" s="206">
        <v>4941</v>
      </c>
      <c r="O35" s="206">
        <v>5022</v>
      </c>
      <c r="P35" s="203"/>
      <c r="Q35" s="205"/>
      <c r="R35" s="291">
        <v>40</v>
      </c>
      <c r="S35" s="206">
        <f t="shared" si="6"/>
        <v>3240</v>
      </c>
      <c r="T35" s="765" t="s">
        <v>1126</v>
      </c>
      <c r="U35" s="286"/>
      <c r="V35" s="286"/>
      <c r="W35" s="286"/>
      <c r="X35" s="286"/>
      <c r="Y35" s="286"/>
      <c r="Z35" s="286"/>
      <c r="AA35" s="286"/>
      <c r="AB35" s="286"/>
      <c r="AC35" s="286"/>
      <c r="AD35" s="286"/>
    </row>
    <row r="36" spans="1:30" ht="35.1" customHeight="1">
      <c r="A36" s="289" t="s">
        <v>653</v>
      </c>
      <c r="B36" s="206">
        <f t="shared" si="0"/>
        <v>19474</v>
      </c>
      <c r="C36" s="206"/>
      <c r="D36" s="206">
        <f t="shared" si="1"/>
        <v>1274</v>
      </c>
      <c r="E36" s="206">
        <f t="shared" si="2"/>
        <v>728</v>
      </c>
      <c r="F36" s="206">
        <f t="shared" si="3"/>
        <v>546</v>
      </c>
      <c r="G36" s="206">
        <f t="shared" si="4"/>
        <v>18200</v>
      </c>
      <c r="H36" s="206">
        <f t="shared" si="5"/>
        <v>11684.4</v>
      </c>
      <c r="I36" s="290"/>
      <c r="J36" s="290"/>
      <c r="K36" s="290"/>
      <c r="L36" s="290"/>
      <c r="M36" s="290"/>
      <c r="N36" s="206">
        <v>16964</v>
      </c>
      <c r="O36" s="206">
        <v>17419</v>
      </c>
      <c r="P36" s="203"/>
      <c r="Q36" s="205"/>
      <c r="R36" s="291">
        <v>40</v>
      </c>
      <c r="S36" s="206">
        <f t="shared" si="6"/>
        <v>18200</v>
      </c>
      <c r="T36" s="765" t="s">
        <v>1127</v>
      </c>
      <c r="U36" s="286"/>
      <c r="V36" s="286"/>
      <c r="W36" s="286"/>
      <c r="X36" s="286"/>
      <c r="Y36" s="286"/>
      <c r="Z36" s="286"/>
      <c r="AA36" s="286"/>
      <c r="AB36" s="286"/>
      <c r="AC36" s="286"/>
      <c r="AD36" s="286"/>
    </row>
    <row r="37" spans="1:30" ht="35.1" customHeight="1">
      <c r="A37" s="289" t="s">
        <v>654</v>
      </c>
      <c r="B37" s="206">
        <f t="shared" si="0"/>
        <v>2011.6</v>
      </c>
      <c r="C37" s="206"/>
      <c r="D37" s="206">
        <f t="shared" si="1"/>
        <v>131.6</v>
      </c>
      <c r="E37" s="206">
        <f t="shared" si="2"/>
        <v>75.2</v>
      </c>
      <c r="F37" s="206">
        <f t="shared" si="3"/>
        <v>56.4</v>
      </c>
      <c r="G37" s="206">
        <f t="shared" si="4"/>
        <v>1880</v>
      </c>
      <c r="H37" s="206">
        <f t="shared" si="5"/>
        <v>1206.9599999999998</v>
      </c>
      <c r="I37" s="290"/>
      <c r="J37" s="290"/>
      <c r="K37" s="290"/>
      <c r="L37" s="290"/>
      <c r="M37" s="290"/>
      <c r="N37" s="206">
        <v>6608</v>
      </c>
      <c r="O37" s="206">
        <v>6655</v>
      </c>
      <c r="P37" s="203"/>
      <c r="Q37" s="205"/>
      <c r="R37" s="291">
        <v>40</v>
      </c>
      <c r="S37" s="206">
        <f t="shared" si="6"/>
        <v>1880</v>
      </c>
      <c r="T37" s="765" t="s">
        <v>1128</v>
      </c>
      <c r="U37" s="286"/>
      <c r="V37" s="286"/>
      <c r="W37" s="286"/>
      <c r="X37" s="286"/>
      <c r="Y37" s="286"/>
      <c r="Z37" s="286"/>
      <c r="AA37" s="286"/>
      <c r="AB37" s="286"/>
      <c r="AC37" s="286"/>
      <c r="AD37" s="286"/>
    </row>
    <row r="38" spans="1:30" ht="35.1" customHeight="1">
      <c r="A38" s="289" t="s">
        <v>764</v>
      </c>
      <c r="B38" s="206">
        <f t="shared" si="0"/>
        <v>353.1</v>
      </c>
      <c r="C38" s="206"/>
      <c r="D38" s="206">
        <f t="shared" si="1"/>
        <v>23.1</v>
      </c>
      <c r="E38" s="206">
        <f t="shared" si="2"/>
        <v>13.200000000000001</v>
      </c>
      <c r="F38" s="206">
        <f t="shared" si="3"/>
        <v>9.9</v>
      </c>
      <c r="G38" s="206">
        <f t="shared" si="4"/>
        <v>330</v>
      </c>
      <c r="H38" s="206">
        <f t="shared" si="5"/>
        <v>211.86</v>
      </c>
      <c r="I38" s="290"/>
      <c r="J38" s="290"/>
      <c r="K38" s="290"/>
      <c r="L38" s="290"/>
      <c r="M38" s="290"/>
      <c r="N38" s="206">
        <v>770</v>
      </c>
      <c r="O38" s="206">
        <v>781</v>
      </c>
      <c r="P38" s="203"/>
      <c r="Q38" s="205"/>
      <c r="R38" s="291">
        <v>30</v>
      </c>
      <c r="S38" s="206">
        <f t="shared" si="6"/>
        <v>330</v>
      </c>
      <c r="T38" s="765" t="s">
        <v>1129</v>
      </c>
      <c r="U38" s="286"/>
      <c r="V38" s="286"/>
      <c r="W38" s="286"/>
      <c r="X38" s="286"/>
      <c r="Y38" s="286"/>
      <c r="Z38" s="286"/>
      <c r="AA38" s="286"/>
      <c r="AB38" s="286"/>
      <c r="AC38" s="286"/>
      <c r="AD38" s="286"/>
    </row>
    <row r="39" spans="1:30" ht="35.1" customHeight="1">
      <c r="A39" s="289" t="s">
        <v>655</v>
      </c>
      <c r="B39" s="206">
        <f t="shared" si="0"/>
        <v>2311.1999999999998</v>
      </c>
      <c r="C39" s="206"/>
      <c r="D39" s="206">
        <f t="shared" si="1"/>
        <v>151.19999999999999</v>
      </c>
      <c r="E39" s="206">
        <f t="shared" si="2"/>
        <v>86.4</v>
      </c>
      <c r="F39" s="206">
        <f t="shared" si="3"/>
        <v>64.8</v>
      </c>
      <c r="G39" s="206">
        <f t="shared" si="4"/>
        <v>2160</v>
      </c>
      <c r="H39" s="206">
        <f t="shared" si="5"/>
        <v>1386.7199999999998</v>
      </c>
      <c r="I39" s="290"/>
      <c r="J39" s="290"/>
      <c r="K39" s="290"/>
      <c r="L39" s="290"/>
      <c r="M39" s="290"/>
      <c r="N39" s="206">
        <v>4322</v>
      </c>
      <c r="O39" s="206">
        <v>4376</v>
      </c>
      <c r="P39" s="203"/>
      <c r="Q39" s="205"/>
      <c r="R39" s="291">
        <v>40</v>
      </c>
      <c r="S39" s="206">
        <f t="shared" si="6"/>
        <v>2160</v>
      </c>
      <c r="T39" s="765" t="s">
        <v>1130</v>
      </c>
      <c r="U39" s="286"/>
      <c r="V39" s="286"/>
      <c r="W39" s="286"/>
      <c r="X39" s="286"/>
      <c r="Y39" s="286"/>
      <c r="Z39" s="286"/>
      <c r="AA39" s="286"/>
      <c r="AB39" s="286"/>
      <c r="AC39" s="286"/>
      <c r="AD39" s="286"/>
    </row>
    <row r="40" spans="1:30" ht="35.1" customHeight="1">
      <c r="A40" s="289" t="s">
        <v>765</v>
      </c>
      <c r="B40" s="206">
        <f t="shared" si="0"/>
        <v>3852</v>
      </c>
      <c r="C40" s="206"/>
      <c r="D40" s="206">
        <f t="shared" si="1"/>
        <v>252</v>
      </c>
      <c r="E40" s="206">
        <f t="shared" si="2"/>
        <v>144</v>
      </c>
      <c r="F40" s="206">
        <f t="shared" si="3"/>
        <v>108</v>
      </c>
      <c r="G40" s="206">
        <f t="shared" si="4"/>
        <v>3600</v>
      </c>
      <c r="H40" s="206">
        <f t="shared" si="5"/>
        <v>2311.1999999999998</v>
      </c>
      <c r="I40" s="290"/>
      <c r="J40" s="290"/>
      <c r="K40" s="290"/>
      <c r="L40" s="290"/>
      <c r="M40" s="290"/>
      <c r="N40" s="206">
        <v>5281</v>
      </c>
      <c r="O40" s="206">
        <v>5371</v>
      </c>
      <c r="P40" s="203"/>
      <c r="Q40" s="205"/>
      <c r="R40" s="291">
        <v>40</v>
      </c>
      <c r="S40" s="206">
        <f t="shared" si="6"/>
        <v>3600</v>
      </c>
      <c r="T40" s="765" t="s">
        <v>1131</v>
      </c>
      <c r="U40" s="286"/>
      <c r="V40" s="286"/>
      <c r="W40" s="286"/>
      <c r="X40" s="286"/>
      <c r="Y40" s="286"/>
      <c r="Z40" s="286"/>
      <c r="AA40" s="286"/>
      <c r="AB40" s="286"/>
      <c r="AC40" s="286"/>
      <c r="AD40" s="286"/>
    </row>
    <row r="41" spans="1:30" ht="35.1" customHeight="1">
      <c r="A41" s="289" t="s">
        <v>656</v>
      </c>
      <c r="B41" s="206">
        <f t="shared" si="0"/>
        <v>3980.4</v>
      </c>
      <c r="C41" s="206"/>
      <c r="D41" s="206">
        <f t="shared" si="1"/>
        <v>260.39999999999998</v>
      </c>
      <c r="E41" s="206">
        <f t="shared" si="2"/>
        <v>148.80000000000001</v>
      </c>
      <c r="F41" s="206">
        <f t="shared" si="3"/>
        <v>111.6</v>
      </c>
      <c r="G41" s="206">
        <f t="shared" si="4"/>
        <v>3720</v>
      </c>
      <c r="H41" s="206">
        <f t="shared" si="5"/>
        <v>2388.2399999999998</v>
      </c>
      <c r="I41" s="290"/>
      <c r="J41" s="290"/>
      <c r="K41" s="290"/>
      <c r="L41" s="290"/>
      <c r="M41" s="290"/>
      <c r="N41" s="206">
        <v>8894</v>
      </c>
      <c r="O41" s="206">
        <v>8987</v>
      </c>
      <c r="P41" s="203"/>
      <c r="Q41" s="205"/>
      <c r="R41" s="291">
        <v>40</v>
      </c>
      <c r="S41" s="206">
        <f t="shared" si="6"/>
        <v>3720</v>
      </c>
      <c r="T41" s="765" t="s">
        <v>1132</v>
      </c>
      <c r="U41" s="286"/>
      <c r="V41" s="286"/>
      <c r="W41" s="286"/>
      <c r="X41" s="286"/>
      <c r="Y41" s="286"/>
      <c r="Z41" s="286"/>
      <c r="AA41" s="286"/>
      <c r="AB41" s="286"/>
      <c r="AC41" s="286"/>
      <c r="AD41" s="286"/>
    </row>
    <row r="42" spans="1:30" ht="35.1" customHeight="1">
      <c r="A42" s="289" t="s">
        <v>657</v>
      </c>
      <c r="B42" s="206">
        <f t="shared" si="0"/>
        <v>1369.6</v>
      </c>
      <c r="C42" s="206"/>
      <c r="D42" s="206">
        <f t="shared" si="1"/>
        <v>89.6</v>
      </c>
      <c r="E42" s="206">
        <f t="shared" si="2"/>
        <v>51.2</v>
      </c>
      <c r="F42" s="206">
        <f t="shared" si="3"/>
        <v>38.4</v>
      </c>
      <c r="G42" s="206">
        <f t="shared" si="4"/>
        <v>1280</v>
      </c>
      <c r="H42" s="206">
        <f t="shared" si="5"/>
        <v>821.75999999999988</v>
      </c>
      <c r="I42" s="290"/>
      <c r="J42" s="290"/>
      <c r="K42" s="290"/>
      <c r="L42" s="290"/>
      <c r="M42" s="290"/>
      <c r="N42" s="206">
        <v>2103</v>
      </c>
      <c r="O42" s="206">
        <v>2135</v>
      </c>
      <c r="P42" s="203"/>
      <c r="Q42" s="205"/>
      <c r="R42" s="291">
        <v>40</v>
      </c>
      <c r="S42" s="206">
        <f t="shared" si="6"/>
        <v>1280</v>
      </c>
      <c r="T42" s="765" t="s">
        <v>1133</v>
      </c>
      <c r="U42" s="286"/>
      <c r="V42" s="286"/>
      <c r="W42" s="286"/>
      <c r="X42" s="286"/>
      <c r="Y42" s="286"/>
      <c r="Z42" s="286"/>
      <c r="AA42" s="286"/>
      <c r="AB42" s="286"/>
      <c r="AC42" s="286"/>
      <c r="AD42" s="286"/>
    </row>
    <row r="43" spans="1:30" ht="34.5" customHeight="1">
      <c r="A43" s="289" t="s">
        <v>658</v>
      </c>
      <c r="B43" s="206">
        <f t="shared" si="0"/>
        <v>1326.8</v>
      </c>
      <c r="C43" s="206"/>
      <c r="D43" s="206">
        <f t="shared" si="1"/>
        <v>86.8</v>
      </c>
      <c r="E43" s="206">
        <f t="shared" si="2"/>
        <v>49.6</v>
      </c>
      <c r="F43" s="206">
        <f t="shared" si="3"/>
        <v>37.199999999999996</v>
      </c>
      <c r="G43" s="206">
        <f t="shared" si="4"/>
        <v>1240</v>
      </c>
      <c r="H43" s="206">
        <f t="shared" si="5"/>
        <v>796.07999999999993</v>
      </c>
      <c r="I43" s="290"/>
      <c r="J43" s="290"/>
      <c r="K43" s="290"/>
      <c r="L43" s="290"/>
      <c r="M43" s="290"/>
      <c r="N43" s="206">
        <v>1595</v>
      </c>
      <c r="O43" s="206">
        <v>1626</v>
      </c>
      <c r="P43" s="203"/>
      <c r="Q43" s="205"/>
      <c r="R43" s="291">
        <v>40</v>
      </c>
      <c r="S43" s="206">
        <f t="shared" si="6"/>
        <v>1240</v>
      </c>
      <c r="T43" s="765" t="s">
        <v>1134</v>
      </c>
      <c r="U43" s="286"/>
      <c r="V43" s="286"/>
      <c r="W43" s="286"/>
      <c r="X43" s="286"/>
      <c r="Y43" s="286"/>
      <c r="Z43" s="286"/>
      <c r="AA43" s="286"/>
      <c r="AB43" s="286"/>
      <c r="AC43" s="286"/>
      <c r="AD43" s="286"/>
    </row>
    <row r="44" spans="1:30" ht="34.5" customHeight="1">
      <c r="A44" s="292" t="s">
        <v>659</v>
      </c>
      <c r="B44" s="293">
        <f>G44+D44</f>
        <v>9758.4</v>
      </c>
      <c r="C44" s="293"/>
      <c r="D44" s="293">
        <f>E44+F44</f>
        <v>638.4</v>
      </c>
      <c r="E44" s="293">
        <f>0.04*G44</f>
        <v>364.8</v>
      </c>
      <c r="F44" s="293">
        <f>0.03*G44</f>
        <v>273.59999999999997</v>
      </c>
      <c r="G44" s="293">
        <f>S44</f>
        <v>9120</v>
      </c>
      <c r="H44" s="293">
        <f>0.6*B44</f>
        <v>5855.04</v>
      </c>
      <c r="I44" s="294"/>
      <c r="J44" s="294"/>
      <c r="K44" s="294"/>
      <c r="L44" s="294"/>
      <c r="M44" s="294"/>
      <c r="N44" s="293">
        <v>28720</v>
      </c>
      <c r="O44" s="293">
        <v>28948</v>
      </c>
      <c r="P44" s="295"/>
      <c r="Q44" s="296"/>
      <c r="R44" s="297">
        <v>40</v>
      </c>
      <c r="S44" s="293">
        <f>(O44-N44)*R44</f>
        <v>9120</v>
      </c>
      <c r="T44" s="765" t="s">
        <v>1111</v>
      </c>
      <c r="U44" s="286"/>
      <c r="V44" s="286"/>
      <c r="W44" s="286"/>
      <c r="X44" s="286"/>
      <c r="Y44" s="286"/>
      <c r="Z44" s="286"/>
      <c r="AA44" s="286"/>
      <c r="AB44" s="286"/>
      <c r="AC44" s="286"/>
      <c r="AD44" s="286"/>
    </row>
    <row r="45" spans="1:30" ht="35.1" customHeight="1">
      <c r="A45" s="289" t="s">
        <v>660</v>
      </c>
      <c r="B45" s="206">
        <f t="shared" si="0"/>
        <v>18618</v>
      </c>
      <c r="C45" s="206"/>
      <c r="D45" s="206">
        <f t="shared" si="1"/>
        <v>1218</v>
      </c>
      <c r="E45" s="206">
        <f t="shared" si="2"/>
        <v>696</v>
      </c>
      <c r="F45" s="206">
        <f t="shared" si="3"/>
        <v>522</v>
      </c>
      <c r="G45" s="206">
        <f t="shared" si="4"/>
        <v>17400</v>
      </c>
      <c r="H45" s="206">
        <f t="shared" si="5"/>
        <v>11170.8</v>
      </c>
      <c r="I45" s="290"/>
      <c r="J45" s="290"/>
      <c r="K45" s="290"/>
      <c r="L45" s="290"/>
      <c r="M45" s="290"/>
      <c r="N45" s="206">
        <v>24712</v>
      </c>
      <c r="O45" s="206">
        <v>25147</v>
      </c>
      <c r="P45" s="203"/>
      <c r="Q45" s="205"/>
      <c r="R45" s="291">
        <v>40</v>
      </c>
      <c r="S45" s="206">
        <f t="shared" si="6"/>
        <v>17400</v>
      </c>
      <c r="T45" s="765" t="s">
        <v>1135</v>
      </c>
      <c r="U45" s="286"/>
      <c r="V45" s="286"/>
      <c r="W45" s="286"/>
      <c r="X45" s="286"/>
      <c r="Y45" s="286"/>
      <c r="Z45" s="286"/>
      <c r="AA45" s="286"/>
      <c r="AB45" s="286"/>
      <c r="AC45" s="286"/>
      <c r="AD45" s="286"/>
    </row>
    <row r="46" spans="1:30" ht="35.1" customHeight="1">
      <c r="A46" s="289" t="s">
        <v>661</v>
      </c>
      <c r="B46" s="206">
        <f t="shared" si="0"/>
        <v>11855.6</v>
      </c>
      <c r="C46" s="206"/>
      <c r="D46" s="206">
        <f t="shared" si="1"/>
        <v>775.59999999999991</v>
      </c>
      <c r="E46" s="206">
        <f t="shared" si="2"/>
        <v>443.2</v>
      </c>
      <c r="F46" s="206">
        <f t="shared" si="3"/>
        <v>332.4</v>
      </c>
      <c r="G46" s="206">
        <f t="shared" si="4"/>
        <v>11080</v>
      </c>
      <c r="H46" s="206">
        <f t="shared" si="5"/>
        <v>7113.36</v>
      </c>
      <c r="I46" s="290"/>
      <c r="J46" s="290"/>
      <c r="K46" s="290"/>
      <c r="L46" s="290"/>
      <c r="M46" s="290"/>
      <c r="N46" s="206">
        <v>18667</v>
      </c>
      <c r="O46" s="206">
        <v>18944</v>
      </c>
      <c r="P46" s="203"/>
      <c r="Q46" s="205"/>
      <c r="R46" s="291">
        <v>40</v>
      </c>
      <c r="S46" s="206">
        <f t="shared" si="6"/>
        <v>11080</v>
      </c>
      <c r="T46" s="765" t="s">
        <v>1136</v>
      </c>
      <c r="U46" s="286"/>
      <c r="V46" s="286"/>
      <c r="W46" s="286"/>
      <c r="X46" s="286"/>
      <c r="Y46" s="286"/>
      <c r="Z46" s="286"/>
      <c r="AA46" s="286"/>
      <c r="AB46" s="286"/>
      <c r="AC46" s="286"/>
      <c r="AD46" s="286"/>
    </row>
    <row r="47" spans="1:30" ht="35.1" customHeight="1">
      <c r="A47" s="289" t="s">
        <v>662</v>
      </c>
      <c r="B47" s="206">
        <f t="shared" si="0"/>
        <v>1583.6</v>
      </c>
      <c r="C47" s="206"/>
      <c r="D47" s="206">
        <f t="shared" si="1"/>
        <v>103.6</v>
      </c>
      <c r="E47" s="206">
        <f t="shared" si="2"/>
        <v>59.2</v>
      </c>
      <c r="F47" s="206">
        <f t="shared" si="3"/>
        <v>44.4</v>
      </c>
      <c r="G47" s="206">
        <f t="shared" si="4"/>
        <v>1480</v>
      </c>
      <c r="H47" s="206">
        <f t="shared" si="5"/>
        <v>950.15999999999985</v>
      </c>
      <c r="I47" s="290"/>
      <c r="J47" s="290"/>
      <c r="K47" s="290"/>
      <c r="L47" s="290"/>
      <c r="M47" s="290"/>
      <c r="N47" s="206">
        <v>2751</v>
      </c>
      <c r="O47" s="206">
        <v>2788</v>
      </c>
      <c r="P47" s="203"/>
      <c r="Q47" s="205"/>
      <c r="R47" s="291">
        <v>40</v>
      </c>
      <c r="S47" s="206">
        <f t="shared" si="6"/>
        <v>1480</v>
      </c>
      <c r="T47" s="765" t="s">
        <v>1137</v>
      </c>
      <c r="U47" s="286"/>
      <c r="V47" s="286"/>
      <c r="W47" s="286"/>
      <c r="X47" s="286"/>
      <c r="Y47" s="286"/>
      <c r="Z47" s="286"/>
      <c r="AA47" s="286"/>
      <c r="AB47" s="286"/>
      <c r="AC47" s="286"/>
      <c r="AD47" s="286"/>
    </row>
    <row r="48" spans="1:30" ht="35.1" customHeight="1">
      <c r="A48" s="289"/>
      <c r="B48" s="206"/>
      <c r="C48" s="206"/>
      <c r="D48" s="206"/>
      <c r="E48" s="206"/>
      <c r="F48" s="206"/>
      <c r="G48" s="206"/>
      <c r="H48" s="206"/>
      <c r="I48" s="290"/>
      <c r="J48" s="290"/>
      <c r="K48" s="290"/>
      <c r="L48" s="290"/>
      <c r="M48" s="290"/>
      <c r="N48" s="206"/>
      <c r="O48" s="206"/>
      <c r="P48" s="203"/>
      <c r="Q48" s="205"/>
      <c r="R48" s="291"/>
      <c r="S48" s="206"/>
      <c r="T48" s="765"/>
      <c r="U48" s="286"/>
      <c r="V48" s="286"/>
      <c r="W48" s="286"/>
      <c r="X48" s="286"/>
      <c r="Y48" s="286"/>
      <c r="Z48" s="286"/>
      <c r="AA48" s="286"/>
      <c r="AB48" s="286"/>
      <c r="AC48" s="286"/>
      <c r="AD48" s="286"/>
    </row>
    <row r="49" spans="1:30" ht="35.1" customHeight="1">
      <c r="A49" s="289" t="s">
        <v>663</v>
      </c>
      <c r="B49" s="206">
        <f t="shared" si="0"/>
        <v>27285</v>
      </c>
      <c r="C49" s="206"/>
      <c r="D49" s="206">
        <f t="shared" si="1"/>
        <v>1785</v>
      </c>
      <c r="E49" s="206">
        <f t="shared" si="2"/>
        <v>1020</v>
      </c>
      <c r="F49" s="206">
        <f t="shared" si="3"/>
        <v>765</v>
      </c>
      <c r="G49" s="206">
        <f t="shared" si="4"/>
        <v>25500</v>
      </c>
      <c r="H49" s="206">
        <f t="shared" si="5"/>
        <v>16371</v>
      </c>
      <c r="I49" s="290"/>
      <c r="J49" s="290"/>
      <c r="K49" s="290"/>
      <c r="L49" s="290"/>
      <c r="M49" s="290"/>
      <c r="N49" s="206">
        <v>26395</v>
      </c>
      <c r="O49" s="206">
        <v>26820</v>
      </c>
      <c r="P49" s="203"/>
      <c r="Q49" s="205"/>
      <c r="R49" s="291">
        <v>60</v>
      </c>
      <c r="S49" s="206">
        <f t="shared" ref="S49:S61" si="7">(O49-N49)*R49</f>
        <v>25500</v>
      </c>
      <c r="T49" s="765" t="s">
        <v>1138</v>
      </c>
      <c r="U49" s="286"/>
      <c r="V49" s="286"/>
      <c r="W49" s="286"/>
      <c r="X49" s="286"/>
      <c r="Y49" s="286"/>
      <c r="Z49" s="286"/>
      <c r="AA49" s="286"/>
      <c r="AB49" s="286"/>
      <c r="AC49" s="286"/>
      <c r="AD49" s="286"/>
    </row>
    <row r="50" spans="1:30" ht="35.1" customHeight="1">
      <c r="A50" s="289" t="s">
        <v>664</v>
      </c>
      <c r="B50" s="206">
        <f t="shared" si="0"/>
        <v>2953.2</v>
      </c>
      <c r="C50" s="206"/>
      <c r="D50" s="206">
        <f t="shared" si="1"/>
        <v>193.2</v>
      </c>
      <c r="E50" s="206">
        <f t="shared" si="2"/>
        <v>110.4</v>
      </c>
      <c r="F50" s="206">
        <f t="shared" si="3"/>
        <v>82.8</v>
      </c>
      <c r="G50" s="206">
        <f t="shared" si="4"/>
        <v>2760</v>
      </c>
      <c r="H50" s="206">
        <f t="shared" si="5"/>
        <v>1771.9199999999998</v>
      </c>
      <c r="I50" s="290"/>
      <c r="J50" s="290"/>
      <c r="K50" s="290"/>
      <c r="L50" s="290"/>
      <c r="M50" s="290"/>
      <c r="N50" s="206">
        <v>3454</v>
      </c>
      <c r="O50" s="206">
        <v>3523</v>
      </c>
      <c r="P50" s="203"/>
      <c r="Q50" s="205"/>
      <c r="R50" s="291">
        <v>40</v>
      </c>
      <c r="S50" s="206">
        <f t="shared" si="7"/>
        <v>2760</v>
      </c>
      <c r="T50" s="765" t="s">
        <v>1139</v>
      </c>
      <c r="U50" s="286"/>
      <c r="V50" s="286"/>
      <c r="W50" s="286"/>
      <c r="X50" s="286"/>
      <c r="Y50" s="286"/>
      <c r="Z50" s="286"/>
      <c r="AA50" s="286"/>
      <c r="AB50" s="286"/>
      <c r="AC50" s="286"/>
      <c r="AD50" s="286"/>
    </row>
    <row r="51" spans="1:30" ht="35.1" customHeight="1">
      <c r="A51" s="289" t="s">
        <v>665</v>
      </c>
      <c r="B51" s="206">
        <f t="shared" si="0"/>
        <v>2054.4</v>
      </c>
      <c r="C51" s="206"/>
      <c r="D51" s="206">
        <f t="shared" si="1"/>
        <v>134.39999999999998</v>
      </c>
      <c r="E51" s="206">
        <f t="shared" si="2"/>
        <v>76.8</v>
      </c>
      <c r="F51" s="206">
        <f t="shared" si="3"/>
        <v>57.599999999999994</v>
      </c>
      <c r="G51" s="206">
        <f t="shared" si="4"/>
        <v>1920</v>
      </c>
      <c r="H51" s="206">
        <f t="shared" si="5"/>
        <v>1232.6400000000001</v>
      </c>
      <c r="I51" s="290"/>
      <c r="J51" s="290"/>
      <c r="K51" s="290"/>
      <c r="L51" s="290"/>
      <c r="M51" s="290"/>
      <c r="N51" s="206">
        <v>2697</v>
      </c>
      <c r="O51" s="206">
        <v>2745</v>
      </c>
      <c r="P51" s="203"/>
      <c r="Q51" s="205"/>
      <c r="R51" s="291">
        <v>40</v>
      </c>
      <c r="S51" s="206">
        <f t="shared" si="7"/>
        <v>1920</v>
      </c>
      <c r="T51" s="765" t="s">
        <v>1140</v>
      </c>
      <c r="U51" s="286"/>
      <c r="V51" s="286"/>
      <c r="W51" s="286"/>
      <c r="X51" s="286"/>
      <c r="Y51" s="286"/>
      <c r="Z51" s="286"/>
      <c r="AA51" s="286"/>
      <c r="AB51" s="286"/>
      <c r="AC51" s="286"/>
      <c r="AD51" s="286"/>
    </row>
    <row r="52" spans="1:30" ht="35.1" customHeight="1">
      <c r="A52" s="289" t="s">
        <v>666</v>
      </c>
      <c r="B52" s="206">
        <f t="shared" si="0"/>
        <v>1369.6</v>
      </c>
      <c r="C52" s="206"/>
      <c r="D52" s="206">
        <f t="shared" si="1"/>
        <v>89.6</v>
      </c>
      <c r="E52" s="206">
        <f t="shared" si="2"/>
        <v>51.2</v>
      </c>
      <c r="F52" s="206">
        <f t="shared" si="3"/>
        <v>38.4</v>
      </c>
      <c r="G52" s="206">
        <f t="shared" si="4"/>
        <v>1280</v>
      </c>
      <c r="H52" s="206">
        <f t="shared" si="5"/>
        <v>821.75999999999988</v>
      </c>
      <c r="I52" s="290"/>
      <c r="J52" s="290"/>
      <c r="K52" s="290"/>
      <c r="L52" s="290"/>
      <c r="M52" s="290"/>
      <c r="N52" s="206">
        <v>5399</v>
      </c>
      <c r="O52" s="206">
        <v>5431</v>
      </c>
      <c r="P52" s="203"/>
      <c r="Q52" s="205"/>
      <c r="R52" s="291">
        <v>40</v>
      </c>
      <c r="S52" s="206">
        <f t="shared" si="7"/>
        <v>1280</v>
      </c>
      <c r="T52" s="765" t="s">
        <v>1141</v>
      </c>
      <c r="U52" s="286"/>
      <c r="V52" s="286"/>
      <c r="W52" s="286"/>
      <c r="X52" s="286"/>
      <c r="Y52" s="286"/>
      <c r="Z52" s="286"/>
      <c r="AA52" s="286"/>
      <c r="AB52" s="286"/>
      <c r="AC52" s="286"/>
      <c r="AD52" s="286"/>
    </row>
    <row r="53" spans="1:30" ht="35.1" customHeight="1">
      <c r="A53" s="289" t="s">
        <v>667</v>
      </c>
      <c r="B53" s="206">
        <f t="shared" si="0"/>
        <v>14423.6</v>
      </c>
      <c r="C53" s="206"/>
      <c r="D53" s="206">
        <f t="shared" si="1"/>
        <v>943.6</v>
      </c>
      <c r="E53" s="206">
        <f t="shared" si="2"/>
        <v>539.20000000000005</v>
      </c>
      <c r="F53" s="206">
        <f t="shared" si="3"/>
        <v>404.4</v>
      </c>
      <c r="G53" s="206">
        <f t="shared" si="4"/>
        <v>13480</v>
      </c>
      <c r="H53" s="206">
        <f t="shared" si="5"/>
        <v>8654.16</v>
      </c>
      <c r="I53" s="290"/>
      <c r="J53" s="290"/>
      <c r="K53" s="290"/>
      <c r="L53" s="290"/>
      <c r="M53" s="290"/>
      <c r="N53" s="206">
        <v>30834</v>
      </c>
      <c r="O53" s="206">
        <v>31171</v>
      </c>
      <c r="P53" s="203"/>
      <c r="Q53" s="205"/>
      <c r="R53" s="291">
        <v>40</v>
      </c>
      <c r="S53" s="206">
        <f t="shared" si="7"/>
        <v>13480</v>
      </c>
      <c r="T53" s="765" t="s">
        <v>1142</v>
      </c>
      <c r="U53" s="286"/>
      <c r="V53" s="286"/>
      <c r="W53" s="286"/>
      <c r="X53" s="286"/>
      <c r="Y53" s="286"/>
      <c r="Z53" s="286"/>
      <c r="AA53" s="286"/>
      <c r="AB53" s="286"/>
      <c r="AC53" s="286"/>
      <c r="AD53" s="286"/>
    </row>
    <row r="54" spans="1:30" ht="35.1" customHeight="1">
      <c r="A54" s="289" t="s">
        <v>668</v>
      </c>
      <c r="B54" s="206">
        <f t="shared" si="0"/>
        <v>8902.4</v>
      </c>
      <c r="C54" s="206"/>
      <c r="D54" s="206">
        <f t="shared" si="1"/>
        <v>582.4</v>
      </c>
      <c r="E54" s="206">
        <f t="shared" si="2"/>
        <v>332.8</v>
      </c>
      <c r="F54" s="206">
        <f t="shared" si="3"/>
        <v>249.6</v>
      </c>
      <c r="G54" s="206">
        <f t="shared" si="4"/>
        <v>8320</v>
      </c>
      <c r="H54" s="206">
        <f t="shared" si="5"/>
        <v>5341.44</v>
      </c>
      <c r="I54" s="290"/>
      <c r="J54" s="290"/>
      <c r="K54" s="290"/>
      <c r="L54" s="290"/>
      <c r="M54" s="290"/>
      <c r="N54" s="206">
        <v>9940</v>
      </c>
      <c r="O54" s="206">
        <v>10148</v>
      </c>
      <c r="P54" s="203"/>
      <c r="Q54" s="205"/>
      <c r="R54" s="291">
        <v>40</v>
      </c>
      <c r="S54" s="206">
        <f t="shared" si="7"/>
        <v>8320</v>
      </c>
      <c r="T54" s="765" t="s">
        <v>1143</v>
      </c>
      <c r="U54" s="286"/>
      <c r="V54" s="286"/>
      <c r="W54" s="286"/>
      <c r="X54" s="286"/>
      <c r="Y54" s="286"/>
      <c r="Z54" s="286"/>
      <c r="AA54" s="286"/>
      <c r="AB54" s="286"/>
      <c r="AC54" s="286"/>
      <c r="AD54" s="286"/>
    </row>
    <row r="55" spans="1:30" ht="35.1" customHeight="1">
      <c r="A55" s="289" t="s">
        <v>669</v>
      </c>
      <c r="B55" s="206">
        <f t="shared" si="0"/>
        <v>1326.8</v>
      </c>
      <c r="C55" s="206"/>
      <c r="D55" s="206">
        <f t="shared" si="1"/>
        <v>86.8</v>
      </c>
      <c r="E55" s="206">
        <f t="shared" si="2"/>
        <v>49.6</v>
      </c>
      <c r="F55" s="206">
        <f t="shared" si="3"/>
        <v>37.199999999999996</v>
      </c>
      <c r="G55" s="206">
        <f t="shared" si="4"/>
        <v>1240</v>
      </c>
      <c r="H55" s="206">
        <f t="shared" si="5"/>
        <v>796.07999999999993</v>
      </c>
      <c r="I55" s="290"/>
      <c r="J55" s="290"/>
      <c r="K55" s="290"/>
      <c r="L55" s="290"/>
      <c r="M55" s="290"/>
      <c r="N55" s="206">
        <v>2186</v>
      </c>
      <c r="O55" s="206">
        <v>2217</v>
      </c>
      <c r="P55" s="203"/>
      <c r="Q55" s="205"/>
      <c r="R55" s="291">
        <v>40</v>
      </c>
      <c r="S55" s="206">
        <f t="shared" si="7"/>
        <v>1240</v>
      </c>
      <c r="T55" s="765" t="s">
        <v>1144</v>
      </c>
      <c r="U55" s="286"/>
      <c r="V55" s="286"/>
      <c r="W55" s="286"/>
      <c r="X55" s="286"/>
      <c r="Y55" s="286"/>
      <c r="Z55" s="286"/>
      <c r="AA55" s="286"/>
      <c r="AB55" s="286"/>
      <c r="AC55" s="286"/>
      <c r="AD55" s="286"/>
    </row>
    <row r="56" spans="1:30" ht="35.1" customHeight="1">
      <c r="A56" s="289" t="s">
        <v>670</v>
      </c>
      <c r="B56" s="206">
        <f t="shared" si="0"/>
        <v>36251.599999999999</v>
      </c>
      <c r="C56" s="206"/>
      <c r="D56" s="206">
        <f t="shared" si="1"/>
        <v>2371.6</v>
      </c>
      <c r="E56" s="206">
        <f t="shared" si="2"/>
        <v>1355.2</v>
      </c>
      <c r="F56" s="206">
        <f t="shared" si="3"/>
        <v>1016.4</v>
      </c>
      <c r="G56" s="206">
        <f t="shared" si="4"/>
        <v>33880</v>
      </c>
      <c r="H56" s="206">
        <f t="shared" si="5"/>
        <v>21750.959999999999</v>
      </c>
      <c r="I56" s="290"/>
      <c r="J56" s="290"/>
      <c r="K56" s="290"/>
      <c r="L56" s="290"/>
      <c r="M56" s="290"/>
      <c r="N56" s="206">
        <v>44222</v>
      </c>
      <c r="O56" s="206">
        <v>45069</v>
      </c>
      <c r="P56" s="203"/>
      <c r="Q56" s="205"/>
      <c r="R56" s="291">
        <v>40</v>
      </c>
      <c r="S56" s="206">
        <f t="shared" si="7"/>
        <v>33880</v>
      </c>
      <c r="T56" s="765" t="s">
        <v>1145</v>
      </c>
      <c r="U56" s="286"/>
      <c r="V56" s="286"/>
      <c r="W56" s="286"/>
      <c r="X56" s="286"/>
      <c r="Y56" s="286"/>
      <c r="Z56" s="286"/>
      <c r="AA56" s="286"/>
      <c r="AB56" s="286"/>
      <c r="AC56" s="286"/>
      <c r="AD56" s="286"/>
    </row>
    <row r="57" spans="1:30" ht="35.1" customHeight="1">
      <c r="A57" s="289" t="s">
        <v>671</v>
      </c>
      <c r="B57" s="206">
        <f t="shared" si="0"/>
        <v>13567.6</v>
      </c>
      <c r="C57" s="206"/>
      <c r="D57" s="206">
        <f>E57+F57</f>
        <v>887.59999999999991</v>
      </c>
      <c r="E57" s="206">
        <f>0.04*G57</f>
        <v>507.2</v>
      </c>
      <c r="F57" s="206">
        <f>0.03*G57</f>
        <v>380.4</v>
      </c>
      <c r="G57" s="206">
        <f>S57</f>
        <v>12680</v>
      </c>
      <c r="H57" s="206">
        <f t="shared" si="5"/>
        <v>8140.5599999999995</v>
      </c>
      <c r="I57" s="290"/>
      <c r="J57" s="290"/>
      <c r="K57" s="290"/>
      <c r="L57" s="290"/>
      <c r="M57" s="290"/>
      <c r="N57" s="206">
        <v>12570</v>
      </c>
      <c r="O57" s="206">
        <v>12887</v>
      </c>
      <c r="P57" s="203"/>
      <c r="Q57" s="205"/>
      <c r="R57" s="291">
        <v>40</v>
      </c>
      <c r="S57" s="206">
        <f t="shared" si="7"/>
        <v>12680</v>
      </c>
      <c r="T57" s="765" t="s">
        <v>1146</v>
      </c>
      <c r="U57" s="286"/>
      <c r="V57" s="286"/>
      <c r="W57" s="286"/>
      <c r="X57" s="286"/>
      <c r="Y57" s="286"/>
      <c r="Z57" s="286"/>
      <c r="AA57" s="286"/>
      <c r="AB57" s="286"/>
      <c r="AC57" s="286"/>
      <c r="AD57" s="286"/>
    </row>
    <row r="58" spans="1:30" ht="35.1" customHeight="1">
      <c r="A58" s="289" t="s">
        <v>672</v>
      </c>
      <c r="B58" s="206">
        <f t="shared" si="0"/>
        <v>0</v>
      </c>
      <c r="C58" s="206"/>
      <c r="D58" s="206">
        <f>E58+F58</f>
        <v>0</v>
      </c>
      <c r="E58" s="206">
        <f>0.04*G58</f>
        <v>0</v>
      </c>
      <c r="F58" s="206">
        <f>0.03*G58</f>
        <v>0</v>
      </c>
      <c r="G58" s="206">
        <f>S58</f>
        <v>0</v>
      </c>
      <c r="H58" s="206">
        <f t="shared" si="5"/>
        <v>0</v>
      </c>
      <c r="I58" s="290"/>
      <c r="J58" s="290"/>
      <c r="K58" s="290"/>
      <c r="L58" s="290"/>
      <c r="M58" s="290"/>
      <c r="N58" s="487">
        <v>7</v>
      </c>
      <c r="O58" s="487">
        <v>7</v>
      </c>
      <c r="P58" s="203"/>
      <c r="Q58" s="205"/>
      <c r="R58" s="291">
        <v>40</v>
      </c>
      <c r="S58" s="206">
        <f t="shared" si="7"/>
        <v>0</v>
      </c>
      <c r="T58" s="765" t="s">
        <v>1147</v>
      </c>
      <c r="U58" s="286"/>
      <c r="V58" s="286"/>
      <c r="W58" s="286"/>
      <c r="X58" s="286"/>
      <c r="Y58" s="286"/>
      <c r="Z58" s="286"/>
      <c r="AA58" s="286"/>
      <c r="AB58" s="286"/>
      <c r="AC58" s="286"/>
      <c r="AD58" s="286"/>
    </row>
    <row r="59" spans="1:30" ht="35.1" customHeight="1">
      <c r="A59" s="289" t="s">
        <v>761</v>
      </c>
      <c r="B59" s="487">
        <f t="shared" si="0"/>
        <v>6248.8</v>
      </c>
      <c r="C59" s="487"/>
      <c r="D59" s="487">
        <f t="shared" ref="D59:D60" si="8">E59+F59</f>
        <v>408.79999999999995</v>
      </c>
      <c r="E59" s="487">
        <f t="shared" ref="E59:E60" si="9">0.04*G59</f>
        <v>233.6</v>
      </c>
      <c r="F59" s="487">
        <f t="shared" ref="F59:F60" si="10">0.03*G59</f>
        <v>175.2</v>
      </c>
      <c r="G59" s="487">
        <f t="shared" ref="G59:G61" si="11">S59</f>
        <v>5840</v>
      </c>
      <c r="H59" s="487">
        <f t="shared" si="5"/>
        <v>3749.2799999999997</v>
      </c>
      <c r="I59" s="290"/>
      <c r="J59" s="290"/>
      <c r="K59" s="290"/>
      <c r="L59" s="290"/>
      <c r="M59" s="290"/>
      <c r="N59" s="487">
        <v>1670</v>
      </c>
      <c r="O59" s="487">
        <v>1816</v>
      </c>
      <c r="P59" s="203"/>
      <c r="Q59" s="489"/>
      <c r="R59" s="490">
        <v>40</v>
      </c>
      <c r="S59" s="487">
        <f t="shared" si="7"/>
        <v>5840</v>
      </c>
      <c r="T59" s="765" t="s">
        <v>1148</v>
      </c>
      <c r="U59" s="286"/>
      <c r="V59" s="286"/>
      <c r="W59" s="286"/>
      <c r="X59" s="286"/>
      <c r="Y59" s="286"/>
      <c r="Z59" s="286"/>
      <c r="AA59" s="286"/>
      <c r="AB59" s="286"/>
      <c r="AC59" s="286"/>
      <c r="AD59" s="286"/>
    </row>
    <row r="60" spans="1:30" ht="35.1" customHeight="1">
      <c r="A60" s="289" t="s">
        <v>762</v>
      </c>
      <c r="B60" s="206">
        <f t="shared" si="0"/>
        <v>4815</v>
      </c>
      <c r="C60" s="206"/>
      <c r="D60" s="206">
        <f t="shared" si="8"/>
        <v>315</v>
      </c>
      <c r="E60" s="206">
        <f t="shared" si="9"/>
        <v>180</v>
      </c>
      <c r="F60" s="206">
        <f t="shared" si="10"/>
        <v>135</v>
      </c>
      <c r="G60" s="206">
        <f t="shared" si="11"/>
        <v>4500</v>
      </c>
      <c r="H60" s="206">
        <f t="shared" si="5"/>
        <v>2889</v>
      </c>
      <c r="I60" s="491"/>
      <c r="J60" s="491"/>
      <c r="K60" s="491"/>
      <c r="L60" s="491"/>
      <c r="M60" s="491"/>
      <c r="N60" s="206">
        <v>2137</v>
      </c>
      <c r="O60" s="206">
        <v>2287</v>
      </c>
      <c r="P60" s="492"/>
      <c r="Q60" s="205"/>
      <c r="R60" s="291">
        <v>30</v>
      </c>
      <c r="S60" s="206">
        <f t="shared" si="7"/>
        <v>4500</v>
      </c>
      <c r="T60" s="765" t="s">
        <v>1149</v>
      </c>
      <c r="U60" s="286"/>
      <c r="V60" s="286"/>
      <c r="W60" s="286"/>
      <c r="X60" s="286"/>
      <c r="Y60" s="286"/>
      <c r="Z60" s="286"/>
      <c r="AA60" s="286"/>
      <c r="AB60" s="286"/>
      <c r="AC60" s="286"/>
      <c r="AD60" s="286"/>
    </row>
    <row r="61" spans="1:30" ht="35.1" customHeight="1">
      <c r="A61" s="300" t="s">
        <v>801</v>
      </c>
      <c r="B61" s="124">
        <f>G61</f>
        <v>2291</v>
      </c>
      <c r="C61" s="125"/>
      <c r="D61" s="124">
        <f>E61+F61</f>
        <v>160.37</v>
      </c>
      <c r="E61" s="124">
        <f>0.04*G61</f>
        <v>91.64</v>
      </c>
      <c r="F61" s="124">
        <f>0.03*G61</f>
        <v>68.73</v>
      </c>
      <c r="G61" s="125">
        <f t="shared" si="11"/>
        <v>2291</v>
      </c>
      <c r="H61" s="345">
        <f>B61*0.4</f>
        <v>916.40000000000009</v>
      </c>
      <c r="I61" s="133"/>
      <c r="J61" s="133"/>
      <c r="K61" s="133"/>
      <c r="L61" s="133"/>
      <c r="M61" s="133"/>
      <c r="N61" s="125">
        <v>13257</v>
      </c>
      <c r="O61" s="125">
        <v>15548</v>
      </c>
      <c r="P61" s="546"/>
      <c r="Q61" s="547"/>
      <c r="R61" s="547">
        <v>1</v>
      </c>
      <c r="S61" s="125">
        <f t="shared" si="7"/>
        <v>2291</v>
      </c>
      <c r="T61" s="765" t="s">
        <v>1150</v>
      </c>
      <c r="U61" s="286"/>
      <c r="V61" s="286"/>
      <c r="W61" s="286"/>
      <c r="X61" s="286"/>
      <c r="Y61" s="286"/>
      <c r="Z61" s="286"/>
      <c r="AA61" s="286"/>
      <c r="AB61" s="286"/>
      <c r="AC61" s="286"/>
      <c r="AD61" s="286"/>
    </row>
    <row r="62" spans="1:30" ht="35.1" customHeight="1">
      <c r="A62" s="548" t="s">
        <v>673</v>
      </c>
      <c r="B62" s="208">
        <f>SUM(B33:B61)-B44</f>
        <v>196870.5</v>
      </c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6"/>
      <c r="N62" s="488"/>
      <c r="O62" s="488"/>
      <c r="P62" s="286"/>
      <c r="Q62" s="286"/>
      <c r="R62" s="286"/>
      <c r="S62" s="286"/>
      <c r="T62" s="766"/>
      <c r="U62" s="286"/>
      <c r="V62" s="286"/>
      <c r="W62" s="286"/>
      <c r="X62" s="286"/>
      <c r="Y62" s="286"/>
      <c r="Z62" s="286"/>
      <c r="AA62" s="286"/>
      <c r="AB62" s="286"/>
      <c r="AC62" s="286"/>
      <c r="AD62" s="286"/>
    </row>
    <row r="63" spans="1:30" ht="35.1" customHeight="1">
      <c r="A63" s="286"/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6"/>
      <c r="P63" s="286"/>
      <c r="Q63" s="286"/>
      <c r="R63" s="286"/>
      <c r="S63" s="286"/>
      <c r="T63" s="767"/>
      <c r="U63" s="286"/>
      <c r="V63" s="286"/>
      <c r="W63" s="286"/>
      <c r="X63" s="286"/>
      <c r="Y63" s="286"/>
      <c r="Z63" s="286"/>
      <c r="AA63" s="286"/>
      <c r="AB63" s="286"/>
      <c r="AC63" s="286"/>
      <c r="AD63" s="286"/>
    </row>
    <row r="64" spans="1:30" ht="35.1" customHeight="1">
      <c r="A64" s="679" t="s">
        <v>775</v>
      </c>
      <c r="B64" s="124">
        <f>G64</f>
        <v>791</v>
      </c>
      <c r="C64" s="125"/>
      <c r="D64" s="124">
        <f>E64+F64</f>
        <v>55.370000000000005</v>
      </c>
      <c r="E64" s="124">
        <f>0.04*G64</f>
        <v>31.64</v>
      </c>
      <c r="F64" s="124">
        <f>0.03*G64</f>
        <v>23.73</v>
      </c>
      <c r="G64" s="125">
        <f t="shared" ref="G64" si="12">S64</f>
        <v>791</v>
      </c>
      <c r="H64" s="345">
        <f>B64*0.4</f>
        <v>316.40000000000003</v>
      </c>
      <c r="I64" s="133"/>
      <c r="J64" s="133"/>
      <c r="K64" s="133"/>
      <c r="L64" s="133"/>
      <c r="M64" s="133"/>
      <c r="N64" s="125">
        <v>24559</v>
      </c>
      <c r="O64" s="125">
        <v>25350</v>
      </c>
      <c r="P64" s="546"/>
      <c r="Q64" s="547"/>
      <c r="R64" s="547">
        <v>1</v>
      </c>
      <c r="S64" s="125">
        <f t="shared" ref="S64" si="13">(O64-N64)*R64</f>
        <v>791</v>
      </c>
      <c r="T64" s="765" t="s">
        <v>1151</v>
      </c>
      <c r="U64" s="286"/>
      <c r="V64" s="286"/>
      <c r="W64" s="286"/>
      <c r="X64" s="286"/>
      <c r="Y64" s="286"/>
      <c r="Z64" s="286"/>
      <c r="AA64" s="286"/>
      <c r="AB64" s="286"/>
      <c r="AC64" s="286"/>
      <c r="AD64" s="286"/>
    </row>
    <row r="65" spans="1:30" ht="35.1" customHeight="1">
      <c r="A65" s="298" t="s">
        <v>674</v>
      </c>
      <c r="B65" s="202">
        <f>(G65+D65)</f>
        <v>568709.2799999977</v>
      </c>
      <c r="C65" s="202"/>
      <c r="D65" s="202">
        <f>E65+F65</f>
        <v>37205.279999999853</v>
      </c>
      <c r="E65" s="202">
        <f>0.04*G65</f>
        <v>21260.159999999916</v>
      </c>
      <c r="F65" s="202">
        <f>0.03*G65</f>
        <v>15945.119999999937</v>
      </c>
      <c r="G65" s="202">
        <f>(S65+S66)</f>
        <v>531503.9999999979</v>
      </c>
      <c r="H65" s="202">
        <f>S67</f>
        <v>0</v>
      </c>
      <c r="I65" s="203"/>
      <c r="J65" s="203"/>
      <c r="K65" s="203"/>
      <c r="L65" s="203"/>
      <c r="M65" s="203" t="s">
        <v>675</v>
      </c>
      <c r="N65" s="204">
        <v>81177.41</v>
      </c>
      <c r="O65" s="204">
        <v>82082.399999999994</v>
      </c>
      <c r="P65" s="203"/>
      <c r="Q65" s="205" t="s">
        <v>676</v>
      </c>
      <c r="R65" s="202">
        <v>300</v>
      </c>
      <c r="S65" s="206">
        <f>(O65-N65)*R65</f>
        <v>271496.99999999721</v>
      </c>
      <c r="T65" s="768" t="s">
        <v>1152</v>
      </c>
      <c r="U65" s="764"/>
      <c r="V65" s="764"/>
      <c r="W65" s="764"/>
      <c r="X65" s="764"/>
      <c r="Y65" s="764"/>
      <c r="Z65" s="764"/>
      <c r="AA65" s="764"/>
      <c r="AB65" s="764"/>
      <c r="AC65" s="764"/>
      <c r="AD65" s="764"/>
    </row>
    <row r="66" spans="1:30" ht="35.1" customHeight="1">
      <c r="A66" s="299" t="s">
        <v>677</v>
      </c>
      <c r="B66" s="202"/>
      <c r="C66" s="202"/>
      <c r="D66" s="208"/>
      <c r="E66" s="202"/>
      <c r="F66" s="202"/>
      <c r="G66" s="202"/>
      <c r="H66" s="202"/>
      <c r="I66" s="203"/>
      <c r="J66" s="203"/>
      <c r="K66" s="203"/>
      <c r="L66" s="203"/>
      <c r="M66" s="203"/>
      <c r="N66" s="204">
        <v>75234.91</v>
      </c>
      <c r="O66" s="204">
        <v>76101.600000000006</v>
      </c>
      <c r="P66" s="203"/>
      <c r="Q66" s="205" t="s">
        <v>676</v>
      </c>
      <c r="R66" s="202">
        <v>300</v>
      </c>
      <c r="S66" s="206">
        <f>(O66-N66)*R66</f>
        <v>260007.0000000007</v>
      </c>
      <c r="T66" s="765" t="s">
        <v>1153</v>
      </c>
      <c r="U66" s="286"/>
      <c r="V66" s="286"/>
      <c r="W66" s="286"/>
      <c r="X66" s="286"/>
      <c r="Y66" s="286"/>
      <c r="Z66" s="286"/>
      <c r="AA66" s="286"/>
      <c r="AB66" s="286"/>
      <c r="AC66" s="286"/>
      <c r="AD66" s="286"/>
    </row>
    <row r="67" spans="1:30">
      <c r="A67" s="286"/>
      <c r="B67" s="286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6"/>
      <c r="N67" s="286"/>
      <c r="O67" s="286"/>
      <c r="P67" s="286"/>
      <c r="Q67" s="286"/>
      <c r="R67" s="286"/>
      <c r="S67" s="286"/>
      <c r="T67" s="286"/>
      <c r="U67" s="286"/>
      <c r="V67" s="286"/>
      <c r="W67" s="286"/>
      <c r="X67" s="286"/>
      <c r="Y67" s="286"/>
      <c r="Z67" s="286"/>
      <c r="AA67" s="286"/>
      <c r="AB67" s="286"/>
      <c r="AC67" s="286"/>
      <c r="AD67" s="286"/>
    </row>
    <row r="68" spans="1:30">
      <c r="A68" s="286"/>
      <c r="B68" s="286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6"/>
      <c r="N68" s="286"/>
      <c r="O68" s="286"/>
      <c r="P68" s="286"/>
      <c r="Q68" s="286"/>
      <c r="R68" s="286"/>
      <c r="S68" s="286"/>
      <c r="T68" s="286"/>
      <c r="U68" s="286"/>
      <c r="V68" s="286"/>
      <c r="W68" s="286"/>
      <c r="X68" s="286"/>
      <c r="Y68" s="286"/>
      <c r="Z68" s="286"/>
      <c r="AA68" s="286"/>
      <c r="AB68" s="286"/>
      <c r="AC68" s="286"/>
      <c r="AD68" s="286"/>
    </row>
    <row r="69" spans="1:30">
      <c r="A69" s="286" t="s">
        <v>678</v>
      </c>
      <c r="B69" s="300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6"/>
      <c r="P69" s="286"/>
      <c r="Q69" s="286"/>
      <c r="R69" s="286"/>
      <c r="S69" s="286"/>
      <c r="T69" s="286"/>
      <c r="U69" s="286"/>
      <c r="V69" s="286"/>
      <c r="W69" s="286"/>
      <c r="X69" s="286"/>
      <c r="Y69" s="286"/>
      <c r="Z69" s="286"/>
      <c r="AA69" s="286"/>
      <c r="AB69" s="286"/>
      <c r="AC69" s="286"/>
      <c r="AD69" s="286"/>
    </row>
    <row r="70" spans="1:30">
      <c r="A70" s="286"/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6"/>
      <c r="P70" s="286"/>
      <c r="Q70" s="286"/>
      <c r="R70" s="286"/>
      <c r="S70" s="286"/>
      <c r="T70" s="286"/>
      <c r="U70" s="286"/>
      <c r="V70" s="286"/>
      <c r="W70" s="286"/>
      <c r="X70" s="286"/>
      <c r="Y70" s="286"/>
      <c r="Z70" s="286"/>
      <c r="AA70" s="286"/>
      <c r="AB70" s="286"/>
      <c r="AC70" s="286"/>
      <c r="AD70" s="286"/>
    </row>
    <row r="71" spans="1:30">
      <c r="A71" s="286"/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86"/>
      <c r="AB71" s="286"/>
      <c r="AC71" s="286"/>
      <c r="AD71" s="286"/>
    </row>
    <row r="72" spans="1:30">
      <c r="A72" s="286"/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86"/>
      <c r="AB72" s="286"/>
      <c r="AC72" s="286"/>
      <c r="AD72" s="286"/>
    </row>
    <row r="73" spans="1:30">
      <c r="A73" s="301" t="s">
        <v>338</v>
      </c>
      <c r="B73" s="302">
        <f>B65-(B62+B44+B86+'Июнь 2021'!C328)</f>
        <v>183124.27599999763</v>
      </c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  <c r="N73" s="286"/>
      <c r="O73" s="286"/>
      <c r="P73" s="286"/>
      <c r="Q73" s="286"/>
      <c r="R73" s="286"/>
      <c r="S73" s="286"/>
      <c r="T73" s="286"/>
      <c r="U73" s="286"/>
      <c r="V73" s="286"/>
      <c r="W73" s="286"/>
      <c r="X73" s="286"/>
      <c r="Y73" s="286"/>
      <c r="Z73" s="286"/>
      <c r="AA73" s="286"/>
      <c r="AB73" s="286"/>
      <c r="AC73" s="286"/>
      <c r="AD73" s="286"/>
    </row>
    <row r="74" spans="1:30">
      <c r="A74" s="303"/>
      <c r="B74" s="303"/>
      <c r="C74" s="303"/>
      <c r="D74" s="303"/>
      <c r="E74" s="303"/>
      <c r="F74" s="303"/>
      <c r="G74" s="303"/>
      <c r="H74" s="303"/>
      <c r="I74" s="303"/>
      <c r="J74" s="303"/>
      <c r="K74" s="303"/>
      <c r="L74" s="303"/>
      <c r="M74" s="303"/>
      <c r="N74" s="303"/>
      <c r="O74" s="303"/>
      <c r="P74" s="303"/>
      <c r="Q74" s="303"/>
      <c r="R74" s="303"/>
      <c r="S74" s="303"/>
      <c r="T74" s="303"/>
      <c r="U74" s="303"/>
      <c r="V74" s="286"/>
      <c r="W74" s="286"/>
      <c r="X74" s="286"/>
      <c r="Y74" s="286"/>
      <c r="Z74" s="286"/>
      <c r="AA74" s="286"/>
      <c r="AB74" s="286"/>
      <c r="AC74" s="286"/>
      <c r="AD74" s="286"/>
    </row>
    <row r="75" spans="1:30">
      <c r="A75" s="304"/>
      <c r="B75" s="91">
        <v>500</v>
      </c>
      <c r="C75" s="91"/>
      <c r="D75" s="91"/>
      <c r="E75" s="91"/>
      <c r="F75" s="91"/>
      <c r="G75" s="91"/>
      <c r="H75" s="91"/>
      <c r="I75" s="22"/>
      <c r="J75" s="22"/>
      <c r="K75" s="22"/>
      <c r="L75" s="22"/>
      <c r="M75" s="22"/>
      <c r="N75" s="206"/>
      <c r="O75" s="206"/>
      <c r="P75" s="22"/>
      <c r="Q75" s="142"/>
      <c r="R75" s="151"/>
      <c r="S75" s="91"/>
      <c r="T75" s="305" t="s">
        <v>679</v>
      </c>
      <c r="U75" s="306"/>
      <c r="V75" s="303"/>
      <c r="W75" s="303"/>
      <c r="X75" s="303"/>
      <c r="Y75" s="286"/>
      <c r="Z75" s="286"/>
      <c r="AA75" s="286"/>
      <c r="AB75" s="286"/>
      <c r="AC75" s="286"/>
      <c r="AD75" s="286"/>
    </row>
    <row r="76" spans="1:30">
      <c r="A76" s="304"/>
      <c r="B76" s="91"/>
      <c r="C76" s="91"/>
      <c r="D76" s="91"/>
      <c r="E76" s="91"/>
      <c r="F76" s="91"/>
      <c r="G76" s="91"/>
      <c r="H76" s="91"/>
      <c r="I76" s="22"/>
      <c r="J76" s="22"/>
      <c r="K76" s="22"/>
      <c r="L76" s="22"/>
      <c r="M76" s="22"/>
      <c r="N76" s="206"/>
      <c r="O76" s="206"/>
      <c r="P76" s="22"/>
      <c r="Q76" s="142"/>
      <c r="R76" s="151"/>
      <c r="S76" s="91"/>
      <c r="T76" s="305"/>
      <c r="U76" s="306"/>
      <c r="V76" s="303"/>
      <c r="W76" s="303"/>
      <c r="X76" s="303"/>
      <c r="Y76" s="286"/>
      <c r="Z76" s="286"/>
      <c r="AA76" s="286"/>
      <c r="AB76" s="286"/>
      <c r="AC76" s="286"/>
      <c r="AD76" s="286"/>
    </row>
    <row r="77" spans="1:30">
      <c r="A77" s="304"/>
      <c r="B77" s="124"/>
      <c r="C77" s="125"/>
      <c r="D77" s="124"/>
      <c r="E77" s="124"/>
      <c r="F77" s="124"/>
      <c r="G77" s="125"/>
      <c r="H77" s="345"/>
      <c r="I77" s="133"/>
      <c r="J77" s="133"/>
      <c r="K77" s="133"/>
      <c r="L77" s="133"/>
      <c r="M77" s="133"/>
      <c r="N77" s="125"/>
      <c r="O77" s="125"/>
      <c r="P77" s="544"/>
      <c r="Q77" s="545"/>
      <c r="R77" s="545"/>
      <c r="S77" s="85"/>
      <c r="T77" s="127"/>
      <c r="U77" s="128"/>
      <c r="V77" s="303"/>
      <c r="W77" s="303"/>
      <c r="X77" s="303"/>
      <c r="Y77" s="286"/>
      <c r="Z77" s="286"/>
      <c r="AA77" s="286"/>
      <c r="AB77" s="286"/>
      <c r="AC77" s="286"/>
      <c r="AD77" s="286"/>
    </row>
    <row r="78" spans="1:30">
      <c r="A78" s="304"/>
      <c r="B78" s="124">
        <f>G78</f>
        <v>9915</v>
      </c>
      <c r="C78" s="125"/>
      <c r="D78" s="124">
        <f>E78+F78</f>
        <v>694.05</v>
      </c>
      <c r="E78" s="124">
        <f>0.04*G78</f>
        <v>396.6</v>
      </c>
      <c r="F78" s="124">
        <f>0.03*G78</f>
        <v>297.45</v>
      </c>
      <c r="G78" s="125">
        <f t="shared" ref="G78" si="14">S78</f>
        <v>9915</v>
      </c>
      <c r="H78" s="345">
        <f>B78*0.4</f>
        <v>3966</v>
      </c>
      <c r="I78" s="133"/>
      <c r="J78" s="133"/>
      <c r="K78" s="133"/>
      <c r="L78" s="133"/>
      <c r="M78" s="133"/>
      <c r="N78" s="91">
        <v>129603</v>
      </c>
      <c r="O78" s="28">
        <v>139518</v>
      </c>
      <c r="P78" s="105"/>
      <c r="Q78" s="106"/>
      <c r="R78" s="106">
        <v>1</v>
      </c>
      <c r="S78" s="92">
        <f t="shared" ref="S78" si="15">(O78-N78)*R78</f>
        <v>9915</v>
      </c>
      <c r="T78" s="127">
        <v>5732</v>
      </c>
      <c r="U78" s="307" t="s">
        <v>688</v>
      </c>
      <c r="V78" s="303"/>
      <c r="W78" s="303"/>
      <c r="X78" s="303"/>
      <c r="Y78" s="286"/>
      <c r="Z78" s="286"/>
      <c r="AA78" s="286"/>
      <c r="AB78" s="286"/>
      <c r="AC78" s="286"/>
      <c r="AD78" s="286"/>
    </row>
    <row r="79" spans="1:30">
      <c r="A79" s="308"/>
      <c r="B79" s="124">
        <f>G79+D79</f>
        <v>2642.9</v>
      </c>
      <c r="C79" s="124"/>
      <c r="D79" s="124">
        <f t="shared" ref="D79:D85" si="16">E79+F79</f>
        <v>172.89999999999998</v>
      </c>
      <c r="E79" s="124">
        <f t="shared" ref="E79:E85" si="17">0.04*G79</f>
        <v>98.8</v>
      </c>
      <c r="F79" s="124">
        <f t="shared" ref="F79:F85" si="18">0.03*G79</f>
        <v>74.099999999999994</v>
      </c>
      <c r="G79" s="124">
        <f>S79</f>
        <v>2470</v>
      </c>
      <c r="H79" s="124">
        <f>0.6*B79</f>
        <v>1585.74</v>
      </c>
      <c r="I79" s="126"/>
      <c r="J79" s="126"/>
      <c r="K79" s="126"/>
      <c r="L79" s="126"/>
      <c r="M79" s="126" t="s">
        <v>146</v>
      </c>
      <c r="N79" s="91">
        <v>44725</v>
      </c>
      <c r="O79" s="28">
        <v>47195</v>
      </c>
      <c r="P79" s="122"/>
      <c r="Q79" s="173"/>
      <c r="R79" s="151">
        <v>1</v>
      </c>
      <c r="S79" s="91">
        <f>(O79-N79)*R79</f>
        <v>2470</v>
      </c>
      <c r="T79" s="95">
        <v>3275</v>
      </c>
      <c r="U79" s="782" t="s">
        <v>680</v>
      </c>
      <c r="V79" s="303"/>
      <c r="W79" s="303"/>
      <c r="X79" s="303"/>
      <c r="Y79" s="286"/>
      <c r="Z79" s="286"/>
      <c r="AA79" s="286"/>
      <c r="AB79" s="286"/>
      <c r="AC79" s="286"/>
      <c r="AD79" s="286"/>
    </row>
    <row r="80" spans="1:30">
      <c r="A80" s="304"/>
      <c r="B80" s="509">
        <f t="shared" ref="B80:B84" si="19">G80+D80</f>
        <v>1661.71</v>
      </c>
      <c r="C80" s="509"/>
      <c r="D80" s="509">
        <f t="shared" si="16"/>
        <v>108.71000000000001</v>
      </c>
      <c r="E80" s="509">
        <f t="shared" si="17"/>
        <v>62.120000000000005</v>
      </c>
      <c r="F80" s="509">
        <f t="shared" si="18"/>
        <v>46.589999999999996</v>
      </c>
      <c r="G80" s="509">
        <f t="shared" ref="G80:G85" si="20">S80</f>
        <v>1553</v>
      </c>
      <c r="H80" s="509"/>
      <c r="I80" s="126"/>
      <c r="J80" s="126"/>
      <c r="K80" s="126"/>
      <c r="L80" s="126"/>
      <c r="M80" s="126" t="s">
        <v>271</v>
      </c>
      <c r="N80" s="117">
        <v>35671</v>
      </c>
      <c r="O80" s="349">
        <v>37224</v>
      </c>
      <c r="P80" s="149"/>
      <c r="Q80" s="309"/>
      <c r="R80" s="117">
        <v>1</v>
      </c>
      <c r="S80" s="91">
        <f>(O80-N80)*R80</f>
        <v>1553</v>
      </c>
      <c r="T80" s="3"/>
      <c r="U80" s="782" t="s">
        <v>272</v>
      </c>
      <c r="V80" s="303"/>
      <c r="W80" s="303"/>
      <c r="X80" s="303"/>
      <c r="Y80" s="286"/>
      <c r="Z80" s="286"/>
      <c r="AA80" s="286"/>
      <c r="AB80" s="286"/>
      <c r="AC80" s="286"/>
      <c r="AD80" s="286"/>
    </row>
    <row r="81" spans="1:30">
      <c r="A81" s="104"/>
      <c r="B81" s="124"/>
      <c r="C81" s="124"/>
      <c r="D81" s="124"/>
      <c r="E81" s="124"/>
      <c r="F81" s="124"/>
      <c r="G81" s="124"/>
      <c r="H81" s="124"/>
      <c r="I81" s="126"/>
      <c r="J81" s="126"/>
      <c r="K81" s="126"/>
      <c r="L81" s="126"/>
      <c r="M81" s="126"/>
      <c r="N81" s="124"/>
      <c r="O81" s="124"/>
      <c r="P81" s="122"/>
      <c r="Q81" s="310"/>
      <c r="R81" s="151"/>
      <c r="S81" s="91"/>
      <c r="T81" s="305"/>
      <c r="U81" s="306"/>
      <c r="V81" s="303"/>
      <c r="W81" s="303"/>
      <c r="X81" s="303"/>
      <c r="Y81" s="286"/>
      <c r="Z81" s="286"/>
      <c r="AA81" s="286"/>
      <c r="AB81" s="286"/>
      <c r="AC81" s="286"/>
      <c r="AD81" s="286"/>
    </row>
    <row r="82" spans="1:30">
      <c r="A82" s="308"/>
      <c r="B82" s="509">
        <f t="shared" si="19"/>
        <v>284.62</v>
      </c>
      <c r="C82" s="509"/>
      <c r="D82" s="509">
        <f t="shared" si="16"/>
        <v>18.62</v>
      </c>
      <c r="E82" s="509">
        <f t="shared" si="17"/>
        <v>10.64</v>
      </c>
      <c r="F82" s="509">
        <f t="shared" si="18"/>
        <v>7.9799999999999995</v>
      </c>
      <c r="G82" s="509">
        <f t="shared" si="20"/>
        <v>266</v>
      </c>
      <c r="H82" s="509"/>
      <c r="I82" s="126"/>
      <c r="J82" s="126"/>
      <c r="K82" s="126"/>
      <c r="L82" s="126"/>
      <c r="M82" s="126" t="s">
        <v>271</v>
      </c>
      <c r="N82" s="117">
        <v>5838</v>
      </c>
      <c r="O82" s="349">
        <v>6104</v>
      </c>
      <c r="P82" s="149"/>
      <c r="Q82" s="309"/>
      <c r="R82" s="117">
        <v>1</v>
      </c>
      <c r="S82" s="117">
        <f>O82-N82</f>
        <v>266</v>
      </c>
      <c r="T82" s="95"/>
      <c r="U82" s="782" t="s">
        <v>309</v>
      </c>
      <c r="V82" s="303"/>
      <c r="W82" s="303"/>
      <c r="X82" s="303"/>
      <c r="Y82" s="286"/>
      <c r="Z82" s="286"/>
      <c r="AA82" s="286"/>
      <c r="AB82" s="286"/>
      <c r="AC82" s="286"/>
      <c r="AD82" s="286"/>
    </row>
    <row r="83" spans="1:30">
      <c r="A83" s="132" t="s">
        <v>209</v>
      </c>
      <c r="B83" s="124">
        <f t="shared" si="19"/>
        <v>1223.01</v>
      </c>
      <c r="C83" s="124"/>
      <c r="D83" s="124">
        <f t="shared" si="16"/>
        <v>80.009999999999991</v>
      </c>
      <c r="E83" s="124">
        <f t="shared" si="17"/>
        <v>45.72</v>
      </c>
      <c r="F83" s="124">
        <f t="shared" si="18"/>
        <v>34.29</v>
      </c>
      <c r="G83" s="124">
        <f>S83</f>
        <v>1143</v>
      </c>
      <c r="H83" s="124">
        <f t="shared" ref="H83" si="21">0.6*B83</f>
        <v>733.80599999999993</v>
      </c>
      <c r="I83" s="126"/>
      <c r="J83" s="126"/>
      <c r="K83" s="126"/>
      <c r="L83" s="126"/>
      <c r="M83" s="126"/>
      <c r="N83" s="124">
        <v>28905</v>
      </c>
      <c r="O83" s="84">
        <v>30048</v>
      </c>
      <c r="P83" s="7"/>
      <c r="Q83" s="94"/>
      <c r="R83" s="124">
        <v>1</v>
      </c>
      <c r="S83" s="124">
        <f t="shared" ref="S83" si="22">(O83-N83)*R83</f>
        <v>1143</v>
      </c>
      <c r="T83" s="127">
        <v>179316</v>
      </c>
      <c r="U83" s="128" t="s">
        <v>210</v>
      </c>
      <c r="V83" s="303"/>
      <c r="W83" s="303"/>
      <c r="X83" s="303"/>
      <c r="Y83" s="286"/>
      <c r="Z83" s="286"/>
      <c r="AA83" s="286"/>
      <c r="AB83" s="286"/>
      <c r="AC83" s="286"/>
      <c r="AD83" s="286"/>
    </row>
    <row r="84" spans="1:30" ht="27">
      <c r="A84" s="304"/>
      <c r="B84" s="509">
        <f t="shared" si="19"/>
        <v>323.14</v>
      </c>
      <c r="C84" s="509"/>
      <c r="D84" s="509">
        <f t="shared" si="16"/>
        <v>21.14</v>
      </c>
      <c r="E84" s="509">
        <f t="shared" si="17"/>
        <v>12.08</v>
      </c>
      <c r="F84" s="509">
        <f t="shared" si="18"/>
        <v>9.06</v>
      </c>
      <c r="G84" s="509">
        <f t="shared" si="20"/>
        <v>302</v>
      </c>
      <c r="H84" s="509"/>
      <c r="I84" s="126"/>
      <c r="J84" s="126"/>
      <c r="K84" s="126"/>
      <c r="L84" s="126"/>
      <c r="M84" s="126" t="s">
        <v>271</v>
      </c>
      <c r="N84" s="117">
        <v>14221</v>
      </c>
      <c r="O84" s="349">
        <v>14523</v>
      </c>
      <c r="P84" s="149"/>
      <c r="Q84" s="309"/>
      <c r="R84" s="117">
        <v>1</v>
      </c>
      <c r="S84" s="117">
        <f>O84-N84</f>
        <v>302</v>
      </c>
      <c r="T84" s="311">
        <v>6292</v>
      </c>
      <c r="U84" s="782" t="s">
        <v>311</v>
      </c>
      <c r="V84" s="303"/>
      <c r="W84" s="303"/>
      <c r="X84" s="303"/>
      <c r="Y84" s="286"/>
      <c r="Z84" s="286"/>
      <c r="AA84" s="286"/>
      <c r="AB84" s="286"/>
      <c r="AC84" s="286"/>
      <c r="AD84" s="286"/>
    </row>
    <row r="85" spans="1:30">
      <c r="A85" s="312" t="s">
        <v>80</v>
      </c>
      <c r="B85" s="124">
        <f>G85</f>
        <v>7970</v>
      </c>
      <c r="C85" s="125"/>
      <c r="D85" s="124">
        <f t="shared" si="16"/>
        <v>557.9</v>
      </c>
      <c r="E85" s="124">
        <f t="shared" si="17"/>
        <v>318.8</v>
      </c>
      <c r="F85" s="124">
        <f t="shared" si="18"/>
        <v>239.1</v>
      </c>
      <c r="G85" s="125">
        <f t="shared" si="20"/>
        <v>7970</v>
      </c>
      <c r="H85" s="345">
        <f>B85*0.4</f>
        <v>3188</v>
      </c>
      <c r="I85" s="133"/>
      <c r="J85" s="133"/>
      <c r="K85" s="133"/>
      <c r="L85" s="133"/>
      <c r="M85" s="133"/>
      <c r="N85" s="92">
        <v>139275</v>
      </c>
      <c r="O85" s="77">
        <v>147245</v>
      </c>
      <c r="P85" s="105"/>
      <c r="Q85" s="106"/>
      <c r="R85" s="106">
        <v>1</v>
      </c>
      <c r="S85" s="92">
        <f>(O85-N85)*R85</f>
        <v>7970</v>
      </c>
      <c r="T85" s="95">
        <v>9148</v>
      </c>
      <c r="U85" s="782" t="s">
        <v>81</v>
      </c>
      <c r="V85" s="286"/>
      <c r="W85" s="286"/>
      <c r="X85" s="286"/>
      <c r="Y85" s="286"/>
      <c r="Z85" s="286"/>
      <c r="AA85" s="286"/>
      <c r="AB85" s="286"/>
      <c r="AC85" s="286"/>
      <c r="AD85" s="286"/>
    </row>
    <row r="86" spans="1:30" ht="24.75" customHeight="1">
      <c r="A86" s="313" t="s">
        <v>681</v>
      </c>
      <c r="B86" s="302">
        <f>SUM(B75:B85)+B64</f>
        <v>25311.38</v>
      </c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06"/>
      <c r="P86" s="286"/>
      <c r="Q86" s="286"/>
      <c r="R86" s="286"/>
      <c r="S86" s="286"/>
      <c r="T86" s="286"/>
      <c r="U86" s="286"/>
      <c r="V86" s="286"/>
      <c r="W86" s="286"/>
      <c r="X86" s="286"/>
      <c r="Y86" s="286"/>
      <c r="Z86" s="286"/>
      <c r="AA86" s="286"/>
      <c r="AB86" s="286"/>
      <c r="AC86" s="286"/>
      <c r="AD86" s="286"/>
    </row>
    <row r="87" spans="1:30">
      <c r="A87" s="286"/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6"/>
      <c r="P87" s="286"/>
      <c r="Q87" s="286"/>
      <c r="R87" s="286"/>
      <c r="S87" s="286"/>
      <c r="T87" s="286"/>
      <c r="U87" s="286"/>
      <c r="V87" s="286"/>
      <c r="W87" s="286"/>
      <c r="X87" s="286"/>
      <c r="Y87" s="286"/>
      <c r="Z87" s="286"/>
      <c r="AA87" s="286"/>
      <c r="AB87" s="286"/>
      <c r="AC87" s="286"/>
      <c r="AD87" s="286"/>
    </row>
  </sheetData>
  <mergeCells count="12">
    <mergeCell ref="O31:O32"/>
    <mergeCell ref="R31:R32"/>
    <mergeCell ref="S31:S32"/>
    <mergeCell ref="T31:T32"/>
    <mergeCell ref="B29:N29"/>
    <mergeCell ref="H31:H32"/>
    <mergeCell ref="N31:N32"/>
    <mergeCell ref="A31:A32"/>
    <mergeCell ref="B31:B32"/>
    <mergeCell ref="C31:C32"/>
    <mergeCell ref="D31:F31"/>
    <mergeCell ref="G31:G32"/>
  </mergeCells>
  <pageMargins left="0.51181102362204722" right="0.51181102362204722" top="0.55118110236220474" bottom="0.74803149606299213" header="0.31496062992125984" footer="0.31496062992125984"/>
  <pageSetup paperSize="9" scale="2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topLeftCell="A43" zoomScale="55" zoomScaleNormal="55" workbookViewId="0">
      <selection activeCell="O33" sqref="O33"/>
    </sheetView>
  </sheetViews>
  <sheetFormatPr defaultRowHeight="26.25"/>
  <cols>
    <col min="1" max="1" width="84.85546875" style="282" customWidth="1"/>
    <col min="2" max="2" width="27.28515625" style="282" customWidth="1"/>
    <col min="3" max="3" width="0.140625" style="282" customWidth="1"/>
    <col min="4" max="4" width="24.42578125" style="282" bestFit="1" customWidth="1"/>
    <col min="5" max="5" width="23.42578125" style="282" customWidth="1"/>
    <col min="6" max="6" width="23.28515625" style="282" customWidth="1"/>
    <col min="7" max="7" width="21.5703125" style="282" customWidth="1"/>
    <col min="8" max="8" width="19.5703125" style="282" customWidth="1"/>
    <col min="9" max="12" width="9.140625" style="282" hidden="1" customWidth="1"/>
    <col min="13" max="13" width="21.7109375" style="282" hidden="1" customWidth="1"/>
    <col min="14" max="14" width="25.85546875" style="282" customWidth="1"/>
    <col min="15" max="15" width="22.7109375" style="282" customWidth="1"/>
    <col min="16" max="17" width="9.140625" style="282" hidden="1" customWidth="1"/>
    <col min="18" max="18" width="11.7109375" style="282" customWidth="1"/>
    <col min="19" max="19" width="25.7109375" style="282" customWidth="1"/>
    <col min="20" max="20" width="17.42578125" style="282" customWidth="1"/>
    <col min="21" max="16384" width="9.140625" style="282"/>
  </cols>
  <sheetData>
    <row r="1" spans="1:21">
      <c r="A1" s="278"/>
      <c r="B1" s="279"/>
      <c r="C1" s="279"/>
      <c r="D1" s="279"/>
      <c r="E1" s="279"/>
      <c r="F1" s="279"/>
      <c r="G1" s="279"/>
      <c r="H1" s="279"/>
      <c r="I1" s="280"/>
      <c r="J1" s="280"/>
      <c r="K1" s="280"/>
      <c r="L1" s="280"/>
      <c r="M1" s="280"/>
      <c r="N1" s="279"/>
      <c r="O1" s="279"/>
      <c r="P1" s="280"/>
      <c r="Q1" s="280"/>
      <c r="R1" s="279"/>
      <c r="S1" s="279"/>
      <c r="T1" s="281"/>
      <c r="U1" s="281"/>
    </row>
    <row r="2" spans="1:21">
      <c r="A2" s="278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</row>
    <row r="3" spans="1:21">
      <c r="A3" s="278"/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</row>
    <row r="4" spans="1:21">
      <c r="A4" s="278"/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</row>
    <row r="5" spans="1:21">
      <c r="A5" s="278"/>
      <c r="B5" s="281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</row>
    <row r="6" spans="1:21">
      <c r="A6" s="278"/>
      <c r="B6" s="281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</row>
    <row r="7" spans="1:21">
      <c r="A7" s="278"/>
      <c r="B7" s="281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</row>
    <row r="8" spans="1:21">
      <c r="A8" s="278"/>
      <c r="B8" s="281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</row>
    <row r="9" spans="1:21">
      <c r="A9" s="278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</row>
    <row r="10" spans="1:21">
      <c r="A10" s="278"/>
      <c r="B10" s="281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</row>
    <row r="11" spans="1:21">
      <c r="A11" s="278"/>
      <c r="B11" s="281"/>
      <c r="C11" s="279"/>
      <c r="D11" s="279"/>
      <c r="E11" s="279"/>
      <c r="F11" s="279"/>
      <c r="G11" s="279"/>
      <c r="H11" s="279"/>
      <c r="I11" s="279"/>
      <c r="J11" s="280"/>
      <c r="K11" s="280"/>
      <c r="L11" s="280"/>
      <c r="M11" s="280"/>
      <c r="N11" s="280"/>
      <c r="O11" s="279"/>
      <c r="P11" s="279"/>
      <c r="Q11" s="280"/>
      <c r="R11" s="280"/>
      <c r="S11" s="279"/>
      <c r="T11" s="279"/>
      <c r="U11" s="281"/>
    </row>
    <row r="12" spans="1:21">
      <c r="A12" s="278"/>
      <c r="B12" s="281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</row>
    <row r="13" spans="1:21">
      <c r="A13" s="278"/>
    </row>
    <row r="14" spans="1:21">
      <c r="A14" s="278"/>
    </row>
    <row r="15" spans="1:21">
      <c r="A15" s="278"/>
    </row>
    <row r="16" spans="1:21">
      <c r="A16" s="278"/>
    </row>
    <row r="17" spans="1:30">
      <c r="A17" s="278"/>
    </row>
    <row r="18" spans="1:30">
      <c r="A18" s="278"/>
    </row>
    <row r="19" spans="1:30">
      <c r="A19" s="278"/>
    </row>
    <row r="20" spans="1:30">
      <c r="A20" s="278"/>
    </row>
    <row r="21" spans="1:30">
      <c r="A21" s="278"/>
    </row>
    <row r="22" spans="1:30">
      <c r="A22" s="278"/>
    </row>
    <row r="23" spans="1:30">
      <c r="A23" s="278"/>
    </row>
    <row r="24" spans="1:30">
      <c r="A24" s="283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</row>
    <row r="25" spans="1:30">
      <c r="A25" s="284"/>
      <c r="B25" s="279"/>
      <c r="C25" s="279"/>
      <c r="D25" s="279"/>
      <c r="E25" s="279"/>
      <c r="F25" s="279"/>
      <c r="G25" s="279"/>
      <c r="H25" s="279"/>
      <c r="I25" s="280"/>
      <c r="J25" s="280"/>
      <c r="K25" s="280"/>
      <c r="L25" s="280"/>
      <c r="M25" s="280"/>
      <c r="N25" s="279"/>
      <c r="O25" s="279"/>
      <c r="P25" s="280"/>
      <c r="Q25" s="280"/>
      <c r="R25" s="279"/>
      <c r="S25" s="279"/>
    </row>
    <row r="26" spans="1:30">
      <c r="A26" s="283"/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</row>
    <row r="27" spans="1:30">
      <c r="A27" s="281"/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</row>
    <row r="28" spans="1:30">
      <c r="A28" s="281"/>
      <c r="B28" s="281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</row>
    <row r="29" spans="1:30">
      <c r="A29" s="285"/>
      <c r="B29" s="285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5"/>
      <c r="N29" s="285"/>
      <c r="O29" s="285"/>
      <c r="P29" s="285"/>
      <c r="Q29" s="285"/>
      <c r="R29" s="285"/>
      <c r="S29" s="285"/>
      <c r="T29" s="286"/>
      <c r="U29" s="286"/>
      <c r="V29" s="286"/>
      <c r="W29" s="286"/>
      <c r="X29" s="286"/>
      <c r="Y29" s="286"/>
      <c r="Z29" s="286"/>
      <c r="AA29" s="286"/>
      <c r="AB29" s="286"/>
      <c r="AC29" s="286"/>
      <c r="AD29" s="286"/>
    </row>
    <row r="30" spans="1:30" ht="9.75" customHeight="1">
      <c r="A30" s="285"/>
      <c r="B30" s="285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5"/>
      <c r="N30" s="285"/>
      <c r="O30" s="285"/>
      <c r="P30" s="285"/>
      <c r="Q30" s="285"/>
      <c r="R30" s="285"/>
      <c r="S30" s="285"/>
      <c r="T30" s="286"/>
      <c r="U30" s="286"/>
      <c r="V30" s="286"/>
      <c r="W30" s="286"/>
      <c r="X30" s="286"/>
      <c r="Y30" s="286"/>
      <c r="Z30" s="286"/>
      <c r="AA30" s="286"/>
      <c r="AB30" s="286"/>
      <c r="AC30" s="286"/>
      <c r="AD30" s="286"/>
    </row>
    <row r="31" spans="1:30" ht="33.75" customHeight="1">
      <c r="A31" s="829" t="s">
        <v>1</v>
      </c>
      <c r="B31" s="826" t="s">
        <v>2</v>
      </c>
      <c r="C31" s="826" t="s">
        <v>3</v>
      </c>
      <c r="D31" s="826" t="s">
        <v>4</v>
      </c>
      <c r="E31" s="826"/>
      <c r="F31" s="826"/>
      <c r="G31" s="826" t="s">
        <v>5</v>
      </c>
      <c r="H31" s="826" t="s">
        <v>6</v>
      </c>
      <c r="I31" s="206"/>
      <c r="J31" s="287"/>
      <c r="K31" s="287"/>
      <c r="L31" s="287"/>
      <c r="M31" s="287"/>
      <c r="N31" s="824" t="s">
        <v>7</v>
      </c>
      <c r="O31" s="826" t="s">
        <v>8</v>
      </c>
      <c r="P31" s="287"/>
      <c r="Q31" s="287"/>
      <c r="R31" s="826" t="s">
        <v>9</v>
      </c>
      <c r="S31" s="826" t="s">
        <v>2</v>
      </c>
      <c r="T31" s="286"/>
      <c r="U31" s="286"/>
      <c r="V31" s="286"/>
      <c r="W31" s="286"/>
      <c r="X31" s="286"/>
      <c r="Y31" s="286"/>
      <c r="Z31" s="286"/>
      <c r="AA31" s="286"/>
      <c r="AB31" s="286"/>
      <c r="AC31" s="286"/>
      <c r="AD31" s="286"/>
    </row>
    <row r="32" spans="1:30" ht="51" customHeight="1">
      <c r="A32" s="829"/>
      <c r="B32" s="826"/>
      <c r="C32" s="826"/>
      <c r="D32" s="539" t="s">
        <v>10</v>
      </c>
      <c r="E32" s="539" t="s">
        <v>11</v>
      </c>
      <c r="F32" s="539" t="s">
        <v>12</v>
      </c>
      <c r="G32" s="826"/>
      <c r="H32" s="826"/>
      <c r="I32" s="206"/>
      <c r="J32" s="287"/>
      <c r="K32" s="287"/>
      <c r="L32" s="287"/>
      <c r="M32" s="287"/>
      <c r="N32" s="825"/>
      <c r="O32" s="826"/>
      <c r="P32" s="287"/>
      <c r="Q32" s="288"/>
      <c r="R32" s="826"/>
      <c r="S32" s="826"/>
      <c r="T32" s="286"/>
      <c r="U32" s="286"/>
      <c r="V32" s="286"/>
      <c r="W32" s="286"/>
      <c r="X32" s="286"/>
      <c r="Y32" s="286"/>
      <c r="Z32" s="286"/>
      <c r="AA32" s="286"/>
      <c r="AB32" s="286"/>
      <c r="AC32" s="286"/>
      <c r="AD32" s="286"/>
    </row>
    <row r="33" spans="1:30">
      <c r="A33" s="289" t="s">
        <v>650</v>
      </c>
      <c r="B33" s="206">
        <f t="shared" ref="B33:B60" si="0">G33+D33</f>
        <v>3124.4</v>
      </c>
      <c r="C33" s="206"/>
      <c r="D33" s="206">
        <f t="shared" ref="D33:D56" si="1">E33+F33</f>
        <v>204.39999999999998</v>
      </c>
      <c r="E33" s="206">
        <f t="shared" ref="E33:E56" si="2">0.04*G33</f>
        <v>116.8</v>
      </c>
      <c r="F33" s="206">
        <f t="shared" ref="F33:F56" si="3">0.03*G33</f>
        <v>87.6</v>
      </c>
      <c r="G33" s="206">
        <f t="shared" ref="G33:G56" si="4">S33</f>
        <v>2920</v>
      </c>
      <c r="H33" s="206">
        <f t="shared" ref="H33:H60" si="5">0.6*B33</f>
        <v>1874.6399999999999</v>
      </c>
      <c r="I33" s="290"/>
      <c r="J33" s="290"/>
      <c r="K33" s="290"/>
      <c r="L33" s="290"/>
      <c r="M33" s="290"/>
      <c r="N33" s="206">
        <v>4512</v>
      </c>
      <c r="O33" s="206">
        <v>4585</v>
      </c>
      <c r="P33" s="203"/>
      <c r="Q33" s="205"/>
      <c r="R33" s="291">
        <v>40</v>
      </c>
      <c r="S33" s="206">
        <f t="shared" ref="S33:S47" si="6">(O33-N33)*R33</f>
        <v>2920</v>
      </c>
      <c r="T33" s="286"/>
      <c r="U33" s="286"/>
      <c r="V33" s="286"/>
      <c r="W33" s="286"/>
      <c r="X33" s="286"/>
      <c r="Y33" s="286"/>
      <c r="Z33" s="286"/>
      <c r="AA33" s="286"/>
      <c r="AB33" s="286"/>
      <c r="AC33" s="286"/>
      <c r="AD33" s="286"/>
    </row>
    <row r="34" spans="1:30">
      <c r="A34" s="289" t="s">
        <v>651</v>
      </c>
      <c r="B34" s="206">
        <f t="shared" si="0"/>
        <v>3894.8</v>
      </c>
      <c r="C34" s="206"/>
      <c r="D34" s="206">
        <f t="shared" si="1"/>
        <v>254.8</v>
      </c>
      <c r="E34" s="206">
        <f t="shared" si="2"/>
        <v>145.6</v>
      </c>
      <c r="F34" s="206">
        <f t="shared" si="3"/>
        <v>109.2</v>
      </c>
      <c r="G34" s="206">
        <f t="shared" si="4"/>
        <v>3640</v>
      </c>
      <c r="H34" s="206">
        <f t="shared" si="5"/>
        <v>2336.88</v>
      </c>
      <c r="I34" s="290"/>
      <c r="J34" s="290"/>
      <c r="K34" s="290"/>
      <c r="L34" s="290"/>
      <c r="M34" s="290"/>
      <c r="N34" s="206">
        <v>4045</v>
      </c>
      <c r="O34" s="206">
        <v>4136</v>
      </c>
      <c r="P34" s="203"/>
      <c r="Q34" s="205"/>
      <c r="R34" s="291">
        <v>40</v>
      </c>
      <c r="S34" s="206">
        <f t="shared" si="6"/>
        <v>3640</v>
      </c>
      <c r="T34" s="286"/>
      <c r="U34" s="286"/>
      <c r="V34" s="286"/>
      <c r="W34" s="286"/>
      <c r="X34" s="286"/>
      <c r="Y34" s="286"/>
      <c r="Z34" s="286"/>
      <c r="AA34" s="286"/>
      <c r="AB34" s="286"/>
      <c r="AC34" s="286"/>
      <c r="AD34" s="286"/>
    </row>
    <row r="35" spans="1:30">
      <c r="A35" s="289" t="s">
        <v>652</v>
      </c>
      <c r="B35" s="206">
        <f t="shared" si="0"/>
        <v>4280</v>
      </c>
      <c r="C35" s="206"/>
      <c r="D35" s="206">
        <f t="shared" si="1"/>
        <v>280</v>
      </c>
      <c r="E35" s="206">
        <f t="shared" si="2"/>
        <v>160</v>
      </c>
      <c r="F35" s="206">
        <f t="shared" si="3"/>
        <v>120</v>
      </c>
      <c r="G35" s="206">
        <f t="shared" si="4"/>
        <v>4000</v>
      </c>
      <c r="H35" s="206">
        <f t="shared" si="5"/>
        <v>2568</v>
      </c>
      <c r="I35" s="290"/>
      <c r="J35" s="290"/>
      <c r="K35" s="290"/>
      <c r="L35" s="290"/>
      <c r="M35" s="290"/>
      <c r="N35" s="206">
        <v>4485</v>
      </c>
      <c r="O35" s="206">
        <v>4585</v>
      </c>
      <c r="P35" s="203"/>
      <c r="Q35" s="205"/>
      <c r="R35" s="291">
        <v>40</v>
      </c>
      <c r="S35" s="206">
        <f t="shared" si="6"/>
        <v>4000</v>
      </c>
      <c r="T35" s="286"/>
      <c r="U35" s="286"/>
      <c r="V35" s="286"/>
      <c r="W35" s="286"/>
      <c r="X35" s="286"/>
      <c r="Y35" s="286"/>
      <c r="Z35" s="286"/>
      <c r="AA35" s="286"/>
      <c r="AB35" s="286"/>
      <c r="AC35" s="286"/>
      <c r="AD35" s="286"/>
    </row>
    <row r="36" spans="1:30">
      <c r="A36" s="289" t="s">
        <v>653</v>
      </c>
      <c r="B36" s="206">
        <f t="shared" si="0"/>
        <v>27178</v>
      </c>
      <c r="C36" s="206"/>
      <c r="D36" s="206">
        <f t="shared" si="1"/>
        <v>1778</v>
      </c>
      <c r="E36" s="206">
        <f t="shared" si="2"/>
        <v>1016</v>
      </c>
      <c r="F36" s="206">
        <f t="shared" si="3"/>
        <v>762</v>
      </c>
      <c r="G36" s="206">
        <f t="shared" si="4"/>
        <v>25400</v>
      </c>
      <c r="H36" s="206">
        <f t="shared" si="5"/>
        <v>16306.8</v>
      </c>
      <c r="I36" s="290"/>
      <c r="J36" s="290"/>
      <c r="K36" s="290"/>
      <c r="L36" s="290"/>
      <c r="M36" s="290"/>
      <c r="N36" s="206">
        <v>14288</v>
      </c>
      <c r="O36" s="206">
        <v>14923</v>
      </c>
      <c r="P36" s="203"/>
      <c r="Q36" s="205"/>
      <c r="R36" s="291">
        <v>40</v>
      </c>
      <c r="S36" s="206">
        <f t="shared" si="6"/>
        <v>25400</v>
      </c>
      <c r="T36" s="286"/>
      <c r="U36" s="286"/>
      <c r="V36" s="286"/>
      <c r="W36" s="286"/>
      <c r="X36" s="286"/>
      <c r="Y36" s="286"/>
      <c r="Z36" s="286"/>
      <c r="AA36" s="286"/>
      <c r="AB36" s="286"/>
      <c r="AC36" s="286"/>
      <c r="AD36" s="286"/>
    </row>
    <row r="37" spans="1:30">
      <c r="A37" s="289" t="s">
        <v>654</v>
      </c>
      <c r="B37" s="206">
        <f t="shared" si="0"/>
        <v>2568</v>
      </c>
      <c r="C37" s="206"/>
      <c r="D37" s="206">
        <f t="shared" si="1"/>
        <v>168</v>
      </c>
      <c r="E37" s="206">
        <f t="shared" si="2"/>
        <v>96</v>
      </c>
      <c r="F37" s="206">
        <f t="shared" si="3"/>
        <v>72</v>
      </c>
      <c r="G37" s="206">
        <f t="shared" si="4"/>
        <v>2400</v>
      </c>
      <c r="H37" s="206">
        <f t="shared" si="5"/>
        <v>1540.8</v>
      </c>
      <c r="I37" s="290"/>
      <c r="J37" s="290"/>
      <c r="K37" s="290"/>
      <c r="L37" s="290"/>
      <c r="M37" s="290"/>
      <c r="N37" s="206">
        <v>6336</v>
      </c>
      <c r="O37" s="206">
        <v>6396</v>
      </c>
      <c r="P37" s="203"/>
      <c r="Q37" s="205"/>
      <c r="R37" s="291">
        <v>40</v>
      </c>
      <c r="S37" s="206">
        <f t="shared" si="6"/>
        <v>2400</v>
      </c>
      <c r="T37" s="286"/>
      <c r="U37" s="286"/>
      <c r="V37" s="286"/>
      <c r="W37" s="286"/>
      <c r="X37" s="286"/>
      <c r="Y37" s="286"/>
      <c r="Z37" s="286"/>
      <c r="AA37" s="286"/>
      <c r="AB37" s="286"/>
      <c r="AC37" s="286"/>
      <c r="AD37" s="286"/>
    </row>
    <row r="38" spans="1:30">
      <c r="A38" s="289" t="s">
        <v>764</v>
      </c>
      <c r="B38" s="206">
        <f t="shared" si="0"/>
        <v>642</v>
      </c>
      <c r="C38" s="206"/>
      <c r="D38" s="206">
        <f t="shared" si="1"/>
        <v>42</v>
      </c>
      <c r="E38" s="206">
        <f t="shared" si="2"/>
        <v>24</v>
      </c>
      <c r="F38" s="206">
        <f t="shared" si="3"/>
        <v>18</v>
      </c>
      <c r="G38" s="206">
        <f t="shared" si="4"/>
        <v>600</v>
      </c>
      <c r="H38" s="206">
        <f t="shared" si="5"/>
        <v>385.2</v>
      </c>
      <c r="I38" s="290"/>
      <c r="J38" s="290"/>
      <c r="K38" s="290"/>
      <c r="L38" s="290"/>
      <c r="M38" s="290"/>
      <c r="N38" s="206">
        <v>661</v>
      </c>
      <c r="O38" s="206">
        <v>681</v>
      </c>
      <c r="P38" s="203"/>
      <c r="Q38" s="205"/>
      <c r="R38" s="291">
        <v>30</v>
      </c>
      <c r="S38" s="206">
        <f t="shared" si="6"/>
        <v>600</v>
      </c>
      <c r="T38" s="286"/>
      <c r="U38" s="286"/>
      <c r="V38" s="286"/>
      <c r="W38" s="286"/>
      <c r="X38" s="286"/>
      <c r="Y38" s="286"/>
      <c r="Z38" s="286"/>
      <c r="AA38" s="286"/>
      <c r="AB38" s="286"/>
      <c r="AC38" s="286"/>
      <c r="AD38" s="286"/>
    </row>
    <row r="39" spans="1:30">
      <c r="A39" s="289" t="s">
        <v>655</v>
      </c>
      <c r="B39" s="206">
        <f t="shared" si="0"/>
        <v>3167.2</v>
      </c>
      <c r="C39" s="206"/>
      <c r="D39" s="206">
        <f t="shared" si="1"/>
        <v>207.2</v>
      </c>
      <c r="E39" s="206">
        <f t="shared" si="2"/>
        <v>118.4</v>
      </c>
      <c r="F39" s="206">
        <f t="shared" si="3"/>
        <v>88.8</v>
      </c>
      <c r="G39" s="206">
        <f t="shared" si="4"/>
        <v>2960</v>
      </c>
      <c r="H39" s="206">
        <f t="shared" si="5"/>
        <v>1900.3199999999997</v>
      </c>
      <c r="I39" s="290"/>
      <c r="J39" s="290"/>
      <c r="K39" s="290"/>
      <c r="L39" s="290"/>
      <c r="M39" s="290"/>
      <c r="N39" s="206">
        <v>3990</v>
      </c>
      <c r="O39" s="206">
        <v>4064</v>
      </c>
      <c r="P39" s="203"/>
      <c r="Q39" s="205"/>
      <c r="R39" s="291">
        <v>40</v>
      </c>
      <c r="S39" s="206">
        <f t="shared" si="6"/>
        <v>2960</v>
      </c>
      <c r="T39" s="286"/>
      <c r="U39" s="286"/>
      <c r="V39" s="286"/>
      <c r="W39" s="286"/>
      <c r="X39" s="286"/>
      <c r="Y39" s="286"/>
      <c r="Z39" s="286"/>
      <c r="AA39" s="286"/>
      <c r="AB39" s="286"/>
      <c r="AC39" s="286"/>
      <c r="AD39" s="286"/>
    </row>
    <row r="40" spans="1:30">
      <c r="A40" s="289" t="s">
        <v>765</v>
      </c>
      <c r="B40" s="206">
        <f t="shared" si="0"/>
        <v>4964.8</v>
      </c>
      <c r="C40" s="206"/>
      <c r="D40" s="206">
        <f t="shared" si="1"/>
        <v>324.79999999999995</v>
      </c>
      <c r="E40" s="206">
        <f t="shared" si="2"/>
        <v>185.6</v>
      </c>
      <c r="F40" s="206">
        <f t="shared" si="3"/>
        <v>139.19999999999999</v>
      </c>
      <c r="G40" s="206">
        <f t="shared" si="4"/>
        <v>4640</v>
      </c>
      <c r="H40" s="206">
        <f t="shared" si="5"/>
        <v>2978.88</v>
      </c>
      <c r="I40" s="290"/>
      <c r="J40" s="290"/>
      <c r="K40" s="290"/>
      <c r="L40" s="290"/>
      <c r="M40" s="290"/>
      <c r="N40" s="206">
        <v>4770</v>
      </c>
      <c r="O40" s="206">
        <v>4886</v>
      </c>
      <c r="P40" s="203"/>
      <c r="Q40" s="205"/>
      <c r="R40" s="291">
        <v>40</v>
      </c>
      <c r="S40" s="206">
        <f t="shared" si="6"/>
        <v>4640</v>
      </c>
      <c r="T40" s="286"/>
      <c r="U40" s="286"/>
      <c r="V40" s="286"/>
      <c r="W40" s="286"/>
      <c r="X40" s="286"/>
      <c r="Y40" s="286"/>
      <c r="Z40" s="286"/>
      <c r="AA40" s="286"/>
      <c r="AB40" s="286"/>
      <c r="AC40" s="286"/>
      <c r="AD40" s="286"/>
    </row>
    <row r="41" spans="1:30">
      <c r="A41" s="289" t="s">
        <v>656</v>
      </c>
      <c r="B41" s="206">
        <f t="shared" si="0"/>
        <v>5264.4</v>
      </c>
      <c r="C41" s="206"/>
      <c r="D41" s="206">
        <f t="shared" si="1"/>
        <v>344.4</v>
      </c>
      <c r="E41" s="206">
        <f t="shared" si="2"/>
        <v>196.8</v>
      </c>
      <c r="F41" s="206">
        <f t="shared" si="3"/>
        <v>147.6</v>
      </c>
      <c r="G41" s="206">
        <f t="shared" si="4"/>
        <v>4920</v>
      </c>
      <c r="H41" s="206">
        <f t="shared" si="5"/>
        <v>3158.64</v>
      </c>
      <c r="I41" s="290"/>
      <c r="J41" s="290"/>
      <c r="K41" s="290"/>
      <c r="L41" s="290"/>
      <c r="M41" s="290"/>
      <c r="N41" s="206">
        <v>8345</v>
      </c>
      <c r="O41" s="206">
        <v>8468</v>
      </c>
      <c r="P41" s="203"/>
      <c r="Q41" s="205"/>
      <c r="R41" s="291">
        <v>40</v>
      </c>
      <c r="S41" s="206">
        <f t="shared" si="6"/>
        <v>4920</v>
      </c>
      <c r="T41" s="286"/>
      <c r="U41" s="286"/>
      <c r="V41" s="286"/>
      <c r="W41" s="286"/>
      <c r="X41" s="286"/>
      <c r="Y41" s="286"/>
      <c r="Z41" s="286"/>
      <c r="AA41" s="286"/>
      <c r="AB41" s="286"/>
      <c r="AC41" s="286"/>
      <c r="AD41" s="286"/>
    </row>
    <row r="42" spans="1:30">
      <c r="A42" s="289" t="s">
        <v>657</v>
      </c>
      <c r="B42" s="206">
        <f t="shared" si="0"/>
        <v>2011.6</v>
      </c>
      <c r="C42" s="206"/>
      <c r="D42" s="206">
        <f t="shared" si="1"/>
        <v>131.6</v>
      </c>
      <c r="E42" s="206">
        <f t="shared" si="2"/>
        <v>75.2</v>
      </c>
      <c r="F42" s="206">
        <f t="shared" si="3"/>
        <v>56.4</v>
      </c>
      <c r="G42" s="206">
        <f t="shared" si="4"/>
        <v>1880</v>
      </c>
      <c r="H42" s="206">
        <f t="shared" si="5"/>
        <v>1206.9599999999998</v>
      </c>
      <c r="I42" s="290"/>
      <c r="J42" s="290"/>
      <c r="K42" s="290"/>
      <c r="L42" s="290"/>
      <c r="M42" s="290"/>
      <c r="N42" s="206">
        <v>1890</v>
      </c>
      <c r="O42" s="206">
        <v>1937</v>
      </c>
      <c r="P42" s="203"/>
      <c r="Q42" s="205"/>
      <c r="R42" s="291">
        <v>40</v>
      </c>
      <c r="S42" s="206">
        <f t="shared" si="6"/>
        <v>1880</v>
      </c>
      <c r="T42" s="286"/>
      <c r="U42" s="286"/>
      <c r="V42" s="286"/>
      <c r="W42" s="286"/>
      <c r="X42" s="286"/>
      <c r="Y42" s="286"/>
      <c r="Z42" s="286"/>
      <c r="AA42" s="286"/>
      <c r="AB42" s="286"/>
      <c r="AC42" s="286"/>
      <c r="AD42" s="286"/>
    </row>
    <row r="43" spans="1:30">
      <c r="A43" s="289" t="s">
        <v>658</v>
      </c>
      <c r="B43" s="206">
        <f t="shared" si="0"/>
        <v>1840.4</v>
      </c>
      <c r="C43" s="206"/>
      <c r="D43" s="206">
        <f t="shared" si="1"/>
        <v>120.4</v>
      </c>
      <c r="E43" s="206">
        <f t="shared" si="2"/>
        <v>68.8</v>
      </c>
      <c r="F43" s="206">
        <f t="shared" si="3"/>
        <v>51.6</v>
      </c>
      <c r="G43" s="206">
        <f t="shared" si="4"/>
        <v>1720</v>
      </c>
      <c r="H43" s="206">
        <f t="shared" si="5"/>
        <v>1104.24</v>
      </c>
      <c r="I43" s="290"/>
      <c r="J43" s="290"/>
      <c r="K43" s="290"/>
      <c r="L43" s="290"/>
      <c r="M43" s="290"/>
      <c r="N43" s="206">
        <v>1405</v>
      </c>
      <c r="O43" s="206">
        <v>1448</v>
      </c>
      <c r="P43" s="203"/>
      <c r="Q43" s="205"/>
      <c r="R43" s="291">
        <v>40</v>
      </c>
      <c r="S43" s="206">
        <f t="shared" si="6"/>
        <v>1720</v>
      </c>
      <c r="T43" s="286"/>
      <c r="U43" s="286"/>
      <c r="V43" s="286"/>
      <c r="W43" s="286"/>
      <c r="X43" s="286"/>
      <c r="Y43" s="286"/>
      <c r="Z43" s="286"/>
      <c r="AA43" s="286"/>
      <c r="AB43" s="286"/>
      <c r="AC43" s="286"/>
      <c r="AD43" s="286"/>
    </row>
    <row r="44" spans="1:30" ht="28.5" customHeight="1">
      <c r="A44" s="292" t="s">
        <v>659</v>
      </c>
      <c r="B44" s="293">
        <f>G44+D44</f>
        <v>13867.2</v>
      </c>
      <c r="C44" s="293"/>
      <c r="D44" s="293">
        <f>E44+F44</f>
        <v>907.2</v>
      </c>
      <c r="E44" s="293">
        <f>0.04*G44</f>
        <v>518.4</v>
      </c>
      <c r="F44" s="293">
        <f>0.03*G44</f>
        <v>388.8</v>
      </c>
      <c r="G44" s="293">
        <f>S44</f>
        <v>12960</v>
      </c>
      <c r="H44" s="293">
        <f>0.6*B44</f>
        <v>8320.32</v>
      </c>
      <c r="I44" s="294"/>
      <c r="J44" s="294"/>
      <c r="K44" s="294"/>
      <c r="L44" s="294"/>
      <c r="M44" s="294"/>
      <c r="N44" s="293">
        <v>27354</v>
      </c>
      <c r="O44" s="293">
        <v>27678</v>
      </c>
      <c r="P44" s="295"/>
      <c r="Q44" s="296"/>
      <c r="R44" s="297">
        <v>40</v>
      </c>
      <c r="S44" s="293">
        <f>(O44-N44)*R44</f>
        <v>12960</v>
      </c>
      <c r="T44" s="286"/>
      <c r="U44" s="286"/>
      <c r="V44" s="286"/>
      <c r="W44" s="286"/>
      <c r="X44" s="286"/>
      <c r="Y44" s="286"/>
      <c r="Z44" s="286"/>
      <c r="AA44" s="286"/>
      <c r="AB44" s="286"/>
      <c r="AC44" s="286"/>
      <c r="AD44" s="286"/>
    </row>
    <row r="45" spans="1:30">
      <c r="A45" s="289" t="s">
        <v>660</v>
      </c>
      <c r="B45" s="206">
        <f t="shared" si="0"/>
        <v>23026.400000000001</v>
      </c>
      <c r="C45" s="206"/>
      <c r="D45" s="206">
        <f t="shared" si="1"/>
        <v>1506.4</v>
      </c>
      <c r="E45" s="206">
        <f t="shared" si="2"/>
        <v>860.80000000000007</v>
      </c>
      <c r="F45" s="206">
        <f t="shared" si="3"/>
        <v>645.6</v>
      </c>
      <c r="G45" s="206">
        <f t="shared" si="4"/>
        <v>21520</v>
      </c>
      <c r="H45" s="206">
        <f t="shared" si="5"/>
        <v>13815.84</v>
      </c>
      <c r="I45" s="290"/>
      <c r="J45" s="290"/>
      <c r="K45" s="290"/>
      <c r="L45" s="290"/>
      <c r="M45" s="290"/>
      <c r="N45" s="206">
        <v>22318</v>
      </c>
      <c r="O45" s="206">
        <v>22856</v>
      </c>
      <c r="P45" s="203"/>
      <c r="Q45" s="205"/>
      <c r="R45" s="291">
        <v>40</v>
      </c>
      <c r="S45" s="206">
        <f t="shared" si="6"/>
        <v>21520</v>
      </c>
      <c r="T45" s="286"/>
      <c r="U45" s="286"/>
      <c r="V45" s="286"/>
      <c r="W45" s="286"/>
      <c r="X45" s="286"/>
      <c r="Y45" s="286"/>
      <c r="Z45" s="286"/>
      <c r="AA45" s="286"/>
      <c r="AB45" s="286"/>
      <c r="AC45" s="286"/>
      <c r="AD45" s="286"/>
    </row>
    <row r="46" spans="1:30">
      <c r="A46" s="289" t="s">
        <v>661</v>
      </c>
      <c r="B46" s="206">
        <f t="shared" si="0"/>
        <v>16991.599999999999</v>
      </c>
      <c r="C46" s="206"/>
      <c r="D46" s="206">
        <f t="shared" si="1"/>
        <v>1111.5999999999999</v>
      </c>
      <c r="E46" s="206">
        <f t="shared" si="2"/>
        <v>635.20000000000005</v>
      </c>
      <c r="F46" s="206">
        <f t="shared" si="3"/>
        <v>476.4</v>
      </c>
      <c r="G46" s="206">
        <f t="shared" si="4"/>
        <v>15880</v>
      </c>
      <c r="H46" s="206">
        <f t="shared" si="5"/>
        <v>10194.959999999999</v>
      </c>
      <c r="I46" s="290"/>
      <c r="J46" s="290"/>
      <c r="K46" s="290"/>
      <c r="L46" s="290"/>
      <c r="M46" s="290"/>
      <c r="N46" s="206">
        <v>16943</v>
      </c>
      <c r="O46" s="206">
        <v>17340</v>
      </c>
      <c r="P46" s="203"/>
      <c r="Q46" s="205"/>
      <c r="R46" s="291">
        <v>40</v>
      </c>
      <c r="S46" s="206">
        <f t="shared" si="6"/>
        <v>15880</v>
      </c>
      <c r="T46" s="286"/>
      <c r="U46" s="286"/>
      <c r="V46" s="286"/>
      <c r="W46" s="286"/>
      <c r="X46" s="286"/>
      <c r="Y46" s="286"/>
      <c r="Z46" s="286"/>
      <c r="AA46" s="286"/>
      <c r="AB46" s="286"/>
      <c r="AC46" s="286"/>
      <c r="AD46" s="286"/>
    </row>
    <row r="47" spans="1:30">
      <c r="A47" s="289" t="s">
        <v>662</v>
      </c>
      <c r="B47" s="206">
        <f t="shared" si="0"/>
        <v>1968.8</v>
      </c>
      <c r="C47" s="206"/>
      <c r="D47" s="206">
        <f t="shared" si="1"/>
        <v>128.80000000000001</v>
      </c>
      <c r="E47" s="206">
        <f t="shared" si="2"/>
        <v>73.600000000000009</v>
      </c>
      <c r="F47" s="206">
        <f t="shared" si="3"/>
        <v>55.199999999999996</v>
      </c>
      <c r="G47" s="206">
        <f t="shared" si="4"/>
        <v>1840</v>
      </c>
      <c r="H47" s="206">
        <f t="shared" si="5"/>
        <v>1181.28</v>
      </c>
      <c r="I47" s="290"/>
      <c r="J47" s="290"/>
      <c r="K47" s="290"/>
      <c r="L47" s="290"/>
      <c r="M47" s="290"/>
      <c r="N47" s="206">
        <v>2560</v>
      </c>
      <c r="O47" s="206">
        <v>2606</v>
      </c>
      <c r="P47" s="203"/>
      <c r="Q47" s="205"/>
      <c r="R47" s="291">
        <v>40</v>
      </c>
      <c r="S47" s="206">
        <f t="shared" si="6"/>
        <v>1840</v>
      </c>
      <c r="T47" s="286"/>
      <c r="U47" s="286"/>
      <c r="V47" s="286"/>
      <c r="W47" s="286"/>
      <c r="X47" s="286"/>
      <c r="Y47" s="286"/>
      <c r="Z47" s="286"/>
      <c r="AA47" s="286"/>
      <c r="AB47" s="286"/>
      <c r="AC47" s="286"/>
      <c r="AD47" s="286"/>
    </row>
    <row r="48" spans="1:30">
      <c r="A48" s="289"/>
      <c r="B48" s="206"/>
      <c r="C48" s="206"/>
      <c r="D48" s="206"/>
      <c r="E48" s="206"/>
      <c r="F48" s="206"/>
      <c r="G48" s="206"/>
      <c r="H48" s="206"/>
      <c r="I48" s="290"/>
      <c r="J48" s="290"/>
      <c r="K48" s="290"/>
      <c r="L48" s="290"/>
      <c r="M48" s="290"/>
      <c r="N48" s="206"/>
      <c r="O48" s="206"/>
      <c r="P48" s="203"/>
      <c r="Q48" s="205"/>
      <c r="R48" s="291"/>
      <c r="S48" s="206"/>
      <c r="T48" s="286"/>
      <c r="U48" s="286"/>
      <c r="V48" s="286"/>
      <c r="W48" s="286"/>
      <c r="X48" s="286"/>
      <c r="Y48" s="286"/>
      <c r="Z48" s="286"/>
      <c r="AA48" s="286"/>
      <c r="AB48" s="286"/>
      <c r="AC48" s="286"/>
      <c r="AD48" s="286"/>
    </row>
    <row r="49" spans="1:30">
      <c r="A49" s="289" t="s">
        <v>663</v>
      </c>
      <c r="B49" s="206">
        <f t="shared" si="0"/>
        <v>36016.199999999997</v>
      </c>
      <c r="C49" s="206"/>
      <c r="D49" s="206">
        <f t="shared" si="1"/>
        <v>2356.1999999999998</v>
      </c>
      <c r="E49" s="206">
        <f t="shared" si="2"/>
        <v>1346.4</v>
      </c>
      <c r="F49" s="206">
        <f t="shared" si="3"/>
        <v>1009.8</v>
      </c>
      <c r="G49" s="206">
        <f t="shared" si="4"/>
        <v>33660</v>
      </c>
      <c r="H49" s="206">
        <f t="shared" si="5"/>
        <v>21609.719999999998</v>
      </c>
      <c r="I49" s="290"/>
      <c r="J49" s="290"/>
      <c r="K49" s="290"/>
      <c r="L49" s="290"/>
      <c r="M49" s="290"/>
      <c r="N49" s="206">
        <v>23941</v>
      </c>
      <c r="O49" s="206">
        <v>24502</v>
      </c>
      <c r="P49" s="203"/>
      <c r="Q49" s="205"/>
      <c r="R49" s="291">
        <v>60</v>
      </c>
      <c r="S49" s="206">
        <f t="shared" ref="S49:S61" si="7">(O49-N49)*R49</f>
        <v>33660</v>
      </c>
      <c r="T49" s="286"/>
      <c r="U49" s="286"/>
      <c r="V49" s="286"/>
      <c r="W49" s="286"/>
      <c r="X49" s="286"/>
      <c r="Y49" s="286"/>
      <c r="Z49" s="286"/>
      <c r="AA49" s="286"/>
      <c r="AB49" s="286"/>
      <c r="AC49" s="286"/>
      <c r="AD49" s="286"/>
    </row>
    <row r="50" spans="1:30">
      <c r="A50" s="289" t="s">
        <v>664</v>
      </c>
      <c r="B50" s="206">
        <f t="shared" si="0"/>
        <v>4793.6000000000004</v>
      </c>
      <c r="C50" s="206"/>
      <c r="D50" s="206">
        <f t="shared" si="1"/>
        <v>313.60000000000002</v>
      </c>
      <c r="E50" s="206">
        <f t="shared" si="2"/>
        <v>179.20000000000002</v>
      </c>
      <c r="F50" s="206">
        <f t="shared" si="3"/>
        <v>134.4</v>
      </c>
      <c r="G50" s="206">
        <f t="shared" si="4"/>
        <v>4480</v>
      </c>
      <c r="H50" s="206">
        <f t="shared" si="5"/>
        <v>2876.1600000000003</v>
      </c>
      <c r="I50" s="290"/>
      <c r="J50" s="290"/>
      <c r="K50" s="290"/>
      <c r="L50" s="290"/>
      <c r="M50" s="290"/>
      <c r="N50" s="206">
        <v>2982</v>
      </c>
      <c r="O50" s="206">
        <v>3094</v>
      </c>
      <c r="P50" s="203"/>
      <c r="Q50" s="205"/>
      <c r="R50" s="291">
        <v>40</v>
      </c>
      <c r="S50" s="206">
        <f t="shared" si="7"/>
        <v>4480</v>
      </c>
      <c r="T50" s="286"/>
      <c r="U50" s="286"/>
      <c r="V50" s="286"/>
      <c r="W50" s="286"/>
      <c r="X50" s="286"/>
      <c r="Y50" s="286"/>
      <c r="Z50" s="286"/>
      <c r="AA50" s="286"/>
      <c r="AB50" s="286"/>
      <c r="AC50" s="286"/>
      <c r="AD50" s="286"/>
    </row>
    <row r="51" spans="1:30">
      <c r="A51" s="289" t="s">
        <v>665</v>
      </c>
      <c r="B51" s="206">
        <f t="shared" si="0"/>
        <v>2568</v>
      </c>
      <c r="C51" s="206"/>
      <c r="D51" s="206">
        <f t="shared" si="1"/>
        <v>168</v>
      </c>
      <c r="E51" s="206">
        <f t="shared" si="2"/>
        <v>96</v>
      </c>
      <c r="F51" s="206">
        <f t="shared" si="3"/>
        <v>72</v>
      </c>
      <c r="G51" s="206">
        <f t="shared" si="4"/>
        <v>2400</v>
      </c>
      <c r="H51" s="206">
        <f t="shared" si="5"/>
        <v>1540.8</v>
      </c>
      <c r="I51" s="290"/>
      <c r="J51" s="290"/>
      <c r="K51" s="290"/>
      <c r="L51" s="290"/>
      <c r="M51" s="290"/>
      <c r="N51" s="206">
        <v>2423</v>
      </c>
      <c r="O51" s="206">
        <v>2483</v>
      </c>
      <c r="P51" s="203"/>
      <c r="Q51" s="205"/>
      <c r="R51" s="291">
        <v>40</v>
      </c>
      <c r="S51" s="206">
        <f t="shared" si="7"/>
        <v>2400</v>
      </c>
      <c r="T51" s="286"/>
      <c r="U51" s="286"/>
      <c r="V51" s="286"/>
      <c r="W51" s="286"/>
      <c r="X51" s="286"/>
      <c r="Y51" s="286"/>
      <c r="Z51" s="286"/>
      <c r="AA51" s="286"/>
      <c r="AB51" s="286"/>
      <c r="AC51" s="286"/>
      <c r="AD51" s="286"/>
    </row>
    <row r="52" spans="1:30">
      <c r="A52" s="289" t="s">
        <v>666</v>
      </c>
      <c r="B52" s="206">
        <f t="shared" si="0"/>
        <v>3038.8</v>
      </c>
      <c r="C52" s="206"/>
      <c r="D52" s="206">
        <f t="shared" si="1"/>
        <v>198.8</v>
      </c>
      <c r="E52" s="206">
        <f t="shared" si="2"/>
        <v>113.60000000000001</v>
      </c>
      <c r="F52" s="206">
        <f t="shared" si="3"/>
        <v>85.2</v>
      </c>
      <c r="G52" s="206">
        <f t="shared" si="4"/>
        <v>2840</v>
      </c>
      <c r="H52" s="206">
        <f t="shared" si="5"/>
        <v>1823.28</v>
      </c>
      <c r="I52" s="290"/>
      <c r="J52" s="290"/>
      <c r="K52" s="290"/>
      <c r="L52" s="290"/>
      <c r="M52" s="290"/>
      <c r="N52" s="206">
        <v>5086</v>
      </c>
      <c r="O52" s="206">
        <v>5157</v>
      </c>
      <c r="P52" s="203"/>
      <c r="Q52" s="205"/>
      <c r="R52" s="291">
        <v>40</v>
      </c>
      <c r="S52" s="206">
        <f t="shared" si="7"/>
        <v>2840</v>
      </c>
      <c r="T52" s="286"/>
      <c r="U52" s="286"/>
      <c r="V52" s="286"/>
      <c r="W52" s="286"/>
      <c r="X52" s="286"/>
      <c r="Y52" s="286"/>
      <c r="Z52" s="286"/>
      <c r="AA52" s="286"/>
      <c r="AB52" s="286"/>
      <c r="AC52" s="286"/>
      <c r="AD52" s="286"/>
    </row>
    <row r="53" spans="1:30">
      <c r="A53" s="289" t="s">
        <v>667</v>
      </c>
      <c r="B53" s="206">
        <f t="shared" si="0"/>
        <v>16948.8</v>
      </c>
      <c r="C53" s="206"/>
      <c r="D53" s="206">
        <f t="shared" si="1"/>
        <v>1108.8</v>
      </c>
      <c r="E53" s="206">
        <f t="shared" si="2"/>
        <v>633.6</v>
      </c>
      <c r="F53" s="206">
        <f t="shared" si="3"/>
        <v>475.2</v>
      </c>
      <c r="G53" s="206">
        <f t="shared" si="4"/>
        <v>15840</v>
      </c>
      <c r="H53" s="206">
        <f t="shared" si="5"/>
        <v>10169.279999999999</v>
      </c>
      <c r="I53" s="290"/>
      <c r="J53" s="290"/>
      <c r="K53" s="290"/>
      <c r="L53" s="290"/>
      <c r="M53" s="290"/>
      <c r="N53" s="206">
        <v>29176</v>
      </c>
      <c r="O53" s="206">
        <v>29572</v>
      </c>
      <c r="P53" s="203"/>
      <c r="Q53" s="205"/>
      <c r="R53" s="291">
        <v>40</v>
      </c>
      <c r="S53" s="206">
        <f t="shared" si="7"/>
        <v>15840</v>
      </c>
      <c r="T53" s="286"/>
      <c r="U53" s="286"/>
      <c r="V53" s="286"/>
      <c r="W53" s="286"/>
      <c r="X53" s="286"/>
      <c r="Y53" s="286"/>
      <c r="Z53" s="286"/>
      <c r="AA53" s="286"/>
      <c r="AB53" s="286"/>
      <c r="AC53" s="286"/>
      <c r="AD53" s="286"/>
    </row>
    <row r="54" spans="1:30">
      <c r="A54" s="289" t="s">
        <v>668</v>
      </c>
      <c r="B54" s="206">
        <f t="shared" si="0"/>
        <v>8731.2000000000007</v>
      </c>
      <c r="C54" s="206"/>
      <c r="D54" s="206">
        <f t="shared" si="1"/>
        <v>571.20000000000005</v>
      </c>
      <c r="E54" s="206">
        <f t="shared" si="2"/>
        <v>326.40000000000003</v>
      </c>
      <c r="F54" s="206">
        <f t="shared" si="3"/>
        <v>244.79999999999998</v>
      </c>
      <c r="G54" s="206">
        <f t="shared" si="4"/>
        <v>8160</v>
      </c>
      <c r="H54" s="206">
        <f t="shared" si="5"/>
        <v>5238.72</v>
      </c>
      <c r="I54" s="290"/>
      <c r="J54" s="290"/>
      <c r="K54" s="290"/>
      <c r="L54" s="290"/>
      <c r="M54" s="290"/>
      <c r="N54" s="206">
        <v>8955</v>
      </c>
      <c r="O54" s="206">
        <v>9159</v>
      </c>
      <c r="P54" s="203"/>
      <c r="Q54" s="205"/>
      <c r="R54" s="291">
        <v>40</v>
      </c>
      <c r="S54" s="206">
        <f t="shared" si="7"/>
        <v>8160</v>
      </c>
      <c r="T54" s="286"/>
      <c r="U54" s="286"/>
      <c r="V54" s="286"/>
      <c r="W54" s="286"/>
      <c r="X54" s="286"/>
      <c r="Y54" s="286"/>
      <c r="Z54" s="286"/>
      <c r="AA54" s="286"/>
      <c r="AB54" s="286"/>
      <c r="AC54" s="286"/>
      <c r="AD54" s="286"/>
    </row>
    <row r="55" spans="1:30">
      <c r="A55" s="289" t="s">
        <v>669</v>
      </c>
      <c r="B55" s="206">
        <f t="shared" si="0"/>
        <v>1968.8</v>
      </c>
      <c r="C55" s="206"/>
      <c r="D55" s="206">
        <f t="shared" si="1"/>
        <v>128.80000000000001</v>
      </c>
      <c r="E55" s="206">
        <f t="shared" si="2"/>
        <v>73.600000000000009</v>
      </c>
      <c r="F55" s="206">
        <f t="shared" si="3"/>
        <v>55.199999999999996</v>
      </c>
      <c r="G55" s="206">
        <f t="shared" si="4"/>
        <v>1840</v>
      </c>
      <c r="H55" s="206">
        <f t="shared" si="5"/>
        <v>1181.28</v>
      </c>
      <c r="I55" s="290"/>
      <c r="J55" s="290"/>
      <c r="K55" s="290"/>
      <c r="L55" s="290"/>
      <c r="M55" s="290"/>
      <c r="N55" s="206">
        <v>1973</v>
      </c>
      <c r="O55" s="206">
        <v>2019</v>
      </c>
      <c r="P55" s="203"/>
      <c r="Q55" s="205"/>
      <c r="R55" s="291">
        <v>40</v>
      </c>
      <c r="S55" s="206">
        <f t="shared" si="7"/>
        <v>1840</v>
      </c>
      <c r="T55" s="286"/>
      <c r="U55" s="286"/>
      <c r="V55" s="286"/>
      <c r="W55" s="286"/>
      <c r="X55" s="286"/>
      <c r="Y55" s="286"/>
      <c r="Z55" s="286"/>
      <c r="AA55" s="286"/>
      <c r="AB55" s="286"/>
      <c r="AC55" s="286"/>
      <c r="AD55" s="286"/>
    </row>
    <row r="56" spans="1:30">
      <c r="A56" s="289" t="s">
        <v>670</v>
      </c>
      <c r="B56" s="206">
        <f t="shared" si="0"/>
        <v>30730.400000000001</v>
      </c>
      <c r="C56" s="206"/>
      <c r="D56" s="206">
        <f t="shared" si="1"/>
        <v>2010.4</v>
      </c>
      <c r="E56" s="206">
        <f t="shared" si="2"/>
        <v>1148.8</v>
      </c>
      <c r="F56" s="206">
        <f t="shared" si="3"/>
        <v>861.6</v>
      </c>
      <c r="G56" s="206">
        <f t="shared" si="4"/>
        <v>28720</v>
      </c>
      <c r="H56" s="206">
        <f t="shared" si="5"/>
        <v>18438.240000000002</v>
      </c>
      <c r="I56" s="290"/>
      <c r="J56" s="290"/>
      <c r="K56" s="290"/>
      <c r="L56" s="290"/>
      <c r="M56" s="290"/>
      <c r="N56" s="206">
        <v>41025</v>
      </c>
      <c r="O56" s="206">
        <v>41743</v>
      </c>
      <c r="P56" s="203"/>
      <c r="Q56" s="205"/>
      <c r="R56" s="291">
        <v>40</v>
      </c>
      <c r="S56" s="206">
        <f t="shared" si="7"/>
        <v>28720</v>
      </c>
      <c r="T56" s="286"/>
      <c r="U56" s="286"/>
      <c r="V56" s="286"/>
      <c r="W56" s="286"/>
      <c r="X56" s="286"/>
      <c r="Y56" s="286"/>
      <c r="Z56" s="286"/>
      <c r="AA56" s="286"/>
      <c r="AB56" s="286"/>
      <c r="AC56" s="286"/>
      <c r="AD56" s="286"/>
    </row>
    <row r="57" spans="1:30">
      <c r="A57" s="289" t="s">
        <v>671</v>
      </c>
      <c r="B57" s="206">
        <f t="shared" si="0"/>
        <v>14594.8</v>
      </c>
      <c r="C57" s="206"/>
      <c r="D57" s="206">
        <f>E57+F57</f>
        <v>954.8</v>
      </c>
      <c r="E57" s="206">
        <f>0.04*G57</f>
        <v>545.6</v>
      </c>
      <c r="F57" s="206">
        <f>0.03*G57</f>
        <v>409.2</v>
      </c>
      <c r="G57" s="206">
        <f>S57</f>
        <v>13640</v>
      </c>
      <c r="H57" s="206">
        <f t="shared" si="5"/>
        <v>8756.8799999999992</v>
      </c>
      <c r="I57" s="290"/>
      <c r="J57" s="290"/>
      <c r="K57" s="290"/>
      <c r="L57" s="290"/>
      <c r="M57" s="290"/>
      <c r="N57" s="206">
        <v>11121</v>
      </c>
      <c r="O57" s="206">
        <v>11462</v>
      </c>
      <c r="P57" s="203"/>
      <c r="Q57" s="205"/>
      <c r="R57" s="291">
        <v>40</v>
      </c>
      <c r="S57" s="206">
        <f t="shared" si="7"/>
        <v>13640</v>
      </c>
      <c r="T57" s="286"/>
      <c r="U57" s="286"/>
      <c r="V57" s="286"/>
      <c r="W57" s="286"/>
      <c r="X57" s="286"/>
      <c r="Y57" s="286"/>
      <c r="Z57" s="286"/>
      <c r="AA57" s="286"/>
      <c r="AB57" s="286"/>
      <c r="AC57" s="286"/>
      <c r="AD57" s="286"/>
    </row>
    <row r="58" spans="1:30">
      <c r="A58" s="289" t="s">
        <v>672</v>
      </c>
      <c r="B58" s="206">
        <f t="shared" si="0"/>
        <v>0</v>
      </c>
      <c r="C58" s="206"/>
      <c r="D58" s="206">
        <f>E58+F58</f>
        <v>0</v>
      </c>
      <c r="E58" s="206">
        <f>0.04*G58</f>
        <v>0</v>
      </c>
      <c r="F58" s="206">
        <f>0.03*G58</f>
        <v>0</v>
      </c>
      <c r="G58" s="206">
        <f>S58</f>
        <v>0</v>
      </c>
      <c r="H58" s="206">
        <f t="shared" si="5"/>
        <v>0</v>
      </c>
      <c r="I58" s="290"/>
      <c r="J58" s="290"/>
      <c r="K58" s="290"/>
      <c r="L58" s="290"/>
      <c r="M58" s="290"/>
      <c r="N58" s="487">
        <v>7</v>
      </c>
      <c r="O58" s="487">
        <v>7</v>
      </c>
      <c r="P58" s="203"/>
      <c r="Q58" s="205"/>
      <c r="R58" s="291">
        <v>40</v>
      </c>
      <c r="S58" s="206">
        <f t="shared" si="7"/>
        <v>0</v>
      </c>
      <c r="T58" s="286"/>
      <c r="U58" s="286"/>
      <c r="V58" s="286"/>
      <c r="W58" s="286"/>
      <c r="X58" s="286"/>
      <c r="Y58" s="286"/>
      <c r="Z58" s="286"/>
      <c r="AA58" s="286"/>
      <c r="AB58" s="286"/>
      <c r="AC58" s="286"/>
      <c r="AD58" s="286"/>
    </row>
    <row r="59" spans="1:30">
      <c r="A59" s="289" t="s">
        <v>761</v>
      </c>
      <c r="B59" s="487">
        <f t="shared" si="0"/>
        <v>7104.8</v>
      </c>
      <c r="C59" s="487"/>
      <c r="D59" s="487">
        <f t="shared" ref="D59:D60" si="8">E59+F59</f>
        <v>464.8</v>
      </c>
      <c r="E59" s="487">
        <f t="shared" ref="E59:E60" si="9">0.04*G59</f>
        <v>265.60000000000002</v>
      </c>
      <c r="F59" s="487">
        <f t="shared" ref="F59:F60" si="10">0.03*G59</f>
        <v>199.2</v>
      </c>
      <c r="G59" s="487">
        <f t="shared" ref="G59:G61" si="11">S59</f>
        <v>6640</v>
      </c>
      <c r="H59" s="487">
        <f t="shared" si="5"/>
        <v>4262.88</v>
      </c>
      <c r="I59" s="290"/>
      <c r="J59" s="290"/>
      <c r="K59" s="290"/>
      <c r="L59" s="290"/>
      <c r="M59" s="290"/>
      <c r="N59" s="487">
        <v>940</v>
      </c>
      <c r="O59" s="487">
        <v>1106</v>
      </c>
      <c r="P59" s="203"/>
      <c r="Q59" s="489"/>
      <c r="R59" s="490">
        <v>40</v>
      </c>
      <c r="S59" s="487">
        <f t="shared" si="7"/>
        <v>6640</v>
      </c>
      <c r="T59" s="286"/>
      <c r="U59" s="286"/>
      <c r="V59" s="286"/>
      <c r="W59" s="286"/>
      <c r="X59" s="286"/>
      <c r="Y59" s="286"/>
      <c r="Z59" s="286"/>
      <c r="AA59" s="286"/>
      <c r="AB59" s="286"/>
      <c r="AC59" s="286"/>
      <c r="AD59" s="286"/>
    </row>
    <row r="60" spans="1:30">
      <c r="A60" s="289" t="s">
        <v>762</v>
      </c>
      <c r="B60" s="206">
        <f t="shared" si="0"/>
        <v>7094.1</v>
      </c>
      <c r="C60" s="206"/>
      <c r="D60" s="206">
        <f t="shared" si="8"/>
        <v>464.1</v>
      </c>
      <c r="E60" s="206">
        <f t="shared" si="9"/>
        <v>265.2</v>
      </c>
      <c r="F60" s="206">
        <f t="shared" si="10"/>
        <v>198.9</v>
      </c>
      <c r="G60" s="206">
        <f t="shared" si="11"/>
        <v>6630</v>
      </c>
      <c r="H60" s="206">
        <f t="shared" si="5"/>
        <v>4256.46</v>
      </c>
      <c r="I60" s="491"/>
      <c r="J60" s="491"/>
      <c r="K60" s="491"/>
      <c r="L60" s="491"/>
      <c r="M60" s="491"/>
      <c r="N60" s="206">
        <v>1226</v>
      </c>
      <c r="O60" s="206">
        <v>1447</v>
      </c>
      <c r="P60" s="492"/>
      <c r="Q60" s="205"/>
      <c r="R60" s="291">
        <v>30</v>
      </c>
      <c r="S60" s="206">
        <f t="shared" si="7"/>
        <v>6630</v>
      </c>
      <c r="T60" s="286"/>
      <c r="U60" s="286"/>
      <c r="V60" s="286"/>
      <c r="W60" s="286"/>
      <c r="X60" s="286"/>
      <c r="Y60" s="286"/>
      <c r="Z60" s="286"/>
      <c r="AA60" s="286"/>
      <c r="AB60" s="286"/>
      <c r="AC60" s="286"/>
      <c r="AD60" s="286"/>
    </row>
    <row r="61" spans="1:30">
      <c r="A61" s="300" t="s">
        <v>801</v>
      </c>
      <c r="B61" s="124">
        <f>G61</f>
        <v>2981</v>
      </c>
      <c r="C61" s="125"/>
      <c r="D61" s="124">
        <f>E61+F61</f>
        <v>208.67000000000002</v>
      </c>
      <c r="E61" s="124">
        <f>0.04*G61</f>
        <v>119.24000000000001</v>
      </c>
      <c r="F61" s="124">
        <f>0.03*G61</f>
        <v>89.429999999999993</v>
      </c>
      <c r="G61" s="125">
        <f t="shared" si="11"/>
        <v>2981</v>
      </c>
      <c r="H61" s="345">
        <f>B61*0.4</f>
        <v>1192.4000000000001</v>
      </c>
      <c r="I61" s="133"/>
      <c r="J61" s="133"/>
      <c r="K61" s="133"/>
      <c r="L61" s="133"/>
      <c r="M61" s="133"/>
      <c r="N61" s="125">
        <v>770</v>
      </c>
      <c r="O61" s="125">
        <v>3751</v>
      </c>
      <c r="P61" s="546"/>
      <c r="Q61" s="547"/>
      <c r="R61" s="547">
        <v>1</v>
      </c>
      <c r="S61" s="125">
        <f t="shared" si="7"/>
        <v>2981</v>
      </c>
      <c r="T61" s="286"/>
      <c r="U61" s="286"/>
      <c r="V61" s="286"/>
      <c r="W61" s="286"/>
      <c r="X61" s="286"/>
      <c r="Y61" s="286"/>
      <c r="Z61" s="286"/>
      <c r="AA61" s="286"/>
      <c r="AB61" s="286"/>
      <c r="AC61" s="286"/>
      <c r="AD61" s="286"/>
    </row>
    <row r="62" spans="1:30">
      <c r="A62" s="548" t="s">
        <v>673</v>
      </c>
      <c r="B62" s="208">
        <f>SUM(B33:B61)-B44</f>
        <v>237492.89999999997</v>
      </c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6"/>
      <c r="N62" s="488"/>
      <c r="O62" s="488"/>
      <c r="P62" s="286"/>
      <c r="Q62" s="286"/>
      <c r="R62" s="286"/>
      <c r="S62" s="286"/>
      <c r="T62" s="286"/>
      <c r="U62" s="286"/>
      <c r="V62" s="286"/>
      <c r="W62" s="286"/>
      <c r="X62" s="286"/>
      <c r="Y62" s="286"/>
      <c r="Z62" s="286"/>
      <c r="AA62" s="286"/>
      <c r="AB62" s="286"/>
      <c r="AC62" s="286"/>
      <c r="AD62" s="286"/>
    </row>
    <row r="63" spans="1:30">
      <c r="A63" s="286"/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6"/>
      <c r="P63" s="286"/>
      <c r="Q63" s="286"/>
      <c r="R63" s="286"/>
      <c r="S63" s="286"/>
      <c r="T63" s="286"/>
      <c r="U63" s="286"/>
      <c r="V63" s="286"/>
      <c r="W63" s="286"/>
      <c r="X63" s="286"/>
      <c r="Y63" s="286"/>
      <c r="Z63" s="286"/>
      <c r="AA63" s="286"/>
      <c r="AB63" s="286"/>
      <c r="AC63" s="286"/>
      <c r="AD63" s="286"/>
    </row>
    <row r="64" spans="1:30">
      <c r="A64" s="286"/>
      <c r="B64" s="124">
        <f>G64</f>
        <v>1931</v>
      </c>
      <c r="C64" s="125"/>
      <c r="D64" s="124">
        <f>E64+F64</f>
        <v>135.16999999999999</v>
      </c>
      <c r="E64" s="124">
        <f>0.04*G64</f>
        <v>77.239999999999995</v>
      </c>
      <c r="F64" s="124">
        <f>0.03*G64</f>
        <v>57.93</v>
      </c>
      <c r="G64" s="125">
        <f t="shared" ref="G64" si="12">S64</f>
        <v>1931</v>
      </c>
      <c r="H64" s="345">
        <f>B64*0.4</f>
        <v>772.40000000000009</v>
      </c>
      <c r="I64" s="133"/>
      <c r="J64" s="133"/>
      <c r="K64" s="133"/>
      <c r="L64" s="133"/>
      <c r="M64" s="133"/>
      <c r="N64" s="125">
        <v>17662</v>
      </c>
      <c r="O64" s="125">
        <v>19593</v>
      </c>
      <c r="P64" s="546"/>
      <c r="Q64" s="547"/>
      <c r="R64" s="547">
        <v>1</v>
      </c>
      <c r="S64" s="125">
        <f t="shared" ref="S64" si="13">(O64-N64)*R64</f>
        <v>1931</v>
      </c>
      <c r="T64" s="286"/>
      <c r="U64" s="286"/>
      <c r="V64" s="286"/>
      <c r="W64" s="286"/>
      <c r="X64" s="286"/>
      <c r="Y64" s="286"/>
      <c r="Z64" s="286"/>
      <c r="AA64" s="286"/>
      <c r="AB64" s="286"/>
      <c r="AC64" s="286"/>
      <c r="AD64" s="286"/>
    </row>
    <row r="65" spans="1:30" ht="25.5" customHeight="1">
      <c r="A65" s="298" t="s">
        <v>674</v>
      </c>
      <c r="B65" s="202">
        <f>(G65+D65)</f>
        <v>589760.45999999822</v>
      </c>
      <c r="C65" s="202"/>
      <c r="D65" s="202">
        <f>E65+F65</f>
        <v>38582.459999999883</v>
      </c>
      <c r="E65" s="202">
        <f>0.04*G65</f>
        <v>22047.119999999933</v>
      </c>
      <c r="F65" s="202">
        <f>0.03*G65</f>
        <v>16535.339999999949</v>
      </c>
      <c r="G65" s="202">
        <f>(S65+S66)</f>
        <v>551177.99999999837</v>
      </c>
      <c r="H65" s="202">
        <f>S67</f>
        <v>0</v>
      </c>
      <c r="I65" s="203"/>
      <c r="J65" s="203"/>
      <c r="K65" s="203"/>
      <c r="L65" s="203"/>
      <c r="M65" s="203" t="s">
        <v>675</v>
      </c>
      <c r="N65" s="204">
        <v>76943.69</v>
      </c>
      <c r="O65" s="204">
        <v>77889.320000000007</v>
      </c>
      <c r="P65" s="203"/>
      <c r="Q65" s="205" t="s">
        <v>676</v>
      </c>
      <c r="R65" s="202">
        <v>300</v>
      </c>
      <c r="S65" s="206">
        <f>(O65-N65)*R65</f>
        <v>283689.0000000014</v>
      </c>
      <c r="T65" s="827"/>
      <c r="U65" s="828"/>
      <c r="V65" s="828"/>
      <c r="W65" s="828"/>
      <c r="X65" s="828"/>
      <c r="Y65" s="828"/>
      <c r="Z65" s="828"/>
      <c r="AA65" s="828"/>
      <c r="AB65" s="828"/>
      <c r="AC65" s="828"/>
      <c r="AD65" s="828"/>
    </row>
    <row r="66" spans="1:30">
      <c r="A66" s="299" t="s">
        <v>677</v>
      </c>
      <c r="B66" s="202"/>
      <c r="C66" s="202"/>
      <c r="D66" s="208"/>
      <c r="E66" s="202"/>
      <c r="F66" s="202"/>
      <c r="G66" s="202"/>
      <c r="H66" s="202"/>
      <c r="I66" s="203"/>
      <c r="J66" s="203"/>
      <c r="K66" s="203"/>
      <c r="L66" s="203"/>
      <c r="M66" s="203"/>
      <c r="N66" s="204">
        <v>71111.77</v>
      </c>
      <c r="O66" s="204">
        <v>72003.399999999994</v>
      </c>
      <c r="P66" s="203"/>
      <c r="Q66" s="205" t="s">
        <v>676</v>
      </c>
      <c r="R66" s="202">
        <v>300</v>
      </c>
      <c r="S66" s="206">
        <f>(O66-N66)*R66</f>
        <v>267488.99999999703</v>
      </c>
      <c r="T66" s="286"/>
      <c r="U66" s="286"/>
      <c r="V66" s="286"/>
      <c r="W66" s="286"/>
      <c r="X66" s="286"/>
      <c r="Y66" s="286"/>
      <c r="Z66" s="286"/>
      <c r="AA66" s="286"/>
      <c r="AB66" s="286"/>
      <c r="AC66" s="286"/>
      <c r="AD66" s="286"/>
    </row>
    <row r="67" spans="1:30">
      <c r="A67" s="286"/>
      <c r="B67" s="286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6"/>
      <c r="N67" s="286"/>
      <c r="O67" s="286"/>
      <c r="P67" s="286"/>
      <c r="Q67" s="286"/>
      <c r="R67" s="286"/>
      <c r="S67" s="286"/>
      <c r="T67" s="286"/>
      <c r="U67" s="286"/>
      <c r="V67" s="286"/>
      <c r="W67" s="286"/>
      <c r="X67" s="286"/>
      <c r="Y67" s="286"/>
      <c r="Z67" s="286"/>
      <c r="AA67" s="286"/>
      <c r="AB67" s="286"/>
      <c r="AC67" s="286"/>
      <c r="AD67" s="286"/>
    </row>
    <row r="68" spans="1:30">
      <c r="A68" s="286"/>
      <c r="B68" s="286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6"/>
      <c r="N68" s="286"/>
      <c r="O68" s="286"/>
      <c r="P68" s="286"/>
      <c r="Q68" s="286"/>
      <c r="R68" s="286"/>
      <c r="S68" s="286"/>
      <c r="T68" s="286"/>
      <c r="U68" s="286"/>
      <c r="V68" s="286"/>
      <c r="W68" s="286"/>
      <c r="X68" s="286"/>
      <c r="Y68" s="286"/>
      <c r="Z68" s="286"/>
      <c r="AA68" s="286"/>
      <c r="AB68" s="286"/>
      <c r="AC68" s="286"/>
      <c r="AD68" s="286"/>
    </row>
    <row r="69" spans="1:30">
      <c r="A69" s="286" t="s">
        <v>678</v>
      </c>
      <c r="B69" s="300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6"/>
      <c r="P69" s="286"/>
      <c r="Q69" s="286"/>
      <c r="R69" s="286"/>
      <c r="S69" s="286"/>
      <c r="T69" s="286"/>
      <c r="U69" s="286"/>
      <c r="V69" s="286"/>
      <c r="W69" s="286"/>
      <c r="X69" s="286"/>
      <c r="Y69" s="286"/>
      <c r="Z69" s="286"/>
      <c r="AA69" s="286"/>
      <c r="AB69" s="286"/>
      <c r="AC69" s="286"/>
      <c r="AD69" s="286"/>
    </row>
    <row r="70" spans="1:30">
      <c r="A70" s="286"/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6"/>
      <c r="P70" s="286"/>
      <c r="Q70" s="286"/>
      <c r="R70" s="286"/>
      <c r="S70" s="286"/>
      <c r="T70" s="286"/>
      <c r="U70" s="286"/>
      <c r="V70" s="286"/>
      <c r="W70" s="286"/>
      <c r="X70" s="286"/>
      <c r="Y70" s="286"/>
      <c r="Z70" s="286"/>
      <c r="AA70" s="286"/>
      <c r="AB70" s="286"/>
      <c r="AC70" s="286"/>
      <c r="AD70" s="286"/>
    </row>
    <row r="71" spans="1:30">
      <c r="A71" s="286"/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86"/>
      <c r="AB71" s="286"/>
      <c r="AC71" s="286"/>
      <c r="AD71" s="286"/>
    </row>
    <row r="72" spans="1:30">
      <c r="A72" s="286"/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86"/>
      <c r="AB72" s="286"/>
      <c r="AC72" s="286"/>
      <c r="AD72" s="286"/>
    </row>
    <row r="73" spans="1:30">
      <c r="A73" s="301" t="s">
        <v>338</v>
      </c>
      <c r="B73" s="302">
        <f>B65-(B62+B44+B86+'Декабрь 2020  '!C328)</f>
        <v>123223.47999999824</v>
      </c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  <c r="N73" s="286"/>
      <c r="O73" s="286"/>
      <c r="P73" s="286"/>
      <c r="Q73" s="286"/>
      <c r="R73" s="286"/>
      <c r="S73" s="286"/>
      <c r="T73" s="286"/>
      <c r="U73" s="286"/>
      <c r="V73" s="286"/>
      <c r="W73" s="286"/>
      <c r="X73" s="286"/>
      <c r="Y73" s="286"/>
      <c r="Z73" s="286"/>
      <c r="AA73" s="286"/>
      <c r="AB73" s="286"/>
      <c r="AC73" s="286"/>
      <c r="AD73" s="286"/>
    </row>
    <row r="74" spans="1:30">
      <c r="A74" s="303"/>
      <c r="B74" s="303"/>
      <c r="C74" s="303"/>
      <c r="D74" s="303"/>
      <c r="E74" s="303"/>
      <c r="F74" s="303"/>
      <c r="G74" s="303"/>
      <c r="H74" s="303"/>
      <c r="I74" s="303"/>
      <c r="J74" s="303"/>
      <c r="K74" s="303"/>
      <c r="L74" s="303"/>
      <c r="M74" s="303"/>
      <c r="N74" s="303"/>
      <c r="O74" s="303"/>
      <c r="P74" s="303"/>
      <c r="Q74" s="303"/>
      <c r="R74" s="303"/>
      <c r="S74" s="303"/>
      <c r="T74" s="303"/>
      <c r="U74" s="303"/>
      <c r="V74" s="286"/>
      <c r="W74" s="286"/>
      <c r="X74" s="286"/>
      <c r="Y74" s="286"/>
      <c r="Z74" s="286"/>
      <c r="AA74" s="286"/>
      <c r="AB74" s="286"/>
      <c r="AC74" s="286"/>
      <c r="AD74" s="286"/>
    </row>
    <row r="75" spans="1:30">
      <c r="A75" s="304"/>
      <c r="B75" s="91">
        <v>500</v>
      </c>
      <c r="C75" s="91"/>
      <c r="D75" s="91"/>
      <c r="E75" s="91"/>
      <c r="F75" s="91"/>
      <c r="G75" s="91"/>
      <c r="H75" s="91"/>
      <c r="I75" s="22"/>
      <c r="J75" s="22"/>
      <c r="K75" s="22"/>
      <c r="L75" s="22"/>
      <c r="M75" s="22"/>
      <c r="N75" s="206"/>
      <c r="O75" s="206"/>
      <c r="P75" s="22"/>
      <c r="Q75" s="142"/>
      <c r="R75" s="151"/>
      <c r="S75" s="91"/>
      <c r="T75" s="305" t="s">
        <v>679</v>
      </c>
      <c r="U75" s="306"/>
      <c r="V75" s="303"/>
      <c r="W75" s="303"/>
      <c r="X75" s="303"/>
      <c r="Y75" s="286"/>
      <c r="Z75" s="286"/>
      <c r="AA75" s="286"/>
      <c r="AB75" s="286"/>
      <c r="AC75" s="286"/>
      <c r="AD75" s="286"/>
    </row>
    <row r="76" spans="1:30">
      <c r="A76" s="304"/>
      <c r="B76" s="91"/>
      <c r="C76" s="91"/>
      <c r="D76" s="91"/>
      <c r="E76" s="91"/>
      <c r="F76" s="91"/>
      <c r="G76" s="91"/>
      <c r="H76" s="91"/>
      <c r="I76" s="22"/>
      <c r="J76" s="22"/>
      <c r="K76" s="22"/>
      <c r="L76" s="22"/>
      <c r="M76" s="22"/>
      <c r="N76" s="206"/>
      <c r="O76" s="206"/>
      <c r="P76" s="22"/>
      <c r="Q76" s="142"/>
      <c r="R76" s="151"/>
      <c r="S76" s="91"/>
      <c r="T76" s="305"/>
      <c r="U76" s="306"/>
      <c r="V76" s="303"/>
      <c r="W76" s="303"/>
      <c r="X76" s="303"/>
      <c r="Y76" s="286"/>
      <c r="Z76" s="286"/>
      <c r="AA76" s="286"/>
      <c r="AB76" s="286"/>
      <c r="AC76" s="286"/>
      <c r="AD76" s="286"/>
    </row>
    <row r="77" spans="1:30">
      <c r="A77" s="304"/>
      <c r="B77" s="124">
        <f>G77</f>
        <v>1931</v>
      </c>
      <c r="C77" s="125"/>
      <c r="D77" s="124">
        <f>E77+F77</f>
        <v>135.16999999999999</v>
      </c>
      <c r="E77" s="124">
        <f>0.04*G77</f>
        <v>77.239999999999995</v>
      </c>
      <c r="F77" s="124">
        <f>0.03*G77</f>
        <v>57.93</v>
      </c>
      <c r="G77" s="125">
        <f t="shared" ref="G77" si="14">S77</f>
        <v>1931</v>
      </c>
      <c r="H77" s="345">
        <f>B77*0.4</f>
        <v>772.40000000000009</v>
      </c>
      <c r="I77" s="133"/>
      <c r="J77" s="133"/>
      <c r="K77" s="133"/>
      <c r="L77" s="133"/>
      <c r="M77" s="133"/>
      <c r="N77" s="125">
        <v>17662</v>
      </c>
      <c r="O77" s="125">
        <v>19593</v>
      </c>
      <c r="P77" s="544"/>
      <c r="Q77" s="545"/>
      <c r="R77" s="545">
        <v>1</v>
      </c>
      <c r="S77" s="85">
        <f t="shared" ref="S77" si="15">(O77-N77)*R77</f>
        <v>1931</v>
      </c>
      <c r="T77" s="127">
        <v>2406</v>
      </c>
      <c r="U77" s="128" t="s">
        <v>774</v>
      </c>
      <c r="V77" s="303"/>
      <c r="W77" s="303"/>
      <c r="X77" s="303"/>
      <c r="Y77" s="286"/>
      <c r="Z77" s="286"/>
      <c r="AA77" s="286"/>
      <c r="AB77" s="286"/>
      <c r="AC77" s="286"/>
      <c r="AD77" s="286"/>
    </row>
    <row r="78" spans="1:30">
      <c r="A78" s="304"/>
      <c r="B78" s="124">
        <f>G78</f>
        <v>10138</v>
      </c>
      <c r="C78" s="125"/>
      <c r="D78" s="124">
        <f>E78+F78</f>
        <v>709.66</v>
      </c>
      <c r="E78" s="124">
        <f>0.04*G78</f>
        <v>405.52</v>
      </c>
      <c r="F78" s="124">
        <f>0.03*G78</f>
        <v>304.14</v>
      </c>
      <c r="G78" s="125">
        <f t="shared" ref="G78" si="16">S78</f>
        <v>10138</v>
      </c>
      <c r="H78" s="345">
        <f>B78*0.4</f>
        <v>4055.2000000000003</v>
      </c>
      <c r="I78" s="133"/>
      <c r="J78" s="133"/>
      <c r="K78" s="133"/>
      <c r="L78" s="133"/>
      <c r="M78" s="133"/>
      <c r="N78" s="124">
        <v>79936</v>
      </c>
      <c r="O78" s="124">
        <v>90074</v>
      </c>
      <c r="P78" s="105"/>
      <c r="Q78" s="106"/>
      <c r="R78" s="106">
        <v>1</v>
      </c>
      <c r="S78" s="92">
        <f t="shared" ref="S78" si="17">(O78-N78)*R78</f>
        <v>10138</v>
      </c>
      <c r="T78" s="127">
        <v>5732</v>
      </c>
      <c r="U78" s="307" t="s">
        <v>688</v>
      </c>
      <c r="V78" s="303"/>
      <c r="W78" s="303"/>
      <c r="X78" s="303"/>
      <c r="Y78" s="286"/>
      <c r="Z78" s="286"/>
      <c r="AA78" s="286"/>
      <c r="AB78" s="286"/>
      <c r="AC78" s="286"/>
      <c r="AD78" s="286"/>
    </row>
    <row r="79" spans="1:30">
      <c r="A79" s="308"/>
      <c r="B79" s="124">
        <f>G79+D79</f>
        <v>2665.37</v>
      </c>
      <c r="C79" s="124"/>
      <c r="D79" s="124">
        <f t="shared" ref="D79:D85" si="18">E79+F79</f>
        <v>174.37</v>
      </c>
      <c r="E79" s="124">
        <f t="shared" ref="E79:E85" si="19">0.04*G79</f>
        <v>99.64</v>
      </c>
      <c r="F79" s="124">
        <f t="shared" ref="F79:F85" si="20">0.03*G79</f>
        <v>74.73</v>
      </c>
      <c r="G79" s="124">
        <f>S79</f>
        <v>2491</v>
      </c>
      <c r="H79" s="124">
        <f>0.6*B79</f>
        <v>1599.222</v>
      </c>
      <c r="I79" s="126"/>
      <c r="J79" s="126"/>
      <c r="K79" s="126"/>
      <c r="L79" s="126"/>
      <c r="M79" s="126" t="s">
        <v>146</v>
      </c>
      <c r="N79" s="124">
        <v>32797</v>
      </c>
      <c r="O79" s="124">
        <v>35288</v>
      </c>
      <c r="P79" s="122"/>
      <c r="Q79" s="173"/>
      <c r="R79" s="151">
        <v>1</v>
      </c>
      <c r="S79" s="91">
        <f>(O79-N79)*R79</f>
        <v>2491</v>
      </c>
      <c r="T79" s="95">
        <v>3275</v>
      </c>
      <c r="U79" s="538" t="s">
        <v>680</v>
      </c>
      <c r="V79" s="303"/>
      <c r="W79" s="303"/>
      <c r="X79" s="303"/>
      <c r="Y79" s="286"/>
      <c r="Z79" s="286"/>
      <c r="AA79" s="286"/>
      <c r="AB79" s="286"/>
      <c r="AC79" s="286"/>
      <c r="AD79" s="286"/>
    </row>
    <row r="80" spans="1:30">
      <c r="A80" s="304"/>
      <c r="B80" s="509">
        <f t="shared" ref="B80:B84" si="21">G80+D80</f>
        <v>2254.4899999999998</v>
      </c>
      <c r="C80" s="509"/>
      <c r="D80" s="509">
        <f t="shared" si="18"/>
        <v>147.49</v>
      </c>
      <c r="E80" s="509">
        <f t="shared" si="19"/>
        <v>84.28</v>
      </c>
      <c r="F80" s="509">
        <f t="shared" si="20"/>
        <v>63.21</v>
      </c>
      <c r="G80" s="509">
        <f t="shared" ref="G80:G85" si="22">S80</f>
        <v>2107</v>
      </c>
      <c r="H80" s="509"/>
      <c r="I80" s="126"/>
      <c r="J80" s="126"/>
      <c r="K80" s="126"/>
      <c r="L80" s="126"/>
      <c r="M80" s="126" t="s">
        <v>271</v>
      </c>
      <c r="N80" s="509">
        <v>25870</v>
      </c>
      <c r="O80" s="509">
        <v>27977</v>
      </c>
      <c r="P80" s="149"/>
      <c r="Q80" s="309"/>
      <c r="R80" s="117">
        <v>1</v>
      </c>
      <c r="S80" s="91">
        <f>(O80-N80)*R80</f>
        <v>2107</v>
      </c>
      <c r="T80" s="3"/>
      <c r="U80" s="538" t="s">
        <v>272</v>
      </c>
      <c r="V80" s="303"/>
      <c r="W80" s="303"/>
      <c r="X80" s="303"/>
      <c r="Y80" s="286"/>
      <c r="Z80" s="286"/>
      <c r="AA80" s="286"/>
      <c r="AB80" s="286"/>
      <c r="AC80" s="286"/>
      <c r="AD80" s="286"/>
    </row>
    <row r="81" spans="1:30">
      <c r="A81" s="104"/>
      <c r="B81" s="124"/>
      <c r="C81" s="124"/>
      <c r="D81" s="124"/>
      <c r="E81" s="124"/>
      <c r="F81" s="124"/>
      <c r="G81" s="124"/>
      <c r="H81" s="124"/>
      <c r="I81" s="126"/>
      <c r="J81" s="126"/>
      <c r="K81" s="126"/>
      <c r="L81" s="126"/>
      <c r="M81" s="126"/>
      <c r="N81" s="124"/>
      <c r="O81" s="124"/>
      <c r="P81" s="122"/>
      <c r="Q81" s="310"/>
      <c r="R81" s="151"/>
      <c r="S81" s="91"/>
      <c r="T81" s="305"/>
      <c r="U81" s="306"/>
      <c r="V81" s="303"/>
      <c r="W81" s="303"/>
      <c r="X81" s="303"/>
      <c r="Y81" s="286"/>
      <c r="Z81" s="286"/>
      <c r="AA81" s="286"/>
      <c r="AB81" s="286"/>
      <c r="AC81" s="286"/>
      <c r="AD81" s="286"/>
    </row>
    <row r="82" spans="1:30">
      <c r="A82" s="308"/>
      <c r="B82" s="509">
        <f t="shared" si="21"/>
        <v>277.13</v>
      </c>
      <c r="C82" s="509"/>
      <c r="D82" s="509">
        <f t="shared" si="18"/>
        <v>18.13</v>
      </c>
      <c r="E82" s="509">
        <f t="shared" si="19"/>
        <v>10.36</v>
      </c>
      <c r="F82" s="509">
        <f t="shared" si="20"/>
        <v>7.77</v>
      </c>
      <c r="G82" s="509">
        <f t="shared" si="22"/>
        <v>259</v>
      </c>
      <c r="H82" s="509"/>
      <c r="I82" s="126"/>
      <c r="J82" s="126"/>
      <c r="K82" s="126"/>
      <c r="L82" s="126"/>
      <c r="M82" s="126" t="s">
        <v>271</v>
      </c>
      <c r="N82" s="509">
        <v>4505</v>
      </c>
      <c r="O82" s="509">
        <v>4764</v>
      </c>
      <c r="P82" s="149"/>
      <c r="Q82" s="309"/>
      <c r="R82" s="117">
        <v>1</v>
      </c>
      <c r="S82" s="117">
        <f>O82-N82</f>
        <v>259</v>
      </c>
      <c r="T82" s="95"/>
      <c r="U82" s="538" t="s">
        <v>309</v>
      </c>
      <c r="V82" s="303"/>
      <c r="W82" s="303"/>
      <c r="X82" s="303"/>
      <c r="Y82" s="286"/>
      <c r="Z82" s="286"/>
      <c r="AA82" s="286"/>
      <c r="AB82" s="286"/>
      <c r="AC82" s="286"/>
      <c r="AD82" s="286"/>
    </row>
    <row r="83" spans="1:30">
      <c r="A83" s="132" t="s">
        <v>209</v>
      </c>
      <c r="B83" s="124">
        <f t="shared" si="21"/>
        <v>1432.73</v>
      </c>
      <c r="C83" s="124"/>
      <c r="D83" s="124">
        <f t="shared" si="18"/>
        <v>93.73</v>
      </c>
      <c r="E83" s="124">
        <f t="shared" si="19"/>
        <v>53.56</v>
      </c>
      <c r="F83" s="124">
        <f t="shared" si="20"/>
        <v>40.17</v>
      </c>
      <c r="G83" s="124">
        <f>S83</f>
        <v>1339</v>
      </c>
      <c r="H83" s="124">
        <f t="shared" ref="H83" si="23">0.6*B83</f>
        <v>859.63800000000003</v>
      </c>
      <c r="I83" s="126"/>
      <c r="J83" s="126"/>
      <c r="K83" s="126"/>
      <c r="L83" s="126"/>
      <c r="M83" s="126"/>
      <c r="N83" s="124">
        <v>22823</v>
      </c>
      <c r="O83" s="124">
        <v>24162</v>
      </c>
      <c r="P83" s="7"/>
      <c r="Q83" s="94"/>
      <c r="R83" s="124">
        <v>1</v>
      </c>
      <c r="S83" s="124">
        <f t="shared" ref="S83" si="24">(O83-N83)*R83</f>
        <v>1339</v>
      </c>
      <c r="T83" s="127">
        <v>179316</v>
      </c>
      <c r="U83" s="128" t="s">
        <v>210</v>
      </c>
      <c r="V83" s="303"/>
      <c r="W83" s="303"/>
      <c r="X83" s="303"/>
      <c r="Y83" s="286"/>
      <c r="Z83" s="286"/>
      <c r="AA83" s="286"/>
      <c r="AB83" s="286"/>
      <c r="AC83" s="286"/>
      <c r="AD83" s="286"/>
    </row>
    <row r="84" spans="1:30" ht="27">
      <c r="A84" s="304"/>
      <c r="B84" s="509">
        <f t="shared" si="21"/>
        <v>426.93</v>
      </c>
      <c r="C84" s="509"/>
      <c r="D84" s="509">
        <f t="shared" si="18"/>
        <v>27.93</v>
      </c>
      <c r="E84" s="509">
        <f t="shared" si="19"/>
        <v>15.96</v>
      </c>
      <c r="F84" s="509">
        <f t="shared" si="20"/>
        <v>11.969999999999999</v>
      </c>
      <c r="G84" s="509">
        <f t="shared" si="22"/>
        <v>399</v>
      </c>
      <c r="H84" s="509"/>
      <c r="I84" s="126"/>
      <c r="J84" s="126"/>
      <c r="K84" s="126"/>
      <c r="L84" s="126"/>
      <c r="M84" s="126" t="s">
        <v>271</v>
      </c>
      <c r="N84" s="509">
        <v>12397</v>
      </c>
      <c r="O84" s="509">
        <v>12796</v>
      </c>
      <c r="P84" s="149"/>
      <c r="Q84" s="309"/>
      <c r="R84" s="117">
        <v>1</v>
      </c>
      <c r="S84" s="117">
        <f>O84-N84</f>
        <v>399</v>
      </c>
      <c r="T84" s="311">
        <v>6292</v>
      </c>
      <c r="U84" s="538" t="s">
        <v>311</v>
      </c>
      <c r="V84" s="303"/>
      <c r="W84" s="303"/>
      <c r="X84" s="303"/>
      <c r="Y84" s="286"/>
      <c r="Z84" s="286"/>
      <c r="AA84" s="286"/>
      <c r="AB84" s="286"/>
      <c r="AC84" s="286"/>
      <c r="AD84" s="286"/>
    </row>
    <row r="85" spans="1:30">
      <c r="A85" s="312" t="s">
        <v>80</v>
      </c>
      <c r="B85" s="124">
        <f>G85</f>
        <v>9581</v>
      </c>
      <c r="C85" s="125"/>
      <c r="D85" s="124">
        <f t="shared" si="18"/>
        <v>670.67000000000007</v>
      </c>
      <c r="E85" s="124">
        <f t="shared" si="19"/>
        <v>383.24</v>
      </c>
      <c r="F85" s="124">
        <f t="shared" si="20"/>
        <v>287.43</v>
      </c>
      <c r="G85" s="125">
        <f t="shared" si="22"/>
        <v>9581</v>
      </c>
      <c r="H85" s="345">
        <f>B85*0.4</f>
        <v>3832.4</v>
      </c>
      <c r="I85" s="133"/>
      <c r="J85" s="133"/>
      <c r="K85" s="133"/>
      <c r="L85" s="133"/>
      <c r="M85" s="133"/>
      <c r="N85" s="125">
        <v>96674</v>
      </c>
      <c r="O85" s="125">
        <v>106255</v>
      </c>
      <c r="P85" s="105"/>
      <c r="Q85" s="106"/>
      <c r="R85" s="106">
        <v>1</v>
      </c>
      <c r="S85" s="92">
        <f>(O85-N85)*R85</f>
        <v>9581</v>
      </c>
      <c r="T85" s="95">
        <v>9148</v>
      </c>
      <c r="U85" s="538" t="s">
        <v>81</v>
      </c>
      <c r="V85" s="286"/>
      <c r="W85" s="286"/>
      <c r="X85" s="286"/>
      <c r="Y85" s="286"/>
      <c r="Z85" s="286"/>
      <c r="AA85" s="286"/>
      <c r="AB85" s="286"/>
      <c r="AC85" s="286"/>
      <c r="AD85" s="286"/>
    </row>
    <row r="86" spans="1:30" ht="24.75" customHeight="1">
      <c r="A86" s="313" t="s">
        <v>681</v>
      </c>
      <c r="B86" s="302">
        <f>SUM(B75:B85)</f>
        <v>29206.65</v>
      </c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06"/>
      <c r="P86" s="286"/>
      <c r="Q86" s="286"/>
      <c r="R86" s="286"/>
      <c r="S86" s="286"/>
      <c r="T86" s="286"/>
      <c r="U86" s="286"/>
      <c r="V86" s="286"/>
      <c r="W86" s="286"/>
      <c r="X86" s="286"/>
      <c r="Y86" s="286"/>
      <c r="Z86" s="286"/>
      <c r="AA86" s="286"/>
      <c r="AB86" s="286"/>
      <c r="AC86" s="286"/>
      <c r="AD86" s="286"/>
    </row>
    <row r="87" spans="1:30">
      <c r="A87" s="286"/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6"/>
      <c r="P87" s="286"/>
      <c r="Q87" s="286"/>
      <c r="R87" s="286"/>
      <c r="S87" s="286"/>
      <c r="T87" s="286"/>
      <c r="U87" s="286"/>
      <c r="V87" s="286"/>
      <c r="W87" s="286"/>
      <c r="X87" s="286"/>
      <c r="Y87" s="286"/>
      <c r="Z87" s="286"/>
      <c r="AA87" s="286"/>
      <c r="AB87" s="286"/>
      <c r="AC87" s="286"/>
      <c r="AD87" s="286"/>
    </row>
  </sheetData>
  <mergeCells count="11">
    <mergeCell ref="H31:H32"/>
    <mergeCell ref="A31:A32"/>
    <mergeCell ref="B31:B32"/>
    <mergeCell ref="C31:C32"/>
    <mergeCell ref="D31:F31"/>
    <mergeCell ref="G31:G32"/>
    <mergeCell ref="N31:N32"/>
    <mergeCell ref="O31:O32"/>
    <mergeCell ref="R31:R32"/>
    <mergeCell ref="S31:S32"/>
    <mergeCell ref="T65:AD65"/>
  </mergeCells>
  <pageMargins left="0.51181102362204722" right="0.51181102362204722" top="0.55118110236220474" bottom="0.74803149606299213" header="0.31496062992125984" footer="0.31496062992125984"/>
  <pageSetup paperSize="9" scale="4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747"/>
  <sheetViews>
    <sheetView zoomScale="55" zoomScaleNormal="55" workbookViewId="0">
      <pane xSplit="1" ySplit="6" topLeftCell="B300" activePane="bottomRight" state="frozen"/>
      <selection pane="topRight" activeCell="B1" sqref="B1"/>
      <selection pane="bottomLeft" activeCell="A7" sqref="A7"/>
      <selection pane="bottomRight" activeCell="C323" sqref="C323"/>
    </sheetView>
  </sheetViews>
  <sheetFormatPr defaultRowHeight="15"/>
  <cols>
    <col min="1" max="1" width="0.28515625" style="1" customWidth="1"/>
    <col min="2" max="2" width="75.85546875" style="2" customWidth="1"/>
    <col min="3" max="3" width="26.28515625" style="1" customWidth="1"/>
    <col min="4" max="4" width="23.42578125" style="1" customWidth="1"/>
    <col min="5" max="5" width="19" style="1" customWidth="1"/>
    <col min="6" max="6" width="20.28515625" style="1" customWidth="1"/>
    <col min="7" max="7" width="19.42578125" style="1" customWidth="1"/>
    <col min="8" max="8" width="27.28515625" style="1" customWidth="1"/>
    <col min="9" max="9" width="16.140625" style="1" customWidth="1"/>
    <col min="10" max="10" width="0.28515625" style="1" hidden="1" customWidth="1"/>
    <col min="11" max="11" width="28.85546875" style="1" hidden="1" customWidth="1"/>
    <col min="12" max="12" width="29.5703125" style="1" hidden="1" customWidth="1"/>
    <col min="13" max="13" width="27.85546875" style="1" hidden="1" customWidth="1"/>
    <col min="14" max="14" width="28" style="1" hidden="1" customWidth="1"/>
    <col min="15" max="15" width="27.85546875" style="1" customWidth="1"/>
    <col min="16" max="16" width="28.5703125" style="1" customWidth="1"/>
    <col min="17" max="17" width="0.140625" style="1" customWidth="1"/>
    <col min="18" max="18" width="38.85546875" style="1" hidden="1" customWidth="1"/>
    <col min="19" max="19" width="11.42578125" style="1" customWidth="1"/>
    <col min="20" max="20" width="25.28515625" style="1" customWidth="1"/>
    <col min="21" max="21" width="27.85546875" style="3" customWidth="1"/>
    <col min="22" max="22" width="138" style="4" customWidth="1"/>
    <col min="23" max="23" width="26" style="1" customWidth="1"/>
    <col min="24" max="24" width="16.7109375" style="1" customWidth="1"/>
    <col min="25" max="25" width="15.42578125" style="1" customWidth="1"/>
    <col min="26" max="26" width="10.5703125" style="1" bestFit="1" customWidth="1"/>
    <col min="27" max="16384" width="9.140625" style="1"/>
  </cols>
  <sheetData>
    <row r="1" spans="1:62" ht="25.5" customHeight="1"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810"/>
      <c r="AR1" s="810"/>
      <c r="AS1" s="810"/>
      <c r="AT1" s="810"/>
      <c r="AU1" s="810"/>
      <c r="AV1" s="810"/>
      <c r="AW1" s="810"/>
      <c r="AX1" s="810"/>
      <c r="AY1" s="810"/>
      <c r="AZ1" s="810"/>
      <c r="BA1" s="810"/>
      <c r="BB1" s="810"/>
      <c r="BC1" s="810"/>
      <c r="BD1" s="810"/>
      <c r="BE1" s="810"/>
      <c r="BF1" s="810"/>
      <c r="BG1" s="810"/>
      <c r="BH1" s="810"/>
      <c r="BI1" s="810"/>
      <c r="BJ1" s="810"/>
    </row>
    <row r="2" spans="1:62" ht="25.5">
      <c r="B2" s="5" t="s">
        <v>0</v>
      </c>
    </row>
    <row r="3" spans="1:62" ht="25.5" customHeight="1">
      <c r="A3" s="811" t="s">
        <v>843</v>
      </c>
      <c r="B3" s="811"/>
      <c r="C3" s="811"/>
      <c r="D3" s="811"/>
      <c r="E3" s="811"/>
      <c r="F3" s="811"/>
      <c r="G3" s="811"/>
      <c r="H3" s="811"/>
      <c r="I3" s="811"/>
      <c r="J3" s="811"/>
      <c r="K3" s="811"/>
      <c r="L3" s="811"/>
      <c r="M3" s="811"/>
      <c r="N3" s="811"/>
      <c r="O3" s="811"/>
      <c r="P3" s="811"/>
      <c r="Q3" s="811"/>
      <c r="R3" s="811"/>
      <c r="S3" s="811"/>
      <c r="T3" s="811"/>
      <c r="U3" s="571"/>
      <c r="V3" s="6"/>
      <c r="W3" s="7"/>
      <c r="X3" s="7"/>
      <c r="Y3" s="7"/>
      <c r="Z3" s="7"/>
      <c r="AA3" s="7"/>
      <c r="AB3" s="7"/>
      <c r="AC3" s="7"/>
    </row>
    <row r="4" spans="1:62" ht="25.5" customHeight="1">
      <c r="A4" s="812"/>
      <c r="B4" s="814" t="s">
        <v>1</v>
      </c>
      <c r="C4" s="816" t="s">
        <v>2</v>
      </c>
      <c r="D4" s="816" t="s">
        <v>3</v>
      </c>
      <c r="E4" s="818" t="s">
        <v>4</v>
      </c>
      <c r="F4" s="819"/>
      <c r="G4" s="820"/>
      <c r="H4" s="816" t="s">
        <v>5</v>
      </c>
      <c r="I4" s="816" t="s">
        <v>6</v>
      </c>
      <c r="J4" s="8"/>
      <c r="K4" s="9"/>
      <c r="L4" s="9"/>
      <c r="M4" s="9"/>
      <c r="N4" s="9"/>
      <c r="O4" s="816" t="s">
        <v>7</v>
      </c>
      <c r="P4" s="816" t="s">
        <v>8</v>
      </c>
      <c r="Q4" s="10"/>
      <c r="R4" s="11"/>
      <c r="S4" s="816" t="s">
        <v>9</v>
      </c>
      <c r="T4" s="816" t="s">
        <v>2</v>
      </c>
      <c r="U4" s="12"/>
      <c r="V4" s="13"/>
      <c r="W4" s="14"/>
      <c r="X4" s="7"/>
      <c r="Y4" s="7"/>
      <c r="Z4" s="7"/>
      <c r="AA4" s="7"/>
      <c r="AB4" s="7"/>
      <c r="AC4" s="7"/>
      <c r="AD4" s="7"/>
    </row>
    <row r="5" spans="1:62" ht="76.5" customHeight="1">
      <c r="A5" s="813"/>
      <c r="B5" s="815"/>
      <c r="C5" s="817"/>
      <c r="D5" s="817"/>
      <c r="E5" s="15" t="s">
        <v>10</v>
      </c>
      <c r="F5" s="15" t="s">
        <v>11</v>
      </c>
      <c r="G5" s="15" t="s">
        <v>12</v>
      </c>
      <c r="H5" s="817"/>
      <c r="I5" s="817"/>
      <c r="J5" s="8"/>
      <c r="K5" s="9"/>
      <c r="L5" s="9"/>
      <c r="M5" s="9"/>
      <c r="N5" s="9"/>
      <c r="O5" s="817"/>
      <c r="P5" s="817"/>
      <c r="Q5" s="10"/>
      <c r="R5" s="16"/>
      <c r="S5" s="817"/>
      <c r="T5" s="817"/>
      <c r="U5" s="17" t="s">
        <v>13</v>
      </c>
      <c r="V5" s="18" t="s">
        <v>14</v>
      </c>
      <c r="W5" s="14"/>
      <c r="X5" s="7"/>
      <c r="Y5" s="7"/>
      <c r="Z5" s="7"/>
      <c r="AA5" s="7"/>
      <c r="AB5" s="7"/>
      <c r="AC5" s="7"/>
    </row>
    <row r="6" spans="1:62" ht="25.5">
      <c r="A6" s="19" t="s">
        <v>15</v>
      </c>
      <c r="B6" s="20">
        <v>2</v>
      </c>
      <c r="C6" s="19">
        <v>3</v>
      </c>
      <c r="D6" s="19">
        <v>4</v>
      </c>
      <c r="E6" s="19">
        <v>5</v>
      </c>
      <c r="F6" s="19">
        <v>6</v>
      </c>
      <c r="G6" s="19">
        <v>7</v>
      </c>
      <c r="H6" s="19">
        <v>8</v>
      </c>
      <c r="I6" s="19">
        <v>9</v>
      </c>
      <c r="J6" s="21"/>
      <c r="K6" s="22"/>
      <c r="L6" s="22"/>
      <c r="M6" s="22"/>
      <c r="N6" s="22"/>
      <c r="O6" s="19">
        <v>10</v>
      </c>
      <c r="P6" s="19">
        <v>11</v>
      </c>
      <c r="Q6" s="7"/>
      <c r="R6" s="23">
        <v>12</v>
      </c>
      <c r="S6" s="19">
        <v>13</v>
      </c>
      <c r="T6" s="19">
        <v>14</v>
      </c>
      <c r="U6" s="24"/>
      <c r="V6" s="25"/>
      <c r="W6" s="14"/>
      <c r="X6" s="7"/>
      <c r="Y6" s="7"/>
      <c r="Z6" s="7"/>
      <c r="AA6" s="7"/>
      <c r="AB6" s="7"/>
      <c r="AC6" s="7"/>
    </row>
    <row r="7" spans="1:62" ht="26.25">
      <c r="A7" s="19"/>
      <c r="B7" s="26" t="s">
        <v>16</v>
      </c>
      <c r="C7" s="19"/>
      <c r="D7" s="573"/>
      <c r="E7" s="19"/>
      <c r="F7" s="19"/>
      <c r="G7" s="19"/>
      <c r="H7" s="19"/>
      <c r="I7" s="19"/>
      <c r="J7" s="21"/>
      <c r="K7" s="22"/>
      <c r="L7" s="22"/>
      <c r="M7" s="22"/>
      <c r="N7" s="22"/>
      <c r="O7" s="19"/>
      <c r="P7" s="19"/>
      <c r="Q7" s="7"/>
      <c r="R7" s="23"/>
      <c r="S7" s="19"/>
      <c r="T7" s="19"/>
      <c r="U7" s="24"/>
      <c r="V7" s="25"/>
      <c r="W7" s="14"/>
      <c r="X7" s="7"/>
      <c r="Y7" s="7"/>
      <c r="Z7" s="7"/>
      <c r="AA7" s="7"/>
      <c r="AB7" s="7"/>
      <c r="AC7" s="7"/>
    </row>
    <row r="8" spans="1:62" ht="25.5">
      <c r="A8" s="19"/>
      <c r="B8" s="148" t="s">
        <v>17</v>
      </c>
      <c r="C8" s="91">
        <f>H8+E8</f>
        <v>2925</v>
      </c>
      <c r="D8" s="91"/>
      <c r="E8" s="91">
        <v>0</v>
      </c>
      <c r="F8" s="91">
        <v>0</v>
      </c>
      <c r="G8" s="91">
        <v>0</v>
      </c>
      <c r="H8" s="91">
        <f>T8+T9</f>
        <v>2925</v>
      </c>
      <c r="I8" s="91">
        <f>0.4*C8</f>
        <v>1170</v>
      </c>
      <c r="J8" s="21"/>
      <c r="K8" s="21"/>
      <c r="L8" s="21"/>
      <c r="M8" s="575"/>
      <c r="N8" s="22"/>
      <c r="O8" s="91">
        <v>596469</v>
      </c>
      <c r="P8" s="91">
        <v>598630</v>
      </c>
      <c r="Q8" s="122"/>
      <c r="R8" s="142"/>
      <c r="S8" s="91">
        <v>1</v>
      </c>
      <c r="T8" s="91">
        <f>(P8-O8)*S8</f>
        <v>2161</v>
      </c>
      <c r="U8" s="95">
        <v>108076</v>
      </c>
      <c r="V8" s="569" t="s">
        <v>18</v>
      </c>
      <c r="W8" s="14" t="s">
        <v>19</v>
      </c>
      <c r="X8" s="7"/>
      <c r="Y8" s="7"/>
      <c r="Z8" s="7"/>
      <c r="AA8" s="7"/>
      <c r="AB8" s="7"/>
      <c r="AC8" s="7"/>
    </row>
    <row r="9" spans="1:62" ht="25.5">
      <c r="A9" s="19"/>
      <c r="B9" s="148"/>
      <c r="C9" s="91"/>
      <c r="D9" s="91"/>
      <c r="E9" s="91"/>
      <c r="F9" s="91"/>
      <c r="G9" s="91"/>
      <c r="H9" s="91"/>
      <c r="I9" s="91"/>
      <c r="J9" s="21"/>
      <c r="K9" s="21"/>
      <c r="L9" s="21"/>
      <c r="M9" s="21"/>
      <c r="N9" s="22"/>
      <c r="O9" s="117">
        <v>274128</v>
      </c>
      <c r="P9" s="117">
        <v>274892</v>
      </c>
      <c r="Q9" s="122"/>
      <c r="R9" s="576"/>
      <c r="S9" s="117">
        <v>1</v>
      </c>
      <c r="T9" s="91">
        <f>(P9-O9)*S9</f>
        <v>764</v>
      </c>
      <c r="U9" s="95">
        <v>108093</v>
      </c>
      <c r="V9" s="569"/>
      <c r="W9" s="14" t="s">
        <v>19</v>
      </c>
      <c r="X9" s="7"/>
      <c r="Y9" s="7"/>
      <c r="Z9" s="7"/>
      <c r="AA9" s="7"/>
      <c r="AB9" s="7"/>
      <c r="AC9" s="7"/>
    </row>
    <row r="10" spans="1:62" ht="25.5">
      <c r="A10" s="19"/>
      <c r="B10" s="148" t="s">
        <v>20</v>
      </c>
      <c r="C10" s="91">
        <f>H10+E10</f>
        <v>11747.000000000004</v>
      </c>
      <c r="D10" s="91"/>
      <c r="E10" s="91">
        <f>F10+G10</f>
        <v>0</v>
      </c>
      <c r="F10" s="91">
        <v>0</v>
      </c>
      <c r="G10" s="91">
        <v>0</v>
      </c>
      <c r="H10" s="91">
        <f>T10+T11</f>
        <v>11747.000000000004</v>
      </c>
      <c r="I10" s="91">
        <f>0.4*C10</f>
        <v>4698.800000000002</v>
      </c>
      <c r="J10" s="21"/>
      <c r="K10" s="21"/>
      <c r="L10" s="21"/>
      <c r="M10" s="21"/>
      <c r="N10" s="22"/>
      <c r="O10" s="117">
        <v>5572.4</v>
      </c>
      <c r="P10" s="117">
        <v>6132.2</v>
      </c>
      <c r="Q10" s="122"/>
      <c r="R10" s="173"/>
      <c r="S10" s="117">
        <v>15</v>
      </c>
      <c r="T10" s="91">
        <f>(P10-O10)*S10</f>
        <v>8397.0000000000036</v>
      </c>
      <c r="U10" s="95">
        <v>798111</v>
      </c>
      <c r="V10" s="569" t="s">
        <v>21</v>
      </c>
      <c r="W10" s="14" t="s">
        <v>22</v>
      </c>
      <c r="X10" s="7"/>
      <c r="Y10" s="7"/>
      <c r="Z10" s="7"/>
      <c r="AA10" s="7"/>
      <c r="AB10" s="7"/>
      <c r="AC10" s="7"/>
    </row>
    <row r="11" spans="1:62" ht="25.5">
      <c r="A11" s="19"/>
      <c r="B11" s="148" t="s">
        <v>23</v>
      </c>
      <c r="C11" s="91"/>
      <c r="D11" s="91"/>
      <c r="E11" s="91"/>
      <c r="F11" s="91"/>
      <c r="G11" s="91"/>
      <c r="H11" s="91"/>
      <c r="I11" s="91"/>
      <c r="J11" s="21"/>
      <c r="K11" s="21"/>
      <c r="L11" s="21"/>
      <c r="M11" s="21"/>
      <c r="N11" s="22"/>
      <c r="O11" s="117">
        <v>49871</v>
      </c>
      <c r="P11" s="117">
        <v>53221</v>
      </c>
      <c r="Q11" s="122"/>
      <c r="R11" s="173"/>
      <c r="S11" s="117">
        <v>1</v>
      </c>
      <c r="T11" s="91">
        <f>(P11-O11)*S11</f>
        <v>3350</v>
      </c>
      <c r="U11" s="95">
        <v>16029</v>
      </c>
      <c r="V11" s="569" t="s">
        <v>24</v>
      </c>
      <c r="W11" s="14" t="s">
        <v>22</v>
      </c>
      <c r="X11" s="7"/>
      <c r="Y11" s="7"/>
      <c r="Z11" s="7"/>
      <c r="AA11" s="7"/>
      <c r="AB11" s="7"/>
      <c r="AC11" s="7"/>
    </row>
    <row r="12" spans="1:62" s="42" customFormat="1" ht="25.5">
      <c r="A12" s="32"/>
      <c r="B12" s="352"/>
      <c r="C12" s="43"/>
      <c r="D12" s="43"/>
      <c r="E12" s="43"/>
      <c r="F12" s="43"/>
      <c r="G12" s="43"/>
      <c r="H12" s="43"/>
      <c r="I12" s="43"/>
      <c r="J12" s="353"/>
      <c r="K12" s="354"/>
      <c r="L12" s="354"/>
      <c r="M12" s="355"/>
      <c r="N12" s="355"/>
      <c r="O12" s="43"/>
      <c r="P12" s="43"/>
      <c r="Q12" s="356"/>
      <c r="R12" s="356"/>
      <c r="S12" s="43"/>
      <c r="T12" s="43"/>
      <c r="U12" s="55"/>
      <c r="V12" s="44"/>
      <c r="W12" s="40"/>
      <c r="X12" s="41"/>
      <c r="Y12" s="41"/>
      <c r="Z12" s="41"/>
      <c r="AA12" s="41"/>
      <c r="AB12" s="41"/>
      <c r="AC12" s="41"/>
    </row>
    <row r="13" spans="1:62" s="42" customFormat="1" ht="25.5" customHeight="1">
      <c r="A13" s="32"/>
      <c r="B13" s="314" t="s">
        <v>25</v>
      </c>
      <c r="C13" s="315">
        <f>(C98-C46-C14-C95-C96)</f>
        <v>62131.619999999995</v>
      </c>
      <c r="D13" s="315"/>
      <c r="E13" s="315"/>
      <c r="F13" s="315"/>
      <c r="G13" s="315"/>
      <c r="H13" s="315"/>
      <c r="I13" s="315"/>
      <c r="J13" s="577"/>
      <c r="K13" s="578"/>
      <c r="L13" s="578"/>
      <c r="M13" s="316"/>
      <c r="N13" s="316"/>
      <c r="O13" s="315"/>
      <c r="P13" s="315"/>
      <c r="Q13" s="579"/>
      <c r="R13" s="579"/>
      <c r="S13" s="315"/>
      <c r="T13" s="315"/>
      <c r="U13" s="317" t="s">
        <v>773</v>
      </c>
      <c r="V13" s="317"/>
      <c r="W13" s="40"/>
      <c r="X13" s="45"/>
      <c r="Y13" s="45"/>
      <c r="Z13" s="45"/>
      <c r="AA13" s="45"/>
      <c r="AB13" s="45"/>
      <c r="AC13" s="41"/>
    </row>
    <row r="14" spans="1:62" ht="25.5">
      <c r="A14" s="19"/>
      <c r="B14" s="580" t="s">
        <v>791</v>
      </c>
      <c r="C14" s="91">
        <f>H14</f>
        <v>10881.999999999998</v>
      </c>
      <c r="D14" s="91"/>
      <c r="E14" s="91">
        <v>0</v>
      </c>
      <c r="F14" s="91">
        <v>0</v>
      </c>
      <c r="G14" s="91">
        <v>0</v>
      </c>
      <c r="H14" s="91">
        <f>T14</f>
        <v>10881.999999999998</v>
      </c>
      <c r="I14" s="91">
        <f>0.4*C14</f>
        <v>4352.7999999999993</v>
      </c>
      <c r="J14" s="98" t="s">
        <v>15</v>
      </c>
      <c r="K14" s="98"/>
      <c r="L14" s="98"/>
      <c r="M14" s="22"/>
      <c r="N14" s="22"/>
      <c r="O14" s="91">
        <v>2401</v>
      </c>
      <c r="P14" s="91">
        <v>2945.1</v>
      </c>
      <c r="Q14" s="142" t="s">
        <v>26</v>
      </c>
      <c r="R14" s="142"/>
      <c r="S14" s="91">
        <v>20</v>
      </c>
      <c r="T14" s="91">
        <f>(P14-O14)*S14</f>
        <v>10881.999999999998</v>
      </c>
      <c r="U14" s="95">
        <v>182341</v>
      </c>
      <c r="V14" s="569" t="s">
        <v>27</v>
      </c>
      <c r="W14" s="47" t="s">
        <v>27</v>
      </c>
      <c r="X14" s="48"/>
      <c r="Y14" s="48"/>
      <c r="Z14" s="48"/>
      <c r="AA14" s="48"/>
      <c r="AB14" s="48"/>
      <c r="AC14" s="7"/>
    </row>
    <row r="15" spans="1:62" s="42" customFormat="1" ht="28.5" customHeight="1">
      <c r="A15" s="32"/>
      <c r="B15" s="493"/>
      <c r="C15" s="43"/>
      <c r="D15" s="43"/>
      <c r="E15" s="43"/>
      <c r="F15" s="43"/>
      <c r="G15" s="43"/>
      <c r="H15" s="43"/>
      <c r="I15" s="43"/>
      <c r="J15" s="354"/>
      <c r="K15" s="354"/>
      <c r="L15" s="354"/>
      <c r="M15" s="355"/>
      <c r="N15" s="355"/>
      <c r="O15" s="43"/>
      <c r="P15" s="43"/>
      <c r="Q15" s="359"/>
      <c r="R15" s="359"/>
      <c r="S15" s="43"/>
      <c r="T15" s="43"/>
      <c r="U15" s="55"/>
      <c r="V15" s="44"/>
      <c r="W15" s="40"/>
      <c r="X15" s="45"/>
      <c r="Y15" s="45"/>
      <c r="Z15" s="45"/>
      <c r="AA15" s="45"/>
      <c r="AB15" s="45"/>
      <c r="AC15" s="41"/>
    </row>
    <row r="16" spans="1:62" ht="33" customHeight="1">
      <c r="A16" s="19"/>
      <c r="B16" s="148" t="s">
        <v>792</v>
      </c>
      <c r="C16" s="91">
        <f t="shared" ref="C16:C22" si="0">H16+E16</f>
        <v>1056.0899999999999</v>
      </c>
      <c r="D16" s="91"/>
      <c r="E16" s="91">
        <f>F16+G16</f>
        <v>69.09</v>
      </c>
      <c r="F16" s="91">
        <f>0.04*H16</f>
        <v>39.480000000000004</v>
      </c>
      <c r="G16" s="91">
        <f>0.03*H16</f>
        <v>29.61</v>
      </c>
      <c r="H16" s="91">
        <f>T16</f>
        <v>987</v>
      </c>
      <c r="I16" s="91">
        <f>0.6*C16</f>
        <v>633.65399999999988</v>
      </c>
      <c r="J16" s="22"/>
      <c r="K16" s="22"/>
      <c r="L16" s="22"/>
      <c r="M16" s="22"/>
      <c r="N16" s="22"/>
      <c r="O16" s="91">
        <v>49763</v>
      </c>
      <c r="P16" s="91">
        <v>50750</v>
      </c>
      <c r="Q16" s="122"/>
      <c r="R16" s="310"/>
      <c r="S16" s="151">
        <v>1</v>
      </c>
      <c r="T16" s="91">
        <f>(P16-O16)*S16</f>
        <v>987</v>
      </c>
      <c r="U16" s="95">
        <v>84036</v>
      </c>
      <c r="V16" s="569" t="s">
        <v>30</v>
      </c>
      <c r="W16" s="14" t="s">
        <v>31</v>
      </c>
      <c r="X16" s="48"/>
      <c r="Y16" s="48"/>
      <c r="Z16" s="48"/>
      <c r="AA16" s="48"/>
      <c r="AB16" s="48"/>
      <c r="AC16" s="7"/>
    </row>
    <row r="17" spans="1:29" ht="30" customHeight="1">
      <c r="A17" s="19"/>
      <c r="B17" s="314" t="s">
        <v>32</v>
      </c>
      <c r="C17" s="315">
        <f t="shared" si="0"/>
        <v>12553</v>
      </c>
      <c r="D17" s="315"/>
      <c r="E17" s="315"/>
      <c r="F17" s="315"/>
      <c r="G17" s="315"/>
      <c r="H17" s="315">
        <f>T17</f>
        <v>12553</v>
      </c>
      <c r="I17" s="315">
        <f>0.2*C17</f>
        <v>2510.6000000000004</v>
      </c>
      <c r="J17" s="578"/>
      <c r="K17" s="578"/>
      <c r="L17" s="578"/>
      <c r="M17" s="316"/>
      <c r="N17" s="316"/>
      <c r="O17" s="315">
        <v>577152</v>
      </c>
      <c r="P17" s="315">
        <v>589705</v>
      </c>
      <c r="Q17" s="318" t="s">
        <v>33</v>
      </c>
      <c r="R17" s="318"/>
      <c r="S17" s="315">
        <v>1</v>
      </c>
      <c r="T17" s="315">
        <f>P17-O17</f>
        <v>12553</v>
      </c>
      <c r="U17" s="319">
        <v>2648</v>
      </c>
      <c r="V17" s="317" t="s">
        <v>34</v>
      </c>
      <c r="W17" s="14" t="s">
        <v>35</v>
      </c>
      <c r="X17" s="48"/>
      <c r="Y17" s="48"/>
      <c r="Z17" s="48"/>
      <c r="AA17" s="48"/>
      <c r="AB17" s="48"/>
      <c r="AC17" s="7"/>
    </row>
    <row r="18" spans="1:29" ht="28.5" customHeight="1">
      <c r="A18" s="19"/>
      <c r="B18" s="148" t="s">
        <v>36</v>
      </c>
      <c r="C18" s="91">
        <f t="shared" si="0"/>
        <v>314.40000000000055</v>
      </c>
      <c r="D18" s="91"/>
      <c r="E18" s="91">
        <f>F18+G18</f>
        <v>0</v>
      </c>
      <c r="F18" s="91">
        <v>0</v>
      </c>
      <c r="G18" s="91">
        <v>0</v>
      </c>
      <c r="H18" s="91">
        <f>T18</f>
        <v>314.40000000000055</v>
      </c>
      <c r="I18" s="91">
        <f>T20</f>
        <v>0</v>
      </c>
      <c r="J18" s="22"/>
      <c r="K18" s="98"/>
      <c r="L18" s="98"/>
      <c r="M18" s="22"/>
      <c r="N18" s="22"/>
      <c r="O18" s="250">
        <v>856.93449999999996</v>
      </c>
      <c r="P18" s="250">
        <v>864.79449999999997</v>
      </c>
      <c r="Q18" s="142" t="s">
        <v>37</v>
      </c>
      <c r="R18" s="142"/>
      <c r="S18" s="91">
        <v>40</v>
      </c>
      <c r="T18" s="91">
        <f>(P18-O18)*S18</f>
        <v>314.40000000000055</v>
      </c>
      <c r="U18" s="95">
        <v>28377662</v>
      </c>
      <c r="V18" s="569" t="s">
        <v>38</v>
      </c>
      <c r="W18" s="14"/>
      <c r="X18" s="48"/>
      <c r="Y18" s="48"/>
      <c r="Z18" s="48"/>
      <c r="AA18" s="48"/>
      <c r="AB18" s="48"/>
      <c r="AC18" s="7"/>
    </row>
    <row r="19" spans="1:29" ht="28.5" customHeight="1">
      <c r="A19" s="19"/>
      <c r="B19" s="63" t="s">
        <v>36</v>
      </c>
      <c r="C19" s="49">
        <f t="shared" si="0"/>
        <v>0</v>
      </c>
      <c r="D19" s="49"/>
      <c r="E19" s="49">
        <f>F19+G19</f>
        <v>0</v>
      </c>
      <c r="F19" s="49"/>
      <c r="G19" s="49"/>
      <c r="H19" s="49"/>
      <c r="I19" s="49"/>
      <c r="J19" s="51"/>
      <c r="K19" s="50"/>
      <c r="L19" s="50"/>
      <c r="M19" s="51"/>
      <c r="N19" s="51"/>
      <c r="O19" s="49">
        <v>0.95</v>
      </c>
      <c r="P19" s="49">
        <v>0.95</v>
      </c>
      <c r="Q19" s="52"/>
      <c r="R19" s="52"/>
      <c r="S19" s="49">
        <v>40</v>
      </c>
      <c r="T19" s="49">
        <f>(P19-O19)*S19</f>
        <v>0</v>
      </c>
      <c r="U19" s="53">
        <v>28392412</v>
      </c>
      <c r="V19" s="64" t="s">
        <v>39</v>
      </c>
      <c r="W19" s="14"/>
      <c r="X19" s="48"/>
      <c r="Y19" s="48"/>
      <c r="Z19" s="48"/>
      <c r="AA19" s="48"/>
      <c r="AB19" s="48"/>
      <c r="AC19" s="7"/>
    </row>
    <row r="20" spans="1:29" ht="31.5" customHeight="1">
      <c r="A20" s="19"/>
      <c r="B20" s="148" t="s">
        <v>40</v>
      </c>
      <c r="C20" s="91">
        <f t="shared" si="0"/>
        <v>0</v>
      </c>
      <c r="D20" s="91"/>
      <c r="E20" s="91">
        <f>F20+G20</f>
        <v>0</v>
      </c>
      <c r="F20" s="91">
        <f>0.04*H20</f>
        <v>0</v>
      </c>
      <c r="G20" s="91">
        <f>0.03*H20</f>
        <v>0</v>
      </c>
      <c r="H20" s="91">
        <f>T20</f>
        <v>0</v>
      </c>
      <c r="I20" s="91">
        <f>0.6*C20</f>
        <v>0</v>
      </c>
      <c r="J20" s="22"/>
      <c r="K20" s="22"/>
      <c r="L20" s="22"/>
      <c r="M20" s="22"/>
      <c r="N20" s="22"/>
      <c r="O20" s="91">
        <f>13159+2088+1399</f>
        <v>16646</v>
      </c>
      <c r="P20" s="91">
        <f>13159+2088+1399</f>
        <v>16646</v>
      </c>
      <c r="Q20" s="122"/>
      <c r="R20" s="310"/>
      <c r="S20" s="151">
        <v>1</v>
      </c>
      <c r="T20" s="91">
        <f>(P20-O20)*S20</f>
        <v>0</v>
      </c>
      <c r="U20" s="95" t="s">
        <v>41</v>
      </c>
      <c r="V20" s="569" t="s">
        <v>42</v>
      </c>
      <c r="W20" s="14" t="s">
        <v>43</v>
      </c>
      <c r="X20" s="48"/>
      <c r="Y20" s="48"/>
      <c r="Z20" s="48"/>
      <c r="AA20" s="48"/>
      <c r="AB20" s="48"/>
      <c r="AC20" s="7"/>
    </row>
    <row r="21" spans="1:29" ht="31.5" customHeight="1">
      <c r="A21" s="19"/>
      <c r="B21" s="148" t="s">
        <v>44</v>
      </c>
      <c r="C21" s="91">
        <f t="shared" si="0"/>
        <v>17838</v>
      </c>
      <c r="D21" s="91"/>
      <c r="E21" s="91">
        <v>0</v>
      </c>
      <c r="F21" s="91">
        <v>0</v>
      </c>
      <c r="G21" s="91">
        <v>0</v>
      </c>
      <c r="H21" s="91">
        <f>T21</f>
        <v>17838</v>
      </c>
      <c r="I21" s="91">
        <f t="shared" ref="I21:I28" si="1">0.4*C21</f>
        <v>7135.2000000000007</v>
      </c>
      <c r="J21" s="22"/>
      <c r="K21" s="98"/>
      <c r="L21" s="98"/>
      <c r="M21" s="22"/>
      <c r="N21" s="22"/>
      <c r="O21" s="91">
        <v>1890.4</v>
      </c>
      <c r="P21" s="91">
        <v>2782.3</v>
      </c>
      <c r="Q21" s="161"/>
      <c r="R21" s="161"/>
      <c r="S21" s="91">
        <v>20</v>
      </c>
      <c r="T21" s="91">
        <f>(P21-O21)*S21</f>
        <v>17838</v>
      </c>
      <c r="U21" s="95">
        <v>88154</v>
      </c>
      <c r="V21" s="569" t="s">
        <v>45</v>
      </c>
      <c r="W21" s="14" t="s">
        <v>31</v>
      </c>
      <c r="X21" s="48"/>
      <c r="Y21" s="48"/>
      <c r="Z21" s="48"/>
      <c r="AA21" s="48"/>
      <c r="AB21" s="48"/>
      <c r="AC21" s="7"/>
    </row>
    <row r="22" spans="1:29" s="42" customFormat="1" ht="24" customHeight="1">
      <c r="A22" s="32"/>
      <c r="B22" s="104" t="s">
        <v>46</v>
      </c>
      <c r="C22" s="91">
        <f t="shared" si="0"/>
        <v>95.23</v>
      </c>
      <c r="D22" s="91"/>
      <c r="E22" s="91">
        <f>F22+G22</f>
        <v>6.23</v>
      </c>
      <c r="F22" s="91">
        <f>0.04*H22</f>
        <v>3.56</v>
      </c>
      <c r="G22" s="91">
        <f>0.03*H22</f>
        <v>2.67</v>
      </c>
      <c r="H22" s="91">
        <f>T22</f>
        <v>89</v>
      </c>
      <c r="I22" s="91">
        <f>0.6*C22</f>
        <v>57.137999999999998</v>
      </c>
      <c r="J22" s="22"/>
      <c r="K22" s="22"/>
      <c r="L22" s="22"/>
      <c r="M22" s="22"/>
      <c r="N22" s="22"/>
      <c r="O22" s="91">
        <v>26443</v>
      </c>
      <c r="P22" s="91">
        <v>26532</v>
      </c>
      <c r="Q22" s="122"/>
      <c r="R22" s="310"/>
      <c r="S22" s="151">
        <v>1</v>
      </c>
      <c r="T22" s="91">
        <f>(P22-O22)*S22</f>
        <v>89</v>
      </c>
      <c r="U22" s="95">
        <v>7862</v>
      </c>
      <c r="V22" s="569" t="s">
        <v>47</v>
      </c>
      <c r="W22" s="40" t="s">
        <v>48</v>
      </c>
      <c r="X22" s="45"/>
      <c r="Y22" s="45"/>
      <c r="Z22" s="45"/>
      <c r="AA22" s="45"/>
      <c r="AB22" s="45"/>
      <c r="AC22" s="41"/>
    </row>
    <row r="23" spans="1:29" s="42" customFormat="1" ht="24.75" customHeight="1">
      <c r="A23" s="32"/>
      <c r="B23" s="314"/>
      <c r="C23" s="581"/>
      <c r="D23" s="315"/>
      <c r="E23" s="315"/>
      <c r="F23" s="315"/>
      <c r="G23" s="315"/>
      <c r="H23" s="315"/>
      <c r="I23" s="581"/>
      <c r="J23" s="578"/>
      <c r="K23" s="578"/>
      <c r="L23" s="578"/>
      <c r="M23" s="316"/>
      <c r="N23" s="316"/>
      <c r="O23" s="315"/>
      <c r="P23" s="315"/>
      <c r="Q23" s="582"/>
      <c r="R23" s="582"/>
      <c r="S23" s="315"/>
      <c r="T23" s="315"/>
      <c r="U23" s="583"/>
      <c r="V23" s="317" t="s">
        <v>15</v>
      </c>
      <c r="W23" s="40"/>
      <c r="X23" s="41"/>
      <c r="Y23" s="41"/>
      <c r="Z23" s="41"/>
      <c r="AA23" s="41"/>
      <c r="AB23" s="41"/>
      <c r="AC23" s="41"/>
    </row>
    <row r="24" spans="1:29" s="42" customFormat="1" ht="26.25" customHeight="1">
      <c r="A24" s="32"/>
      <c r="B24" s="314"/>
      <c r="C24" s="581"/>
      <c r="D24" s="315"/>
      <c r="E24" s="315"/>
      <c r="F24" s="315"/>
      <c r="G24" s="315"/>
      <c r="H24" s="315"/>
      <c r="I24" s="581"/>
      <c r="J24" s="578"/>
      <c r="K24" s="578"/>
      <c r="L24" s="578"/>
      <c r="M24" s="316"/>
      <c r="N24" s="316"/>
      <c r="O24" s="315"/>
      <c r="P24" s="315"/>
      <c r="Q24" s="582"/>
      <c r="R24" s="582"/>
      <c r="S24" s="315"/>
      <c r="T24" s="315"/>
      <c r="U24" s="583"/>
      <c r="V24" s="317"/>
      <c r="W24" s="40"/>
      <c r="X24" s="41"/>
      <c r="Y24" s="41"/>
      <c r="Z24" s="41"/>
      <c r="AA24" s="41"/>
      <c r="AB24" s="41"/>
      <c r="AC24" s="41"/>
    </row>
    <row r="25" spans="1:29" ht="25.5">
      <c r="A25" s="19"/>
      <c r="B25" s="148" t="s">
        <v>49</v>
      </c>
      <c r="C25" s="91">
        <f t="shared" ref="C25:C30" si="2">H25+E25</f>
        <v>20100</v>
      </c>
      <c r="D25" s="91"/>
      <c r="E25" s="91">
        <v>0</v>
      </c>
      <c r="F25" s="91">
        <v>0</v>
      </c>
      <c r="G25" s="91">
        <v>0</v>
      </c>
      <c r="H25" s="91">
        <f>T25</f>
        <v>20100</v>
      </c>
      <c r="I25" s="91">
        <f t="shared" si="1"/>
        <v>8040</v>
      </c>
      <c r="J25" s="98"/>
      <c r="K25" s="98"/>
      <c r="L25" s="98"/>
      <c r="M25" s="22"/>
      <c r="N25" s="22"/>
      <c r="O25" s="91">
        <v>47335.199999999997</v>
      </c>
      <c r="P25" s="91">
        <v>47402.2</v>
      </c>
      <c r="Q25" s="142" t="s">
        <v>50</v>
      </c>
      <c r="R25" s="142"/>
      <c r="S25" s="91">
        <v>300</v>
      </c>
      <c r="T25" s="91">
        <f>(P25-O25)*S25</f>
        <v>20100</v>
      </c>
      <c r="U25" s="95" t="s">
        <v>51</v>
      </c>
      <c r="V25" s="569" t="s">
        <v>52</v>
      </c>
      <c r="W25" s="14" t="s">
        <v>53</v>
      </c>
      <c r="X25" s="7"/>
      <c r="Y25" s="7"/>
      <c r="Z25" s="7"/>
      <c r="AA25" s="7"/>
      <c r="AB25" s="7"/>
      <c r="AC25" s="7"/>
    </row>
    <row r="26" spans="1:29" s="42" customFormat="1" ht="24" customHeight="1">
      <c r="A26" s="32"/>
      <c r="B26" s="314"/>
      <c r="C26" s="315"/>
      <c r="D26" s="315"/>
      <c r="E26" s="315"/>
      <c r="F26" s="315"/>
      <c r="G26" s="315"/>
      <c r="H26" s="315"/>
      <c r="I26" s="315"/>
      <c r="J26" s="578"/>
      <c r="K26" s="578"/>
      <c r="L26" s="578"/>
      <c r="M26" s="316"/>
      <c r="N26" s="316"/>
      <c r="O26" s="584"/>
      <c r="P26" s="584"/>
      <c r="Q26" s="344"/>
      <c r="R26" s="579"/>
      <c r="S26" s="584"/>
      <c r="T26" s="584"/>
      <c r="U26" s="319"/>
      <c r="V26" s="317"/>
      <c r="W26" s="40"/>
      <c r="X26" s="41"/>
      <c r="Y26" s="41"/>
      <c r="Z26" s="41"/>
      <c r="AA26" s="41"/>
      <c r="AB26" s="41"/>
      <c r="AC26" s="41"/>
    </row>
    <row r="27" spans="1:29" s="68" customFormat="1" ht="55.5" customHeight="1">
      <c r="A27" s="65"/>
      <c r="B27" s="314" t="s">
        <v>54</v>
      </c>
      <c r="C27" s="91">
        <f t="shared" si="2"/>
        <v>6360</v>
      </c>
      <c r="D27" s="91"/>
      <c r="E27" s="91">
        <v>0</v>
      </c>
      <c r="F27" s="91">
        <v>0</v>
      </c>
      <c r="G27" s="91">
        <v>0</v>
      </c>
      <c r="H27" s="91">
        <f t="shared" ref="H27:H33" si="3">T27</f>
        <v>6360</v>
      </c>
      <c r="I27" s="91">
        <f t="shared" si="1"/>
        <v>2544</v>
      </c>
      <c r="J27" s="98"/>
      <c r="K27" s="98"/>
      <c r="L27" s="98"/>
      <c r="M27" s="22"/>
      <c r="N27" s="22"/>
      <c r="O27" s="91">
        <v>3215</v>
      </c>
      <c r="P27" s="91">
        <v>3268</v>
      </c>
      <c r="Q27" s="122"/>
      <c r="R27" s="585"/>
      <c r="S27" s="91">
        <v>120</v>
      </c>
      <c r="T27" s="91">
        <f>(P27-O27)*S27</f>
        <v>6360</v>
      </c>
      <c r="U27" s="586">
        <v>470</v>
      </c>
      <c r="V27" s="569" t="s">
        <v>52</v>
      </c>
      <c r="W27" s="66" t="s">
        <v>48</v>
      </c>
      <c r="X27" s="67"/>
      <c r="Y27" s="67"/>
      <c r="Z27" s="67"/>
      <c r="AA27" s="67"/>
      <c r="AB27" s="67"/>
      <c r="AC27" s="67"/>
    </row>
    <row r="28" spans="1:29" ht="50.25" customHeight="1">
      <c r="A28" s="19"/>
      <c r="B28" s="580" t="s">
        <v>55</v>
      </c>
      <c r="C28" s="91">
        <f t="shared" si="2"/>
        <v>11.999999999672582</v>
      </c>
      <c r="D28" s="91"/>
      <c r="E28" s="91">
        <v>0</v>
      </c>
      <c r="F28" s="91">
        <v>0</v>
      </c>
      <c r="G28" s="91">
        <v>0</v>
      </c>
      <c r="H28" s="91">
        <f t="shared" si="3"/>
        <v>11.999999999672582</v>
      </c>
      <c r="I28" s="91">
        <f t="shared" si="1"/>
        <v>4.7999999998690335</v>
      </c>
      <c r="J28" s="98"/>
      <c r="K28" s="98"/>
      <c r="L28" s="98"/>
      <c r="M28" s="22"/>
      <c r="N28" s="22"/>
      <c r="O28" s="91">
        <v>14852.1</v>
      </c>
      <c r="P28" s="91">
        <v>14875.8</v>
      </c>
      <c r="Q28" s="122"/>
      <c r="R28" s="585"/>
      <c r="S28" s="91">
        <v>300</v>
      </c>
      <c r="T28" s="91">
        <f>(P28-O28)*S28-T32-T27</f>
        <v>11.999999999672582</v>
      </c>
      <c r="U28" s="95" t="s">
        <v>56</v>
      </c>
      <c r="V28" s="569" t="s">
        <v>52</v>
      </c>
      <c r="W28" s="14" t="s">
        <v>57</v>
      </c>
      <c r="X28" s="7"/>
      <c r="Y28" s="7"/>
      <c r="Z28" s="7"/>
      <c r="AA28" s="7"/>
      <c r="AB28" s="7"/>
      <c r="AC28" s="7"/>
    </row>
    <row r="29" spans="1:29" s="42" customFormat="1" ht="24" customHeight="1">
      <c r="A29" s="32"/>
      <c r="B29" s="523" t="s">
        <v>58</v>
      </c>
      <c r="C29" s="524">
        <f t="shared" si="2"/>
        <v>0</v>
      </c>
      <c r="D29" s="524"/>
      <c r="E29" s="524">
        <v>0</v>
      </c>
      <c r="F29" s="524">
        <v>0</v>
      </c>
      <c r="G29" s="524">
        <v>0</v>
      </c>
      <c r="H29" s="524">
        <f t="shared" si="3"/>
        <v>0</v>
      </c>
      <c r="I29" s="524">
        <f>0.4*C29</f>
        <v>0</v>
      </c>
      <c r="J29" s="525"/>
      <c r="K29" s="525"/>
      <c r="L29" s="525"/>
      <c r="M29" s="526"/>
      <c r="N29" s="526"/>
      <c r="O29" s="524">
        <v>2357</v>
      </c>
      <c r="P29" s="524">
        <v>2357</v>
      </c>
      <c r="Q29" s="527"/>
      <c r="R29" s="528"/>
      <c r="S29" s="524">
        <v>300</v>
      </c>
      <c r="T29" s="524">
        <f>(P29-O29)*S29</f>
        <v>0</v>
      </c>
      <c r="U29" s="529" t="s">
        <v>59</v>
      </c>
      <c r="V29" s="530" t="s">
        <v>52</v>
      </c>
      <c r="W29" s="40"/>
      <c r="X29" s="41"/>
      <c r="Y29" s="41"/>
      <c r="Z29" s="41"/>
      <c r="AA29" s="41"/>
      <c r="AB29" s="41"/>
      <c r="AC29" s="41"/>
    </row>
    <row r="30" spans="1:29" ht="30" customHeight="1">
      <c r="A30" s="19"/>
      <c r="B30" s="148" t="s">
        <v>793</v>
      </c>
      <c r="C30" s="91">
        <f t="shared" si="2"/>
        <v>14998.468200000414</v>
      </c>
      <c r="D30" s="91"/>
      <c r="E30" s="91">
        <f>F30+G30</f>
        <v>981.20820000002709</v>
      </c>
      <c r="F30" s="91">
        <f>0.04*H30</f>
        <v>560.69040000001553</v>
      </c>
      <c r="G30" s="91">
        <f>0.03*H30</f>
        <v>420.51780000001162</v>
      </c>
      <c r="H30" s="91">
        <f t="shared" si="3"/>
        <v>14017.260000000388</v>
      </c>
      <c r="I30" s="91">
        <f>T31</f>
        <v>40000</v>
      </c>
      <c r="J30" s="98"/>
      <c r="K30" s="98"/>
      <c r="L30" s="98"/>
      <c r="M30" s="22"/>
      <c r="N30" s="22"/>
      <c r="O30" s="91">
        <v>40656.805999999997</v>
      </c>
      <c r="P30" s="91">
        <v>40890.427000000003</v>
      </c>
      <c r="Q30" s="122"/>
      <c r="R30" s="200"/>
      <c r="S30" s="91">
        <v>60</v>
      </c>
      <c r="T30" s="91">
        <f>(P30-O30)*S30</f>
        <v>14017.260000000388</v>
      </c>
      <c r="U30" s="95" t="s">
        <v>60</v>
      </c>
      <c r="V30" s="569" t="s">
        <v>61</v>
      </c>
      <c r="W30" s="14" t="s">
        <v>57</v>
      </c>
      <c r="X30" s="7"/>
      <c r="Y30" s="7"/>
      <c r="Z30" s="7"/>
      <c r="AA30" s="7"/>
      <c r="AB30" s="7"/>
      <c r="AC30" s="7"/>
    </row>
    <row r="31" spans="1:29" ht="25.5">
      <c r="A31" s="19"/>
      <c r="B31" s="148" t="s">
        <v>62</v>
      </c>
      <c r="C31" s="91">
        <f>T31</f>
        <v>40000</v>
      </c>
      <c r="D31" s="91"/>
      <c r="E31" s="91">
        <f>F31+G31</f>
        <v>2800</v>
      </c>
      <c r="F31" s="91">
        <f>0.04*H31</f>
        <v>1600</v>
      </c>
      <c r="G31" s="91">
        <f>0.03*H31</f>
        <v>1200</v>
      </c>
      <c r="H31" s="91">
        <f t="shared" si="3"/>
        <v>40000</v>
      </c>
      <c r="I31" s="91">
        <f>0.6*C31</f>
        <v>24000</v>
      </c>
      <c r="J31" s="22"/>
      <c r="K31" s="22"/>
      <c r="L31" s="22"/>
      <c r="M31" s="22"/>
      <c r="N31" s="22"/>
      <c r="O31" s="91">
        <v>8143.9</v>
      </c>
      <c r="P31" s="91">
        <v>8393.9</v>
      </c>
      <c r="Q31" s="122"/>
      <c r="R31" s="310"/>
      <c r="S31" s="151">
        <v>160</v>
      </c>
      <c r="T31" s="91">
        <f>(P31-O31)*S31</f>
        <v>40000</v>
      </c>
      <c r="U31" s="95">
        <v>4435</v>
      </c>
      <c r="V31" s="569" t="s">
        <v>63</v>
      </c>
      <c r="W31" s="14" t="s">
        <v>53</v>
      </c>
      <c r="X31" s="7"/>
      <c r="Y31" s="7"/>
      <c r="Z31" s="7"/>
      <c r="AA31" s="7"/>
      <c r="AB31" s="7"/>
      <c r="AC31" s="7"/>
    </row>
    <row r="32" spans="1:29" ht="51" customHeight="1">
      <c r="A32" s="19"/>
      <c r="B32" s="587" t="s">
        <v>794</v>
      </c>
      <c r="C32" s="91">
        <f>H32+E32</f>
        <v>789.65999999999985</v>
      </c>
      <c r="D32" s="91"/>
      <c r="E32" s="91">
        <f>F32+G32</f>
        <v>51.66</v>
      </c>
      <c r="F32" s="91">
        <f>0.04*H32</f>
        <v>29.519999999999996</v>
      </c>
      <c r="G32" s="91">
        <f>0.03*H32</f>
        <v>22.139999999999997</v>
      </c>
      <c r="H32" s="91">
        <f t="shared" si="3"/>
        <v>737.99999999999989</v>
      </c>
      <c r="I32" s="115">
        <f>T33-I34</f>
        <v>1223</v>
      </c>
      <c r="J32" s="98"/>
      <c r="K32" s="98"/>
      <c r="L32" s="98"/>
      <c r="M32" s="22"/>
      <c r="N32" s="22"/>
      <c r="O32" s="91">
        <v>3.9</v>
      </c>
      <c r="P32" s="91">
        <v>16.2</v>
      </c>
      <c r="Q32" s="122"/>
      <c r="R32" s="200"/>
      <c r="S32" s="91">
        <v>60</v>
      </c>
      <c r="T32" s="91">
        <f>(P32-O32)*S32</f>
        <v>737.99999999999989</v>
      </c>
      <c r="U32" s="95">
        <v>18628</v>
      </c>
      <c r="V32" s="569" t="s">
        <v>795</v>
      </c>
      <c r="W32" s="73" t="s">
        <v>57</v>
      </c>
      <c r="X32" s="74"/>
      <c r="Y32" s="74"/>
      <c r="Z32" s="74"/>
      <c r="AA32" s="75"/>
      <c r="AB32" s="7"/>
      <c r="AC32" s="7"/>
    </row>
    <row r="33" spans="1:29" ht="25.5">
      <c r="A33" s="19"/>
      <c r="B33" s="104" t="s">
        <v>64</v>
      </c>
      <c r="C33" s="91">
        <f>H33+E33</f>
        <v>1308.6099999999999</v>
      </c>
      <c r="D33" s="91"/>
      <c r="E33" s="91">
        <f>F33+G33</f>
        <v>85.61</v>
      </c>
      <c r="F33" s="91">
        <f>0.04*H33</f>
        <v>48.92</v>
      </c>
      <c r="G33" s="91">
        <f>0.03*H33</f>
        <v>36.69</v>
      </c>
      <c r="H33" s="91">
        <f t="shared" si="3"/>
        <v>1223</v>
      </c>
      <c r="I33" s="91">
        <f>0.6*C33</f>
        <v>785.16599999999994</v>
      </c>
      <c r="J33" s="22"/>
      <c r="K33" s="22"/>
      <c r="L33" s="22"/>
      <c r="M33" s="22"/>
      <c r="N33" s="22"/>
      <c r="O33" s="91">
        <v>24897</v>
      </c>
      <c r="P33" s="91">
        <v>26120</v>
      </c>
      <c r="Q33" s="122"/>
      <c r="R33" s="310"/>
      <c r="S33" s="151">
        <v>1</v>
      </c>
      <c r="T33" s="91">
        <f>(P33-O33)*S33</f>
        <v>1223</v>
      </c>
      <c r="U33" s="95"/>
      <c r="V33" s="569" t="s">
        <v>65</v>
      </c>
      <c r="W33" s="14" t="s">
        <v>48</v>
      </c>
      <c r="X33" s="7"/>
      <c r="Y33" s="7"/>
      <c r="Z33" s="7"/>
      <c r="AA33" s="7"/>
      <c r="AB33" s="7"/>
      <c r="AC33" s="7"/>
    </row>
    <row r="34" spans="1:29" s="42" customFormat="1" ht="31.5" customHeight="1">
      <c r="A34" s="32"/>
      <c r="B34" s="33"/>
      <c r="C34" s="34"/>
      <c r="D34" s="34"/>
      <c r="E34" s="34"/>
      <c r="F34" s="34"/>
      <c r="G34" s="34"/>
      <c r="H34" s="34"/>
      <c r="I34" s="34"/>
      <c r="J34" s="35"/>
      <c r="K34" s="35"/>
      <c r="L34" s="35"/>
      <c r="M34" s="36"/>
      <c r="N34" s="36"/>
      <c r="O34" s="34"/>
      <c r="P34" s="34"/>
      <c r="Q34" s="437"/>
      <c r="R34" s="37"/>
      <c r="S34" s="34"/>
      <c r="T34" s="34"/>
      <c r="U34" s="38"/>
      <c r="V34" s="39"/>
      <c r="W34" s="40"/>
      <c r="X34" s="41"/>
      <c r="Y34" s="41"/>
      <c r="Z34" s="41"/>
      <c r="AA34" s="41"/>
      <c r="AB34" s="41"/>
      <c r="AC34" s="41"/>
    </row>
    <row r="35" spans="1:29" s="68" customFormat="1" ht="31.5" customHeight="1">
      <c r="A35" s="65"/>
      <c r="B35" s="314" t="s">
        <v>682</v>
      </c>
      <c r="C35" s="91">
        <f t="shared" ref="C35:C40" si="4">H35+E35</f>
        <v>299</v>
      </c>
      <c r="D35" s="91"/>
      <c r="E35" s="91">
        <v>0</v>
      </c>
      <c r="F35" s="91">
        <v>0</v>
      </c>
      <c r="G35" s="91">
        <v>0</v>
      </c>
      <c r="H35" s="91">
        <f>T35</f>
        <v>299</v>
      </c>
      <c r="I35" s="91">
        <f t="shared" ref="I35:I43" si="5">0.4*C35</f>
        <v>119.60000000000001</v>
      </c>
      <c r="J35" s="98"/>
      <c r="K35" s="98"/>
      <c r="L35" s="98"/>
      <c r="M35" s="22"/>
      <c r="N35" s="22"/>
      <c r="O35" s="91">
        <v>4833</v>
      </c>
      <c r="P35" s="91">
        <v>5132</v>
      </c>
      <c r="Q35" s="122"/>
      <c r="R35" s="585"/>
      <c r="S35" s="91">
        <v>1</v>
      </c>
      <c r="T35" s="91">
        <f>(P35-O35)*S35</f>
        <v>299</v>
      </c>
      <c r="U35" s="319">
        <v>9051</v>
      </c>
      <c r="V35" s="317" t="s">
        <v>683</v>
      </c>
      <c r="W35" s="66"/>
      <c r="X35" s="67"/>
      <c r="Y35" s="67"/>
      <c r="Z35" s="67"/>
      <c r="AA35" s="67"/>
      <c r="AB35" s="67"/>
      <c r="AC35" s="67"/>
    </row>
    <row r="36" spans="1:29" ht="30" customHeight="1">
      <c r="A36" s="19"/>
      <c r="B36" s="148" t="s">
        <v>66</v>
      </c>
      <c r="C36" s="91">
        <f t="shared" si="4"/>
        <v>9605.9999999999418</v>
      </c>
      <c r="D36" s="91"/>
      <c r="E36" s="91">
        <v>0</v>
      </c>
      <c r="F36" s="91">
        <v>0</v>
      </c>
      <c r="G36" s="91">
        <v>0</v>
      </c>
      <c r="H36" s="91">
        <f>T36</f>
        <v>9605.9999999999418</v>
      </c>
      <c r="I36" s="91">
        <f t="shared" si="5"/>
        <v>3842.3999999999769</v>
      </c>
      <c r="J36" s="98"/>
      <c r="K36" s="98"/>
      <c r="L36" s="98"/>
      <c r="M36" s="22"/>
      <c r="N36" s="22"/>
      <c r="O36" s="91">
        <v>28811.7</v>
      </c>
      <c r="P36" s="91">
        <v>28939</v>
      </c>
      <c r="Q36" s="122"/>
      <c r="R36" s="173"/>
      <c r="S36" s="91">
        <v>80</v>
      </c>
      <c r="T36" s="91">
        <f>(P36-O36)*S36-T35-T271-T272-T270-T279-T280-T282-T284</f>
        <v>9605.9999999999418</v>
      </c>
      <c r="U36" s="95">
        <v>81596396</v>
      </c>
      <c r="V36" s="569" t="s">
        <v>61</v>
      </c>
      <c r="W36" s="14" t="s">
        <v>57</v>
      </c>
      <c r="X36" s="7"/>
      <c r="Y36" s="7"/>
      <c r="Z36" s="7"/>
      <c r="AA36" s="7"/>
      <c r="AB36" s="7"/>
      <c r="AC36" s="7"/>
    </row>
    <row r="37" spans="1:29" ht="30" customHeight="1">
      <c r="A37" s="19"/>
      <c r="B37" s="148" t="s">
        <v>67</v>
      </c>
      <c r="C37" s="91">
        <f t="shared" si="4"/>
        <v>281.41000000000003</v>
      </c>
      <c r="D37" s="91"/>
      <c r="E37" s="91">
        <f>F37+G37</f>
        <v>18.41</v>
      </c>
      <c r="F37" s="91">
        <f>0.04*H37</f>
        <v>10.52</v>
      </c>
      <c r="G37" s="91">
        <f>0.03*H37</f>
        <v>7.89</v>
      </c>
      <c r="H37" s="91">
        <f>T37</f>
        <v>263</v>
      </c>
      <c r="I37" s="91">
        <f>0.6*C37</f>
        <v>168.846</v>
      </c>
      <c r="J37" s="22"/>
      <c r="K37" s="22"/>
      <c r="L37" s="22"/>
      <c r="M37" s="22"/>
      <c r="N37" s="22"/>
      <c r="O37" s="91">
        <v>78285</v>
      </c>
      <c r="P37" s="91">
        <v>78548</v>
      </c>
      <c r="Q37" s="122"/>
      <c r="R37" s="310"/>
      <c r="S37" s="151">
        <v>1</v>
      </c>
      <c r="T37" s="91">
        <f>(P37-O37)*S37</f>
        <v>263</v>
      </c>
      <c r="U37" s="588">
        <v>15737.0376</v>
      </c>
      <c r="V37" s="569" t="s">
        <v>68</v>
      </c>
      <c r="W37" s="14" t="s">
        <v>57</v>
      </c>
      <c r="X37" s="7"/>
      <c r="Y37" s="7"/>
      <c r="Z37" s="7"/>
      <c r="AA37" s="7"/>
      <c r="AB37" s="7"/>
      <c r="AC37" s="7"/>
    </row>
    <row r="38" spans="1:29" ht="28.5" customHeight="1">
      <c r="A38" s="19"/>
      <c r="B38" s="320"/>
      <c r="C38" s="321"/>
      <c r="D38" s="321"/>
      <c r="E38" s="321"/>
      <c r="F38" s="321"/>
      <c r="G38" s="321"/>
      <c r="H38" s="321"/>
      <c r="I38" s="321"/>
      <c r="J38" s="322"/>
      <c r="K38" s="322"/>
      <c r="L38" s="322"/>
      <c r="M38" s="323"/>
      <c r="N38" s="323"/>
      <c r="O38" s="324"/>
      <c r="P38" s="324"/>
      <c r="Q38" s="325"/>
      <c r="R38" s="326"/>
      <c r="S38" s="321"/>
      <c r="T38" s="321"/>
      <c r="U38" s="327"/>
      <c r="V38" s="328"/>
      <c r="W38" s="14" t="s">
        <v>48</v>
      </c>
      <c r="X38" s="7"/>
      <c r="Y38" s="7"/>
      <c r="Z38" s="7"/>
      <c r="AA38" s="7"/>
      <c r="AB38" s="7"/>
      <c r="AC38" s="7"/>
    </row>
    <row r="39" spans="1:29" ht="60" customHeight="1">
      <c r="A39" s="19"/>
      <c r="B39" s="148" t="s">
        <v>69</v>
      </c>
      <c r="C39" s="91">
        <f t="shared" si="4"/>
        <v>1369.5999999999688</v>
      </c>
      <c r="D39" s="91"/>
      <c r="E39" s="91">
        <f>F39+G39</f>
        <v>89.599999999997962</v>
      </c>
      <c r="F39" s="91">
        <f>0.04*H39</f>
        <v>51.199999999998838</v>
      </c>
      <c r="G39" s="92">
        <f>0.03*H39</f>
        <v>38.399999999999125</v>
      </c>
      <c r="H39" s="91">
        <f>T39-H214-H216-H215-H213-H188-H169-H232-H233</f>
        <v>1279.9999999999709</v>
      </c>
      <c r="I39" s="91">
        <f t="shared" si="5"/>
        <v>547.83999999998753</v>
      </c>
      <c r="J39" s="98"/>
      <c r="K39" s="98"/>
      <c r="L39" s="98"/>
      <c r="M39" s="22"/>
      <c r="N39" s="22"/>
      <c r="O39" s="589">
        <v>15663.2</v>
      </c>
      <c r="P39" s="589">
        <v>15780.5</v>
      </c>
      <c r="Q39" s="122"/>
      <c r="R39" s="142"/>
      <c r="S39" s="91">
        <v>40</v>
      </c>
      <c r="T39" s="91">
        <f>(P39-O39)*S39</f>
        <v>4691.9999999999709</v>
      </c>
      <c r="U39" s="95">
        <v>81596438</v>
      </c>
      <c r="V39" s="569" t="s">
        <v>796</v>
      </c>
      <c r="W39" s="14" t="s">
        <v>48</v>
      </c>
      <c r="X39" s="7"/>
      <c r="Y39" s="7"/>
      <c r="Z39" s="7"/>
      <c r="AA39" s="7"/>
      <c r="AB39" s="7"/>
      <c r="AC39" s="7"/>
    </row>
    <row r="40" spans="1:29" ht="30" customHeight="1">
      <c r="A40" s="19"/>
      <c r="B40" s="148" t="s">
        <v>70</v>
      </c>
      <c r="C40" s="91">
        <f t="shared" si="4"/>
        <v>877.4</v>
      </c>
      <c r="D40" s="91"/>
      <c r="E40" s="91">
        <f>F40+G40</f>
        <v>57.399999999999991</v>
      </c>
      <c r="F40" s="91">
        <f>0.04*H40</f>
        <v>32.799999999999997</v>
      </c>
      <c r="G40" s="92">
        <f>0.03*H40</f>
        <v>24.599999999999998</v>
      </c>
      <c r="H40" s="91">
        <f>T40-T232</f>
        <v>820</v>
      </c>
      <c r="I40" s="91">
        <f t="shared" si="5"/>
        <v>350.96000000000004</v>
      </c>
      <c r="J40" s="98"/>
      <c r="K40" s="98"/>
      <c r="L40" s="98"/>
      <c r="M40" s="22"/>
      <c r="N40" s="22"/>
      <c r="O40" s="91">
        <v>34927</v>
      </c>
      <c r="P40" s="91">
        <v>34980</v>
      </c>
      <c r="Q40" s="122"/>
      <c r="R40" s="142"/>
      <c r="S40" s="91">
        <v>40</v>
      </c>
      <c r="T40" s="91">
        <f>(P40-O40)*S40</f>
        <v>2120</v>
      </c>
      <c r="U40" s="95">
        <v>218822</v>
      </c>
      <c r="V40" s="569" t="s">
        <v>797</v>
      </c>
      <c r="W40" s="78" t="s">
        <v>48</v>
      </c>
      <c r="X40" s="7"/>
      <c r="Y40" s="7"/>
      <c r="Z40" s="7"/>
      <c r="AA40" s="7"/>
      <c r="AB40" s="7"/>
      <c r="AC40" s="7"/>
    </row>
    <row r="41" spans="1:29" ht="51" customHeight="1">
      <c r="A41" s="19"/>
      <c r="B41" s="128" t="s">
        <v>775</v>
      </c>
      <c r="C41" s="124">
        <f>H41</f>
        <v>895</v>
      </c>
      <c r="D41" s="125"/>
      <c r="E41" s="124">
        <f>F41+G41</f>
        <v>62.650000000000006</v>
      </c>
      <c r="F41" s="124">
        <f>0.04*H41</f>
        <v>35.800000000000004</v>
      </c>
      <c r="G41" s="124">
        <f>0.03*H41</f>
        <v>26.849999999999998</v>
      </c>
      <c r="H41" s="125">
        <f t="shared" ref="H41:H49" si="6">T41</f>
        <v>895</v>
      </c>
      <c r="I41" s="345">
        <f>C41*0.4</f>
        <v>358</v>
      </c>
      <c r="J41" s="133"/>
      <c r="K41" s="133"/>
      <c r="L41" s="133"/>
      <c r="M41" s="133"/>
      <c r="N41" s="133"/>
      <c r="O41" s="125">
        <v>19593</v>
      </c>
      <c r="P41" s="125">
        <v>20488</v>
      </c>
      <c r="Q41" s="546"/>
      <c r="R41" s="547"/>
      <c r="S41" s="547">
        <v>1</v>
      </c>
      <c r="T41" s="125">
        <f t="shared" ref="T41:T47" si="7">(P41-O41)*S41</f>
        <v>895</v>
      </c>
      <c r="U41" s="127">
        <v>2406</v>
      </c>
      <c r="V41" s="128" t="s">
        <v>776</v>
      </c>
      <c r="W41" s="14"/>
      <c r="X41" s="7"/>
      <c r="Y41" s="7"/>
      <c r="Z41" s="7"/>
      <c r="AA41" s="7"/>
      <c r="AB41" s="7"/>
      <c r="AC41" s="7"/>
    </row>
    <row r="42" spans="1:29" ht="24.75" customHeight="1">
      <c r="A42" s="19"/>
      <c r="B42" s="312" t="s">
        <v>71</v>
      </c>
      <c r="C42" s="91">
        <f>H42</f>
        <v>1628</v>
      </c>
      <c r="D42" s="92"/>
      <c r="E42" s="91">
        <f>F42+G42</f>
        <v>113.96000000000001</v>
      </c>
      <c r="F42" s="91">
        <f>0.04*H42</f>
        <v>65.12</v>
      </c>
      <c r="G42" s="91">
        <f>0.03*H42</f>
        <v>48.839999999999996</v>
      </c>
      <c r="H42" s="92">
        <f t="shared" si="6"/>
        <v>1628</v>
      </c>
      <c r="I42" s="589">
        <f>C42*0.4</f>
        <v>651.20000000000005</v>
      </c>
      <c r="J42" s="98"/>
      <c r="K42" s="98"/>
      <c r="L42" s="98"/>
      <c r="M42" s="98"/>
      <c r="N42" s="98"/>
      <c r="O42" s="92">
        <v>34635</v>
      </c>
      <c r="P42" s="92">
        <v>36263</v>
      </c>
      <c r="Q42" s="105"/>
      <c r="R42" s="106"/>
      <c r="S42" s="106">
        <v>1</v>
      </c>
      <c r="T42" s="92">
        <f t="shared" si="7"/>
        <v>1628</v>
      </c>
      <c r="U42" s="95">
        <v>6249</v>
      </c>
      <c r="V42" s="569" t="s">
        <v>72</v>
      </c>
      <c r="W42" s="14" t="s">
        <v>48</v>
      </c>
      <c r="X42" s="7"/>
      <c r="Y42" s="7"/>
      <c r="Z42" s="7"/>
      <c r="AA42" s="7"/>
      <c r="AB42" s="7"/>
      <c r="AC42" s="7"/>
    </row>
    <row r="43" spans="1:29" ht="33" customHeight="1">
      <c r="A43" s="19"/>
      <c r="B43" s="148" t="s">
        <v>73</v>
      </c>
      <c r="C43" s="91">
        <f>H43</f>
        <v>619</v>
      </c>
      <c r="D43" s="91"/>
      <c r="E43" s="91"/>
      <c r="F43" s="91"/>
      <c r="G43" s="92">
        <v>0</v>
      </c>
      <c r="H43" s="91">
        <f t="shared" si="6"/>
        <v>619</v>
      </c>
      <c r="I43" s="91">
        <f t="shared" si="5"/>
        <v>247.60000000000002</v>
      </c>
      <c r="J43" s="91">
        <f>0.55*D43</f>
        <v>0</v>
      </c>
      <c r="K43" s="91">
        <f>0.55*E43</f>
        <v>0</v>
      </c>
      <c r="L43" s="91">
        <f>0.55*F43</f>
        <v>0</v>
      </c>
      <c r="M43" s="91">
        <f>0.55*G43</f>
        <v>0</v>
      </c>
      <c r="N43" s="91">
        <f>0.55*H43</f>
        <v>340.45000000000005</v>
      </c>
      <c r="O43" s="91">
        <v>44961</v>
      </c>
      <c r="P43" s="91">
        <v>45580</v>
      </c>
      <c r="Q43" s="122"/>
      <c r="R43" s="173"/>
      <c r="S43" s="91">
        <v>1</v>
      </c>
      <c r="T43" s="91">
        <f t="shared" si="7"/>
        <v>619</v>
      </c>
      <c r="U43" s="95" t="s">
        <v>74</v>
      </c>
      <c r="V43" s="569" t="s">
        <v>75</v>
      </c>
      <c r="W43" s="47" t="s">
        <v>57</v>
      </c>
      <c r="X43" s="7"/>
      <c r="Y43" s="7"/>
      <c r="Z43" s="7"/>
      <c r="AA43" s="7"/>
      <c r="AB43" s="7"/>
      <c r="AC43" s="7"/>
    </row>
    <row r="44" spans="1:29" ht="27.75" customHeight="1">
      <c r="A44" s="19"/>
      <c r="B44" s="90" t="s">
        <v>76</v>
      </c>
      <c r="C44" s="115">
        <f>H44+E44</f>
        <v>16779.440400000531</v>
      </c>
      <c r="D44" s="115"/>
      <c r="E44" s="115">
        <f>F44+G44</f>
        <v>1097.7204000000347</v>
      </c>
      <c r="F44" s="115">
        <f>0.04*H44</f>
        <v>627.26880000001984</v>
      </c>
      <c r="G44" s="115">
        <f>0.03*H44</f>
        <v>470.45160000001488</v>
      </c>
      <c r="H44" s="115">
        <f t="shared" si="6"/>
        <v>15681.720000000496</v>
      </c>
      <c r="I44" s="115">
        <f>T492</f>
        <v>0</v>
      </c>
      <c r="J44" s="164"/>
      <c r="K44" s="164"/>
      <c r="L44" s="164"/>
      <c r="M44" s="164"/>
      <c r="N44" s="164"/>
      <c r="O44" s="91">
        <v>39950.906999999999</v>
      </c>
      <c r="P44" s="91">
        <v>40081.588000000003</v>
      </c>
      <c r="Q44" s="22" t="s">
        <v>33</v>
      </c>
      <c r="R44" s="142"/>
      <c r="S44" s="151">
        <v>120</v>
      </c>
      <c r="T44" s="91">
        <f t="shared" si="7"/>
        <v>15681.720000000496</v>
      </c>
      <c r="U44" s="95">
        <v>42000</v>
      </c>
      <c r="V44" s="569" t="s">
        <v>77</v>
      </c>
      <c r="W44" s="82" t="s">
        <v>57</v>
      </c>
      <c r="X44" s="7"/>
      <c r="Y44" s="7"/>
      <c r="Z44" s="7"/>
      <c r="AA44" s="7"/>
      <c r="AB44" s="7"/>
      <c r="AC44" s="7"/>
    </row>
    <row r="45" spans="1:29" ht="27.75" customHeight="1">
      <c r="A45" s="19"/>
      <c r="B45" s="158" t="s">
        <v>78</v>
      </c>
      <c r="C45" s="124">
        <f>H45</f>
        <v>978</v>
      </c>
      <c r="D45" s="124"/>
      <c r="E45" s="124"/>
      <c r="F45" s="124"/>
      <c r="G45" s="125">
        <v>0</v>
      </c>
      <c r="H45" s="124">
        <f t="shared" si="6"/>
        <v>978</v>
      </c>
      <c r="I45" s="124">
        <f>0.4*C45</f>
        <v>391.20000000000005</v>
      </c>
      <c r="J45" s="124">
        <f>0.55*D45</f>
        <v>0</v>
      </c>
      <c r="K45" s="124">
        <f>0.55*E45</f>
        <v>0</v>
      </c>
      <c r="L45" s="124">
        <f>0.55*F45</f>
        <v>0</v>
      </c>
      <c r="M45" s="124">
        <f>0.55*G45</f>
        <v>0</v>
      </c>
      <c r="N45" s="124">
        <f>0.55*H45</f>
        <v>537.90000000000009</v>
      </c>
      <c r="O45" s="124">
        <v>287121</v>
      </c>
      <c r="P45" s="124">
        <v>288099</v>
      </c>
      <c r="Q45" s="7"/>
      <c r="R45" s="94"/>
      <c r="S45" s="124">
        <v>1</v>
      </c>
      <c r="T45" s="124">
        <f>(P45-O45)*S45</f>
        <v>978</v>
      </c>
      <c r="U45" s="127">
        <v>15695</v>
      </c>
      <c r="V45" s="128" t="s">
        <v>844</v>
      </c>
      <c r="W45" s="47" t="s">
        <v>48</v>
      </c>
      <c r="X45" s="7"/>
      <c r="Y45" s="7"/>
      <c r="Z45" s="7"/>
      <c r="AA45" s="7"/>
      <c r="AB45" s="7"/>
      <c r="AC45" s="7"/>
    </row>
    <row r="46" spans="1:29" ht="26.25" customHeight="1">
      <c r="A46" s="19"/>
      <c r="B46" s="590" t="s">
        <v>79</v>
      </c>
      <c r="C46" s="91">
        <f>H46</f>
        <v>37.099999999999909</v>
      </c>
      <c r="D46" s="92"/>
      <c r="E46" s="91">
        <f>F46+G46</f>
        <v>2.5969999999999938</v>
      </c>
      <c r="F46" s="91">
        <f>0.04*H46</f>
        <v>1.4839999999999964</v>
      </c>
      <c r="G46" s="91">
        <f>0.03*H46</f>
        <v>1.1129999999999973</v>
      </c>
      <c r="H46" s="92">
        <f t="shared" si="6"/>
        <v>37.099999999999909</v>
      </c>
      <c r="I46" s="589">
        <f>C46*0.4</f>
        <v>14.839999999999964</v>
      </c>
      <c r="J46" s="98"/>
      <c r="K46" s="98"/>
      <c r="L46" s="98"/>
      <c r="M46" s="98"/>
      <c r="N46" s="98"/>
      <c r="O46" s="92">
        <v>2386.9</v>
      </c>
      <c r="P46" s="92">
        <v>2424</v>
      </c>
      <c r="Q46" s="105"/>
      <c r="R46" s="106"/>
      <c r="S46" s="106">
        <v>1</v>
      </c>
      <c r="T46" s="92">
        <f t="shared" si="7"/>
        <v>37.099999999999909</v>
      </c>
      <c r="U46" s="95">
        <v>364814</v>
      </c>
      <c r="V46" s="569" t="s">
        <v>27</v>
      </c>
      <c r="W46" s="47" t="s">
        <v>27</v>
      </c>
      <c r="X46" s="7"/>
      <c r="Y46" s="7"/>
      <c r="Z46" s="7"/>
      <c r="AA46" s="7"/>
      <c r="AB46" s="7"/>
      <c r="AC46" s="7"/>
    </row>
    <row r="47" spans="1:29" ht="27.75" customHeight="1">
      <c r="A47" s="19"/>
      <c r="B47" s="312" t="s">
        <v>80</v>
      </c>
      <c r="C47" s="91">
        <f>H47</f>
        <v>4889</v>
      </c>
      <c r="D47" s="92"/>
      <c r="E47" s="91">
        <f>F47+G47</f>
        <v>342.23</v>
      </c>
      <c r="F47" s="91">
        <f>0.04*H47</f>
        <v>195.56</v>
      </c>
      <c r="G47" s="91">
        <f>0.03*H47</f>
        <v>146.66999999999999</v>
      </c>
      <c r="H47" s="92">
        <f t="shared" si="6"/>
        <v>4889</v>
      </c>
      <c r="I47" s="589">
        <f>C47*0.4</f>
        <v>1955.6000000000001</v>
      </c>
      <c r="J47" s="98"/>
      <c r="K47" s="98"/>
      <c r="L47" s="98"/>
      <c r="M47" s="98"/>
      <c r="N47" s="98"/>
      <c r="O47" s="92">
        <v>106255</v>
      </c>
      <c r="P47" s="92">
        <v>111144</v>
      </c>
      <c r="Q47" s="105"/>
      <c r="R47" s="106"/>
      <c r="S47" s="106">
        <v>1</v>
      </c>
      <c r="T47" s="92">
        <f t="shared" si="7"/>
        <v>4889</v>
      </c>
      <c r="U47" s="95">
        <v>9148</v>
      </c>
      <c r="V47" s="569" t="s">
        <v>81</v>
      </c>
      <c r="W47" s="47" t="s">
        <v>82</v>
      </c>
      <c r="X47" s="7"/>
      <c r="Y47" s="7"/>
      <c r="Z47" s="7"/>
      <c r="AA47" s="7"/>
      <c r="AB47" s="7"/>
      <c r="AC47" s="7"/>
    </row>
    <row r="48" spans="1:29" ht="27.75" customHeight="1">
      <c r="A48" s="19"/>
      <c r="B48" s="314" t="s">
        <v>882</v>
      </c>
      <c r="C48" s="91">
        <f t="shared" ref="C48" si="8">H48+E48</f>
        <v>6038</v>
      </c>
      <c r="D48" s="91"/>
      <c r="E48" s="91">
        <v>0</v>
      </c>
      <c r="F48" s="91">
        <v>0</v>
      </c>
      <c r="G48" s="91">
        <v>0</v>
      </c>
      <c r="H48" s="91">
        <f>T48</f>
        <v>6038</v>
      </c>
      <c r="I48" s="91">
        <f t="shared" ref="I48" si="9">0.4*C48</f>
        <v>2415.2000000000003</v>
      </c>
      <c r="J48" s="98"/>
      <c r="K48" s="98"/>
      <c r="L48" s="98"/>
      <c r="M48" s="22"/>
      <c r="N48" s="22"/>
      <c r="O48" s="91">
        <v>90074</v>
      </c>
      <c r="P48" s="91">
        <v>96112</v>
      </c>
      <c r="Q48" s="122"/>
      <c r="R48" s="585"/>
      <c r="S48" s="91">
        <v>1</v>
      </c>
      <c r="T48" s="91">
        <f>(P48-O48)*S48</f>
        <v>6038</v>
      </c>
      <c r="U48" s="319">
        <v>5732</v>
      </c>
      <c r="V48" s="317" t="s">
        <v>685</v>
      </c>
      <c r="W48" s="47"/>
      <c r="X48" s="7"/>
      <c r="Y48" s="7"/>
      <c r="Z48" s="7"/>
      <c r="AA48" s="7"/>
      <c r="AB48" s="7"/>
      <c r="AC48" s="7"/>
    </row>
    <row r="49" spans="1:29" ht="38.25" customHeight="1">
      <c r="A49" s="19"/>
      <c r="B49" s="312" t="s">
        <v>83</v>
      </c>
      <c r="C49" s="91">
        <f>H49</f>
        <v>2002</v>
      </c>
      <c r="D49" s="92"/>
      <c r="E49" s="91">
        <f>F49+G49</f>
        <v>140.13999999999999</v>
      </c>
      <c r="F49" s="91">
        <f>0.04*H49</f>
        <v>80.08</v>
      </c>
      <c r="G49" s="91">
        <f>0.03*H49</f>
        <v>60.059999999999995</v>
      </c>
      <c r="H49" s="92">
        <f t="shared" si="6"/>
        <v>2002</v>
      </c>
      <c r="I49" s="589">
        <f>C49*0.4</f>
        <v>800.80000000000007</v>
      </c>
      <c r="J49" s="98"/>
      <c r="K49" s="98"/>
      <c r="L49" s="98"/>
      <c r="M49" s="98"/>
      <c r="N49" s="98"/>
      <c r="O49" s="92">
        <v>64435</v>
      </c>
      <c r="P49" s="92">
        <v>67229</v>
      </c>
      <c r="Q49" s="105"/>
      <c r="R49" s="106"/>
      <c r="S49" s="106">
        <v>1</v>
      </c>
      <c r="T49" s="92">
        <f>(P49-O49)*S49-T225-T223-T227-T226-T228</f>
        <v>2002</v>
      </c>
      <c r="U49" s="95">
        <v>6252</v>
      </c>
      <c r="V49" s="569" t="s">
        <v>72</v>
      </c>
      <c r="W49" s="47" t="s">
        <v>48</v>
      </c>
      <c r="X49" s="7"/>
      <c r="Y49" s="7"/>
      <c r="Z49" s="7"/>
      <c r="AA49" s="7"/>
      <c r="AB49" s="7"/>
      <c r="AC49" s="7"/>
    </row>
    <row r="50" spans="1:29" ht="33" hidden="1" customHeight="1">
      <c r="A50" s="19"/>
      <c r="B50" s="90"/>
      <c r="C50" s="91"/>
      <c r="D50" s="91"/>
      <c r="E50" s="91"/>
      <c r="F50" s="91"/>
      <c r="G50" s="92"/>
      <c r="H50" s="91"/>
      <c r="I50" s="91"/>
      <c r="J50" s="93"/>
      <c r="K50" s="93"/>
      <c r="L50" s="93"/>
      <c r="M50" s="93"/>
      <c r="N50" s="93"/>
      <c r="O50" s="91"/>
      <c r="P50" s="91"/>
      <c r="Q50" s="7"/>
      <c r="R50" s="94"/>
      <c r="S50" s="91"/>
      <c r="T50" s="91"/>
      <c r="U50" s="95"/>
      <c r="V50" s="569"/>
      <c r="W50" s="47"/>
      <c r="X50" s="7"/>
      <c r="Y50" s="7"/>
      <c r="Z50" s="7"/>
      <c r="AA50" s="7"/>
      <c r="AB50" s="7"/>
      <c r="AC50" s="7"/>
    </row>
    <row r="51" spans="1:29" ht="33" hidden="1" customHeight="1">
      <c r="A51" s="19"/>
      <c r="B51" s="90"/>
      <c r="C51" s="91"/>
      <c r="D51" s="91"/>
      <c r="E51" s="91"/>
      <c r="F51" s="91"/>
      <c r="G51" s="92"/>
      <c r="H51" s="91"/>
      <c r="I51" s="91"/>
      <c r="J51" s="93"/>
      <c r="K51" s="93"/>
      <c r="L51" s="93"/>
      <c r="M51" s="93"/>
      <c r="N51" s="93"/>
      <c r="O51" s="91"/>
      <c r="P51" s="91"/>
      <c r="Q51" s="7"/>
      <c r="R51" s="94"/>
      <c r="S51" s="91"/>
      <c r="T51" s="91"/>
      <c r="U51" s="95"/>
      <c r="V51" s="569"/>
      <c r="W51" s="47"/>
      <c r="X51" s="7"/>
      <c r="Y51" s="7"/>
      <c r="Z51" s="7"/>
      <c r="AA51" s="7"/>
      <c r="AB51" s="7"/>
      <c r="AC51" s="7"/>
    </row>
    <row r="52" spans="1:29" ht="33" hidden="1" customHeight="1">
      <c r="A52" s="19"/>
      <c r="B52" s="90"/>
      <c r="C52" s="91"/>
      <c r="D52" s="91"/>
      <c r="E52" s="91"/>
      <c r="F52" s="91"/>
      <c r="G52" s="92"/>
      <c r="H52" s="91"/>
      <c r="I52" s="91"/>
      <c r="J52" s="93"/>
      <c r="K52" s="93"/>
      <c r="L52" s="93"/>
      <c r="M52" s="93"/>
      <c r="N52" s="93"/>
      <c r="O52" s="91"/>
      <c r="P52" s="91"/>
      <c r="Q52" s="7"/>
      <c r="R52" s="94"/>
      <c r="S52" s="91"/>
      <c r="T52" s="91"/>
      <c r="U52" s="95"/>
      <c r="V52" s="569"/>
      <c r="W52" s="47"/>
      <c r="X52" s="7"/>
      <c r="Y52" s="7"/>
      <c r="Z52" s="7"/>
      <c r="AA52" s="7"/>
      <c r="AB52" s="7"/>
      <c r="AC52" s="7"/>
    </row>
    <row r="53" spans="1:29" ht="61.5" customHeight="1">
      <c r="A53" s="19"/>
      <c r="B53" s="652" t="s">
        <v>84</v>
      </c>
      <c r="C53" s="206">
        <f>H53+E53</f>
        <v>7190.4</v>
      </c>
      <c r="D53" s="206"/>
      <c r="E53" s="206">
        <f>F53+G53</f>
        <v>470.4</v>
      </c>
      <c r="F53" s="206">
        <f>0.04*H53</f>
        <v>268.8</v>
      </c>
      <c r="G53" s="206">
        <f>0.03*H53</f>
        <v>201.6</v>
      </c>
      <c r="H53" s="206">
        <f>T53</f>
        <v>6720</v>
      </c>
      <c r="I53" s="206">
        <f>0.6*C53</f>
        <v>4314.24</v>
      </c>
      <c r="J53" s="290"/>
      <c r="K53" s="290"/>
      <c r="L53" s="290"/>
      <c r="M53" s="290"/>
      <c r="N53" s="290"/>
      <c r="O53" s="206">
        <v>27678</v>
      </c>
      <c r="P53" s="206">
        <v>27846</v>
      </c>
      <c r="Q53" s="203"/>
      <c r="R53" s="205"/>
      <c r="S53" s="291">
        <v>40</v>
      </c>
      <c r="T53" s="206">
        <f>(P53-O53)*S53</f>
        <v>6720</v>
      </c>
      <c r="U53" s="95"/>
      <c r="V53" s="617" t="s">
        <v>85</v>
      </c>
      <c r="W53" s="47" t="s">
        <v>82</v>
      </c>
      <c r="X53" s="7"/>
      <c r="Y53" s="7"/>
      <c r="Z53" s="7"/>
      <c r="AA53" s="7"/>
      <c r="AB53" s="7"/>
      <c r="AC53" s="7"/>
    </row>
    <row r="54" spans="1:29" ht="30.75" customHeight="1">
      <c r="A54" s="19"/>
      <c r="B54" s="96" t="s">
        <v>86</v>
      </c>
      <c r="C54" s="97">
        <f>SUM(C8:C53)</f>
        <v>256600.42860000051</v>
      </c>
      <c r="D54" s="91"/>
      <c r="E54" s="91"/>
      <c r="F54" s="91"/>
      <c r="G54" s="92"/>
      <c r="H54" s="91"/>
      <c r="I54" s="91"/>
      <c r="J54" s="93"/>
      <c r="K54" s="93"/>
      <c r="L54" s="93"/>
      <c r="M54" s="93"/>
      <c r="N54" s="93"/>
      <c r="O54" s="91"/>
      <c r="P54" s="91"/>
      <c r="Q54" s="7"/>
      <c r="R54" s="94"/>
      <c r="S54" s="91"/>
      <c r="T54" s="91"/>
      <c r="U54" s="95"/>
      <c r="V54" s="569"/>
      <c r="W54" s="47"/>
      <c r="X54" s="7"/>
      <c r="Y54" s="7"/>
      <c r="Z54" s="7"/>
      <c r="AA54" s="7"/>
      <c r="AB54" s="7"/>
      <c r="AC54" s="7"/>
    </row>
    <row r="55" spans="1:29" ht="26.25">
      <c r="A55" s="19"/>
      <c r="B55" s="26" t="s">
        <v>87</v>
      </c>
      <c r="C55" s="91"/>
      <c r="D55" s="91"/>
      <c r="E55" s="91"/>
      <c r="F55" s="91"/>
      <c r="G55" s="92"/>
      <c r="H55" s="91"/>
      <c r="I55" s="91"/>
      <c r="J55" s="98"/>
      <c r="K55" s="98"/>
      <c r="L55" s="98"/>
      <c r="M55" s="22"/>
      <c r="N55" s="22"/>
      <c r="O55" s="91"/>
      <c r="P55" s="91"/>
      <c r="Q55" s="7"/>
      <c r="R55" s="94"/>
      <c r="S55" s="91"/>
      <c r="T55" s="91"/>
      <c r="U55" s="95"/>
      <c r="V55" s="569"/>
      <c r="W55" s="47"/>
      <c r="X55" s="7"/>
      <c r="Y55" s="7"/>
      <c r="Z55" s="7"/>
      <c r="AA55" s="7"/>
      <c r="AB55" s="7"/>
      <c r="AC55" s="7"/>
    </row>
    <row r="56" spans="1:29" s="42" customFormat="1" ht="25.5">
      <c r="A56" s="99"/>
      <c r="B56" s="430"/>
      <c r="C56" s="34"/>
      <c r="D56" s="370"/>
      <c r="E56" s="34"/>
      <c r="F56" s="34"/>
      <c r="G56" s="34"/>
      <c r="H56" s="370"/>
      <c r="I56" s="431"/>
      <c r="J56" s="432"/>
      <c r="K56" s="432"/>
      <c r="L56" s="432"/>
      <c r="M56" s="432"/>
      <c r="N56" s="432"/>
      <c r="O56" s="370"/>
      <c r="P56" s="370"/>
      <c r="Q56" s="370"/>
      <c r="R56" s="370"/>
      <c r="S56" s="370"/>
      <c r="T56" s="34"/>
      <c r="U56" s="38"/>
      <c r="V56" s="39"/>
      <c r="W56" s="100"/>
      <c r="X56" s="41"/>
      <c r="Y56" s="41"/>
      <c r="Z56" s="41"/>
      <c r="AA56" s="41"/>
      <c r="AB56" s="41"/>
      <c r="AC56" s="41"/>
    </row>
    <row r="57" spans="1:29" ht="25.5">
      <c r="A57" s="101"/>
      <c r="B57" s="104" t="s">
        <v>88</v>
      </c>
      <c r="C57" s="91">
        <f>H57</f>
        <v>248</v>
      </c>
      <c r="D57" s="92"/>
      <c r="E57" s="91">
        <f>F57+G57</f>
        <v>17.36</v>
      </c>
      <c r="F57" s="91">
        <f>0.04*H57</f>
        <v>9.92</v>
      </c>
      <c r="G57" s="91">
        <f>0.03*H57</f>
        <v>7.4399999999999995</v>
      </c>
      <c r="H57" s="92">
        <f t="shared" ref="H57:H62" si="10">T57</f>
        <v>248</v>
      </c>
      <c r="I57" s="589">
        <f>C57*0.4</f>
        <v>99.2</v>
      </c>
      <c r="J57" s="98"/>
      <c r="K57" s="98"/>
      <c r="L57" s="98"/>
      <c r="M57" s="98"/>
      <c r="N57" s="98"/>
      <c r="O57" s="92">
        <v>382046</v>
      </c>
      <c r="P57" s="92">
        <v>382294</v>
      </c>
      <c r="Q57" s="105"/>
      <c r="R57" s="106"/>
      <c r="S57" s="106">
        <v>1</v>
      </c>
      <c r="T57" s="92">
        <f>(P57-O57)*S57</f>
        <v>248</v>
      </c>
      <c r="U57" s="116">
        <v>4786</v>
      </c>
      <c r="V57" s="107" t="s">
        <v>89</v>
      </c>
      <c r="W57" s="47" t="s">
        <v>90</v>
      </c>
      <c r="X57" s="7"/>
      <c r="Y57" s="7"/>
      <c r="Z57" s="7"/>
      <c r="AA57" s="7"/>
      <c r="AB57" s="7"/>
      <c r="AC57" s="7"/>
    </row>
    <row r="58" spans="1:29" ht="25.5">
      <c r="A58" s="101"/>
      <c r="B58" s="104" t="s">
        <v>711</v>
      </c>
      <c r="C58" s="91">
        <f>H58</f>
        <v>1771.7199999999139</v>
      </c>
      <c r="D58" s="92"/>
      <c r="E58" s="91"/>
      <c r="F58" s="91"/>
      <c r="G58" s="91"/>
      <c r="H58" s="92">
        <f t="shared" si="10"/>
        <v>1771.7199999999139</v>
      </c>
      <c r="I58" s="92">
        <f>T59</f>
        <v>57</v>
      </c>
      <c r="J58" s="98"/>
      <c r="K58" s="98"/>
      <c r="L58" s="98"/>
      <c r="M58" s="98"/>
      <c r="N58" s="98"/>
      <c r="O58" s="92">
        <v>20692.632000000001</v>
      </c>
      <c r="P58" s="92">
        <v>20835.341</v>
      </c>
      <c r="Q58" s="105"/>
      <c r="R58" s="106"/>
      <c r="S58" s="106">
        <v>80</v>
      </c>
      <c r="T58" s="92">
        <f>(P58-O58)*S58-T624</f>
        <v>1771.7199999999139</v>
      </c>
      <c r="U58" s="116" t="s">
        <v>91</v>
      </c>
      <c r="V58" s="107" t="s">
        <v>92</v>
      </c>
      <c r="W58" s="47" t="s">
        <v>90</v>
      </c>
      <c r="X58" s="7"/>
      <c r="Y58" s="7"/>
      <c r="Z58" s="7"/>
      <c r="AA58" s="7"/>
      <c r="AB58" s="7"/>
      <c r="AC58" s="7"/>
    </row>
    <row r="59" spans="1:29" ht="25.5">
      <c r="A59" s="101"/>
      <c r="B59" s="104" t="s">
        <v>93</v>
      </c>
      <c r="C59" s="91">
        <f>H59</f>
        <v>57</v>
      </c>
      <c r="D59" s="92"/>
      <c r="E59" s="91">
        <f>F59+G59</f>
        <v>3.99</v>
      </c>
      <c r="F59" s="91">
        <f>0.04*H59</f>
        <v>2.2800000000000002</v>
      </c>
      <c r="G59" s="91">
        <f>0.03*H59</f>
        <v>1.71</v>
      </c>
      <c r="H59" s="92">
        <f t="shared" si="10"/>
        <v>57</v>
      </c>
      <c r="I59" s="589">
        <f>C59*0.4</f>
        <v>22.8</v>
      </c>
      <c r="J59" s="98"/>
      <c r="K59" s="98"/>
      <c r="L59" s="98"/>
      <c r="M59" s="98"/>
      <c r="N59" s="98"/>
      <c r="O59" s="92">
        <v>11668</v>
      </c>
      <c r="P59" s="92">
        <v>11725</v>
      </c>
      <c r="Q59" s="105"/>
      <c r="R59" s="106"/>
      <c r="S59" s="106">
        <v>1</v>
      </c>
      <c r="T59" s="92">
        <f>(P59-O59)*S59</f>
        <v>57</v>
      </c>
      <c r="U59" s="95">
        <v>6221</v>
      </c>
      <c r="V59" s="107" t="s">
        <v>94</v>
      </c>
      <c r="W59" s="47" t="s">
        <v>43</v>
      </c>
      <c r="X59" s="7"/>
      <c r="Y59" s="7"/>
      <c r="Z59" s="7"/>
      <c r="AA59" s="7"/>
      <c r="AB59" s="7"/>
      <c r="AC59" s="7"/>
    </row>
    <row r="60" spans="1:29" ht="76.5">
      <c r="A60" s="101"/>
      <c r="B60" s="148" t="s">
        <v>756</v>
      </c>
      <c r="C60" s="91">
        <f>T60</f>
        <v>807.60000000000218</v>
      </c>
      <c r="D60" s="92"/>
      <c r="E60" s="91"/>
      <c r="F60" s="91"/>
      <c r="G60" s="91"/>
      <c r="H60" s="92">
        <f t="shared" si="10"/>
        <v>807.60000000000218</v>
      </c>
      <c r="I60" s="92">
        <f>T61</f>
        <v>836.00000000000546</v>
      </c>
      <c r="J60" s="98"/>
      <c r="K60" s="98"/>
      <c r="L60" s="98"/>
      <c r="M60" s="98"/>
      <c r="N60" s="98"/>
      <c r="O60" s="92">
        <v>5422.34</v>
      </c>
      <c r="P60" s="92">
        <v>5435.8</v>
      </c>
      <c r="Q60" s="105"/>
      <c r="R60" s="106"/>
      <c r="S60" s="106">
        <v>60</v>
      </c>
      <c r="T60" s="92">
        <f>(P60-O60)*S60</f>
        <v>807.60000000000218</v>
      </c>
      <c r="U60" s="116" t="s">
        <v>95</v>
      </c>
      <c r="V60" s="107" t="s">
        <v>96</v>
      </c>
      <c r="W60" s="103" t="s">
        <v>90</v>
      </c>
      <c r="X60" s="7"/>
      <c r="Y60" s="7"/>
      <c r="Z60" s="7"/>
      <c r="AA60" s="7"/>
      <c r="AB60" s="7"/>
      <c r="AC60" s="7"/>
    </row>
    <row r="61" spans="1:29" ht="52.5" customHeight="1">
      <c r="A61" s="101"/>
      <c r="B61" s="148" t="s">
        <v>757</v>
      </c>
      <c r="C61" s="91">
        <f>H61</f>
        <v>836.00000000000546</v>
      </c>
      <c r="D61" s="92"/>
      <c r="E61" s="91"/>
      <c r="F61" s="91"/>
      <c r="G61" s="91"/>
      <c r="H61" s="92">
        <f t="shared" si="10"/>
        <v>836.00000000000546</v>
      </c>
      <c r="I61" s="92">
        <f>T62</f>
        <v>137</v>
      </c>
      <c r="J61" s="98"/>
      <c r="K61" s="98"/>
      <c r="L61" s="98"/>
      <c r="M61" s="98"/>
      <c r="N61" s="98"/>
      <c r="O61" s="92">
        <v>844.8</v>
      </c>
      <c r="P61" s="92">
        <v>858</v>
      </c>
      <c r="Q61" s="105"/>
      <c r="R61" s="106"/>
      <c r="S61" s="106">
        <v>120</v>
      </c>
      <c r="T61" s="92">
        <f>(P61-O61)*S61-T636-T59-T65-T62</f>
        <v>836.00000000000546</v>
      </c>
      <c r="U61" s="116"/>
      <c r="V61" s="830" t="s">
        <v>712</v>
      </c>
      <c r="W61" s="103"/>
      <c r="X61" s="7"/>
      <c r="Y61" s="7"/>
      <c r="Z61" s="7"/>
      <c r="AA61" s="7"/>
      <c r="AB61" s="7"/>
      <c r="AC61" s="7"/>
    </row>
    <row r="62" spans="1:29" s="42" customFormat="1" ht="30" customHeight="1">
      <c r="A62" s="99"/>
      <c r="B62" s="314" t="s">
        <v>758</v>
      </c>
      <c r="C62" s="91">
        <f>T62</f>
        <v>137</v>
      </c>
      <c r="D62" s="92"/>
      <c r="E62" s="91"/>
      <c r="F62" s="91"/>
      <c r="G62" s="91"/>
      <c r="H62" s="92">
        <f t="shared" si="10"/>
        <v>137</v>
      </c>
      <c r="I62" s="92">
        <f>T63</f>
        <v>0</v>
      </c>
      <c r="J62" s="98"/>
      <c r="K62" s="98"/>
      <c r="L62" s="98"/>
      <c r="M62" s="98"/>
      <c r="N62" s="98"/>
      <c r="O62" s="92">
        <v>12355</v>
      </c>
      <c r="P62" s="92">
        <v>12492</v>
      </c>
      <c r="Q62" s="105"/>
      <c r="R62" s="106"/>
      <c r="S62" s="106">
        <v>1</v>
      </c>
      <c r="T62" s="92">
        <f>(P62-O62)*S62</f>
        <v>137</v>
      </c>
      <c r="U62" s="583"/>
      <c r="V62" s="830"/>
      <c r="W62" s="100"/>
      <c r="X62" s="41"/>
      <c r="Y62" s="41"/>
      <c r="Z62" s="41"/>
      <c r="AA62" s="41"/>
      <c r="AB62" s="41"/>
      <c r="AC62" s="41"/>
    </row>
    <row r="63" spans="1:29" s="42" customFormat="1" ht="25.5">
      <c r="A63" s="99"/>
      <c r="B63" s="314"/>
      <c r="C63" s="315"/>
      <c r="D63" s="512"/>
      <c r="E63" s="315"/>
      <c r="F63" s="315"/>
      <c r="G63" s="315"/>
      <c r="H63" s="512"/>
      <c r="I63" s="512"/>
      <c r="J63" s="316"/>
      <c r="K63" s="316"/>
      <c r="L63" s="316"/>
      <c r="M63" s="316"/>
      <c r="N63" s="316"/>
      <c r="O63" s="315"/>
      <c r="P63" s="315"/>
      <c r="Q63" s="591"/>
      <c r="R63" s="592"/>
      <c r="S63" s="593"/>
      <c r="T63" s="512"/>
      <c r="U63" s="583"/>
      <c r="V63" s="594"/>
      <c r="W63" s="100"/>
      <c r="X63" s="41"/>
      <c r="Y63" s="41"/>
      <c r="Z63" s="41"/>
      <c r="AA63" s="41"/>
      <c r="AB63" s="41"/>
      <c r="AC63" s="41"/>
    </row>
    <row r="64" spans="1:29" ht="25.5">
      <c r="A64" s="101"/>
      <c r="B64" s="329" t="s">
        <v>97</v>
      </c>
      <c r="C64" s="117">
        <f>H64</f>
        <v>457.99999999999272</v>
      </c>
      <c r="D64" s="595"/>
      <c r="E64" s="117"/>
      <c r="F64" s="117"/>
      <c r="G64" s="117"/>
      <c r="H64" s="595">
        <f>T64</f>
        <v>457.99999999999272</v>
      </c>
      <c r="I64" s="595">
        <f>T64*0.3</f>
        <v>137.39999999999782</v>
      </c>
      <c r="J64" s="98"/>
      <c r="K64" s="98"/>
      <c r="L64" s="98"/>
      <c r="M64" s="98"/>
      <c r="N64" s="98"/>
      <c r="O64" s="596">
        <v>3902.3</v>
      </c>
      <c r="P64" s="596">
        <v>3925.2</v>
      </c>
      <c r="Q64" s="105"/>
      <c r="R64" s="597"/>
      <c r="S64" s="330">
        <v>20</v>
      </c>
      <c r="T64" s="595">
        <f>(P64-O64)*S64</f>
        <v>457.99999999999272</v>
      </c>
      <c r="U64" s="116">
        <v>5621</v>
      </c>
      <c r="V64" s="107" t="s">
        <v>98</v>
      </c>
      <c r="W64" s="47" t="s">
        <v>90</v>
      </c>
      <c r="X64" s="7"/>
      <c r="Y64" s="7"/>
      <c r="Z64" s="7"/>
      <c r="AA64" s="7"/>
      <c r="AB64" s="7"/>
      <c r="AC64" s="7"/>
    </row>
    <row r="65" spans="1:29" ht="25.5">
      <c r="A65" s="101"/>
      <c r="B65" s="148" t="s">
        <v>99</v>
      </c>
      <c r="C65" s="117">
        <f>H65</f>
        <v>554</v>
      </c>
      <c r="D65" s="92"/>
      <c r="E65" s="91"/>
      <c r="F65" s="91"/>
      <c r="G65" s="91"/>
      <c r="H65" s="92">
        <f>T65</f>
        <v>554</v>
      </c>
      <c r="I65" s="92">
        <f>T65*0.3</f>
        <v>166.2</v>
      </c>
      <c r="J65" s="142"/>
      <c r="K65" s="142"/>
      <c r="L65" s="142"/>
      <c r="M65" s="142"/>
      <c r="N65" s="142"/>
      <c r="O65" s="91">
        <v>216974</v>
      </c>
      <c r="P65" s="91">
        <v>217528</v>
      </c>
      <c r="Q65" s="92"/>
      <c r="R65" s="92"/>
      <c r="S65" s="91">
        <v>1</v>
      </c>
      <c r="T65" s="92">
        <f>(P65-O65)*S65</f>
        <v>554</v>
      </c>
      <c r="U65" s="116">
        <v>4785</v>
      </c>
      <c r="V65" s="107" t="s">
        <v>89</v>
      </c>
      <c r="W65" s="47" t="s">
        <v>43</v>
      </c>
      <c r="X65" s="7"/>
      <c r="Y65" s="7"/>
      <c r="Z65" s="7"/>
      <c r="AA65" s="7"/>
      <c r="AB65" s="7"/>
      <c r="AC65" s="7"/>
    </row>
    <row r="66" spans="1:29" ht="26.25">
      <c r="A66" s="108"/>
      <c r="B66" s="109" t="s">
        <v>100</v>
      </c>
      <c r="C66" s="110">
        <f>SUM(C56:C65)</f>
        <v>4869.3199999999142</v>
      </c>
      <c r="D66" s="111"/>
      <c r="E66" s="112"/>
      <c r="F66" s="112"/>
      <c r="G66" s="112"/>
      <c r="H66" s="111"/>
      <c r="I66" s="113">
        <f>SUM(I56:I65)</f>
        <v>1455.6000000000033</v>
      </c>
      <c r="J66" s="114"/>
      <c r="K66" s="114"/>
      <c r="L66" s="114"/>
      <c r="M66" s="114"/>
      <c r="N66" s="114"/>
      <c r="O66" s="115"/>
      <c r="P66" s="115"/>
      <c r="Q66" s="92"/>
      <c r="R66" s="92"/>
      <c r="S66" s="91"/>
      <c r="T66" s="92"/>
      <c r="U66" s="116"/>
      <c r="V66" s="107"/>
      <c r="W66" s="14"/>
      <c r="X66" s="7"/>
      <c r="Y66" s="7"/>
      <c r="Z66" s="7"/>
      <c r="AA66" s="7"/>
      <c r="AB66" s="7"/>
      <c r="AC66" s="7"/>
    </row>
    <row r="67" spans="1:29" ht="26.25">
      <c r="A67" s="570"/>
      <c r="B67" s="109" t="s">
        <v>101</v>
      </c>
      <c r="C67" s="117"/>
      <c r="D67" s="118"/>
      <c r="E67" s="113"/>
      <c r="F67" s="113"/>
      <c r="G67" s="113"/>
      <c r="H67" s="118"/>
      <c r="I67" s="118"/>
      <c r="J67" s="98"/>
      <c r="K67" s="98"/>
      <c r="L67" s="98"/>
      <c r="M67" s="98"/>
      <c r="N67" s="98"/>
      <c r="O67" s="91"/>
      <c r="P67" s="91"/>
      <c r="Q67" s="92"/>
      <c r="R67" s="92"/>
      <c r="S67" s="91"/>
      <c r="T67" s="92"/>
      <c r="U67" s="116"/>
      <c r="V67" s="107"/>
      <c r="W67" s="14"/>
      <c r="X67" s="7"/>
      <c r="Y67" s="7"/>
      <c r="Z67" s="7"/>
      <c r="AA67" s="7"/>
      <c r="AB67" s="7"/>
      <c r="AC67" s="7"/>
    </row>
    <row r="68" spans="1:29" ht="31.5" customHeight="1">
      <c r="A68" s="570"/>
      <c r="B68" s="213" t="s">
        <v>102</v>
      </c>
      <c r="C68" s="117">
        <v>1521</v>
      </c>
      <c r="D68" s="118"/>
      <c r="E68" s="113"/>
      <c r="F68" s="113"/>
      <c r="G68" s="113"/>
      <c r="H68" s="118"/>
      <c r="I68" s="118"/>
      <c r="J68" s="98"/>
      <c r="K68" s="98"/>
      <c r="L68" s="98"/>
      <c r="M68" s="98"/>
      <c r="N68" s="98"/>
      <c r="O68" s="91">
        <f>12459.05+30905.94</f>
        <v>43364.99</v>
      </c>
      <c r="P68" s="91">
        <f>12605.34+31200.42</f>
        <v>43805.759999999995</v>
      </c>
      <c r="Q68" s="92"/>
      <c r="R68" s="92"/>
      <c r="S68" s="91">
        <v>80</v>
      </c>
      <c r="T68" s="92">
        <f>(P68-O68)*S68-T72-T73</f>
        <v>32099.599999999744</v>
      </c>
      <c r="U68" s="116" t="s">
        <v>103</v>
      </c>
      <c r="V68" s="107" t="s">
        <v>104</v>
      </c>
      <c r="W68" s="14" t="s">
        <v>48</v>
      </c>
      <c r="X68" s="48"/>
      <c r="Y68" s="7"/>
      <c r="Z68" s="7"/>
      <c r="AA68" s="7"/>
      <c r="AB68" s="7"/>
      <c r="AC68" s="7"/>
    </row>
    <row r="69" spans="1:29" ht="51.75" customHeight="1">
      <c r="A69" s="570"/>
      <c r="B69" s="598" t="s">
        <v>105</v>
      </c>
      <c r="C69" s="117">
        <f>T71</f>
        <v>6126.3999999999942</v>
      </c>
      <c r="D69" s="118"/>
      <c r="E69" s="113"/>
      <c r="F69" s="113"/>
      <c r="G69" s="113"/>
      <c r="H69" s="118"/>
      <c r="I69" s="118"/>
      <c r="J69" s="98"/>
      <c r="K69" s="98"/>
      <c r="L69" s="98"/>
      <c r="M69" s="98"/>
      <c r="N69" s="98"/>
      <c r="O69" s="91"/>
      <c r="P69" s="91"/>
      <c r="Q69" s="92"/>
      <c r="R69" s="92"/>
      <c r="S69" s="91"/>
      <c r="T69" s="92"/>
      <c r="U69" s="116"/>
      <c r="V69" s="107"/>
      <c r="W69" s="14" t="s">
        <v>48</v>
      </c>
      <c r="X69" s="48"/>
      <c r="Y69" s="7"/>
      <c r="Z69" s="7"/>
      <c r="AA69" s="7"/>
      <c r="AB69" s="7"/>
      <c r="AC69" s="7"/>
    </row>
    <row r="70" spans="1:29" ht="25.5">
      <c r="A70" s="570"/>
      <c r="B70" s="599" t="s">
        <v>106</v>
      </c>
      <c r="C70" s="91">
        <f>H70</f>
        <v>5045</v>
      </c>
      <c r="D70" s="91"/>
      <c r="E70" s="91">
        <f>F70+G70</f>
        <v>353.15</v>
      </c>
      <c r="F70" s="91">
        <f>0.04*H70</f>
        <v>201.8</v>
      </c>
      <c r="G70" s="91">
        <f>0.03*H70</f>
        <v>151.35</v>
      </c>
      <c r="H70" s="91">
        <f>T70</f>
        <v>5045</v>
      </c>
      <c r="I70" s="91">
        <f>0.6*C70</f>
        <v>3027</v>
      </c>
      <c r="J70" s="22"/>
      <c r="K70" s="22"/>
      <c r="L70" s="22"/>
      <c r="M70" s="22"/>
      <c r="N70" s="22"/>
      <c r="O70" s="91">
        <f>168713+9650</f>
        <v>178363</v>
      </c>
      <c r="P70" s="91">
        <f>172318+11090</f>
        <v>183408</v>
      </c>
      <c r="Q70" s="122"/>
      <c r="R70" s="173"/>
      <c r="S70" s="151">
        <v>1</v>
      </c>
      <c r="T70" s="91">
        <f>(P70-O70)*S70</f>
        <v>5045</v>
      </c>
      <c r="U70" s="95">
        <v>7584</v>
      </c>
      <c r="V70" s="569" t="s">
        <v>106</v>
      </c>
      <c r="W70" s="14" t="s">
        <v>48</v>
      </c>
      <c r="X70" s="48"/>
      <c r="Y70" s="7"/>
      <c r="Z70" s="7"/>
      <c r="AA70" s="7"/>
      <c r="AB70" s="7"/>
      <c r="AC70" s="7"/>
    </row>
    <row r="71" spans="1:29" ht="28.5" customHeight="1">
      <c r="A71" s="570"/>
      <c r="B71" s="213" t="s">
        <v>107</v>
      </c>
      <c r="C71" s="117">
        <f>T68-C706</f>
        <v>7151.4799999997449</v>
      </c>
      <c r="D71" s="118"/>
      <c r="E71" s="113"/>
      <c r="F71" s="113"/>
      <c r="G71" s="113"/>
      <c r="H71" s="118"/>
      <c r="I71" s="113">
        <f>T69-I707</f>
        <v>0</v>
      </c>
      <c r="J71" s="98"/>
      <c r="K71" s="98"/>
      <c r="L71" s="98"/>
      <c r="M71" s="98"/>
      <c r="N71" s="98"/>
      <c r="O71" s="91">
        <f>4454.96+3856.22</f>
        <v>8311.18</v>
      </c>
      <c r="P71" s="91">
        <f>3858.5+4529.26</f>
        <v>8387.76</v>
      </c>
      <c r="Q71" s="92"/>
      <c r="R71" s="92"/>
      <c r="S71" s="91">
        <v>80</v>
      </c>
      <c r="T71" s="92">
        <f>(P71-O71)*S71</f>
        <v>6126.3999999999942</v>
      </c>
      <c r="U71" s="116" t="s">
        <v>108</v>
      </c>
      <c r="V71" s="107" t="s">
        <v>109</v>
      </c>
      <c r="W71" s="14" t="s">
        <v>48</v>
      </c>
      <c r="X71" s="48"/>
      <c r="Y71" s="7"/>
      <c r="Z71" s="7"/>
      <c r="AA71" s="7"/>
      <c r="AB71" s="7"/>
      <c r="AC71" s="7"/>
    </row>
    <row r="72" spans="1:29" ht="28.5" customHeight="1">
      <c r="A72" s="570"/>
      <c r="B72" s="314" t="s">
        <v>684</v>
      </c>
      <c r="C72" s="91">
        <f t="shared" ref="C72" si="11">H72+E72</f>
        <v>2823</v>
      </c>
      <c r="D72" s="91"/>
      <c r="E72" s="91">
        <v>0</v>
      </c>
      <c r="F72" s="91">
        <v>0</v>
      </c>
      <c r="G72" s="91">
        <v>0</v>
      </c>
      <c r="H72" s="91">
        <f>T72</f>
        <v>2823</v>
      </c>
      <c r="I72" s="91">
        <f t="shared" ref="I72" si="12">0.4*C72</f>
        <v>1129.2</v>
      </c>
      <c r="J72" s="98"/>
      <c r="K72" s="98"/>
      <c r="L72" s="98"/>
      <c r="M72" s="22"/>
      <c r="N72" s="22"/>
      <c r="O72" s="91">
        <v>50197</v>
      </c>
      <c r="P72" s="91">
        <v>53020</v>
      </c>
      <c r="Q72" s="122"/>
      <c r="R72" s="585"/>
      <c r="S72" s="91">
        <v>1</v>
      </c>
      <c r="T72" s="91">
        <f>(P72-O72)*S72</f>
        <v>2823</v>
      </c>
      <c r="U72" s="319">
        <v>5837</v>
      </c>
      <c r="V72" s="317" t="s">
        <v>713</v>
      </c>
      <c r="W72" s="14"/>
      <c r="X72" s="48"/>
      <c r="Y72" s="7"/>
      <c r="Z72" s="7"/>
      <c r="AA72" s="7"/>
      <c r="AB72" s="7"/>
      <c r="AC72" s="7"/>
    </row>
    <row r="73" spans="1:29" ht="28.5" customHeight="1">
      <c r="A73" s="570"/>
      <c r="B73" s="213" t="s">
        <v>110</v>
      </c>
      <c r="C73" s="91">
        <f>H73+E73</f>
        <v>362.73</v>
      </c>
      <c r="D73" s="91"/>
      <c r="E73" s="91">
        <f>F73+G73</f>
        <v>23.73</v>
      </c>
      <c r="F73" s="91">
        <f>0.04*H73</f>
        <v>13.56</v>
      </c>
      <c r="G73" s="91">
        <f>0.03*H73</f>
        <v>10.17</v>
      </c>
      <c r="H73" s="91">
        <f>T73</f>
        <v>339</v>
      </c>
      <c r="I73" s="91">
        <f>0.6*C73</f>
        <v>217.63800000000001</v>
      </c>
      <c r="J73" s="98"/>
      <c r="K73" s="98"/>
      <c r="L73" s="98"/>
      <c r="M73" s="98"/>
      <c r="N73" s="98"/>
      <c r="O73" s="91">
        <v>15137</v>
      </c>
      <c r="P73" s="91">
        <v>15476</v>
      </c>
      <c r="Q73" s="92"/>
      <c r="R73" s="92"/>
      <c r="S73" s="91">
        <v>1</v>
      </c>
      <c r="T73" s="91">
        <f>(P73-O73)*S73</f>
        <v>339</v>
      </c>
      <c r="U73" s="116">
        <v>9868</v>
      </c>
      <c r="V73" s="107" t="s">
        <v>111</v>
      </c>
      <c r="W73" s="14" t="s">
        <v>48</v>
      </c>
      <c r="X73" s="48"/>
      <c r="Y73" s="7"/>
      <c r="Z73" s="7"/>
      <c r="AA73" s="7"/>
      <c r="AB73" s="7"/>
      <c r="AC73" s="7"/>
    </row>
    <row r="74" spans="1:29" ht="26.25">
      <c r="A74" s="108"/>
      <c r="B74" s="119" t="s">
        <v>112</v>
      </c>
      <c r="C74" s="97">
        <f>SUM(C68:C73)</f>
        <v>23029.609999999739</v>
      </c>
      <c r="D74" s="120"/>
      <c r="E74" s="121"/>
      <c r="F74" s="121"/>
      <c r="G74" s="121"/>
      <c r="H74" s="120"/>
      <c r="I74" s="121"/>
      <c r="J74" s="98"/>
      <c r="K74" s="98"/>
      <c r="L74" s="98"/>
      <c r="M74" s="98"/>
      <c r="N74" s="98"/>
      <c r="O74" s="91"/>
      <c r="P74" s="91"/>
      <c r="Q74" s="92"/>
      <c r="R74" s="92"/>
      <c r="S74" s="91"/>
      <c r="T74" s="92"/>
      <c r="U74" s="116"/>
      <c r="V74" s="107"/>
      <c r="W74" s="14" t="s">
        <v>48</v>
      </c>
      <c r="X74" s="48"/>
      <c r="Y74" s="122"/>
      <c r="Z74" s="122"/>
      <c r="AA74" s="122"/>
      <c r="AB74" s="122"/>
      <c r="AC74" s="122"/>
    </row>
    <row r="75" spans="1:29" ht="25.5">
      <c r="A75" s="570"/>
      <c r="B75" s="1"/>
      <c r="U75" s="1"/>
      <c r="V75" s="1"/>
      <c r="W75" s="14"/>
      <c r="X75" s="48"/>
      <c r="Y75" s="7"/>
      <c r="Z75" s="7"/>
      <c r="AA75" s="7"/>
      <c r="AB75" s="7"/>
      <c r="AC75" s="7"/>
    </row>
    <row r="76" spans="1:29" ht="26.25">
      <c r="A76" s="570"/>
      <c r="B76" s="123" t="s">
        <v>113</v>
      </c>
      <c r="C76" s="124"/>
      <c r="D76" s="125"/>
      <c r="E76" s="124"/>
      <c r="F76" s="124"/>
      <c r="G76" s="124"/>
      <c r="H76" s="124"/>
      <c r="I76" s="124"/>
      <c r="J76" s="126"/>
      <c r="K76" s="126"/>
      <c r="L76" s="126"/>
      <c r="M76" s="126"/>
      <c r="N76" s="126"/>
      <c r="O76" s="124"/>
      <c r="P76" s="124"/>
      <c r="Q76" s="125"/>
      <c r="R76" s="125"/>
      <c r="S76" s="124"/>
      <c r="T76" s="124"/>
      <c r="U76" s="127"/>
      <c r="V76" s="128"/>
      <c r="W76" s="14"/>
      <c r="X76" s="7"/>
      <c r="Y76" s="7"/>
      <c r="Z76" s="7"/>
      <c r="AA76" s="7"/>
      <c r="AB76" s="7"/>
      <c r="AC76" s="7"/>
    </row>
    <row r="77" spans="1:29" ht="25.5">
      <c r="A77" s="19"/>
      <c r="B77" s="132" t="s">
        <v>114</v>
      </c>
      <c r="C77" s="124">
        <f>(T77+T78)</f>
        <v>20868.000000000029</v>
      </c>
      <c r="D77" s="124"/>
      <c r="E77" s="124">
        <f>F77+G77</f>
        <v>0</v>
      </c>
      <c r="F77" s="124">
        <v>0</v>
      </c>
      <c r="G77" s="124">
        <v>0</v>
      </c>
      <c r="H77" s="124">
        <f>T77</f>
        <v>0</v>
      </c>
      <c r="I77" s="124">
        <f>T79</f>
        <v>0</v>
      </c>
      <c r="J77" s="126"/>
      <c r="K77" s="133"/>
      <c r="L77" s="133"/>
      <c r="M77" s="126"/>
      <c r="N77" s="126"/>
      <c r="O77" s="124">
        <v>4067.02</v>
      </c>
      <c r="P77" s="124">
        <v>4067.02</v>
      </c>
      <c r="Q77" s="159" t="s">
        <v>37</v>
      </c>
      <c r="R77" s="159"/>
      <c r="S77" s="124">
        <v>40</v>
      </c>
      <c r="T77" s="124">
        <f>(P77-O77)*S77</f>
        <v>0</v>
      </c>
      <c r="U77" s="127">
        <v>7163</v>
      </c>
      <c r="V77" s="600" t="s">
        <v>115</v>
      </c>
      <c r="W77" s="14" t="s">
        <v>116</v>
      </c>
      <c r="X77" s="7"/>
      <c r="Y77" s="7"/>
      <c r="Z77" s="7"/>
      <c r="AA77" s="7"/>
      <c r="AB77" s="7"/>
      <c r="AC77" s="7"/>
    </row>
    <row r="78" spans="1:29" ht="26.25" customHeight="1">
      <c r="A78" s="19"/>
      <c r="B78" s="132"/>
      <c r="C78" s="124"/>
      <c r="D78" s="124"/>
      <c r="E78" s="124">
        <f>F78+G78</f>
        <v>0</v>
      </c>
      <c r="F78" s="124">
        <v>0</v>
      </c>
      <c r="G78" s="124">
        <v>0</v>
      </c>
      <c r="H78" s="124">
        <f>T78</f>
        <v>20868.000000000029</v>
      </c>
      <c r="I78" s="124">
        <f>T81</f>
        <v>0</v>
      </c>
      <c r="J78" s="126"/>
      <c r="K78" s="133"/>
      <c r="L78" s="133"/>
      <c r="M78" s="126"/>
      <c r="N78" s="126"/>
      <c r="O78" s="124">
        <v>9598.64</v>
      </c>
      <c r="P78" s="124">
        <v>10016</v>
      </c>
      <c r="Q78" s="159" t="s">
        <v>37</v>
      </c>
      <c r="R78" s="159"/>
      <c r="S78" s="124">
        <v>50</v>
      </c>
      <c r="T78" s="124">
        <f>(P78-O78)*S78-T98</f>
        <v>20868.000000000029</v>
      </c>
      <c r="U78" s="127">
        <v>7215</v>
      </c>
      <c r="V78" s="600" t="s">
        <v>117</v>
      </c>
      <c r="W78" s="14" t="s">
        <v>27</v>
      </c>
      <c r="X78" s="7"/>
      <c r="Y78" s="7"/>
      <c r="Z78" s="7"/>
      <c r="AA78" s="7"/>
      <c r="AB78" s="7"/>
      <c r="AC78" s="7"/>
    </row>
    <row r="79" spans="1:29" ht="25.5">
      <c r="A79" s="19"/>
      <c r="B79" s="132"/>
      <c r="C79" s="124"/>
      <c r="D79" s="124"/>
      <c r="E79" s="124"/>
      <c r="F79" s="124"/>
      <c r="G79" s="124"/>
      <c r="H79" s="124"/>
      <c r="I79" s="124"/>
      <c r="J79" s="133"/>
      <c r="K79" s="133"/>
      <c r="L79" s="133"/>
      <c r="M79" s="133"/>
      <c r="N79" s="133"/>
      <c r="O79" s="124"/>
      <c r="P79" s="124"/>
      <c r="Q79" s="125"/>
      <c r="R79" s="125"/>
      <c r="S79" s="124"/>
      <c r="T79" s="124"/>
      <c r="U79" s="127"/>
      <c r="V79" s="128"/>
      <c r="W79" s="134" t="s">
        <v>118</v>
      </c>
      <c r="X79" s="7"/>
      <c r="Y79" s="7"/>
      <c r="Z79" s="7"/>
      <c r="AA79" s="7"/>
      <c r="AB79" s="7"/>
      <c r="AC79" s="7"/>
    </row>
    <row r="80" spans="1:29" ht="25.5">
      <c r="A80" s="19"/>
      <c r="B80" s="132" t="s">
        <v>119</v>
      </c>
      <c r="C80" s="124">
        <f>H80+E80</f>
        <v>374.5</v>
      </c>
      <c r="D80" s="124"/>
      <c r="E80" s="124">
        <f>F80+G80</f>
        <v>24.5</v>
      </c>
      <c r="F80" s="124">
        <f>0.04*H80</f>
        <v>14</v>
      </c>
      <c r="G80" s="124">
        <f>0.03*H80</f>
        <v>10.5</v>
      </c>
      <c r="H80" s="124">
        <f>T80</f>
        <v>350</v>
      </c>
      <c r="I80" s="124">
        <f>0.6*C80</f>
        <v>224.7</v>
      </c>
      <c r="J80" s="133"/>
      <c r="K80" s="133"/>
      <c r="L80" s="133"/>
      <c r="M80" s="133"/>
      <c r="N80" s="133"/>
      <c r="O80" s="124">
        <v>3654</v>
      </c>
      <c r="P80" s="124">
        <v>4004</v>
      </c>
      <c r="Q80" s="125"/>
      <c r="R80" s="125"/>
      <c r="S80" s="124">
        <v>1</v>
      </c>
      <c r="T80" s="124">
        <f>(P80-O80)*S80</f>
        <v>350</v>
      </c>
      <c r="U80" s="127"/>
      <c r="V80" s="128" t="s">
        <v>120</v>
      </c>
      <c r="W80" s="134" t="s">
        <v>116</v>
      </c>
      <c r="X80" s="7"/>
      <c r="Y80" s="7"/>
      <c r="Z80" s="7"/>
      <c r="AA80" s="7"/>
      <c r="AB80" s="7"/>
      <c r="AC80" s="7"/>
    </row>
    <row r="81" spans="1:29" ht="26.25">
      <c r="A81" s="135"/>
      <c r="B81" s="136" t="s">
        <v>121</v>
      </c>
      <c r="C81" s="97">
        <f>C77+C79</f>
        <v>20868.000000000029</v>
      </c>
      <c r="D81" s="137"/>
      <c r="E81" s="97"/>
      <c r="F81" s="97"/>
      <c r="G81" s="97"/>
      <c r="H81" s="97"/>
      <c r="I81" s="124">
        <f>I79+I77</f>
        <v>0</v>
      </c>
      <c r="J81" s="126"/>
      <c r="K81" s="126"/>
      <c r="L81" s="126"/>
      <c r="M81" s="126"/>
      <c r="N81" s="126"/>
      <c r="O81" s="124"/>
      <c r="P81" s="124"/>
      <c r="Q81" s="138"/>
      <c r="R81" s="139"/>
      <c r="S81" s="140"/>
      <c r="T81" s="124"/>
      <c r="U81" s="127"/>
      <c r="V81" s="128"/>
      <c r="W81" s="14"/>
      <c r="X81" s="7"/>
      <c r="Y81" s="7"/>
      <c r="Z81" s="7"/>
      <c r="AA81" s="7"/>
      <c r="AB81" s="7"/>
      <c r="AC81" s="7"/>
    </row>
    <row r="82" spans="1:29" ht="26.25">
      <c r="A82" s="135"/>
      <c r="B82" s="136" t="s">
        <v>122</v>
      </c>
      <c r="C82" s="97"/>
      <c r="D82" s="137"/>
      <c r="E82" s="97"/>
      <c r="F82" s="97"/>
      <c r="G82" s="97"/>
      <c r="H82" s="97"/>
      <c r="I82" s="124"/>
      <c r="J82" s="126"/>
      <c r="K82" s="126"/>
      <c r="L82" s="126"/>
      <c r="M82" s="126"/>
      <c r="N82" s="126"/>
      <c r="O82" s="124"/>
      <c r="P82" s="124"/>
      <c r="Q82" s="138"/>
      <c r="R82" s="139"/>
      <c r="S82" s="140"/>
      <c r="T82" s="124"/>
      <c r="U82" s="127"/>
      <c r="V82" s="128"/>
      <c r="W82" s="14"/>
      <c r="X82" s="7"/>
      <c r="Y82" s="7"/>
      <c r="Z82" s="7"/>
      <c r="AA82" s="7"/>
      <c r="AB82" s="7"/>
      <c r="AC82" s="7"/>
    </row>
    <row r="83" spans="1:29" ht="26.25">
      <c r="A83" s="19"/>
      <c r="B83" s="123" t="s">
        <v>123</v>
      </c>
      <c r="C83" s="124">
        <f>H83+E83</f>
        <v>1083.9999999999964</v>
      </c>
      <c r="D83" s="124"/>
      <c r="E83" s="124">
        <f>F83+G83</f>
        <v>0</v>
      </c>
      <c r="F83" s="124">
        <v>0</v>
      </c>
      <c r="G83" s="124">
        <v>0</v>
      </c>
      <c r="H83" s="124">
        <f>T83</f>
        <v>1083.9999999999964</v>
      </c>
      <c r="I83" s="124">
        <f>T86</f>
        <v>0</v>
      </c>
      <c r="J83" s="126"/>
      <c r="K83" s="133"/>
      <c r="L83" s="133"/>
      <c r="M83" s="126"/>
      <c r="N83" s="126"/>
      <c r="O83" s="124">
        <v>3739.9</v>
      </c>
      <c r="P83" s="124">
        <v>3767</v>
      </c>
      <c r="Q83" s="159" t="s">
        <v>37</v>
      </c>
      <c r="R83" s="159"/>
      <c r="S83" s="124">
        <v>40</v>
      </c>
      <c r="T83" s="124">
        <f>(P83-O83)*S83</f>
        <v>1083.9999999999964</v>
      </c>
      <c r="U83" s="127">
        <v>5669</v>
      </c>
      <c r="V83" s="128" t="s">
        <v>124</v>
      </c>
      <c r="W83" s="14" t="s">
        <v>19</v>
      </c>
      <c r="X83" s="7"/>
      <c r="Y83" s="7"/>
      <c r="Z83" s="7"/>
      <c r="AA83" s="7"/>
      <c r="AB83" s="7"/>
      <c r="AC83" s="7"/>
    </row>
    <row r="84" spans="1:29" ht="30.75" customHeight="1">
      <c r="A84" s="19"/>
      <c r="B84" s="158" t="s">
        <v>125</v>
      </c>
      <c r="C84" s="124">
        <f>H84+E84</f>
        <v>5414.0000000000036</v>
      </c>
      <c r="D84" s="124"/>
      <c r="E84" s="124">
        <f>F84+G84</f>
        <v>0</v>
      </c>
      <c r="F84" s="124">
        <v>0</v>
      </c>
      <c r="G84" s="124">
        <v>0</v>
      </c>
      <c r="H84" s="124">
        <f>T84</f>
        <v>5414.0000000000036</v>
      </c>
      <c r="I84" s="124">
        <f>T87</f>
        <v>0</v>
      </c>
      <c r="J84" s="126"/>
      <c r="K84" s="133"/>
      <c r="L84" s="133"/>
      <c r="M84" s="126"/>
      <c r="N84" s="126"/>
      <c r="O84" s="124">
        <v>2815.5</v>
      </c>
      <c r="P84" s="124">
        <v>2968</v>
      </c>
      <c r="Q84" s="159" t="s">
        <v>37</v>
      </c>
      <c r="R84" s="159"/>
      <c r="S84" s="124">
        <v>120</v>
      </c>
      <c r="T84" s="124">
        <f>(P84-O84)*S84-T377-T343-T83-T362-T376-T172</f>
        <v>5414.0000000000036</v>
      </c>
      <c r="U84" s="127">
        <v>1152</v>
      </c>
      <c r="V84" s="128" t="s">
        <v>124</v>
      </c>
      <c r="W84" s="14" t="s">
        <v>19</v>
      </c>
      <c r="X84" s="7"/>
      <c r="Y84" s="7"/>
      <c r="Z84" s="7"/>
      <c r="AA84" s="7"/>
      <c r="AB84" s="7"/>
      <c r="AC84" s="7"/>
    </row>
    <row r="85" spans="1:29" ht="27.75">
      <c r="A85" s="19"/>
      <c r="B85" s="141" t="s">
        <v>126</v>
      </c>
      <c r="C85" s="115">
        <f>SUM(C54+C74+C81+C66+C83+C84)</f>
        <v>311865.35860000021</v>
      </c>
      <c r="D85" s="91"/>
      <c r="E85" s="115"/>
      <c r="F85" s="91"/>
      <c r="G85" s="91"/>
      <c r="H85" s="115"/>
      <c r="I85" s="91">
        <f>SUM(I8:I43)+I74+I81+I66</f>
        <v>104897.20399999985</v>
      </c>
      <c r="J85" s="22"/>
      <c r="K85" s="22"/>
      <c r="L85" s="22"/>
      <c r="M85" s="22"/>
      <c r="N85" s="22"/>
      <c r="O85" s="91"/>
      <c r="P85" s="91"/>
      <c r="Q85" s="22"/>
      <c r="R85" s="142"/>
      <c r="S85" s="91"/>
      <c r="T85" s="91"/>
      <c r="U85" s="95"/>
      <c r="V85" s="569"/>
      <c r="W85" s="14"/>
      <c r="X85" s="7"/>
      <c r="Y85" s="7"/>
      <c r="Z85" s="7"/>
      <c r="AA85" s="7"/>
      <c r="AB85" s="7"/>
      <c r="AC85" s="7"/>
    </row>
    <row r="86" spans="1:29" ht="26.25">
      <c r="A86" s="19"/>
      <c r="B86" s="143"/>
      <c r="C86" s="115"/>
      <c r="D86" s="91"/>
      <c r="E86" s="115"/>
      <c r="F86" s="91"/>
      <c r="G86" s="91"/>
      <c r="H86" s="91"/>
      <c r="I86" s="91"/>
      <c r="J86" s="22"/>
      <c r="K86" s="22"/>
      <c r="L86" s="22"/>
      <c r="M86" s="22"/>
      <c r="N86" s="22"/>
      <c r="O86" s="91"/>
      <c r="P86" s="91"/>
      <c r="Q86" s="22"/>
      <c r="R86" s="142"/>
      <c r="S86" s="91"/>
      <c r="T86" s="91"/>
      <c r="U86" s="95"/>
      <c r="V86" s="569"/>
      <c r="W86" s="14"/>
      <c r="X86" s="7"/>
      <c r="Y86" s="7"/>
      <c r="Z86" s="7"/>
      <c r="AA86" s="7"/>
      <c r="AB86" s="7"/>
      <c r="AC86" s="7"/>
    </row>
    <row r="87" spans="1:29" ht="25.5">
      <c r="A87" s="822"/>
      <c r="B87" s="823"/>
      <c r="C87" s="91"/>
      <c r="D87" s="91"/>
      <c r="E87" s="92"/>
      <c r="F87" s="91"/>
      <c r="G87" s="91"/>
      <c r="H87" s="91"/>
      <c r="I87" s="91"/>
      <c r="J87" s="22"/>
      <c r="K87" s="22"/>
      <c r="L87" s="22"/>
      <c r="M87" s="22"/>
      <c r="N87" s="22"/>
      <c r="O87" s="91"/>
      <c r="P87" s="91"/>
      <c r="Q87" s="22"/>
      <c r="R87" s="142"/>
      <c r="S87" s="91"/>
      <c r="T87" s="91"/>
      <c r="U87" s="95"/>
      <c r="V87" s="569"/>
      <c r="W87" s="14"/>
      <c r="X87" s="7"/>
      <c r="Y87" s="7"/>
      <c r="Z87" s="7"/>
      <c r="AA87" s="7"/>
      <c r="AB87" s="7"/>
      <c r="AC87" s="7"/>
    </row>
    <row r="88" spans="1:29" ht="25.5">
      <c r="A88" s="19"/>
      <c r="B88" s="104" t="s">
        <v>127</v>
      </c>
      <c r="C88" s="91">
        <f>H88-C89-C90-C726-D720</f>
        <v>23469.360000000044</v>
      </c>
      <c r="D88" s="91"/>
      <c r="E88" s="91"/>
      <c r="F88" s="91"/>
      <c r="G88" s="91"/>
      <c r="H88" s="91">
        <f>T88</f>
        <v>33877.360000000044</v>
      </c>
      <c r="I88" s="91">
        <v>0</v>
      </c>
      <c r="J88" s="22"/>
      <c r="K88" s="22"/>
      <c r="L88" s="22"/>
      <c r="M88" s="22"/>
      <c r="N88" s="22"/>
      <c r="O88" s="91">
        <v>38629.065999999999</v>
      </c>
      <c r="P88" s="91">
        <v>39476</v>
      </c>
      <c r="Q88" s="122"/>
      <c r="R88" s="173"/>
      <c r="S88" s="91">
        <v>40</v>
      </c>
      <c r="T88" s="91">
        <f>(P88-O88)*S88</f>
        <v>33877.360000000044</v>
      </c>
      <c r="U88" s="95">
        <v>95964307</v>
      </c>
      <c r="V88" s="569" t="s">
        <v>128</v>
      </c>
      <c r="W88" s="14"/>
      <c r="X88" s="7"/>
      <c r="Y88" s="7"/>
      <c r="Z88" s="93"/>
      <c r="AA88" s="93"/>
      <c r="AB88" s="93"/>
      <c r="AC88" s="7"/>
    </row>
    <row r="89" spans="1:29" s="42" customFormat="1" ht="25.5">
      <c r="A89" s="32"/>
      <c r="B89" s="69" t="s">
        <v>129</v>
      </c>
      <c r="C89" s="49">
        <f>H89</f>
        <v>1200</v>
      </c>
      <c r="D89" s="49"/>
      <c r="E89" s="49"/>
      <c r="F89" s="49"/>
      <c r="G89" s="49"/>
      <c r="H89" s="49">
        <v>1200</v>
      </c>
      <c r="I89" s="49">
        <v>0</v>
      </c>
      <c r="J89" s="51"/>
      <c r="K89" s="51"/>
      <c r="L89" s="51"/>
      <c r="M89" s="51"/>
      <c r="N89" s="51"/>
      <c r="O89" s="49"/>
      <c r="P89" s="49"/>
      <c r="Q89" s="70"/>
      <c r="R89" s="76"/>
      <c r="S89" s="49"/>
      <c r="T89" s="49"/>
      <c r="U89" s="53" t="s">
        <v>29</v>
      </c>
      <c r="V89" s="64"/>
      <c r="W89" s="144"/>
      <c r="X89" s="41"/>
      <c r="Y89" s="41"/>
      <c r="Z89" s="145"/>
      <c r="AA89" s="145"/>
      <c r="AB89" s="145"/>
      <c r="AC89" s="41"/>
    </row>
    <row r="90" spans="1:29" ht="26.25">
      <c r="A90" s="19"/>
      <c r="B90" s="148" t="s">
        <v>130</v>
      </c>
      <c r="C90" s="115">
        <f>H90+E90</f>
        <v>5347</v>
      </c>
      <c r="D90" s="92"/>
      <c r="E90" s="91">
        <f>247</f>
        <v>247</v>
      </c>
      <c r="F90" s="91"/>
      <c r="G90" s="91"/>
      <c r="H90" s="91">
        <f>T90</f>
        <v>5100</v>
      </c>
      <c r="I90" s="91"/>
      <c r="J90" s="22"/>
      <c r="K90" s="22"/>
      <c r="L90" s="22"/>
      <c r="M90" s="22"/>
      <c r="N90" s="22"/>
      <c r="O90" s="91">
        <v>15019</v>
      </c>
      <c r="P90" s="91">
        <v>15189</v>
      </c>
      <c r="Q90" s="149"/>
      <c r="R90" s="150"/>
      <c r="S90" s="151">
        <v>30</v>
      </c>
      <c r="T90" s="91">
        <f>(P90-O90)*S90</f>
        <v>5100</v>
      </c>
      <c r="U90" s="95"/>
      <c r="V90" s="569" t="s">
        <v>131</v>
      </c>
      <c r="W90" s="14"/>
      <c r="X90" s="7"/>
      <c r="Y90" s="7"/>
      <c r="Z90" s="93"/>
      <c r="AA90" s="93"/>
      <c r="AB90" s="93"/>
      <c r="AC90" s="7"/>
    </row>
    <row r="91" spans="1:29" ht="25.5" customHeight="1">
      <c r="A91" s="19"/>
      <c r="B91" s="148"/>
      <c r="C91" s="115"/>
      <c r="D91" s="92"/>
      <c r="E91" s="91"/>
      <c r="F91" s="91"/>
      <c r="G91" s="91"/>
      <c r="H91" s="91"/>
      <c r="I91" s="91"/>
      <c r="J91" s="22"/>
      <c r="K91" s="22"/>
      <c r="L91" s="22"/>
      <c r="M91" s="22"/>
      <c r="N91" s="22"/>
      <c r="O91" s="91"/>
      <c r="P91" s="91"/>
      <c r="Q91" s="149"/>
      <c r="R91" s="150"/>
      <c r="S91" s="151"/>
      <c r="T91" s="91"/>
      <c r="U91" s="95"/>
      <c r="V91" s="569"/>
      <c r="W91" s="14"/>
      <c r="X91" s="7"/>
      <c r="Y91" s="7"/>
      <c r="Z91" s="7"/>
      <c r="AA91" s="7"/>
      <c r="AB91" s="7"/>
      <c r="AC91" s="7"/>
    </row>
    <row r="92" spans="1:29" ht="26.25">
      <c r="A92" s="19"/>
      <c r="B92" s="96" t="s">
        <v>86</v>
      </c>
      <c r="C92" s="115">
        <f>C88+C89+C90+C726+D726</f>
        <v>33877.360000000044</v>
      </c>
      <c r="D92" s="28"/>
      <c r="E92" s="72"/>
      <c r="F92" s="28"/>
      <c r="G92" s="28"/>
      <c r="H92" s="72"/>
      <c r="I92" s="91">
        <v>0</v>
      </c>
      <c r="J92" s="22"/>
      <c r="K92" s="22"/>
      <c r="L92" s="22"/>
      <c r="M92" s="22"/>
      <c r="N92" s="22"/>
      <c r="O92" s="91"/>
      <c r="P92" s="91"/>
      <c r="Q92" s="22" t="s">
        <v>26</v>
      </c>
      <c r="R92" s="142"/>
      <c r="S92" s="91"/>
      <c r="T92" s="91">
        <v>0</v>
      </c>
      <c r="U92" s="31"/>
      <c r="V92" s="574"/>
      <c r="W92" s="14"/>
      <c r="X92" s="7"/>
      <c r="Y92" s="7"/>
      <c r="Z92" s="149"/>
      <c r="AA92" s="149"/>
      <c r="AB92" s="149"/>
      <c r="AC92" s="149"/>
    </row>
    <row r="93" spans="1:29" ht="26.25">
      <c r="A93" s="19"/>
      <c r="B93" s="143"/>
      <c r="C93" s="115"/>
      <c r="D93" s="91"/>
      <c r="E93" s="115"/>
      <c r="F93" s="91"/>
      <c r="G93" s="91"/>
      <c r="H93" s="91"/>
      <c r="I93" s="91"/>
      <c r="J93" s="22"/>
      <c r="K93" s="22"/>
      <c r="L93" s="22"/>
      <c r="M93" s="22"/>
      <c r="N93" s="22"/>
      <c r="O93" s="91"/>
      <c r="P93" s="91"/>
      <c r="Q93" s="22" t="s">
        <v>28</v>
      </c>
      <c r="R93" s="142"/>
      <c r="S93" s="91"/>
      <c r="T93" s="91"/>
      <c r="U93" s="95"/>
      <c r="V93" s="569"/>
      <c r="W93" s="14"/>
      <c r="X93" s="7"/>
      <c r="Y93" s="7"/>
      <c r="Z93" s="149"/>
      <c r="AA93" s="149"/>
      <c r="AB93" s="149"/>
      <c r="AC93" s="149"/>
    </row>
    <row r="94" spans="1:29" ht="25.5" customHeight="1">
      <c r="A94" s="808" t="s">
        <v>132</v>
      </c>
      <c r="B94" s="809"/>
      <c r="C94" s="91"/>
      <c r="D94" s="91"/>
      <c r="E94" s="92"/>
      <c r="F94" s="91"/>
      <c r="G94" s="91"/>
      <c r="H94" s="91"/>
      <c r="I94" s="91"/>
      <c r="J94" s="22"/>
      <c r="K94" s="22"/>
      <c r="L94" s="22"/>
      <c r="M94" s="22"/>
      <c r="N94" s="22"/>
      <c r="O94" s="91"/>
      <c r="P94" s="91"/>
      <c r="Q94" s="22" t="s">
        <v>33</v>
      </c>
      <c r="R94" s="142"/>
      <c r="S94" s="91"/>
      <c r="T94" s="91"/>
      <c r="U94" s="95"/>
      <c r="V94" s="569"/>
      <c r="W94" s="14"/>
      <c r="X94" s="7"/>
      <c r="Y94" s="7"/>
      <c r="Z94" s="149"/>
      <c r="AA94" s="149"/>
      <c r="AB94" s="149"/>
      <c r="AC94" s="149"/>
    </row>
    <row r="95" spans="1:29" s="42" customFormat="1" ht="25.5" customHeight="1">
      <c r="A95" s="152"/>
      <c r="B95" s="553"/>
      <c r="C95" s="554"/>
      <c r="D95" s="554"/>
      <c r="E95" s="554"/>
      <c r="F95" s="554"/>
      <c r="G95" s="554"/>
      <c r="H95" s="554"/>
      <c r="I95" s="554"/>
      <c r="J95" s="555"/>
      <c r="K95" s="555"/>
      <c r="L95" s="555"/>
      <c r="M95" s="555"/>
      <c r="N95" s="555"/>
      <c r="O95" s="554"/>
      <c r="P95" s="554"/>
      <c r="Q95" s="556"/>
      <c r="R95" s="556"/>
      <c r="S95" s="554"/>
      <c r="T95" s="554"/>
      <c r="U95" s="557"/>
      <c r="V95" s="558"/>
      <c r="W95" s="40"/>
      <c r="X95" s="41"/>
      <c r="Y95" s="41"/>
      <c r="Z95" s="153"/>
      <c r="AA95" s="153"/>
      <c r="AB95" s="153"/>
      <c r="AC95" s="153"/>
    </row>
    <row r="96" spans="1:29" ht="25.5" customHeight="1">
      <c r="A96" s="572"/>
      <c r="B96" s="123" t="s">
        <v>133</v>
      </c>
      <c r="C96" s="97">
        <f>H96+E96</f>
        <v>6773.2800000000134</v>
      </c>
      <c r="D96" s="125"/>
      <c r="E96" s="124">
        <f>F96+G96</f>
        <v>0</v>
      </c>
      <c r="F96" s="124">
        <v>0</v>
      </c>
      <c r="G96" s="124">
        <v>0</v>
      </c>
      <c r="H96" s="124">
        <f>T96</f>
        <v>6773.2800000000134</v>
      </c>
      <c r="I96" s="124">
        <f>0.5*C96</f>
        <v>3386.6400000000067</v>
      </c>
      <c r="J96" s="126"/>
      <c r="K96" s="126"/>
      <c r="L96" s="126"/>
      <c r="M96" s="126"/>
      <c r="N96" s="126"/>
      <c r="O96" s="188">
        <v>13512.944</v>
      </c>
      <c r="P96" s="188">
        <v>13682.276</v>
      </c>
      <c r="Q96" s="7"/>
      <c r="R96" s="228"/>
      <c r="S96" s="140">
        <v>40</v>
      </c>
      <c r="T96" s="124">
        <f>(P96-O96)*S96</f>
        <v>6773.2800000000134</v>
      </c>
      <c r="U96" s="127" t="s">
        <v>134</v>
      </c>
      <c r="V96" s="128" t="s">
        <v>135</v>
      </c>
      <c r="W96" s="14" t="s">
        <v>27</v>
      </c>
      <c r="X96" s="7"/>
      <c r="Y96" s="7"/>
      <c r="Z96" s="149"/>
      <c r="AA96" s="149"/>
      <c r="AB96" s="149"/>
      <c r="AC96" s="149"/>
    </row>
    <row r="97" spans="1:29" ht="25.5" customHeight="1">
      <c r="A97" s="572"/>
      <c r="B97" s="158"/>
      <c r="C97" s="124"/>
      <c r="D97" s="124"/>
      <c r="E97" s="124"/>
      <c r="F97" s="124"/>
      <c r="G97" s="124"/>
      <c r="H97" s="124"/>
      <c r="I97" s="124">
        <f>0.5*C97</f>
        <v>0</v>
      </c>
      <c r="J97" s="126"/>
      <c r="K97" s="126"/>
      <c r="L97" s="126"/>
      <c r="M97" s="126"/>
      <c r="N97" s="126"/>
      <c r="O97" s="124"/>
      <c r="P97" s="124"/>
      <c r="Q97" s="138"/>
      <c r="R97" s="215"/>
      <c r="S97" s="140"/>
      <c r="T97" s="124"/>
      <c r="U97" s="127"/>
      <c r="V97" s="128"/>
      <c r="W97" s="14"/>
      <c r="X97" s="7"/>
      <c r="Y97" s="7"/>
      <c r="Z97" s="149"/>
      <c r="AA97" s="149"/>
      <c r="AB97" s="149"/>
      <c r="AC97" s="149"/>
    </row>
    <row r="98" spans="1:29" ht="25.5" customHeight="1">
      <c r="A98" s="572"/>
      <c r="B98" s="833" t="s">
        <v>136</v>
      </c>
      <c r="C98" s="124">
        <f>H98+E98</f>
        <v>79824.000000000015</v>
      </c>
      <c r="D98" s="124"/>
      <c r="E98" s="124">
        <f>F98+G98</f>
        <v>0</v>
      </c>
      <c r="F98" s="124">
        <v>0</v>
      </c>
      <c r="G98" s="124">
        <v>0</v>
      </c>
      <c r="H98" s="124">
        <f>T98+T99</f>
        <v>79824.000000000015</v>
      </c>
      <c r="I98" s="124">
        <f>0.6*C98</f>
        <v>47894.400000000009</v>
      </c>
      <c r="J98" s="126"/>
      <c r="K98" s="126"/>
      <c r="L98" s="126"/>
      <c r="M98" s="126"/>
      <c r="N98" s="126"/>
      <c r="O98" s="124">
        <v>64090.84</v>
      </c>
      <c r="P98" s="124">
        <v>64090.84</v>
      </c>
      <c r="Q98" s="138"/>
      <c r="R98" s="215"/>
      <c r="S98" s="140">
        <v>80</v>
      </c>
      <c r="T98" s="124">
        <f>(P98-O98)*S98</f>
        <v>0</v>
      </c>
      <c r="U98" s="127"/>
      <c r="V98" s="128" t="s">
        <v>137</v>
      </c>
      <c r="W98" s="14" t="s">
        <v>27</v>
      </c>
      <c r="X98" s="7"/>
      <c r="Y98" s="7"/>
      <c r="Z98" s="149"/>
      <c r="AA98" s="149"/>
      <c r="AB98" s="149"/>
      <c r="AC98" s="149"/>
    </row>
    <row r="99" spans="1:29" ht="25.5">
      <c r="A99" s="19"/>
      <c r="B99" s="834"/>
      <c r="C99" s="124"/>
      <c r="D99" s="124"/>
      <c r="E99" s="124"/>
      <c r="F99" s="124"/>
      <c r="G99" s="124"/>
      <c r="H99" s="124"/>
      <c r="I99" s="124">
        <f>0.6*C99</f>
        <v>0</v>
      </c>
      <c r="J99" s="126"/>
      <c r="K99" s="126"/>
      <c r="L99" s="126"/>
      <c r="M99" s="126"/>
      <c r="N99" s="126"/>
      <c r="O99" s="124">
        <v>2151.9</v>
      </c>
      <c r="P99" s="124">
        <v>2650.8</v>
      </c>
      <c r="Q99" s="138"/>
      <c r="R99" s="215"/>
      <c r="S99" s="140">
        <v>80</v>
      </c>
      <c r="T99" s="124">
        <f>(P99-O99)*S99*2</f>
        <v>79824.000000000015</v>
      </c>
      <c r="U99" s="127"/>
      <c r="V99" s="128" t="s">
        <v>138</v>
      </c>
      <c r="W99" s="14" t="s">
        <v>27</v>
      </c>
      <c r="X99" s="93"/>
      <c r="Y99" s="93"/>
      <c r="Z99" s="149"/>
      <c r="AA99" s="149"/>
      <c r="AB99" s="149"/>
      <c r="AC99" s="149"/>
    </row>
    <row r="100" spans="1:29" ht="25.5">
      <c r="A100" s="157"/>
      <c r="B100" s="83"/>
      <c r="C100" s="84"/>
      <c r="D100" s="84"/>
      <c r="E100" s="85"/>
      <c r="F100" s="85"/>
      <c r="G100" s="85"/>
      <c r="H100" s="84"/>
      <c r="I100" s="85"/>
      <c r="J100" s="130"/>
      <c r="K100" s="130"/>
      <c r="L100" s="130"/>
      <c r="M100" s="130"/>
      <c r="N100" s="130"/>
      <c r="O100" s="84"/>
      <c r="P100" s="84"/>
      <c r="Q100" s="130"/>
      <c r="R100" s="385"/>
      <c r="S100" s="84"/>
      <c r="T100" s="84"/>
      <c r="U100" s="88"/>
      <c r="V100" s="89"/>
      <c r="W100" s="47"/>
      <c r="X100" s="93"/>
      <c r="Y100" s="93"/>
      <c r="Z100" s="149"/>
      <c r="AA100" s="149"/>
      <c r="AB100" s="149"/>
      <c r="AC100" s="149"/>
    </row>
    <row r="101" spans="1:29" ht="26.25">
      <c r="A101" s="157"/>
      <c r="B101" s="123" t="s">
        <v>710</v>
      </c>
      <c r="C101" s="97">
        <f>H101+E101</f>
        <v>15220</v>
      </c>
      <c r="D101" s="124"/>
      <c r="E101" s="124">
        <f>F101+G101</f>
        <v>0</v>
      </c>
      <c r="F101" s="124">
        <f>X101</f>
        <v>0</v>
      </c>
      <c r="G101" s="124">
        <f>Y101</f>
        <v>0</v>
      </c>
      <c r="H101" s="124">
        <f>T102+T105+T108</f>
        <v>15220</v>
      </c>
      <c r="I101" s="124">
        <f>T103+0.5*(T108+T105)</f>
        <v>3020</v>
      </c>
      <c r="J101" s="126"/>
      <c r="K101" s="126"/>
      <c r="L101" s="126"/>
      <c r="M101" s="126"/>
      <c r="N101" s="126" t="s">
        <v>139</v>
      </c>
      <c r="O101" s="124"/>
      <c r="P101" s="124"/>
      <c r="Q101" s="138"/>
      <c r="R101" s="159"/>
      <c r="S101" s="124">
        <v>1</v>
      </c>
      <c r="T101" s="124">
        <f t="shared" ref="T101:T108" si="13">(P101-O101)*S101</f>
        <v>0</v>
      </c>
      <c r="U101" s="127"/>
      <c r="V101" s="128"/>
      <c r="W101" s="47" t="s">
        <v>31</v>
      </c>
      <c r="X101" s="93"/>
      <c r="Y101" s="93"/>
      <c r="Z101" s="7"/>
      <c r="AA101" s="7"/>
      <c r="AB101" s="7"/>
      <c r="AC101" s="7"/>
    </row>
    <row r="102" spans="1:29" ht="25.5">
      <c r="A102" s="157"/>
      <c r="B102" s="158" t="s">
        <v>140</v>
      </c>
      <c r="C102" s="124"/>
      <c r="D102" s="124"/>
      <c r="E102" s="124"/>
      <c r="F102" s="124"/>
      <c r="G102" s="124"/>
      <c r="H102" s="124"/>
      <c r="I102" s="125"/>
      <c r="J102" s="126"/>
      <c r="K102" s="126"/>
      <c r="L102" s="126"/>
      <c r="M102" s="126"/>
      <c r="N102" s="126"/>
      <c r="O102" s="124">
        <v>28561</v>
      </c>
      <c r="P102" s="124">
        <v>28714</v>
      </c>
      <c r="Q102" s="138"/>
      <c r="R102" s="159"/>
      <c r="S102" s="124">
        <v>60</v>
      </c>
      <c r="T102" s="124">
        <f>(P102-O102)*S102</f>
        <v>9180</v>
      </c>
      <c r="U102" s="127">
        <v>36259</v>
      </c>
      <c r="V102" s="128" t="s">
        <v>141</v>
      </c>
      <c r="W102" s="14"/>
      <c r="X102" s="7"/>
      <c r="Y102" s="7"/>
      <c r="Z102" s="7"/>
      <c r="AA102" s="7"/>
      <c r="AB102" s="7"/>
      <c r="AC102" s="7"/>
    </row>
    <row r="103" spans="1:29" ht="25.5">
      <c r="A103" s="157"/>
      <c r="B103" s="158"/>
      <c r="C103" s="124"/>
      <c r="D103" s="124"/>
      <c r="E103" s="124"/>
      <c r="F103" s="124"/>
      <c r="G103" s="124"/>
      <c r="H103" s="124"/>
      <c r="I103" s="125"/>
      <c r="J103" s="126"/>
      <c r="K103" s="126"/>
      <c r="L103" s="126"/>
      <c r="M103" s="126"/>
      <c r="N103" s="126"/>
      <c r="O103" s="124"/>
      <c r="P103" s="124"/>
      <c r="Q103" s="138"/>
      <c r="R103" s="159"/>
      <c r="S103" s="124">
        <v>60</v>
      </c>
      <c r="T103" s="124">
        <f t="shared" si="13"/>
        <v>0</v>
      </c>
      <c r="U103" s="127"/>
      <c r="V103" s="128"/>
      <c r="W103" s="134"/>
      <c r="X103" s="149"/>
      <c r="Y103" s="149"/>
      <c r="Z103" s="7"/>
      <c r="AA103" s="7"/>
      <c r="AB103" s="7"/>
      <c r="AC103" s="7"/>
    </row>
    <row r="104" spans="1:29" ht="25.5">
      <c r="A104" s="157"/>
      <c r="B104" s="158"/>
      <c r="C104" s="124"/>
      <c r="D104" s="124"/>
      <c r="E104" s="124"/>
      <c r="F104" s="124"/>
      <c r="G104" s="124"/>
      <c r="H104" s="124"/>
      <c r="I104" s="125"/>
      <c r="J104" s="126"/>
      <c r="K104" s="126"/>
      <c r="L104" s="126"/>
      <c r="M104" s="126"/>
      <c r="N104" s="126"/>
      <c r="O104" s="124"/>
      <c r="P104" s="124"/>
      <c r="Q104" s="138"/>
      <c r="R104" s="159"/>
      <c r="S104" s="124">
        <v>60</v>
      </c>
      <c r="T104" s="124">
        <f t="shared" si="13"/>
        <v>0</v>
      </c>
      <c r="U104" s="127"/>
      <c r="V104" s="128"/>
      <c r="W104" s="134"/>
      <c r="X104" s="149"/>
      <c r="Y104" s="149"/>
      <c r="Z104" s="7"/>
      <c r="AA104" s="7"/>
      <c r="AB104" s="7"/>
      <c r="AC104" s="7"/>
    </row>
    <row r="105" spans="1:29" ht="25.5">
      <c r="A105" s="157"/>
      <c r="B105" s="158" t="s">
        <v>142</v>
      </c>
      <c r="C105" s="124"/>
      <c r="D105" s="124"/>
      <c r="E105" s="124"/>
      <c r="F105" s="124"/>
      <c r="G105" s="124"/>
      <c r="H105" s="124"/>
      <c r="I105" s="125"/>
      <c r="J105" s="126"/>
      <c r="K105" s="126"/>
      <c r="L105" s="126"/>
      <c r="M105" s="126"/>
      <c r="N105" s="126"/>
      <c r="O105" s="124">
        <v>5822</v>
      </c>
      <c r="P105" s="124">
        <v>5887</v>
      </c>
      <c r="Q105" s="138"/>
      <c r="R105" s="215"/>
      <c r="S105" s="124">
        <v>40</v>
      </c>
      <c r="T105" s="124">
        <f t="shared" si="13"/>
        <v>2600</v>
      </c>
      <c r="U105" s="127">
        <v>580023</v>
      </c>
      <c r="V105" s="128"/>
      <c r="W105" s="134"/>
      <c r="X105" s="149"/>
      <c r="Y105" s="149"/>
      <c r="Z105" s="7"/>
      <c r="AA105" s="7"/>
      <c r="AB105" s="7"/>
      <c r="AC105" s="7"/>
    </row>
    <row r="106" spans="1:29" ht="25.5">
      <c r="A106" s="157"/>
      <c r="B106" s="158"/>
      <c r="C106" s="124"/>
      <c r="D106" s="124"/>
      <c r="E106" s="124"/>
      <c r="F106" s="124"/>
      <c r="G106" s="124"/>
      <c r="H106" s="124"/>
      <c r="I106" s="125"/>
      <c r="J106" s="126"/>
      <c r="K106" s="126"/>
      <c r="L106" s="126"/>
      <c r="M106" s="126"/>
      <c r="N106" s="126"/>
      <c r="O106" s="124"/>
      <c r="P106" s="124"/>
      <c r="Q106" s="138"/>
      <c r="R106" s="159"/>
      <c r="S106" s="124">
        <v>20</v>
      </c>
      <c r="T106" s="124">
        <f t="shared" si="13"/>
        <v>0</v>
      </c>
      <c r="U106" s="127"/>
      <c r="V106" s="128"/>
      <c r="W106" s="134"/>
      <c r="X106" s="149"/>
      <c r="Y106" s="149"/>
      <c r="Z106" s="7"/>
      <c r="AA106" s="7"/>
      <c r="AB106" s="7"/>
      <c r="AC106" s="7"/>
    </row>
    <row r="107" spans="1:29" ht="25.5">
      <c r="A107" s="157"/>
      <c r="B107" s="158"/>
      <c r="C107" s="124"/>
      <c r="D107" s="124"/>
      <c r="E107" s="124"/>
      <c r="F107" s="124"/>
      <c r="G107" s="124"/>
      <c r="H107" s="124"/>
      <c r="I107" s="125"/>
      <c r="J107" s="126"/>
      <c r="K107" s="126"/>
      <c r="L107" s="126"/>
      <c r="M107" s="126"/>
      <c r="N107" s="126"/>
      <c r="O107" s="124"/>
      <c r="P107" s="124"/>
      <c r="Q107" s="138"/>
      <c r="R107" s="159"/>
      <c r="S107" s="124">
        <v>40</v>
      </c>
      <c r="T107" s="124">
        <f t="shared" si="13"/>
        <v>0</v>
      </c>
      <c r="U107" s="127"/>
      <c r="V107" s="128"/>
      <c r="W107" s="134"/>
      <c r="X107" s="149"/>
      <c r="Y107" s="149"/>
      <c r="Z107" s="7"/>
      <c r="AA107" s="7"/>
      <c r="AB107" s="7"/>
      <c r="AC107" s="7"/>
    </row>
    <row r="108" spans="1:29" ht="25.5">
      <c r="A108" s="157"/>
      <c r="B108" s="158" t="s">
        <v>143</v>
      </c>
      <c r="C108" s="124"/>
      <c r="D108" s="124"/>
      <c r="E108" s="124"/>
      <c r="F108" s="124"/>
      <c r="G108" s="124"/>
      <c r="H108" s="124"/>
      <c r="I108" s="125"/>
      <c r="J108" s="126"/>
      <c r="K108" s="126"/>
      <c r="L108" s="126"/>
      <c r="M108" s="126"/>
      <c r="N108" s="126"/>
      <c r="O108" s="124">
        <v>5004</v>
      </c>
      <c r="P108" s="124">
        <v>5090</v>
      </c>
      <c r="Q108" s="138"/>
      <c r="R108" s="159"/>
      <c r="S108" s="124">
        <v>40</v>
      </c>
      <c r="T108" s="124">
        <f t="shared" si="13"/>
        <v>3440</v>
      </c>
      <c r="U108" s="127">
        <v>951989</v>
      </c>
      <c r="V108" s="128"/>
      <c r="W108" s="14"/>
      <c r="X108" s="7"/>
      <c r="Y108" s="7"/>
      <c r="Z108" s="7"/>
      <c r="AA108" s="7"/>
      <c r="AB108" s="7"/>
      <c r="AC108" s="7"/>
    </row>
    <row r="109" spans="1:29" ht="27.75">
      <c r="A109" s="19"/>
      <c r="B109" s="141" t="s">
        <v>86</v>
      </c>
      <c r="C109" s="115">
        <f>C96+C101</f>
        <v>21993.280000000013</v>
      </c>
      <c r="D109" s="115"/>
      <c r="E109" s="115"/>
      <c r="F109" s="91"/>
      <c r="G109" s="91"/>
      <c r="H109" s="115">
        <f>SUM(H99:H108)</f>
        <v>15220</v>
      </c>
      <c r="I109" s="115">
        <f>I101+I99</f>
        <v>3020</v>
      </c>
      <c r="J109" s="160">
        <f>SUM(J99:J105)</f>
        <v>0</v>
      </c>
      <c r="K109" s="160">
        <f>SUM(K99:K105)</f>
        <v>0</v>
      </c>
      <c r="L109" s="160">
        <f>SUM(L99:L105)</f>
        <v>0</v>
      </c>
      <c r="M109" s="160">
        <f>SUM(M99:M105)</f>
        <v>0</v>
      </c>
      <c r="N109" s="22"/>
      <c r="O109" s="91"/>
      <c r="P109" s="91"/>
      <c r="Q109" s="149"/>
      <c r="R109" s="161"/>
      <c r="S109" s="91"/>
      <c r="T109" s="91"/>
      <c r="U109" s="95"/>
      <c r="V109" s="569"/>
      <c r="W109" s="14"/>
      <c r="X109" s="7"/>
      <c r="Y109" s="7"/>
      <c r="Z109" s="7"/>
      <c r="AA109" s="7"/>
      <c r="AB109" s="7"/>
      <c r="AC109" s="7"/>
    </row>
    <row r="110" spans="1:29" ht="26.25">
      <c r="A110" s="19"/>
      <c r="B110" s="143"/>
      <c r="C110" s="115"/>
      <c r="D110" s="115"/>
      <c r="E110" s="115"/>
      <c r="F110" s="91"/>
      <c r="G110" s="91"/>
      <c r="H110" s="91"/>
      <c r="I110" s="115"/>
      <c r="J110" s="162"/>
      <c r="K110" s="162"/>
      <c r="L110" s="162"/>
      <c r="M110" s="162"/>
      <c r="N110" s="22"/>
      <c r="O110" s="91"/>
      <c r="P110" s="91"/>
      <c r="Q110" s="149"/>
      <c r="R110" s="161"/>
      <c r="S110" s="91"/>
      <c r="T110" s="91"/>
      <c r="U110" s="95"/>
      <c r="V110" s="569"/>
      <c r="W110" s="14"/>
      <c r="X110" s="7"/>
      <c r="Y110" s="7"/>
      <c r="Z110" s="7"/>
      <c r="AA110" s="7"/>
      <c r="AB110" s="7"/>
      <c r="AC110" s="7"/>
    </row>
    <row r="111" spans="1:29" ht="26.25">
      <c r="A111" s="19"/>
      <c r="B111" s="163" t="s">
        <v>144</v>
      </c>
      <c r="C111" s="115"/>
      <c r="D111" s="115"/>
      <c r="E111" s="115"/>
      <c r="F111" s="91"/>
      <c r="G111" s="91"/>
      <c r="H111" s="91"/>
      <c r="I111" s="91"/>
      <c r="J111" s="162"/>
      <c r="K111" s="162"/>
      <c r="L111" s="162"/>
      <c r="M111" s="162"/>
      <c r="N111" s="22"/>
      <c r="O111" s="91"/>
      <c r="P111" s="91"/>
      <c r="Q111" s="22" t="s">
        <v>50</v>
      </c>
      <c r="R111" s="142"/>
      <c r="S111" s="91"/>
      <c r="T111" s="91"/>
      <c r="U111" s="95"/>
      <c r="V111" s="569"/>
      <c r="W111" s="14"/>
      <c r="X111" s="7"/>
      <c r="Y111" s="7"/>
      <c r="Z111" s="7"/>
      <c r="AA111" s="7"/>
      <c r="AB111" s="7"/>
      <c r="AC111" s="7"/>
    </row>
    <row r="112" spans="1:29" ht="26.25">
      <c r="A112" s="19"/>
      <c r="C112" s="91"/>
      <c r="D112" s="115"/>
      <c r="E112" s="115"/>
      <c r="F112" s="91"/>
      <c r="G112" s="91"/>
      <c r="H112" s="91"/>
      <c r="I112" s="91"/>
      <c r="J112" s="164"/>
      <c r="K112" s="164"/>
      <c r="L112" s="164"/>
      <c r="M112" s="164"/>
      <c r="N112" s="164"/>
      <c r="O112" s="91"/>
      <c r="P112" s="91"/>
      <c r="Q112" s="7"/>
      <c r="R112" s="94"/>
      <c r="S112" s="91"/>
      <c r="T112" s="91"/>
      <c r="U112" s="95"/>
      <c r="V112" s="569"/>
      <c r="W112" s="14"/>
      <c r="X112" s="7"/>
      <c r="Y112" s="7"/>
      <c r="Z112" s="7"/>
      <c r="AA112" s="7"/>
      <c r="AB112" s="7"/>
      <c r="AC112" s="7"/>
    </row>
    <row r="113" spans="1:29" ht="26.25">
      <c r="A113" s="19"/>
      <c r="B113" s="163" t="s">
        <v>145</v>
      </c>
      <c r="C113" s="91"/>
      <c r="D113" s="115"/>
      <c r="E113" s="115"/>
      <c r="F113" s="91"/>
      <c r="G113" s="91"/>
      <c r="H113" s="91"/>
      <c r="I113" s="91"/>
      <c r="J113" s="164"/>
      <c r="K113" s="164"/>
      <c r="L113" s="164"/>
      <c r="M113" s="164"/>
      <c r="N113" s="164"/>
      <c r="O113" s="91"/>
      <c r="P113" s="91"/>
      <c r="Q113" s="7"/>
      <c r="R113" s="94"/>
      <c r="S113" s="91"/>
      <c r="T113" s="91"/>
      <c r="U113" s="95"/>
      <c r="V113" s="569"/>
      <c r="W113" s="14"/>
      <c r="X113" s="7"/>
      <c r="Y113" s="7"/>
      <c r="Z113" s="7"/>
      <c r="AA113" s="7"/>
      <c r="AB113" s="7"/>
      <c r="AC113" s="7"/>
    </row>
    <row r="114" spans="1:29" ht="25.5">
      <c r="A114" s="19"/>
      <c r="B114" s="27" t="s">
        <v>787</v>
      </c>
      <c r="C114" s="28">
        <f>H114+E114</f>
        <v>0</v>
      </c>
      <c r="D114" s="28"/>
      <c r="E114" s="28"/>
      <c r="F114" s="28">
        <f t="shared" ref="F114:F124" si="14">0.04*H114</f>
        <v>0</v>
      </c>
      <c r="G114" s="28">
        <f t="shared" ref="G114:G124" si="15">0.03*H114</f>
        <v>0</v>
      </c>
      <c r="H114" s="28">
        <f>T114</f>
        <v>0</v>
      </c>
      <c r="I114" s="28">
        <f>0.6*C114</f>
        <v>0</v>
      </c>
      <c r="J114" s="29"/>
      <c r="K114" s="29"/>
      <c r="L114" s="29"/>
      <c r="M114" s="29"/>
      <c r="N114" s="29" t="s">
        <v>146</v>
      </c>
      <c r="O114" s="28">
        <v>196697</v>
      </c>
      <c r="P114" s="28">
        <v>196697</v>
      </c>
      <c r="Q114" s="30"/>
      <c r="R114" s="351"/>
      <c r="S114" s="54">
        <v>1</v>
      </c>
      <c r="T114" s="28">
        <f>(P114-O114)*S114</f>
        <v>0</v>
      </c>
      <c r="U114" s="31">
        <v>42221906</v>
      </c>
      <c r="V114" s="574" t="s">
        <v>147</v>
      </c>
      <c r="W114" s="47" t="s">
        <v>31</v>
      </c>
      <c r="X114" s="7"/>
      <c r="Y114" s="7"/>
      <c r="Z114" s="7"/>
      <c r="AA114" s="7"/>
      <c r="AB114" s="7"/>
      <c r="AC114" s="7"/>
    </row>
    <row r="115" spans="1:29" ht="25.5">
      <c r="A115" s="19"/>
      <c r="B115" s="148" t="s">
        <v>148</v>
      </c>
      <c r="C115" s="91">
        <f>H115+E115</f>
        <v>10905.43999999997</v>
      </c>
      <c r="D115" s="91"/>
      <c r="E115" s="91">
        <f t="shared" ref="E115:E130" si="16">F115+G115</f>
        <v>713.43999999999801</v>
      </c>
      <c r="F115" s="91">
        <f t="shared" si="14"/>
        <v>407.67999999999887</v>
      </c>
      <c r="G115" s="91">
        <f t="shared" si="15"/>
        <v>305.75999999999914</v>
      </c>
      <c r="H115" s="91">
        <f>T115</f>
        <v>10191.999999999971</v>
      </c>
      <c r="I115" s="91">
        <f>0.6*C115</f>
        <v>6543.2639999999819</v>
      </c>
      <c r="J115" s="22"/>
      <c r="K115" s="22"/>
      <c r="L115" s="22"/>
      <c r="M115" s="22"/>
      <c r="N115" s="22" t="s">
        <v>149</v>
      </c>
      <c r="O115" s="91">
        <v>8929.4</v>
      </c>
      <c r="P115" s="91">
        <v>9056.7999999999993</v>
      </c>
      <c r="Q115" s="149"/>
      <c r="R115" s="211"/>
      <c r="S115" s="151">
        <v>80</v>
      </c>
      <c r="T115" s="91">
        <f>(P115-O115)*S115</f>
        <v>10191.999999999971</v>
      </c>
      <c r="U115" s="95">
        <v>440479</v>
      </c>
      <c r="V115" s="569" t="s">
        <v>150</v>
      </c>
      <c r="W115" s="47" t="s">
        <v>31</v>
      </c>
      <c r="X115" s="7"/>
      <c r="Y115" s="7"/>
      <c r="Z115" s="7"/>
      <c r="AA115" s="7"/>
      <c r="AB115" s="7"/>
      <c r="AC115" s="7"/>
    </row>
    <row r="116" spans="1:29" ht="25.5">
      <c r="A116" s="19"/>
      <c r="B116" s="166" t="s">
        <v>151</v>
      </c>
      <c r="C116" s="56">
        <f>H116+E116</f>
        <v>0</v>
      </c>
      <c r="D116" s="56"/>
      <c r="E116" s="56">
        <f t="shared" si="16"/>
        <v>0</v>
      </c>
      <c r="F116" s="56">
        <f t="shared" si="14"/>
        <v>0</v>
      </c>
      <c r="G116" s="56">
        <f t="shared" si="15"/>
        <v>0</v>
      </c>
      <c r="H116" s="56">
        <f>T116</f>
        <v>0</v>
      </c>
      <c r="I116" s="56">
        <f>0.5*C116</f>
        <v>0</v>
      </c>
      <c r="J116" s="57"/>
      <c r="K116" s="57"/>
      <c r="L116" s="57"/>
      <c r="M116" s="57"/>
      <c r="N116" s="57"/>
      <c r="O116" s="56">
        <v>162</v>
      </c>
      <c r="P116" s="56">
        <v>162</v>
      </c>
      <c r="Q116" s="167"/>
      <c r="R116" s="168"/>
      <c r="S116" s="56">
        <v>1</v>
      </c>
      <c r="T116" s="56">
        <f>(P116-O116)*S116</f>
        <v>0</v>
      </c>
      <c r="U116" s="59">
        <v>1605</v>
      </c>
      <c r="V116" s="60" t="s">
        <v>152</v>
      </c>
      <c r="W116" s="14"/>
      <c r="X116" s="7"/>
      <c r="Y116" s="7"/>
      <c r="Z116" s="7"/>
      <c r="AA116" s="7"/>
      <c r="AB116" s="7"/>
      <c r="AC116" s="7"/>
    </row>
    <row r="117" spans="1:29" ht="25.5">
      <c r="A117" s="19"/>
      <c r="B117" s="166" t="s">
        <v>153</v>
      </c>
      <c r="C117" s="56">
        <f t="shared" ref="C117:C130" si="17">H117+E117</f>
        <v>0</v>
      </c>
      <c r="D117" s="56"/>
      <c r="E117" s="56">
        <f t="shared" si="16"/>
        <v>0</v>
      </c>
      <c r="F117" s="56">
        <f t="shared" si="14"/>
        <v>0</v>
      </c>
      <c r="G117" s="56">
        <f t="shared" si="15"/>
        <v>0</v>
      </c>
      <c r="H117" s="56">
        <f t="shared" ref="H117:H130" si="18">T117</f>
        <v>0</v>
      </c>
      <c r="I117" s="56">
        <f>0.6*C117</f>
        <v>0</v>
      </c>
      <c r="J117" s="57"/>
      <c r="K117" s="57"/>
      <c r="L117" s="57"/>
      <c r="M117" s="57"/>
      <c r="N117" s="57" t="s">
        <v>154</v>
      </c>
      <c r="O117" s="56">
        <v>982</v>
      </c>
      <c r="P117" s="56">
        <v>982</v>
      </c>
      <c r="Q117" s="169"/>
      <c r="R117" s="170"/>
      <c r="S117" s="56">
        <v>1</v>
      </c>
      <c r="T117" s="56">
        <f t="shared" ref="T117:T130" si="19">(P117-O117)*S117</f>
        <v>0</v>
      </c>
      <c r="U117" s="59" t="s">
        <v>155</v>
      </c>
      <c r="V117" s="60" t="s">
        <v>156</v>
      </c>
      <c r="W117" s="14"/>
      <c r="X117" s="7"/>
      <c r="Y117" s="7"/>
      <c r="Z117" s="7"/>
      <c r="AA117" s="7"/>
      <c r="AB117" s="7"/>
      <c r="AC117" s="7"/>
    </row>
    <row r="118" spans="1:29" ht="26.25">
      <c r="A118" s="19"/>
      <c r="B118" s="90" t="s">
        <v>157</v>
      </c>
      <c r="C118" s="601">
        <f t="shared" si="17"/>
        <v>67795.199999999997</v>
      </c>
      <c r="D118" s="115"/>
      <c r="E118" s="115">
        <f t="shared" si="16"/>
        <v>4435.2</v>
      </c>
      <c r="F118" s="115">
        <f t="shared" si="14"/>
        <v>2534.4</v>
      </c>
      <c r="G118" s="115">
        <f t="shared" si="15"/>
        <v>1900.8</v>
      </c>
      <c r="H118" s="115">
        <f t="shared" si="18"/>
        <v>63360</v>
      </c>
      <c r="I118" s="115">
        <v>11490</v>
      </c>
      <c r="J118" s="164"/>
      <c r="K118" s="164"/>
      <c r="L118" s="164"/>
      <c r="M118" s="164"/>
      <c r="N118" s="164"/>
      <c r="O118" s="115">
        <v>45521</v>
      </c>
      <c r="P118" s="115">
        <v>46049</v>
      </c>
      <c r="Q118" s="149"/>
      <c r="R118" s="247"/>
      <c r="S118" s="248">
        <v>120</v>
      </c>
      <c r="T118" s="91">
        <f t="shared" si="19"/>
        <v>63360</v>
      </c>
      <c r="U118" s="95"/>
      <c r="V118" s="569" t="s">
        <v>158</v>
      </c>
      <c r="W118" s="14" t="s">
        <v>48</v>
      </c>
      <c r="X118" s="7"/>
      <c r="Y118" s="7"/>
      <c r="Z118" s="7"/>
      <c r="AA118" s="7"/>
      <c r="AB118" s="7"/>
      <c r="AC118" s="7"/>
    </row>
    <row r="119" spans="1:29" ht="25.5">
      <c r="A119" s="19"/>
      <c r="B119" s="148" t="s">
        <v>159</v>
      </c>
      <c r="C119" s="91">
        <f t="shared" si="17"/>
        <v>4.28</v>
      </c>
      <c r="D119" s="91"/>
      <c r="E119" s="91">
        <f t="shared" si="16"/>
        <v>0.28000000000000003</v>
      </c>
      <c r="F119" s="91">
        <f t="shared" si="14"/>
        <v>0.16</v>
      </c>
      <c r="G119" s="91">
        <f t="shared" si="15"/>
        <v>0.12</v>
      </c>
      <c r="H119" s="91">
        <f t="shared" si="18"/>
        <v>4</v>
      </c>
      <c r="I119" s="91">
        <f>0.6*C119</f>
        <v>2.5680000000000001</v>
      </c>
      <c r="J119" s="22"/>
      <c r="K119" s="22"/>
      <c r="L119" s="22"/>
      <c r="M119" s="22"/>
      <c r="N119" s="22"/>
      <c r="O119" s="91">
        <v>59560</v>
      </c>
      <c r="P119" s="91">
        <v>59564</v>
      </c>
      <c r="Q119" s="122"/>
      <c r="R119" s="173"/>
      <c r="S119" s="151">
        <v>1</v>
      </c>
      <c r="T119" s="91">
        <f t="shared" si="19"/>
        <v>4</v>
      </c>
      <c r="U119" s="95">
        <v>91423</v>
      </c>
      <c r="V119" s="569" t="s">
        <v>21</v>
      </c>
      <c r="W119" s="14" t="s">
        <v>22</v>
      </c>
      <c r="X119" s="7"/>
      <c r="Y119" s="7"/>
      <c r="Z119" s="7"/>
      <c r="AA119" s="7"/>
      <c r="AB119" s="7"/>
      <c r="AC119" s="7"/>
    </row>
    <row r="120" spans="1:29" ht="25.5">
      <c r="A120" s="19"/>
      <c r="B120" s="148"/>
      <c r="C120" s="91"/>
      <c r="D120" s="91"/>
      <c r="E120" s="91"/>
      <c r="F120" s="91"/>
      <c r="G120" s="91"/>
      <c r="H120" s="91"/>
      <c r="I120" s="91"/>
      <c r="J120" s="22"/>
      <c r="K120" s="22"/>
      <c r="L120" s="22"/>
      <c r="M120" s="22"/>
      <c r="N120" s="22"/>
      <c r="O120" s="91"/>
      <c r="P120" s="91"/>
      <c r="Q120" s="122"/>
      <c r="R120" s="173"/>
      <c r="S120" s="151"/>
      <c r="T120" s="91"/>
      <c r="U120" s="95"/>
      <c r="V120" s="569"/>
      <c r="W120" s="14"/>
      <c r="X120" s="7"/>
      <c r="Y120" s="7"/>
      <c r="Z120" s="7"/>
      <c r="AA120" s="7"/>
      <c r="AB120" s="7"/>
      <c r="AC120" s="7"/>
    </row>
    <row r="121" spans="1:29" ht="25.5">
      <c r="A121" s="19"/>
      <c r="B121" s="148" t="s">
        <v>148</v>
      </c>
      <c r="C121" s="91">
        <f t="shared" si="17"/>
        <v>393.65299999999962</v>
      </c>
      <c r="D121" s="91"/>
      <c r="E121" s="91">
        <f t="shared" si="16"/>
        <v>25.752999999999972</v>
      </c>
      <c r="F121" s="91">
        <f t="shared" si="14"/>
        <v>14.715999999999985</v>
      </c>
      <c r="G121" s="91">
        <f t="shared" si="15"/>
        <v>11.036999999999988</v>
      </c>
      <c r="H121" s="91">
        <f t="shared" si="18"/>
        <v>367.89999999999964</v>
      </c>
      <c r="I121" s="91">
        <f>0.6*C121</f>
        <v>236.19179999999977</v>
      </c>
      <c r="J121" s="22"/>
      <c r="K121" s="22"/>
      <c r="L121" s="22"/>
      <c r="M121" s="22"/>
      <c r="N121" s="22"/>
      <c r="O121" s="91">
        <v>5840.1</v>
      </c>
      <c r="P121" s="91">
        <v>6208</v>
      </c>
      <c r="Q121" s="122"/>
      <c r="R121" s="173"/>
      <c r="S121" s="151">
        <v>1</v>
      </c>
      <c r="T121" s="91">
        <f t="shared" si="19"/>
        <v>367.89999999999964</v>
      </c>
      <c r="U121" s="95">
        <v>9695</v>
      </c>
      <c r="V121" s="569" t="s">
        <v>160</v>
      </c>
      <c r="W121" s="134" t="s">
        <v>31</v>
      </c>
      <c r="X121" s="7"/>
      <c r="Y121" s="7"/>
      <c r="Z121" s="7"/>
      <c r="AA121" s="7"/>
      <c r="AB121" s="7"/>
      <c r="AC121" s="7"/>
    </row>
    <row r="122" spans="1:29" ht="25.5">
      <c r="A122" s="19"/>
      <c r="B122" s="148" t="s">
        <v>161</v>
      </c>
      <c r="C122" s="91">
        <f t="shared" si="17"/>
        <v>823.9</v>
      </c>
      <c r="D122" s="91"/>
      <c r="E122" s="91">
        <f t="shared" si="16"/>
        <v>53.9</v>
      </c>
      <c r="F122" s="91">
        <f t="shared" si="14"/>
        <v>30.8</v>
      </c>
      <c r="G122" s="91">
        <f t="shared" si="15"/>
        <v>23.099999999999998</v>
      </c>
      <c r="H122" s="91">
        <f t="shared" si="18"/>
        <v>770</v>
      </c>
      <c r="I122" s="91">
        <f>0.6*C122</f>
        <v>494.34</v>
      </c>
      <c r="J122" s="22"/>
      <c r="K122" s="22"/>
      <c r="L122" s="22"/>
      <c r="M122" s="22"/>
      <c r="N122" s="22"/>
      <c r="O122" s="91">
        <f>56805+29674</f>
        <v>86479</v>
      </c>
      <c r="P122" s="91">
        <f>57193+30056</f>
        <v>87249</v>
      </c>
      <c r="Q122" s="122"/>
      <c r="R122" s="173"/>
      <c r="S122" s="151">
        <v>1</v>
      </c>
      <c r="T122" s="91">
        <f t="shared" si="19"/>
        <v>770</v>
      </c>
      <c r="U122" s="95">
        <v>18723</v>
      </c>
      <c r="V122" s="569" t="s">
        <v>162</v>
      </c>
      <c r="W122" s="14" t="s">
        <v>31</v>
      </c>
      <c r="X122" s="7"/>
      <c r="Y122" s="7"/>
      <c r="Z122" s="7"/>
      <c r="AA122" s="7"/>
      <c r="AB122" s="7"/>
      <c r="AC122" s="7"/>
    </row>
    <row r="123" spans="1:29" ht="25.5">
      <c r="A123" s="19"/>
      <c r="B123" s="148" t="s">
        <v>163</v>
      </c>
      <c r="C123" s="91">
        <f>H123+E123</f>
        <v>1282.93</v>
      </c>
      <c r="D123" s="91"/>
      <c r="E123" s="91">
        <f t="shared" si="16"/>
        <v>83.93</v>
      </c>
      <c r="F123" s="91">
        <f t="shared" si="14"/>
        <v>47.96</v>
      </c>
      <c r="G123" s="91">
        <f t="shared" si="15"/>
        <v>35.97</v>
      </c>
      <c r="H123" s="91">
        <f>T123</f>
        <v>1199</v>
      </c>
      <c r="I123" s="91">
        <f>0.6*C123</f>
        <v>769.75800000000004</v>
      </c>
      <c r="J123" s="22"/>
      <c r="K123" s="22"/>
      <c r="L123" s="22"/>
      <c r="M123" s="22"/>
      <c r="N123" s="22" t="s">
        <v>146</v>
      </c>
      <c r="O123" s="91">
        <v>35288</v>
      </c>
      <c r="P123" s="91">
        <v>36487</v>
      </c>
      <c r="Q123" s="122"/>
      <c r="R123" s="173"/>
      <c r="S123" s="151">
        <v>1</v>
      </c>
      <c r="T123" s="91">
        <f>(P123-O123)*S123</f>
        <v>1199</v>
      </c>
      <c r="U123" s="95">
        <v>3275</v>
      </c>
      <c r="V123" s="569" t="s">
        <v>164</v>
      </c>
      <c r="W123" s="14" t="s">
        <v>82</v>
      </c>
      <c r="X123" s="7"/>
      <c r="Y123" s="7"/>
      <c r="Z123" s="7"/>
      <c r="AA123" s="7"/>
      <c r="AB123" s="7"/>
      <c r="AC123" s="7"/>
    </row>
    <row r="124" spans="1:29" ht="52.5">
      <c r="A124" s="19"/>
      <c r="B124" s="90" t="s">
        <v>708</v>
      </c>
      <c r="C124" s="602">
        <f t="shared" si="17"/>
        <v>4622.3999999999996</v>
      </c>
      <c r="D124" s="115"/>
      <c r="E124" s="115">
        <f t="shared" si="16"/>
        <v>302.39999999999998</v>
      </c>
      <c r="F124" s="115">
        <f t="shared" si="14"/>
        <v>172.8</v>
      </c>
      <c r="G124" s="115">
        <f t="shared" si="15"/>
        <v>129.6</v>
      </c>
      <c r="H124" s="115">
        <f t="shared" si="18"/>
        <v>4320</v>
      </c>
      <c r="I124" s="115">
        <f>T553</f>
        <v>0</v>
      </c>
      <c r="J124" s="114"/>
      <c r="K124" s="114"/>
      <c r="L124" s="114"/>
      <c r="M124" s="114"/>
      <c r="N124" s="114"/>
      <c r="O124" s="115">
        <v>12656</v>
      </c>
      <c r="P124" s="115">
        <v>12710</v>
      </c>
      <c r="Q124" s="164"/>
      <c r="R124" s="211"/>
      <c r="S124" s="248">
        <v>80</v>
      </c>
      <c r="T124" s="115">
        <f t="shared" si="19"/>
        <v>4320</v>
      </c>
      <c r="U124" s="95"/>
      <c r="V124" s="569" t="s">
        <v>165</v>
      </c>
      <c r="W124" s="14" t="s">
        <v>166</v>
      </c>
      <c r="X124" s="7"/>
      <c r="Y124" s="7"/>
      <c r="Z124" s="7"/>
      <c r="AA124" s="7"/>
      <c r="AB124" s="7"/>
      <c r="AC124" s="7"/>
    </row>
    <row r="125" spans="1:29" ht="25.5">
      <c r="A125" s="19"/>
      <c r="B125" s="172"/>
      <c r="C125" s="91"/>
      <c r="D125" s="91"/>
      <c r="E125" s="91"/>
      <c r="F125" s="91"/>
      <c r="G125" s="91"/>
      <c r="H125" s="91"/>
      <c r="I125" s="91"/>
      <c r="J125" s="22"/>
      <c r="K125" s="22"/>
      <c r="L125" s="22"/>
      <c r="M125" s="22"/>
      <c r="N125" s="22"/>
      <c r="O125" s="91"/>
      <c r="P125" s="91"/>
      <c r="Q125" s="122"/>
      <c r="R125" s="173"/>
      <c r="S125" s="151"/>
      <c r="T125" s="91"/>
      <c r="U125" s="95"/>
      <c r="V125" s="569"/>
      <c r="W125" s="14" t="s">
        <v>82</v>
      </c>
      <c r="X125" s="7"/>
      <c r="Y125" s="7"/>
      <c r="Z125" s="7"/>
      <c r="AA125" s="7"/>
      <c r="AB125" s="7"/>
      <c r="AC125" s="7"/>
    </row>
    <row r="126" spans="1:29" ht="25.5">
      <c r="A126" s="19"/>
      <c r="B126" s="148" t="s">
        <v>167</v>
      </c>
      <c r="C126" s="91">
        <f>H126+E126</f>
        <v>982.54999999997654</v>
      </c>
      <c r="D126" s="91"/>
      <c r="E126" s="91">
        <f t="shared" si="16"/>
        <v>68.549999999998363</v>
      </c>
      <c r="F126" s="91">
        <f>0.035*H126</f>
        <v>31.989999999999238</v>
      </c>
      <c r="G126" s="91">
        <f>H126*0.04</f>
        <v>36.559999999999128</v>
      </c>
      <c r="H126" s="91">
        <f t="shared" si="18"/>
        <v>913.99999999997817</v>
      </c>
      <c r="I126" s="91">
        <f t="shared" ref="I126:I130" si="20">0.6*C126</f>
        <v>589.52999999998588</v>
      </c>
      <c r="J126" s="22"/>
      <c r="K126" s="22"/>
      <c r="L126" s="22"/>
      <c r="M126" s="22"/>
      <c r="N126" s="22"/>
      <c r="O126" s="91">
        <v>8170.6</v>
      </c>
      <c r="P126" s="91">
        <v>8216.2999999999993</v>
      </c>
      <c r="Q126" s="122"/>
      <c r="R126" s="173"/>
      <c r="S126" s="151">
        <v>20</v>
      </c>
      <c r="T126" s="91">
        <f t="shared" si="19"/>
        <v>913.99999999997817</v>
      </c>
      <c r="U126" s="95">
        <v>33780</v>
      </c>
      <c r="V126" s="569" t="s">
        <v>168</v>
      </c>
      <c r="W126" s="14" t="s">
        <v>22</v>
      </c>
      <c r="X126" s="7"/>
      <c r="Y126" s="7"/>
      <c r="Z126" s="7"/>
      <c r="AA126" s="7"/>
      <c r="AB126" s="7"/>
      <c r="AC126" s="7"/>
    </row>
    <row r="127" spans="1:29" ht="25.5">
      <c r="A127" s="19"/>
      <c r="B127" s="166" t="s">
        <v>169</v>
      </c>
      <c r="C127" s="56">
        <f t="shared" si="17"/>
        <v>0</v>
      </c>
      <c r="D127" s="56"/>
      <c r="E127" s="56">
        <f t="shared" si="16"/>
        <v>0</v>
      </c>
      <c r="F127" s="56">
        <f>0.04*H127</f>
        <v>0</v>
      </c>
      <c r="G127" s="56">
        <f>0.03*H127</f>
        <v>0</v>
      </c>
      <c r="H127" s="56">
        <f t="shared" si="18"/>
        <v>0</v>
      </c>
      <c r="I127" s="56">
        <f t="shared" si="20"/>
        <v>0</v>
      </c>
      <c r="J127" s="57"/>
      <c r="K127" s="57"/>
      <c r="L127" s="57"/>
      <c r="M127" s="57"/>
      <c r="N127" s="57" t="s">
        <v>170</v>
      </c>
      <c r="O127" s="56">
        <v>16165</v>
      </c>
      <c r="P127" s="56">
        <v>16165</v>
      </c>
      <c r="Q127" s="169"/>
      <c r="R127" s="170"/>
      <c r="S127" s="56">
        <v>1</v>
      </c>
      <c r="T127" s="56">
        <f t="shared" si="19"/>
        <v>0</v>
      </c>
      <c r="U127" s="59">
        <v>24339</v>
      </c>
      <c r="V127" s="60" t="s">
        <v>171</v>
      </c>
      <c r="W127" s="14"/>
      <c r="X127" s="7"/>
      <c r="Y127" s="7"/>
      <c r="Z127" s="7"/>
      <c r="AA127" s="7"/>
      <c r="AB127" s="7"/>
      <c r="AC127" s="7"/>
    </row>
    <row r="128" spans="1:29" ht="25.5">
      <c r="A128" s="19"/>
      <c r="B128" s="62" t="s">
        <v>172</v>
      </c>
      <c r="C128" s="28">
        <f t="shared" si="17"/>
        <v>0</v>
      </c>
      <c r="D128" s="28"/>
      <c r="E128" s="28">
        <f t="shared" si="16"/>
        <v>0</v>
      </c>
      <c r="F128" s="28">
        <f>0.04*H128</f>
        <v>0</v>
      </c>
      <c r="G128" s="28">
        <f>0.03*H128</f>
        <v>0</v>
      </c>
      <c r="H128" s="28">
        <f t="shared" si="18"/>
        <v>0</v>
      </c>
      <c r="I128" s="28">
        <f t="shared" si="20"/>
        <v>0</v>
      </c>
      <c r="J128" s="29"/>
      <c r="K128" s="29"/>
      <c r="L128" s="29"/>
      <c r="M128" s="29"/>
      <c r="N128" s="29"/>
      <c r="O128" s="28">
        <v>2557</v>
      </c>
      <c r="P128" s="28">
        <v>2557</v>
      </c>
      <c r="Q128" s="30"/>
      <c r="R128" s="351"/>
      <c r="S128" s="54">
        <v>1</v>
      </c>
      <c r="T128" s="28">
        <f t="shared" si="19"/>
        <v>0</v>
      </c>
      <c r="U128" s="31">
        <v>2466</v>
      </c>
      <c r="V128" s="574" t="s">
        <v>173</v>
      </c>
      <c r="W128" s="14"/>
      <c r="X128" s="7"/>
      <c r="Y128" s="7"/>
      <c r="Z128" s="7"/>
      <c r="AA128" s="7"/>
      <c r="AB128" s="7"/>
      <c r="AC128" s="7"/>
    </row>
    <row r="129" spans="1:29" ht="26.25">
      <c r="A129" s="19"/>
      <c r="B129" s="174"/>
      <c r="C129" s="56">
        <f t="shared" si="17"/>
        <v>0</v>
      </c>
      <c r="D129" s="175"/>
      <c r="E129" s="56">
        <f t="shared" si="16"/>
        <v>0</v>
      </c>
      <c r="F129" s="56">
        <f>0.04*H129</f>
        <v>0</v>
      </c>
      <c r="G129" s="56">
        <f>0.03*H129</f>
        <v>0</v>
      </c>
      <c r="H129" s="56">
        <f t="shared" si="18"/>
        <v>0</v>
      </c>
      <c r="I129" s="176">
        <f t="shared" si="20"/>
        <v>0</v>
      </c>
      <c r="J129" s="58"/>
      <c r="K129" s="58"/>
      <c r="L129" s="58"/>
      <c r="M129" s="58"/>
      <c r="N129" s="58"/>
      <c r="O129" s="175">
        <v>16982</v>
      </c>
      <c r="P129" s="175">
        <v>16982</v>
      </c>
      <c r="Q129" s="177"/>
      <c r="R129" s="178"/>
      <c r="S129" s="175">
        <v>1</v>
      </c>
      <c r="T129" s="56">
        <f t="shared" si="19"/>
        <v>0</v>
      </c>
      <c r="U129" s="59">
        <v>2437131</v>
      </c>
      <c r="V129" s="60" t="s">
        <v>174</v>
      </c>
      <c r="W129" s="14"/>
      <c r="X129" s="7"/>
      <c r="Y129" s="7"/>
      <c r="Z129" s="7"/>
      <c r="AA129" s="7"/>
      <c r="AB129" s="7"/>
      <c r="AC129" s="7"/>
    </row>
    <row r="130" spans="1:29" ht="26.25">
      <c r="A130" s="19"/>
      <c r="B130" s="27" t="s">
        <v>175</v>
      </c>
      <c r="C130" s="28">
        <f t="shared" si="17"/>
        <v>0</v>
      </c>
      <c r="D130" s="77"/>
      <c r="E130" s="28">
        <f t="shared" si="16"/>
        <v>0</v>
      </c>
      <c r="F130" s="28">
        <f>0.04*H130</f>
        <v>0</v>
      </c>
      <c r="G130" s="28">
        <f>0.03*H130</f>
        <v>0</v>
      </c>
      <c r="H130" s="28">
        <f t="shared" si="18"/>
        <v>0</v>
      </c>
      <c r="I130" s="72">
        <f t="shared" si="20"/>
        <v>0</v>
      </c>
      <c r="J130" s="46"/>
      <c r="K130" s="46"/>
      <c r="L130" s="46"/>
      <c r="M130" s="46"/>
      <c r="N130" s="46"/>
      <c r="O130" s="77">
        <v>31237</v>
      </c>
      <c r="P130" s="77">
        <v>31237</v>
      </c>
      <c r="Q130" s="79"/>
      <c r="R130" s="80"/>
      <c r="S130" s="77">
        <v>1</v>
      </c>
      <c r="T130" s="28">
        <f t="shared" si="19"/>
        <v>0</v>
      </c>
      <c r="U130" s="31">
        <v>286946</v>
      </c>
      <c r="V130" s="574" t="s">
        <v>176</v>
      </c>
      <c r="W130" s="14" t="s">
        <v>22</v>
      </c>
      <c r="X130" s="7"/>
      <c r="Y130" s="7"/>
      <c r="Z130" s="7"/>
      <c r="AA130" s="7"/>
      <c r="AB130" s="7"/>
      <c r="AC130" s="7"/>
    </row>
    <row r="131" spans="1:29" ht="25.5">
      <c r="A131" s="19"/>
      <c r="B131" s="129"/>
      <c r="C131" s="84"/>
      <c r="D131" s="84"/>
      <c r="E131" s="84"/>
      <c r="F131" s="84"/>
      <c r="G131" s="84"/>
      <c r="H131" s="84"/>
      <c r="I131" s="84"/>
      <c r="J131" s="130"/>
      <c r="K131" s="130"/>
      <c r="L131" s="130"/>
      <c r="M131" s="130"/>
      <c r="N131" s="130"/>
      <c r="O131" s="84"/>
      <c r="P131" s="84"/>
      <c r="Q131" s="86"/>
      <c r="R131" s="179"/>
      <c r="S131" s="156"/>
      <c r="T131" s="84"/>
      <c r="U131" s="88"/>
      <c r="V131" s="89"/>
      <c r="W131" s="14"/>
      <c r="X131" s="7"/>
      <c r="Y131" s="7"/>
      <c r="Z131" s="7"/>
      <c r="AA131" s="7"/>
      <c r="AB131" s="7"/>
      <c r="AC131" s="7"/>
    </row>
    <row r="132" spans="1:29" ht="27.75">
      <c r="A132" s="19"/>
      <c r="B132" s="141" t="s">
        <v>86</v>
      </c>
      <c r="C132" s="97">
        <f>SUM(C114:C131)</f>
        <v>86810.35299999993</v>
      </c>
      <c r="D132" s="115"/>
      <c r="E132" s="115"/>
      <c r="F132" s="91"/>
      <c r="G132" s="91"/>
      <c r="H132" s="91"/>
      <c r="I132" s="124"/>
      <c r="J132" s="164"/>
      <c r="K132" s="164"/>
      <c r="L132" s="164"/>
      <c r="M132" s="164"/>
      <c r="N132" s="164"/>
      <c r="O132" s="91"/>
      <c r="P132" s="91"/>
      <c r="Q132" s="7"/>
      <c r="R132" s="94"/>
      <c r="S132" s="91"/>
      <c r="T132" s="91"/>
      <c r="U132" s="95"/>
      <c r="V132" s="569"/>
      <c r="W132" s="14"/>
      <c r="X132" s="7"/>
      <c r="Y132" s="7"/>
      <c r="Z132" s="7"/>
      <c r="AA132" s="7"/>
      <c r="AB132" s="7"/>
      <c r="AC132" s="7"/>
    </row>
    <row r="133" spans="1:29" ht="27.75">
      <c r="A133" s="19"/>
      <c r="B133" s="180" t="s">
        <v>177</v>
      </c>
      <c r="C133" s="91"/>
      <c r="D133" s="115"/>
      <c r="E133" s="115"/>
      <c r="F133" s="91"/>
      <c r="G133" s="91"/>
      <c r="H133" s="91"/>
      <c r="I133" s="124"/>
      <c r="J133" s="164"/>
      <c r="K133" s="164"/>
      <c r="L133" s="164"/>
      <c r="M133" s="164"/>
      <c r="N133" s="164"/>
      <c r="O133" s="91"/>
      <c r="P133" s="91"/>
      <c r="Q133" s="7"/>
      <c r="R133" s="94"/>
      <c r="S133" s="91"/>
      <c r="T133" s="91"/>
      <c r="U133" s="95"/>
      <c r="V133" s="569"/>
      <c r="W133" s="14"/>
      <c r="X133" s="7"/>
      <c r="Y133" s="7"/>
      <c r="Z133" s="7"/>
      <c r="AA133" s="7"/>
      <c r="AB133" s="7"/>
      <c r="AC133" s="7"/>
    </row>
    <row r="134" spans="1:29" ht="26.25">
      <c r="A134" s="19"/>
      <c r="B134" s="123" t="s">
        <v>178</v>
      </c>
      <c r="C134" s="97">
        <f>H134+E134</f>
        <v>1995.0077700000065</v>
      </c>
      <c r="D134" s="124">
        <f>D138+D139</f>
        <v>28500.111000000092</v>
      </c>
      <c r="E134" s="124">
        <f>F134+G134</f>
        <v>1995.0077700000065</v>
      </c>
      <c r="F134" s="124">
        <f>0.04*D134</f>
        <v>1140.0044400000038</v>
      </c>
      <c r="G134" s="124">
        <f>0.03*D134</f>
        <v>855.00333000000273</v>
      </c>
      <c r="H134" s="124"/>
      <c r="I134" s="124">
        <v>0</v>
      </c>
      <c r="J134" s="126"/>
      <c r="K134" s="126"/>
      <c r="L134" s="126"/>
      <c r="M134" s="126"/>
      <c r="N134" s="126"/>
      <c r="O134" s="188">
        <v>2670.19</v>
      </c>
      <c r="P134" s="188">
        <v>2731.23</v>
      </c>
      <c r="Q134" s="138"/>
      <c r="R134" s="215"/>
      <c r="S134" s="124">
        <v>60</v>
      </c>
      <c r="T134" s="124">
        <f t="shared" ref="T134:T144" si="21">(P134-O134)*S134</f>
        <v>3662.3999999999978</v>
      </c>
      <c r="U134" s="127">
        <v>1906</v>
      </c>
      <c r="V134" s="128" t="s">
        <v>179</v>
      </c>
      <c r="W134" s="14" t="s">
        <v>22</v>
      </c>
      <c r="X134" s="7"/>
      <c r="Y134" s="7"/>
      <c r="Z134" s="7"/>
      <c r="AA134" s="7"/>
      <c r="AB134" s="7"/>
      <c r="AC134" s="7"/>
    </row>
    <row r="135" spans="1:29" ht="26.25">
      <c r="A135" s="19"/>
      <c r="B135" s="158"/>
      <c r="C135" s="124"/>
      <c r="D135" s="124"/>
      <c r="E135" s="124"/>
      <c r="F135" s="124"/>
      <c r="G135" s="124"/>
      <c r="H135" s="124"/>
      <c r="I135" s="97"/>
      <c r="J135" s="126"/>
      <c r="K135" s="126"/>
      <c r="L135" s="126"/>
      <c r="M135" s="126"/>
      <c r="N135" s="126"/>
      <c r="O135" s="188">
        <v>1369.53</v>
      </c>
      <c r="P135" s="188">
        <v>1396.16</v>
      </c>
      <c r="Q135" s="138"/>
      <c r="R135" s="215"/>
      <c r="S135" s="124">
        <v>20</v>
      </c>
      <c r="T135" s="124">
        <f t="shared" si="21"/>
        <v>532.60000000000218</v>
      </c>
      <c r="U135" s="127">
        <v>1821</v>
      </c>
      <c r="V135" s="128" t="s">
        <v>180</v>
      </c>
      <c r="W135" s="14" t="s">
        <v>22</v>
      </c>
      <c r="X135" s="7"/>
      <c r="Y135" s="7"/>
      <c r="Z135" s="7"/>
      <c r="AA135" s="7"/>
      <c r="AB135" s="7"/>
      <c r="AC135" s="7"/>
    </row>
    <row r="136" spans="1:29" ht="25.5">
      <c r="A136" s="19"/>
      <c r="B136" s="158"/>
      <c r="C136" s="124"/>
      <c r="D136" s="124"/>
      <c r="E136" s="124"/>
      <c r="F136" s="124"/>
      <c r="G136" s="124"/>
      <c r="H136" s="124"/>
      <c r="I136" s="124"/>
      <c r="J136" s="126"/>
      <c r="K136" s="126"/>
      <c r="L136" s="126"/>
      <c r="M136" s="126"/>
      <c r="N136" s="126"/>
      <c r="O136" s="188">
        <v>626.59900000000005</v>
      </c>
      <c r="P136" s="188">
        <v>653.32249999999999</v>
      </c>
      <c r="Q136" s="138"/>
      <c r="R136" s="627"/>
      <c r="S136" s="124">
        <v>60</v>
      </c>
      <c r="T136" s="124">
        <f t="shared" si="21"/>
        <v>1603.4099999999967</v>
      </c>
      <c r="U136" s="127">
        <v>1903</v>
      </c>
      <c r="V136" s="128" t="s">
        <v>181</v>
      </c>
      <c r="W136" s="14" t="s">
        <v>22</v>
      </c>
      <c r="X136" s="7"/>
      <c r="Y136" s="7"/>
      <c r="Z136" s="7"/>
      <c r="AA136" s="7"/>
      <c r="AB136" s="7"/>
      <c r="AC136" s="7"/>
    </row>
    <row r="137" spans="1:29" ht="25.5">
      <c r="A137" s="19"/>
      <c r="B137" s="158" t="s">
        <v>182</v>
      </c>
      <c r="C137" s="124"/>
      <c r="D137" s="124"/>
      <c r="E137" s="124"/>
      <c r="F137" s="124"/>
      <c r="G137" s="124"/>
      <c r="H137" s="124"/>
      <c r="I137" s="124"/>
      <c r="J137" s="126"/>
      <c r="K137" s="126"/>
      <c r="L137" s="126"/>
      <c r="M137" s="126"/>
      <c r="N137" s="126"/>
      <c r="O137" s="188">
        <v>83651.111000000004</v>
      </c>
      <c r="P137" s="188">
        <v>85593.051999999996</v>
      </c>
      <c r="Q137" s="138"/>
      <c r="R137" s="674"/>
      <c r="S137" s="124">
        <v>1</v>
      </c>
      <c r="T137" s="124">
        <f t="shared" si="21"/>
        <v>1941.9409999999916</v>
      </c>
      <c r="U137" s="127">
        <v>9454</v>
      </c>
      <c r="V137" s="128" t="str">
        <f>V135</f>
        <v>об.быт.корп</v>
      </c>
      <c r="W137" s="14" t="s">
        <v>22</v>
      </c>
      <c r="X137" s="7"/>
      <c r="Y137" s="7"/>
      <c r="Z137" s="7"/>
      <c r="AA137" s="7"/>
      <c r="AB137" s="7"/>
      <c r="AC137" s="7"/>
    </row>
    <row r="138" spans="1:29" ht="25.5">
      <c r="A138" s="19"/>
      <c r="B138" s="158" t="s">
        <v>184</v>
      </c>
      <c r="C138" s="124"/>
      <c r="D138" s="124">
        <f>T134+T135+T136+T137+T138</f>
        <v>7787.0909999999876</v>
      </c>
      <c r="E138" s="124"/>
      <c r="F138" s="124"/>
      <c r="G138" s="124"/>
      <c r="H138" s="124"/>
      <c r="I138" s="124"/>
      <c r="J138" s="126"/>
      <c r="K138" s="126"/>
      <c r="L138" s="126"/>
      <c r="M138" s="126"/>
      <c r="N138" s="126"/>
      <c r="O138" s="188">
        <v>1941.211</v>
      </c>
      <c r="P138" s="188">
        <v>1987.951</v>
      </c>
      <c r="Q138" s="138"/>
      <c r="R138" s="242"/>
      <c r="S138" s="124">
        <v>1</v>
      </c>
      <c r="T138" s="124">
        <f t="shared" si="21"/>
        <v>46.740000000000009</v>
      </c>
      <c r="U138" s="127">
        <v>9314</v>
      </c>
      <c r="V138" s="128" t="s">
        <v>183</v>
      </c>
      <c r="W138" s="14" t="s">
        <v>22</v>
      </c>
      <c r="X138" s="7"/>
      <c r="Y138" s="7"/>
      <c r="Z138" s="7"/>
      <c r="AA138" s="7"/>
      <c r="AB138" s="7"/>
      <c r="AC138" s="7"/>
    </row>
    <row r="139" spans="1:29" ht="25.5">
      <c r="A139" s="19"/>
      <c r="B139" s="158" t="s">
        <v>185</v>
      </c>
      <c r="C139" s="124"/>
      <c r="D139" s="124">
        <f>T139+T140</f>
        <v>20713.020000000106</v>
      </c>
      <c r="E139" s="124"/>
      <c r="F139" s="124"/>
      <c r="G139" s="124"/>
      <c r="H139" s="124"/>
      <c r="I139" s="124"/>
      <c r="J139" s="126"/>
      <c r="K139" s="126"/>
      <c r="L139" s="126"/>
      <c r="M139" s="126"/>
      <c r="N139" s="126"/>
      <c r="O139" s="188">
        <v>23526.082999999999</v>
      </c>
      <c r="P139" s="188">
        <v>23995.06</v>
      </c>
      <c r="Q139" s="138"/>
      <c r="R139" s="242"/>
      <c r="S139" s="124">
        <v>40</v>
      </c>
      <c r="T139" s="124">
        <f t="shared" si="21"/>
        <v>18759.080000000104</v>
      </c>
      <c r="U139" s="127">
        <v>1793</v>
      </c>
      <c r="V139" s="128" t="s">
        <v>186</v>
      </c>
      <c r="W139" s="14" t="s">
        <v>22</v>
      </c>
      <c r="X139" s="7"/>
      <c r="Y139" s="7"/>
      <c r="Z139" s="7"/>
      <c r="AA139" s="7"/>
      <c r="AB139" s="7"/>
      <c r="AC139" s="7"/>
    </row>
    <row r="140" spans="1:29" ht="26.25">
      <c r="A140" s="19"/>
      <c r="B140" s="331"/>
      <c r="C140" s="124"/>
      <c r="D140" s="97"/>
      <c r="E140" s="97"/>
      <c r="F140" s="124"/>
      <c r="G140" s="124"/>
      <c r="H140" s="124"/>
      <c r="I140" s="124"/>
      <c r="J140" s="332"/>
      <c r="K140" s="332"/>
      <c r="L140" s="332"/>
      <c r="M140" s="332"/>
      <c r="N140" s="332"/>
      <c r="O140" s="188">
        <v>2992.3415</v>
      </c>
      <c r="P140" s="188">
        <v>3041.19</v>
      </c>
      <c r="Q140" s="7"/>
      <c r="R140" s="94"/>
      <c r="S140" s="124">
        <v>40</v>
      </c>
      <c r="T140" s="124">
        <f t="shared" si="21"/>
        <v>1953.9400000000023</v>
      </c>
      <c r="U140" s="127">
        <v>9996</v>
      </c>
      <c r="V140" s="128" t="s">
        <v>186</v>
      </c>
      <c r="W140" s="14" t="s">
        <v>22</v>
      </c>
      <c r="X140" s="7"/>
      <c r="Y140" s="7"/>
      <c r="Z140" s="7"/>
      <c r="AA140" s="7"/>
      <c r="AB140" s="7"/>
      <c r="AC140" s="7"/>
    </row>
    <row r="141" spans="1:29" ht="26.25">
      <c r="A141" s="19"/>
      <c r="B141" s="184"/>
      <c r="C141" s="84"/>
      <c r="D141" s="154"/>
      <c r="E141" s="185"/>
      <c r="F141" s="84"/>
      <c r="G141" s="84"/>
      <c r="H141" s="84"/>
      <c r="I141" s="84"/>
      <c r="J141" s="183"/>
      <c r="K141" s="183"/>
      <c r="L141" s="183"/>
      <c r="M141" s="183"/>
      <c r="N141" s="183"/>
      <c r="O141" s="155"/>
      <c r="P141" s="155"/>
      <c r="Q141" s="86"/>
      <c r="R141" s="87"/>
      <c r="S141" s="84"/>
      <c r="T141" s="84"/>
      <c r="U141" s="88"/>
      <c r="V141" s="89"/>
      <c r="W141" s="14"/>
      <c r="X141" s="7"/>
      <c r="Y141" s="7"/>
      <c r="Z141" s="7"/>
      <c r="AA141" s="7"/>
      <c r="AB141" s="7"/>
      <c r="AC141" s="7"/>
    </row>
    <row r="142" spans="1:29" ht="26.25">
      <c r="A142" s="19"/>
      <c r="B142" s="603" t="s">
        <v>709</v>
      </c>
      <c r="C142" s="604">
        <f>H142+E142+C144</f>
        <v>8073.895199999999</v>
      </c>
      <c r="D142" s="605">
        <f>T142</f>
        <v>104861.35999999999</v>
      </c>
      <c r="E142" s="606">
        <f>F142+G142</f>
        <v>7340.2951999999987</v>
      </c>
      <c r="F142" s="605">
        <f>0.04*D142</f>
        <v>4194.4543999999996</v>
      </c>
      <c r="G142" s="605">
        <f>0.03*D142</f>
        <v>3145.8407999999995</v>
      </c>
      <c r="H142" s="605"/>
      <c r="I142" s="124">
        <f>T143</f>
        <v>0</v>
      </c>
      <c r="J142" s="607"/>
      <c r="K142" s="607"/>
      <c r="L142" s="607"/>
      <c r="M142" s="607"/>
      <c r="N142" s="607" t="s">
        <v>187</v>
      </c>
      <c r="O142" s="124">
        <v>42262.16</v>
      </c>
      <c r="P142" s="124">
        <v>44184.516000000003</v>
      </c>
      <c r="Q142" s="608"/>
      <c r="R142" s="609"/>
      <c r="S142" s="605">
        <v>60</v>
      </c>
      <c r="T142" s="605">
        <f>(P142-O142)*S142-T144</f>
        <v>104861.35999999999</v>
      </c>
      <c r="U142" s="610">
        <v>14314</v>
      </c>
      <c r="V142" s="611" t="s">
        <v>188</v>
      </c>
      <c r="W142" s="14" t="s">
        <v>189</v>
      </c>
      <c r="X142" s="7"/>
      <c r="Y142" s="7"/>
      <c r="Z142" s="7"/>
      <c r="AA142" s="7"/>
      <c r="AB142" s="7"/>
      <c r="AC142" s="7"/>
    </row>
    <row r="143" spans="1:29" ht="26.25">
      <c r="A143" s="19"/>
      <c r="B143" s="186"/>
      <c r="C143" s="97"/>
      <c r="D143" s="124"/>
      <c r="E143" s="187"/>
      <c r="F143" s="124"/>
      <c r="G143" s="124"/>
      <c r="H143" s="124"/>
      <c r="I143" s="124"/>
      <c r="J143" s="126"/>
      <c r="K143" s="126"/>
      <c r="L143" s="126"/>
      <c r="M143" s="126"/>
      <c r="N143" s="126"/>
      <c r="O143" s="124"/>
      <c r="P143" s="124"/>
      <c r="Q143" s="7"/>
      <c r="R143" s="159"/>
      <c r="S143" s="124"/>
      <c r="T143" s="124"/>
      <c r="U143" s="127"/>
      <c r="V143" s="128"/>
      <c r="W143" s="14"/>
      <c r="X143" s="7"/>
      <c r="Y143" s="7"/>
      <c r="Z143" s="7"/>
      <c r="AA143" s="7"/>
      <c r="AB143" s="7"/>
      <c r="AC143" s="7"/>
    </row>
    <row r="144" spans="1:29" ht="26.25">
      <c r="A144" s="19"/>
      <c r="B144" s="331" t="s">
        <v>190</v>
      </c>
      <c r="C144" s="604">
        <f>H144+E144</f>
        <v>733.59999999999991</v>
      </c>
      <c r="D144" s="605">
        <f>T144</f>
        <v>10480</v>
      </c>
      <c r="E144" s="606">
        <f>F144+G144</f>
        <v>733.59999999999991</v>
      </c>
      <c r="F144" s="605">
        <f>0.04*D144</f>
        <v>419.2</v>
      </c>
      <c r="G144" s="605">
        <f>0.03*D144</f>
        <v>314.39999999999998</v>
      </c>
      <c r="H144" s="605"/>
      <c r="I144" s="124">
        <f>T145</f>
        <v>11920</v>
      </c>
      <c r="J144" s="607"/>
      <c r="K144" s="607"/>
      <c r="L144" s="607"/>
      <c r="M144" s="607"/>
      <c r="N144" s="607" t="s">
        <v>187</v>
      </c>
      <c r="O144" s="124">
        <v>5885</v>
      </c>
      <c r="P144" s="124">
        <v>6147</v>
      </c>
      <c r="Q144" s="608"/>
      <c r="R144" s="609"/>
      <c r="S144" s="605">
        <v>40</v>
      </c>
      <c r="T144" s="605">
        <f t="shared" si="21"/>
        <v>10480</v>
      </c>
      <c r="U144" s="127"/>
      <c r="V144" s="128" t="s">
        <v>191</v>
      </c>
      <c r="W144" s="14" t="s">
        <v>189</v>
      </c>
      <c r="X144" s="7"/>
      <c r="Y144" s="7"/>
      <c r="Z144" s="7"/>
      <c r="AA144" s="7"/>
      <c r="AB144" s="7"/>
      <c r="AC144" s="7"/>
    </row>
    <row r="145" spans="1:29" ht="26.25">
      <c r="A145" s="19"/>
      <c r="B145" s="331" t="s">
        <v>192</v>
      </c>
      <c r="C145" s="612">
        <f>E145+E146</f>
        <v>1189.08</v>
      </c>
      <c r="D145" s="124">
        <f>T145</f>
        <v>11920</v>
      </c>
      <c r="E145" s="124">
        <f>F145+G145</f>
        <v>1108.56</v>
      </c>
      <c r="F145" s="124">
        <f>0.05*D145</f>
        <v>596</v>
      </c>
      <c r="G145" s="124">
        <f>0.043*D145</f>
        <v>512.55999999999995</v>
      </c>
      <c r="H145" s="124"/>
      <c r="I145" s="124">
        <f>0.6*D145</f>
        <v>7152</v>
      </c>
      <c r="J145" s="126"/>
      <c r="K145" s="126"/>
      <c r="L145" s="126"/>
      <c r="M145" s="126"/>
      <c r="N145" s="126"/>
      <c r="O145" s="605">
        <v>16102</v>
      </c>
      <c r="P145" s="605">
        <v>16400</v>
      </c>
      <c r="Q145" s="126" t="s">
        <v>37</v>
      </c>
      <c r="R145" s="159"/>
      <c r="S145" s="140">
        <v>40</v>
      </c>
      <c r="T145" s="124">
        <f>(P145-O145)*S145</f>
        <v>11920</v>
      </c>
      <c r="U145" s="127">
        <v>1571</v>
      </c>
      <c r="V145" s="128" t="s">
        <v>193</v>
      </c>
      <c r="W145" s="14" t="s">
        <v>43</v>
      </c>
      <c r="X145" s="7"/>
      <c r="Y145" s="7"/>
      <c r="Z145" s="7"/>
      <c r="AA145" s="7"/>
      <c r="AB145" s="7"/>
      <c r="AC145" s="7"/>
    </row>
    <row r="146" spans="1:29" ht="26.25">
      <c r="A146" s="19"/>
      <c r="B146" s="158"/>
      <c r="C146" s="97"/>
      <c r="D146" s="124">
        <f>T146</f>
        <v>2684</v>
      </c>
      <c r="E146" s="124">
        <f>F146+G146</f>
        <v>80.52</v>
      </c>
      <c r="F146" s="124">
        <f>0.02*D146</f>
        <v>53.68</v>
      </c>
      <c r="G146" s="124">
        <f>0.01*D146</f>
        <v>26.84</v>
      </c>
      <c r="H146" s="124"/>
      <c r="I146" s="124">
        <f>0.6*D146</f>
        <v>1610.3999999999999</v>
      </c>
      <c r="J146" s="126"/>
      <c r="K146" s="126"/>
      <c r="L146" s="126"/>
      <c r="M146" s="126"/>
      <c r="N146" s="126"/>
      <c r="O146" s="605">
        <v>113321</v>
      </c>
      <c r="P146" s="605">
        <v>116005</v>
      </c>
      <c r="Q146" s="126"/>
      <c r="R146" s="159"/>
      <c r="S146" s="140">
        <v>1</v>
      </c>
      <c r="T146" s="124">
        <f>(P146-O146)*S146</f>
        <v>2684</v>
      </c>
      <c r="U146" s="127">
        <v>8673</v>
      </c>
      <c r="V146" s="128" t="s">
        <v>194</v>
      </c>
      <c r="W146" s="14" t="s">
        <v>43</v>
      </c>
      <c r="X146" s="7"/>
      <c r="Y146" s="7"/>
      <c r="Z146" s="7"/>
      <c r="AA146" s="7"/>
      <c r="AB146" s="7"/>
      <c r="AC146" s="7"/>
    </row>
    <row r="147" spans="1:29" ht="26.25">
      <c r="A147" s="19"/>
      <c r="B147" s="331"/>
      <c r="C147" s="97"/>
      <c r="D147" s="124"/>
      <c r="E147" s="124"/>
      <c r="F147" s="124"/>
      <c r="G147" s="124"/>
      <c r="H147" s="124"/>
      <c r="I147" s="124"/>
      <c r="J147" s="126"/>
      <c r="K147" s="126"/>
      <c r="L147" s="126"/>
      <c r="M147" s="126"/>
      <c r="N147" s="126"/>
      <c r="O147" s="124"/>
      <c r="P147" s="124"/>
      <c r="Q147" s="7"/>
      <c r="R147" s="94"/>
      <c r="S147" s="124"/>
      <c r="T147" s="124"/>
      <c r="U147" s="127"/>
      <c r="V147" s="128" t="s">
        <v>195</v>
      </c>
      <c r="W147" s="14"/>
      <c r="X147" s="7"/>
      <c r="Y147" s="7"/>
      <c r="Z147" s="7"/>
      <c r="AA147" s="7"/>
      <c r="AB147" s="7"/>
      <c r="AC147" s="7"/>
    </row>
    <row r="148" spans="1:29" ht="26.25">
      <c r="A148" s="19"/>
      <c r="B148" s="123" t="s">
        <v>196</v>
      </c>
      <c r="C148" s="612">
        <f>F148+G148</f>
        <v>2845.2375000000002</v>
      </c>
      <c r="D148" s="124">
        <f>T148</f>
        <v>40646.25</v>
      </c>
      <c r="E148" s="124">
        <f>F148+G148</f>
        <v>2845.2375000000002</v>
      </c>
      <c r="F148" s="124">
        <f>0.04*H148</f>
        <v>1625.8500000000001</v>
      </c>
      <c r="G148" s="124">
        <f>0.03*H148</f>
        <v>1219.3875</v>
      </c>
      <c r="H148" s="124">
        <f>T148</f>
        <v>40646.25</v>
      </c>
      <c r="I148" s="124">
        <f>Z525</f>
        <v>6780</v>
      </c>
      <c r="J148" s="126"/>
      <c r="K148" s="126"/>
      <c r="L148" s="126"/>
      <c r="M148" s="126"/>
      <c r="N148" s="126"/>
      <c r="O148" s="613" t="s">
        <v>800</v>
      </c>
      <c r="P148" s="613" t="s">
        <v>845</v>
      </c>
      <c r="Q148" s="126" t="s">
        <v>50</v>
      </c>
      <c r="R148" s="159"/>
      <c r="S148" s="140">
        <v>60</v>
      </c>
      <c r="T148" s="124">
        <f>(P148-O148)*S148</f>
        <v>40646.25</v>
      </c>
      <c r="U148" s="127">
        <v>27421830</v>
      </c>
      <c r="V148" s="128" t="s">
        <v>197</v>
      </c>
      <c r="W148" s="14" t="s">
        <v>198</v>
      </c>
      <c r="X148" s="7"/>
      <c r="Y148" s="7"/>
      <c r="Z148" s="7"/>
      <c r="AA148" s="7"/>
      <c r="AB148" s="7"/>
      <c r="AC148" s="7"/>
    </row>
    <row r="149" spans="1:29" ht="26.25">
      <c r="A149" s="19"/>
      <c r="B149" s="182"/>
      <c r="C149" s="154"/>
      <c r="D149" s="154"/>
      <c r="E149" s="154"/>
      <c r="F149" s="84"/>
      <c r="G149" s="84"/>
      <c r="H149" s="84"/>
      <c r="I149" s="84"/>
      <c r="J149" s="183"/>
      <c r="K149" s="183"/>
      <c r="L149" s="183"/>
      <c r="M149" s="183"/>
      <c r="N149" s="183"/>
      <c r="O149" s="84"/>
      <c r="P149" s="84"/>
      <c r="Q149" s="86"/>
      <c r="R149" s="87"/>
      <c r="S149" s="84"/>
      <c r="T149" s="84"/>
      <c r="U149" s="88"/>
      <c r="V149" s="89"/>
      <c r="W149" s="14"/>
      <c r="X149" s="7"/>
      <c r="Y149" s="7"/>
      <c r="Z149" s="7"/>
      <c r="AA149" s="7"/>
      <c r="AB149" s="7"/>
      <c r="AC149" s="7"/>
    </row>
    <row r="150" spans="1:29" ht="26.25">
      <c r="A150" s="19"/>
      <c r="B150" s="123" t="s">
        <v>199</v>
      </c>
      <c r="C150" s="97">
        <f>H150+E150</f>
        <v>0</v>
      </c>
      <c r="D150" s="124">
        <f>T150+T151</f>
        <v>0</v>
      </c>
      <c r="E150" s="124">
        <f>F150+G150</f>
        <v>0</v>
      </c>
      <c r="F150" s="124">
        <f>0.04*(H150+D150)</f>
        <v>0</v>
      </c>
      <c r="G150" s="124">
        <f>0.03*(H150+D150)</f>
        <v>0</v>
      </c>
      <c r="H150" s="124">
        <f>T152</f>
        <v>0</v>
      </c>
      <c r="I150" s="124">
        <f>0.4*C150</f>
        <v>0</v>
      </c>
      <c r="J150" s="126"/>
      <c r="K150" s="126"/>
      <c r="L150" s="126"/>
      <c r="M150" s="126"/>
      <c r="N150" s="126" t="s">
        <v>200</v>
      </c>
      <c r="O150" s="188">
        <v>1034.443</v>
      </c>
      <c r="P150" s="188">
        <v>1034.443</v>
      </c>
      <c r="Q150" s="7"/>
      <c r="R150" s="242"/>
      <c r="S150" s="140">
        <v>40</v>
      </c>
      <c r="T150" s="124">
        <f>(P150-O150)*S150</f>
        <v>0</v>
      </c>
      <c r="U150" s="127">
        <v>9834</v>
      </c>
      <c r="V150" s="128" t="s">
        <v>197</v>
      </c>
      <c r="W150" s="14" t="s">
        <v>116</v>
      </c>
      <c r="X150" s="7"/>
      <c r="Y150" s="7"/>
      <c r="Z150" s="7"/>
      <c r="AA150" s="7"/>
      <c r="AB150" s="7"/>
      <c r="AC150" s="7"/>
    </row>
    <row r="151" spans="1:29" ht="26.25">
      <c r="A151" s="19"/>
      <c r="B151" s="158"/>
      <c r="C151" s="97"/>
      <c r="D151" s="124"/>
      <c r="E151" s="124"/>
      <c r="F151" s="124"/>
      <c r="G151" s="124"/>
      <c r="H151" s="124"/>
      <c r="I151" s="124">
        <f>0.4*C151</f>
        <v>0</v>
      </c>
      <c r="J151" s="126"/>
      <c r="K151" s="126"/>
      <c r="L151" s="126"/>
      <c r="M151" s="126"/>
      <c r="N151" s="126"/>
      <c r="O151" s="188">
        <v>400.12200000000001</v>
      </c>
      <c r="P151" s="188">
        <v>400.12200000000001</v>
      </c>
      <c r="Q151" s="7"/>
      <c r="R151" s="159"/>
      <c r="S151" s="140">
        <v>30</v>
      </c>
      <c r="T151" s="124">
        <f>(P151-O151)*S151</f>
        <v>0</v>
      </c>
      <c r="U151" s="127">
        <v>9861</v>
      </c>
      <c r="V151" s="128"/>
      <c r="W151" s="14" t="s">
        <v>116</v>
      </c>
      <c r="X151" s="7"/>
      <c r="Y151" s="7"/>
      <c r="Z151" s="7"/>
      <c r="AA151" s="7"/>
      <c r="AB151" s="7"/>
      <c r="AC151" s="7"/>
    </row>
    <row r="152" spans="1:29" ht="26.25">
      <c r="A152" s="19"/>
      <c r="B152" s="83"/>
      <c r="C152" s="154"/>
      <c r="D152" s="84"/>
      <c r="E152" s="84"/>
      <c r="F152" s="84"/>
      <c r="G152" s="84"/>
      <c r="H152" s="84"/>
      <c r="I152" s="154"/>
      <c r="J152" s="130"/>
      <c r="K152" s="130"/>
      <c r="L152" s="130"/>
      <c r="M152" s="130"/>
      <c r="N152" s="130"/>
      <c r="O152" s="84"/>
      <c r="P152" s="84"/>
      <c r="Q152" s="86"/>
      <c r="R152" s="130"/>
      <c r="S152" s="85"/>
      <c r="T152" s="84"/>
      <c r="U152" s="88"/>
      <c r="V152" s="89"/>
      <c r="W152" s="14"/>
      <c r="X152" s="7"/>
      <c r="Y152" s="7"/>
      <c r="Z152" s="7"/>
      <c r="AA152" s="7"/>
      <c r="AB152" s="7"/>
      <c r="AC152" s="7"/>
    </row>
    <row r="153" spans="1:29" ht="26.25">
      <c r="A153" s="19"/>
      <c r="B153" s="158"/>
      <c r="C153" s="97"/>
      <c r="D153" s="124"/>
      <c r="E153" s="124"/>
      <c r="F153" s="124"/>
      <c r="G153" s="124"/>
      <c r="H153" s="124"/>
      <c r="I153" s="97"/>
      <c r="J153" s="126"/>
      <c r="K153" s="126"/>
      <c r="L153" s="126"/>
      <c r="M153" s="126"/>
      <c r="N153" s="126"/>
      <c r="O153" s="188"/>
      <c r="P153" s="188"/>
      <c r="Q153" s="7"/>
      <c r="R153" s="189"/>
      <c r="S153" s="140"/>
      <c r="T153" s="124"/>
      <c r="U153" s="127"/>
      <c r="V153" s="128"/>
      <c r="W153" s="14"/>
      <c r="X153" s="7"/>
      <c r="Y153" s="7"/>
      <c r="Z153" s="7"/>
      <c r="AA153" s="7"/>
      <c r="AB153" s="7"/>
      <c r="AC153" s="7"/>
    </row>
    <row r="154" spans="1:29" ht="26.25">
      <c r="A154" s="19"/>
      <c r="B154" s="123" t="s">
        <v>201</v>
      </c>
      <c r="C154" s="97">
        <f>H154+E154</f>
        <v>81.743199999999888</v>
      </c>
      <c r="D154" s="345">
        <f>T154+T156+T157+T159+T160+T161</f>
        <v>287078.26</v>
      </c>
      <c r="E154" s="124">
        <f>G154+F154</f>
        <v>81.743199999999888</v>
      </c>
      <c r="F154" s="124">
        <f>0.04*(T160+T161)</f>
        <v>46.710399999999936</v>
      </c>
      <c r="G154" s="124">
        <f>0.03*(T160+T161)</f>
        <v>35.032799999999952</v>
      </c>
      <c r="H154" s="124"/>
      <c r="I154" s="124">
        <f>0.54*(T160+T161)*0</f>
        <v>0</v>
      </c>
      <c r="J154" s="126"/>
      <c r="K154" s="126"/>
      <c r="L154" s="126"/>
      <c r="M154" s="126"/>
      <c r="N154" s="126"/>
      <c r="O154" s="188"/>
      <c r="P154" s="188"/>
      <c r="Q154" s="7"/>
      <c r="R154" s="242"/>
      <c r="S154" s="140"/>
      <c r="T154" s="124"/>
      <c r="U154" s="127"/>
      <c r="V154" s="128" t="s">
        <v>197</v>
      </c>
      <c r="W154" s="14"/>
      <c r="X154" s="7"/>
      <c r="Y154" s="7"/>
      <c r="Z154" s="7"/>
      <c r="AA154" s="7"/>
      <c r="AB154" s="7"/>
      <c r="AC154" s="7"/>
    </row>
    <row r="155" spans="1:29" ht="25.5">
      <c r="A155" s="19"/>
      <c r="B155" s="158"/>
      <c r="C155" s="124"/>
      <c r="D155" s="124"/>
      <c r="E155" s="124"/>
      <c r="F155" s="124"/>
      <c r="G155" s="124"/>
      <c r="H155" s="124"/>
      <c r="I155" s="124">
        <f>0.54*C155</f>
        <v>0</v>
      </c>
      <c r="J155" s="126"/>
      <c r="K155" s="126"/>
      <c r="L155" s="126"/>
      <c r="M155" s="126"/>
      <c r="N155" s="126"/>
      <c r="O155" s="675"/>
      <c r="P155" s="675"/>
      <c r="Q155" s="7"/>
      <c r="R155" s="242"/>
      <c r="S155" s="140"/>
      <c r="T155" s="124"/>
      <c r="U155" s="127"/>
      <c r="V155" s="128"/>
      <c r="W155" s="14"/>
      <c r="X155" s="7"/>
      <c r="Y155" s="7"/>
      <c r="Z155" s="7"/>
      <c r="AA155" s="7"/>
      <c r="AB155" s="7"/>
      <c r="AC155" s="7"/>
    </row>
    <row r="156" spans="1:29" ht="25.5">
      <c r="A156" s="19"/>
      <c r="B156" s="158"/>
      <c r="C156" s="124"/>
      <c r="D156" s="124"/>
      <c r="E156" s="124"/>
      <c r="F156" s="124"/>
      <c r="G156" s="124"/>
      <c r="H156" s="124"/>
      <c r="I156" s="124">
        <f>0.54*C156</f>
        <v>0</v>
      </c>
      <c r="J156" s="126"/>
      <c r="K156" s="126"/>
      <c r="L156" s="126"/>
      <c r="M156" s="126"/>
      <c r="N156" s="126"/>
      <c r="O156" s="613" t="s">
        <v>833</v>
      </c>
      <c r="P156" s="613" t="s">
        <v>917</v>
      </c>
      <c r="Q156" s="7"/>
      <c r="R156" s="242"/>
      <c r="S156" s="140">
        <v>300</v>
      </c>
      <c r="T156" s="124">
        <f>(P156-O156)*S156</f>
        <v>183591.9</v>
      </c>
      <c r="U156" s="127">
        <v>257</v>
      </c>
      <c r="V156" s="128" t="s">
        <v>202</v>
      </c>
      <c r="W156" s="191" t="s">
        <v>203</v>
      </c>
      <c r="X156" s="7"/>
      <c r="Y156" s="7"/>
      <c r="Z156" s="7"/>
      <c r="AA156" s="7"/>
      <c r="AB156" s="7"/>
      <c r="AC156" s="7"/>
    </row>
    <row r="157" spans="1:29" ht="25.5">
      <c r="A157" s="19"/>
      <c r="B157" s="158"/>
      <c r="C157" s="124"/>
      <c r="D157" s="124"/>
      <c r="E157" s="124"/>
      <c r="F157" s="124"/>
      <c r="G157" s="124"/>
      <c r="H157" s="124"/>
      <c r="I157" s="124">
        <f>0.54*C157</f>
        <v>0</v>
      </c>
      <c r="J157" s="126"/>
      <c r="K157" s="126"/>
      <c r="L157" s="126"/>
      <c r="M157" s="126"/>
      <c r="N157" s="126"/>
      <c r="O157" s="613" t="s">
        <v>835</v>
      </c>
      <c r="P157" s="613" t="s">
        <v>918</v>
      </c>
      <c r="Q157" s="7"/>
      <c r="R157" s="242"/>
      <c r="S157" s="140">
        <v>300</v>
      </c>
      <c r="T157" s="124">
        <f>(P157-O157)*S157</f>
        <v>102318.59999999998</v>
      </c>
      <c r="U157" s="127">
        <v>851</v>
      </c>
      <c r="V157" s="128" t="s">
        <v>202</v>
      </c>
      <c r="W157" s="14" t="s">
        <v>35</v>
      </c>
      <c r="X157" s="7"/>
      <c r="Y157" s="7"/>
      <c r="Z157" s="7"/>
      <c r="AA157" s="7"/>
      <c r="AB157" s="7"/>
      <c r="AC157" s="7"/>
    </row>
    <row r="158" spans="1:29" ht="25.5">
      <c r="A158" s="19"/>
      <c r="B158" s="83"/>
      <c r="C158" s="84"/>
      <c r="D158" s="84"/>
      <c r="E158" s="84"/>
      <c r="F158" s="84"/>
      <c r="G158" s="84"/>
      <c r="H158" s="84"/>
      <c r="I158" s="84"/>
      <c r="J158" s="130"/>
      <c r="K158" s="130"/>
      <c r="L158" s="130"/>
      <c r="M158" s="130"/>
      <c r="N158" s="130"/>
      <c r="O158" s="190"/>
      <c r="P158" s="190"/>
      <c r="Q158" s="86"/>
      <c r="R158" s="181"/>
      <c r="S158" s="156"/>
      <c r="T158" s="84"/>
      <c r="U158" s="88"/>
      <c r="V158" s="89"/>
      <c r="W158" s="14"/>
      <c r="X158" s="7"/>
      <c r="Y158" s="7"/>
      <c r="Z158" s="7"/>
      <c r="AA158" s="7"/>
      <c r="AB158" s="7"/>
      <c r="AC158" s="7"/>
    </row>
    <row r="159" spans="1:29" ht="25.5">
      <c r="A159" s="19"/>
      <c r="B159" s="83"/>
      <c r="C159" s="84"/>
      <c r="D159" s="84"/>
      <c r="E159" s="84"/>
      <c r="F159" s="84"/>
      <c r="G159" s="84"/>
      <c r="H159" s="84"/>
      <c r="I159" s="84"/>
      <c r="J159" s="130"/>
      <c r="K159" s="130"/>
      <c r="L159" s="130"/>
      <c r="M159" s="130"/>
      <c r="N159" s="130"/>
      <c r="O159" s="155"/>
      <c r="P159" s="155"/>
      <c r="Q159" s="86"/>
      <c r="R159" s="181"/>
      <c r="S159" s="156"/>
      <c r="T159" s="84"/>
      <c r="U159" s="88"/>
      <c r="V159" s="89"/>
      <c r="W159" s="14"/>
      <c r="X159" s="7"/>
      <c r="Y159" s="7"/>
      <c r="Z159" s="7"/>
      <c r="AA159" s="7"/>
      <c r="AB159" s="7"/>
      <c r="AC159" s="7"/>
    </row>
    <row r="160" spans="1:29" ht="25.5">
      <c r="A160" s="19"/>
      <c r="B160" s="158"/>
      <c r="C160" s="124"/>
      <c r="D160" s="124"/>
      <c r="E160" s="124"/>
      <c r="F160" s="124"/>
      <c r="G160" s="124"/>
      <c r="H160" s="124"/>
      <c r="I160" s="124">
        <f>0.54*C160</f>
        <v>0</v>
      </c>
      <c r="J160" s="126"/>
      <c r="K160" s="126"/>
      <c r="L160" s="126"/>
      <c r="M160" s="126"/>
      <c r="N160" s="126"/>
      <c r="O160" s="188">
        <v>2274.2689999999998</v>
      </c>
      <c r="P160" s="188">
        <v>2303.3969999999999</v>
      </c>
      <c r="Q160" s="7"/>
      <c r="R160" s="242"/>
      <c r="S160" s="140">
        <v>40</v>
      </c>
      <c r="T160" s="124">
        <f>(P160-O160)*S160</f>
        <v>1165.1200000000063</v>
      </c>
      <c r="U160" s="127">
        <v>6289</v>
      </c>
      <c r="V160" s="128" t="s">
        <v>204</v>
      </c>
      <c r="W160" s="14" t="s">
        <v>116</v>
      </c>
      <c r="X160" s="7"/>
      <c r="Y160" s="7"/>
      <c r="Z160" s="7"/>
      <c r="AA160" s="7"/>
      <c r="AB160" s="7"/>
      <c r="AC160" s="7"/>
    </row>
    <row r="161" spans="1:29" ht="25.5">
      <c r="A161" s="19"/>
      <c r="B161" s="158"/>
      <c r="C161" s="124"/>
      <c r="D161" s="124"/>
      <c r="E161" s="124"/>
      <c r="F161" s="124"/>
      <c r="G161" s="124"/>
      <c r="H161" s="124"/>
      <c r="I161" s="124">
        <f>0.54*C161</f>
        <v>0</v>
      </c>
      <c r="J161" s="126"/>
      <c r="K161" s="126"/>
      <c r="L161" s="126"/>
      <c r="M161" s="126"/>
      <c r="N161" s="126"/>
      <c r="O161" s="188">
        <v>2063.9850000000001</v>
      </c>
      <c r="P161" s="188">
        <v>2064.0729999999999</v>
      </c>
      <c r="Q161" s="7"/>
      <c r="R161" s="242"/>
      <c r="S161" s="140">
        <v>30</v>
      </c>
      <c r="T161" s="124">
        <f>(P161-O161)*S161</f>
        <v>2.639999999992142</v>
      </c>
      <c r="U161" s="127">
        <v>9845</v>
      </c>
      <c r="V161" s="128" t="s">
        <v>204</v>
      </c>
      <c r="W161" s="14" t="s">
        <v>116</v>
      </c>
      <c r="X161" s="7"/>
      <c r="Y161" s="7"/>
      <c r="Z161" s="7"/>
      <c r="AA161" s="7"/>
      <c r="AB161" s="7"/>
      <c r="AC161" s="7"/>
    </row>
    <row r="162" spans="1:29" ht="26.25">
      <c r="A162" s="19"/>
      <c r="B162" s="123" t="s">
        <v>205</v>
      </c>
      <c r="C162" s="612">
        <f>F162+G162</f>
        <v>392.95199999999937</v>
      </c>
      <c r="D162" s="124">
        <f>H162+E162</f>
        <v>6006.5519999999906</v>
      </c>
      <c r="E162" s="124">
        <f>F162+G162</f>
        <v>392.95199999999937</v>
      </c>
      <c r="F162" s="124">
        <f>0.04*H162</f>
        <v>224.54399999999964</v>
      </c>
      <c r="G162" s="124">
        <f>0.03*H162</f>
        <v>168.40799999999973</v>
      </c>
      <c r="H162" s="124">
        <f>T162</f>
        <v>5613.5999999999913</v>
      </c>
      <c r="I162" s="124">
        <f>(X518-W518)*40</f>
        <v>856.400000000001</v>
      </c>
      <c r="J162" s="126"/>
      <c r="K162" s="126"/>
      <c r="L162" s="126"/>
      <c r="M162" s="126"/>
      <c r="N162" s="126"/>
      <c r="O162" s="188">
        <v>8547.1</v>
      </c>
      <c r="P162" s="188">
        <v>8781</v>
      </c>
      <c r="Q162" s="138"/>
      <c r="R162" s="215"/>
      <c r="S162" s="140">
        <v>24</v>
      </c>
      <c r="T162" s="124">
        <f>(P162-O162)*S162</f>
        <v>5613.5999999999913</v>
      </c>
      <c r="U162" s="127">
        <v>5667</v>
      </c>
      <c r="V162" s="128" t="s">
        <v>206</v>
      </c>
      <c r="W162" s="14" t="s">
        <v>116</v>
      </c>
      <c r="X162" s="7"/>
      <c r="Y162" s="7"/>
      <c r="Z162" s="7"/>
      <c r="AA162" s="7"/>
      <c r="AB162" s="7"/>
      <c r="AC162" s="7"/>
    </row>
    <row r="163" spans="1:29" ht="26.25">
      <c r="A163" s="19"/>
      <c r="B163" s="96" t="s">
        <v>207</v>
      </c>
      <c r="C163" s="192">
        <f>SUM(C134:C162)</f>
        <v>15311.515670000006</v>
      </c>
      <c r="D163" s="124">
        <f>SUM(D138:D162)</f>
        <v>492176.53300000005</v>
      </c>
      <c r="E163" s="115"/>
      <c r="F163" s="115"/>
      <c r="G163" s="115"/>
      <c r="H163" s="115"/>
      <c r="I163" s="115"/>
      <c r="J163" s="164"/>
      <c r="K163" s="164"/>
      <c r="L163" s="164"/>
      <c r="M163" s="164"/>
      <c r="N163" s="164"/>
      <c r="O163" s="91"/>
      <c r="P163" s="91"/>
      <c r="Q163" s="7"/>
      <c r="R163" s="94"/>
      <c r="S163" s="91"/>
      <c r="T163" s="91"/>
      <c r="U163" s="95"/>
      <c r="V163" s="569"/>
      <c r="W163" s="14"/>
      <c r="X163" s="7"/>
      <c r="Y163" s="7"/>
      <c r="Z163" s="7"/>
      <c r="AA163" s="7"/>
      <c r="AB163" s="7"/>
      <c r="AC163" s="7"/>
    </row>
    <row r="164" spans="1:29" ht="56.25" customHeight="1">
      <c r="A164" s="19"/>
      <c r="B164" s="499"/>
      <c r="C164" s="500"/>
      <c r="D164" s="501"/>
      <c r="E164" s="502"/>
      <c r="F164" s="500"/>
      <c r="G164" s="500"/>
      <c r="H164" s="500"/>
      <c r="I164" s="500"/>
      <c r="J164" s="503"/>
      <c r="K164" s="503"/>
      <c r="L164" s="503"/>
      <c r="M164" s="503"/>
      <c r="N164" s="503"/>
      <c r="O164" s="500"/>
      <c r="P164" s="500"/>
      <c r="Q164" s="504"/>
      <c r="R164" s="505"/>
      <c r="S164" s="500"/>
      <c r="T164" s="500"/>
      <c r="U164" s="506"/>
      <c r="V164" s="507"/>
      <c r="W164" s="14"/>
      <c r="X164" s="7"/>
      <c r="Y164" s="7"/>
      <c r="Z164" s="7"/>
      <c r="AA164" s="7"/>
      <c r="AB164" s="7"/>
      <c r="AC164" s="7"/>
    </row>
    <row r="165" spans="1:29" ht="26.25">
      <c r="A165" s="19"/>
      <c r="B165" s="193" t="s">
        <v>208</v>
      </c>
      <c r="C165" s="91"/>
      <c r="D165" s="115"/>
      <c r="E165" s="115"/>
      <c r="F165" s="91"/>
      <c r="G165" s="91"/>
      <c r="H165" s="91"/>
      <c r="I165" s="91"/>
      <c r="J165" s="164"/>
      <c r="K165" s="164"/>
      <c r="L165" s="164"/>
      <c r="M165" s="164"/>
      <c r="N165" s="164"/>
      <c r="O165" s="91"/>
      <c r="P165" s="91"/>
      <c r="Q165" s="7"/>
      <c r="R165" s="94"/>
      <c r="S165" s="91"/>
      <c r="T165" s="91"/>
      <c r="U165" s="95"/>
      <c r="V165" s="569"/>
      <c r="W165" s="14"/>
      <c r="X165" s="7"/>
      <c r="Y165" s="7"/>
      <c r="Z165" s="7"/>
      <c r="AA165" s="7"/>
      <c r="AB165" s="7"/>
      <c r="AC165" s="7"/>
    </row>
    <row r="166" spans="1:29" ht="25.5">
      <c r="A166" s="19"/>
      <c r="B166" s="132" t="s">
        <v>209</v>
      </c>
      <c r="C166" s="124">
        <f t="shared" ref="C166:C176" si="22">H166+E166</f>
        <v>740.44</v>
      </c>
      <c r="D166" s="124"/>
      <c r="E166" s="124">
        <f t="shared" ref="E166:E174" si="23">F166+G166</f>
        <v>48.44</v>
      </c>
      <c r="F166" s="124">
        <f t="shared" ref="F166:F174" si="24">0.04*H166</f>
        <v>27.68</v>
      </c>
      <c r="G166" s="124">
        <f t="shared" ref="G166:G174" si="25">0.03*H166</f>
        <v>20.759999999999998</v>
      </c>
      <c r="H166" s="124">
        <f>T166</f>
        <v>692</v>
      </c>
      <c r="I166" s="124">
        <f t="shared" ref="I166:I173" si="26">0.6*C166</f>
        <v>444.26400000000001</v>
      </c>
      <c r="J166" s="126"/>
      <c r="K166" s="126"/>
      <c r="L166" s="126"/>
      <c r="M166" s="126"/>
      <c r="N166" s="126"/>
      <c r="O166" s="124">
        <v>24162</v>
      </c>
      <c r="P166" s="124">
        <v>24854</v>
      </c>
      <c r="Q166" s="7"/>
      <c r="R166" s="94"/>
      <c r="S166" s="124">
        <v>1</v>
      </c>
      <c r="T166" s="124">
        <f t="shared" ref="T166:T230" si="27">(P166-O166)*S166</f>
        <v>692</v>
      </c>
      <c r="U166" s="127">
        <v>179316</v>
      </c>
      <c r="V166" s="128" t="s">
        <v>210</v>
      </c>
      <c r="W166" s="14" t="s">
        <v>82</v>
      </c>
      <c r="X166" s="7"/>
      <c r="Y166" s="7"/>
      <c r="Z166" s="7"/>
      <c r="AA166" s="7"/>
      <c r="AB166" s="7"/>
      <c r="AC166" s="7"/>
    </row>
    <row r="167" spans="1:29" ht="25.5">
      <c r="A167" s="19"/>
      <c r="B167" s="158" t="s">
        <v>897</v>
      </c>
      <c r="C167" s="124">
        <f t="shared" si="22"/>
        <v>69.55</v>
      </c>
      <c r="D167" s="124"/>
      <c r="E167" s="124">
        <f t="shared" si="23"/>
        <v>4.55</v>
      </c>
      <c r="F167" s="124">
        <f t="shared" si="24"/>
        <v>2.6</v>
      </c>
      <c r="G167" s="124">
        <f t="shared" si="25"/>
        <v>1.95</v>
      </c>
      <c r="H167" s="124">
        <f t="shared" ref="H167:H175" si="28">T167</f>
        <v>65</v>
      </c>
      <c r="I167" s="124">
        <f t="shared" si="26"/>
        <v>41.73</v>
      </c>
      <c r="J167" s="126"/>
      <c r="K167" s="126"/>
      <c r="L167" s="126"/>
      <c r="M167" s="126"/>
      <c r="N167" s="126"/>
      <c r="O167" s="124">
        <v>70511</v>
      </c>
      <c r="P167" s="124">
        <v>70576</v>
      </c>
      <c r="Q167" s="138"/>
      <c r="R167" s="215"/>
      <c r="S167" s="140">
        <v>1</v>
      </c>
      <c r="T167" s="124">
        <f>(P167-O167)*S167</f>
        <v>65</v>
      </c>
      <c r="U167" s="127"/>
      <c r="V167" s="128" t="s">
        <v>807</v>
      </c>
      <c r="W167" s="14" t="s">
        <v>212</v>
      </c>
      <c r="X167" s="7"/>
      <c r="Y167" s="7"/>
      <c r="Z167" s="7"/>
      <c r="AA167" s="7"/>
      <c r="AB167" s="7"/>
      <c r="AC167" s="7"/>
    </row>
    <row r="168" spans="1:29" ht="25.5">
      <c r="A168" s="19"/>
      <c r="B168" s="158" t="s">
        <v>213</v>
      </c>
      <c r="C168" s="124">
        <f t="shared" si="22"/>
        <v>64.2</v>
      </c>
      <c r="D168" s="124"/>
      <c r="E168" s="124">
        <f t="shared" si="23"/>
        <v>4.1999999999999993</v>
      </c>
      <c r="F168" s="124">
        <f t="shared" si="24"/>
        <v>2.4</v>
      </c>
      <c r="G168" s="124">
        <f t="shared" si="25"/>
        <v>1.7999999999999998</v>
      </c>
      <c r="H168" s="124">
        <f t="shared" si="28"/>
        <v>60</v>
      </c>
      <c r="I168" s="124">
        <f t="shared" si="26"/>
        <v>38.520000000000003</v>
      </c>
      <c r="J168" s="126"/>
      <c r="K168" s="126"/>
      <c r="L168" s="126"/>
      <c r="M168" s="126"/>
      <c r="N168" s="126"/>
      <c r="O168" s="124">
        <v>9704</v>
      </c>
      <c r="P168" s="124">
        <v>9764</v>
      </c>
      <c r="Q168" s="126" t="s">
        <v>33</v>
      </c>
      <c r="R168" s="159"/>
      <c r="S168" s="140">
        <v>1</v>
      </c>
      <c r="T168" s="124">
        <f t="shared" si="27"/>
        <v>60</v>
      </c>
      <c r="U168" s="127"/>
      <c r="V168" s="128" t="s">
        <v>214</v>
      </c>
      <c r="W168" s="14" t="s">
        <v>212</v>
      </c>
      <c r="X168" s="7"/>
      <c r="Y168" s="7"/>
      <c r="Z168" s="7"/>
      <c r="AA168" s="7"/>
      <c r="AB168" s="7"/>
      <c r="AC168" s="7"/>
    </row>
    <row r="169" spans="1:29" ht="25.5">
      <c r="A169" s="19"/>
      <c r="B169" s="158" t="s">
        <v>215</v>
      </c>
      <c r="C169" s="625">
        <f t="shared" si="22"/>
        <v>485.78</v>
      </c>
      <c r="D169" s="625"/>
      <c r="E169" s="625">
        <f t="shared" si="23"/>
        <v>31.78</v>
      </c>
      <c r="F169" s="625">
        <f t="shared" si="24"/>
        <v>18.16</v>
      </c>
      <c r="G169" s="625">
        <f t="shared" si="25"/>
        <v>13.62</v>
      </c>
      <c r="H169" s="625">
        <f t="shared" si="28"/>
        <v>454</v>
      </c>
      <c r="I169" s="625">
        <f t="shared" si="26"/>
        <v>291.46799999999996</v>
      </c>
      <c r="J169" s="626"/>
      <c r="K169" s="626"/>
      <c r="L169" s="626"/>
      <c r="M169" s="626"/>
      <c r="N169" s="626"/>
      <c r="O169" s="625">
        <v>22449</v>
      </c>
      <c r="P169" s="625">
        <v>22903</v>
      </c>
      <c r="Q169" s="626" t="s">
        <v>33</v>
      </c>
      <c r="R169" s="627"/>
      <c r="S169" s="628">
        <v>1</v>
      </c>
      <c r="T169" s="625">
        <f t="shared" si="27"/>
        <v>454</v>
      </c>
      <c r="U169" s="127">
        <v>6648</v>
      </c>
      <c r="V169" s="128" t="s">
        <v>216</v>
      </c>
      <c r="W169" s="14" t="s">
        <v>48</v>
      </c>
      <c r="X169" s="7"/>
      <c r="Y169" s="7"/>
      <c r="Z169" s="7"/>
      <c r="AA169" s="7"/>
      <c r="AB169" s="7"/>
      <c r="AC169" s="7"/>
    </row>
    <row r="170" spans="1:29" ht="25.5">
      <c r="A170" s="19"/>
      <c r="B170" s="158" t="s">
        <v>217</v>
      </c>
      <c r="C170" s="124">
        <f t="shared" si="22"/>
        <v>2149.63</v>
      </c>
      <c r="D170" s="124"/>
      <c r="E170" s="124">
        <f t="shared" si="23"/>
        <v>140.63</v>
      </c>
      <c r="F170" s="124">
        <f t="shared" si="24"/>
        <v>80.36</v>
      </c>
      <c r="G170" s="124">
        <f t="shared" si="25"/>
        <v>60.269999999999996</v>
      </c>
      <c r="H170" s="124">
        <f t="shared" si="28"/>
        <v>2009</v>
      </c>
      <c r="I170" s="124">
        <f t="shared" si="26"/>
        <v>1289.778</v>
      </c>
      <c r="J170" s="126"/>
      <c r="K170" s="126"/>
      <c r="L170" s="126"/>
      <c r="M170" s="126"/>
      <c r="N170" s="126"/>
      <c r="O170" s="124">
        <v>79085</v>
      </c>
      <c r="P170" s="124">
        <v>81094</v>
      </c>
      <c r="Q170" s="7"/>
      <c r="R170" s="94"/>
      <c r="S170" s="140">
        <v>1</v>
      </c>
      <c r="T170" s="124">
        <f t="shared" si="27"/>
        <v>2009</v>
      </c>
      <c r="U170" s="127"/>
      <c r="V170" s="128" t="s">
        <v>218</v>
      </c>
      <c r="W170" s="14" t="s">
        <v>212</v>
      </c>
      <c r="X170" s="7"/>
      <c r="Y170" s="7"/>
      <c r="Z170" s="7"/>
      <c r="AA170" s="7"/>
      <c r="AB170" s="7"/>
      <c r="AC170" s="7"/>
    </row>
    <row r="171" spans="1:29" ht="25.5">
      <c r="A171" s="19"/>
      <c r="B171" s="158" t="s">
        <v>219</v>
      </c>
      <c r="C171" s="124">
        <f t="shared" si="22"/>
        <v>4844.96</v>
      </c>
      <c r="D171" s="124"/>
      <c r="E171" s="124">
        <f t="shared" si="23"/>
        <v>316.96000000000004</v>
      </c>
      <c r="F171" s="124">
        <f t="shared" si="24"/>
        <v>181.12</v>
      </c>
      <c r="G171" s="124">
        <f t="shared" si="25"/>
        <v>135.84</v>
      </c>
      <c r="H171" s="124">
        <f t="shared" si="28"/>
        <v>4528</v>
      </c>
      <c r="I171" s="124">
        <f t="shared" si="26"/>
        <v>2906.9760000000001</v>
      </c>
      <c r="J171" s="126"/>
      <c r="K171" s="126"/>
      <c r="L171" s="126"/>
      <c r="M171" s="126"/>
      <c r="N171" s="126"/>
      <c r="O171" s="124">
        <v>196230</v>
      </c>
      <c r="P171" s="124">
        <v>200758</v>
      </c>
      <c r="Q171" s="126"/>
      <c r="R171" s="159"/>
      <c r="S171" s="140">
        <v>1</v>
      </c>
      <c r="T171" s="124">
        <f t="shared" si="27"/>
        <v>4528</v>
      </c>
      <c r="U171" s="127"/>
      <c r="V171" s="128" t="s">
        <v>220</v>
      </c>
      <c r="W171" s="14" t="s">
        <v>212</v>
      </c>
      <c r="X171" s="7"/>
      <c r="Y171" s="7"/>
      <c r="Z171" s="7"/>
      <c r="AA171" s="7"/>
      <c r="AB171" s="7"/>
      <c r="AC171" s="7"/>
    </row>
    <row r="172" spans="1:29" s="195" customFormat="1" ht="25.5">
      <c r="A172" s="194"/>
      <c r="B172" s="158" t="s">
        <v>221</v>
      </c>
      <c r="C172" s="124">
        <f t="shared" si="22"/>
        <v>778.96</v>
      </c>
      <c r="D172" s="124"/>
      <c r="E172" s="124">
        <f t="shared" si="23"/>
        <v>50.96</v>
      </c>
      <c r="F172" s="124">
        <f t="shared" si="24"/>
        <v>29.12</v>
      </c>
      <c r="G172" s="124">
        <f t="shared" si="25"/>
        <v>21.84</v>
      </c>
      <c r="H172" s="124">
        <f t="shared" si="28"/>
        <v>728</v>
      </c>
      <c r="I172" s="124">
        <f t="shared" si="26"/>
        <v>467.37599999999998</v>
      </c>
      <c r="J172" s="332"/>
      <c r="K172" s="332"/>
      <c r="L172" s="332"/>
      <c r="M172" s="332"/>
      <c r="N172" s="332"/>
      <c r="O172" s="124">
        <v>31999</v>
      </c>
      <c r="P172" s="124">
        <v>32727</v>
      </c>
      <c r="Q172" s="7"/>
      <c r="R172" s="159"/>
      <c r="S172" s="140">
        <v>1</v>
      </c>
      <c r="T172" s="124">
        <f t="shared" si="27"/>
        <v>728</v>
      </c>
      <c r="U172" s="127"/>
      <c r="V172" s="128" t="s">
        <v>222</v>
      </c>
      <c r="W172" s="14" t="s">
        <v>212</v>
      </c>
      <c r="X172" s="86"/>
      <c r="Y172" s="86"/>
      <c r="Z172" s="86"/>
      <c r="AA172" s="86"/>
      <c r="AB172" s="86"/>
      <c r="AC172" s="86"/>
    </row>
    <row r="173" spans="1:29" ht="25.5">
      <c r="A173" s="19"/>
      <c r="B173" s="132"/>
      <c r="C173" s="124">
        <f t="shared" si="22"/>
        <v>150.87</v>
      </c>
      <c r="D173" s="124"/>
      <c r="E173" s="124">
        <f t="shared" si="23"/>
        <v>9.8699999999999992</v>
      </c>
      <c r="F173" s="124">
        <f t="shared" si="24"/>
        <v>5.64</v>
      </c>
      <c r="G173" s="124">
        <f t="shared" si="25"/>
        <v>4.2299999999999995</v>
      </c>
      <c r="H173" s="124">
        <f t="shared" si="28"/>
        <v>141</v>
      </c>
      <c r="I173" s="124">
        <f t="shared" si="26"/>
        <v>90.522000000000006</v>
      </c>
      <c r="J173" s="126"/>
      <c r="K173" s="126"/>
      <c r="L173" s="126"/>
      <c r="M173" s="126"/>
      <c r="N173" s="126"/>
      <c r="O173" s="124">
        <v>26100</v>
      </c>
      <c r="P173" s="124">
        <v>26241</v>
      </c>
      <c r="Q173" s="7"/>
      <c r="R173" s="94"/>
      <c r="S173" s="140">
        <v>1</v>
      </c>
      <c r="T173" s="124">
        <f t="shared" si="27"/>
        <v>141</v>
      </c>
      <c r="U173" s="127">
        <v>8383</v>
      </c>
      <c r="V173" s="128" t="s">
        <v>223</v>
      </c>
      <c r="W173" s="14" t="s">
        <v>212</v>
      </c>
      <c r="X173" s="7"/>
      <c r="Y173" s="7"/>
      <c r="Z173" s="7"/>
      <c r="AA173" s="7"/>
      <c r="AB173" s="7"/>
      <c r="AC173" s="7"/>
    </row>
    <row r="174" spans="1:29" ht="40.5" customHeight="1">
      <c r="A174" s="19"/>
      <c r="B174" s="123" t="s">
        <v>224</v>
      </c>
      <c r="C174" s="97">
        <f t="shared" si="22"/>
        <v>14696.664000000199</v>
      </c>
      <c r="D174" s="97"/>
      <c r="E174" s="97">
        <f t="shared" si="23"/>
        <v>961.46400000001313</v>
      </c>
      <c r="F174" s="97">
        <f t="shared" si="24"/>
        <v>549.40800000000752</v>
      </c>
      <c r="G174" s="97">
        <f t="shared" si="25"/>
        <v>412.05600000000555</v>
      </c>
      <c r="H174" s="97">
        <f t="shared" si="28"/>
        <v>13735.200000000186</v>
      </c>
      <c r="I174" s="97">
        <f>T175+250+750</f>
        <v>1000</v>
      </c>
      <c r="J174" s="332"/>
      <c r="K174" s="332"/>
      <c r="L174" s="332"/>
      <c r="M174" s="332"/>
      <c r="N174" s="332"/>
      <c r="O174" s="629">
        <v>63704.88</v>
      </c>
      <c r="P174" s="629">
        <v>64048.26</v>
      </c>
      <c r="Q174" s="138"/>
      <c r="R174" s="215"/>
      <c r="S174" s="97">
        <v>40</v>
      </c>
      <c r="T174" s="124">
        <f t="shared" si="27"/>
        <v>13735.200000000186</v>
      </c>
      <c r="U174" s="127">
        <v>2835</v>
      </c>
      <c r="V174" s="128" t="s">
        <v>225</v>
      </c>
      <c r="W174" s="14" t="s">
        <v>48</v>
      </c>
      <c r="X174" s="7"/>
      <c r="Y174" s="7"/>
      <c r="Z174" s="7"/>
      <c r="AA174" s="7"/>
      <c r="AB174" s="7"/>
      <c r="AC174" s="7"/>
    </row>
    <row r="175" spans="1:29" ht="25.5">
      <c r="A175" s="19"/>
      <c r="B175" s="508"/>
      <c r="C175" s="124">
        <f t="shared" ref="C175" si="29">H175+E175</f>
        <v>0</v>
      </c>
      <c r="D175" s="124"/>
      <c r="E175" s="124">
        <f>F175+G175</f>
        <v>0</v>
      </c>
      <c r="F175" s="124">
        <f>0.04*H175</f>
        <v>0</v>
      </c>
      <c r="G175" s="124">
        <f>0.03*H175</f>
        <v>0</v>
      </c>
      <c r="H175" s="124">
        <f t="shared" si="28"/>
        <v>0</v>
      </c>
      <c r="I175" s="124">
        <f>0.6*C175</f>
        <v>0</v>
      </c>
      <c r="J175" s="126"/>
      <c r="K175" s="126"/>
      <c r="L175" s="126"/>
      <c r="M175" s="126"/>
      <c r="N175" s="126"/>
      <c r="O175" s="124">
        <v>0</v>
      </c>
      <c r="P175" s="124">
        <v>0</v>
      </c>
      <c r="Q175" s="7"/>
      <c r="R175" s="94"/>
      <c r="S175" s="140">
        <v>1</v>
      </c>
      <c r="T175" s="124">
        <f t="shared" ref="T175" si="30">(P175-O175)*S175</f>
        <v>0</v>
      </c>
      <c r="U175" s="127"/>
      <c r="V175" s="128" t="s">
        <v>884</v>
      </c>
      <c r="W175" s="14"/>
      <c r="X175" s="7"/>
      <c r="Y175" s="7"/>
      <c r="Z175" s="7"/>
      <c r="AA175" s="7"/>
      <c r="AB175" s="7"/>
      <c r="AC175" s="7"/>
    </row>
    <row r="176" spans="1:29" ht="25.5">
      <c r="A176" s="19"/>
      <c r="B176" s="835" t="s">
        <v>226</v>
      </c>
      <c r="C176" s="124">
        <f t="shared" si="22"/>
        <v>795.01</v>
      </c>
      <c r="D176" s="124"/>
      <c r="E176" s="124">
        <f>F176+G176</f>
        <v>52.01</v>
      </c>
      <c r="F176" s="124">
        <f>0.04*H176</f>
        <v>29.72</v>
      </c>
      <c r="G176" s="124">
        <f>0.03*H176</f>
        <v>22.29</v>
      </c>
      <c r="H176" s="124">
        <f t="shared" ref="H176:H182" si="31">T176</f>
        <v>743</v>
      </c>
      <c r="I176" s="124">
        <f>0.6*C176</f>
        <v>477.00599999999997</v>
      </c>
      <c r="J176" s="126"/>
      <c r="K176" s="126"/>
      <c r="L176" s="126"/>
      <c r="M176" s="126"/>
      <c r="N176" s="126"/>
      <c r="O176" s="124">
        <v>30767</v>
      </c>
      <c r="P176" s="124">
        <v>31510</v>
      </c>
      <c r="Q176" s="7"/>
      <c r="R176" s="94"/>
      <c r="S176" s="140">
        <v>1</v>
      </c>
      <c r="T176" s="124">
        <f t="shared" si="27"/>
        <v>743</v>
      </c>
      <c r="V176" s="569" t="s">
        <v>227</v>
      </c>
      <c r="W176" s="14" t="s">
        <v>212</v>
      </c>
      <c r="X176" s="7"/>
      <c r="Y176" s="7"/>
      <c r="Z176" s="7"/>
      <c r="AA176" s="7"/>
      <c r="AB176" s="7"/>
      <c r="AC176" s="7"/>
    </row>
    <row r="177" spans="1:29" ht="25.5">
      <c r="A177" s="19"/>
      <c r="B177" s="836"/>
      <c r="C177" s="113">
        <f>H177+E177</f>
        <v>9450.2399999998124</v>
      </c>
      <c r="D177" s="113"/>
      <c r="E177" s="113">
        <f>F177+G177</f>
        <v>618.23999999998773</v>
      </c>
      <c r="F177" s="113">
        <f>0.04*H177</f>
        <v>353.27999999999304</v>
      </c>
      <c r="G177" s="113">
        <f>0.03*H177</f>
        <v>264.95999999999475</v>
      </c>
      <c r="H177" s="113">
        <f t="shared" si="31"/>
        <v>8831.9999999998254</v>
      </c>
      <c r="I177" s="187">
        <f>0.6*C177</f>
        <v>5670.1439999998875</v>
      </c>
      <c r="J177" s="22"/>
      <c r="K177" s="22"/>
      <c r="L177" s="22"/>
      <c r="M177" s="22"/>
      <c r="N177" s="22"/>
      <c r="O177" s="630">
        <v>36931.9</v>
      </c>
      <c r="P177" s="630">
        <v>37079.1</v>
      </c>
      <c r="Q177" s="22" t="s">
        <v>33</v>
      </c>
      <c r="R177" s="631"/>
      <c r="S177" s="632">
        <v>60</v>
      </c>
      <c r="T177" s="113">
        <f t="shared" si="27"/>
        <v>8831.9999999998254</v>
      </c>
      <c r="U177" s="95">
        <v>4093</v>
      </c>
      <c r="V177" s="569" t="s">
        <v>228</v>
      </c>
      <c r="W177" s="14" t="s">
        <v>212</v>
      </c>
      <c r="X177" s="7"/>
      <c r="Y177" s="7"/>
      <c r="Z177" s="7"/>
      <c r="AA177" s="7"/>
      <c r="AB177" s="7"/>
      <c r="AC177" s="7"/>
    </row>
    <row r="178" spans="1:29" ht="25.5">
      <c r="A178" s="19"/>
      <c r="B178" s="633" t="s">
        <v>229</v>
      </c>
      <c r="C178" s="229">
        <f>H178+E178</f>
        <v>2393.59</v>
      </c>
      <c r="D178" s="229"/>
      <c r="E178" s="229">
        <f>G178+F178</f>
        <v>156.59</v>
      </c>
      <c r="F178" s="229">
        <f>0.04*H178</f>
        <v>89.48</v>
      </c>
      <c r="G178" s="229">
        <f>0.03*H178</f>
        <v>67.11</v>
      </c>
      <c r="H178" s="229">
        <f t="shared" si="31"/>
        <v>2237</v>
      </c>
      <c r="I178" s="229">
        <f>0.6*C178</f>
        <v>1436.154</v>
      </c>
      <c r="J178" s="634"/>
      <c r="K178" s="634"/>
      <c r="L178" s="634"/>
      <c r="M178" s="634"/>
      <c r="N178" s="634"/>
      <c r="O178" s="229">
        <v>92188</v>
      </c>
      <c r="P178" s="229">
        <v>94425</v>
      </c>
      <c r="Q178" s="635"/>
      <c r="R178" s="636"/>
      <c r="S178" s="637">
        <v>1</v>
      </c>
      <c r="T178" s="229">
        <f t="shared" si="27"/>
        <v>2237</v>
      </c>
      <c r="U178" s="95">
        <v>7368</v>
      </c>
      <c r="V178" s="569" t="s">
        <v>230</v>
      </c>
      <c r="W178" s="14" t="s">
        <v>212</v>
      </c>
      <c r="X178" s="7"/>
      <c r="Y178" s="7"/>
      <c r="Z178" s="7"/>
      <c r="AA178" s="7"/>
      <c r="AB178" s="7"/>
      <c r="AC178" s="7"/>
    </row>
    <row r="179" spans="1:29" s="195" customFormat="1" ht="25.5">
      <c r="A179" s="194"/>
      <c r="B179" s="148" t="s">
        <v>768</v>
      </c>
      <c r="C179" s="91">
        <f t="shared" ref="C179:C230" si="32">H179+E179</f>
        <v>501.83</v>
      </c>
      <c r="D179" s="91"/>
      <c r="E179" s="91">
        <f>F179+G179</f>
        <v>32.83</v>
      </c>
      <c r="F179" s="91">
        <f t="shared" ref="F179:F230" si="33">0.04*H179</f>
        <v>18.760000000000002</v>
      </c>
      <c r="G179" s="91">
        <f t="shared" ref="G179:G230" si="34">0.03*H179</f>
        <v>14.07</v>
      </c>
      <c r="H179" s="91">
        <f t="shared" si="31"/>
        <v>469</v>
      </c>
      <c r="I179" s="91">
        <f t="shared" ref="I179:I197" si="35">0.6*C179</f>
        <v>301.09799999999996</v>
      </c>
      <c r="J179" s="22"/>
      <c r="K179" s="22"/>
      <c r="L179" s="22"/>
      <c r="M179" s="22"/>
      <c r="N179" s="22"/>
      <c r="O179" s="91">
        <v>7264</v>
      </c>
      <c r="P179" s="91">
        <v>7733</v>
      </c>
      <c r="Q179" s="122"/>
      <c r="R179" s="173"/>
      <c r="S179" s="151">
        <v>1</v>
      </c>
      <c r="T179" s="91">
        <f t="shared" si="27"/>
        <v>469</v>
      </c>
      <c r="U179" s="95">
        <v>4327</v>
      </c>
      <c r="V179" s="569" t="s">
        <v>686</v>
      </c>
      <c r="W179" s="191" t="s">
        <v>48</v>
      </c>
      <c r="X179" s="86"/>
      <c r="Y179" s="86"/>
      <c r="Z179" s="86"/>
      <c r="AA179" s="86"/>
      <c r="AB179" s="86"/>
      <c r="AC179" s="86"/>
    </row>
    <row r="180" spans="1:29" ht="34.5" customHeight="1">
      <c r="A180" s="19"/>
      <c r="B180" s="148" t="s">
        <v>850</v>
      </c>
      <c r="C180" s="91">
        <f t="shared" si="32"/>
        <v>467.59</v>
      </c>
      <c r="D180" s="91"/>
      <c r="E180" s="91">
        <f>F180+G180</f>
        <v>30.59</v>
      </c>
      <c r="F180" s="91">
        <f t="shared" si="33"/>
        <v>17.48</v>
      </c>
      <c r="G180" s="91">
        <f t="shared" si="34"/>
        <v>13.11</v>
      </c>
      <c r="H180" s="91">
        <f t="shared" si="31"/>
        <v>437</v>
      </c>
      <c r="I180" s="91">
        <f t="shared" si="35"/>
        <v>280.55399999999997</v>
      </c>
      <c r="J180" s="22"/>
      <c r="K180" s="22"/>
      <c r="L180" s="22"/>
      <c r="M180" s="22"/>
      <c r="N180" s="22"/>
      <c r="O180" s="91">
        <v>3459</v>
      </c>
      <c r="P180" s="91">
        <v>3896</v>
      </c>
      <c r="Q180" s="122"/>
      <c r="R180" s="173"/>
      <c r="S180" s="151">
        <v>1</v>
      </c>
      <c r="T180" s="91">
        <f t="shared" si="27"/>
        <v>437</v>
      </c>
      <c r="U180" s="95">
        <v>70373</v>
      </c>
      <c r="V180" s="569" t="s">
        <v>231</v>
      </c>
      <c r="W180" s="191" t="s">
        <v>48</v>
      </c>
      <c r="X180" s="7"/>
      <c r="Y180" s="7"/>
      <c r="Z180" s="7"/>
      <c r="AA180" s="7"/>
      <c r="AB180" s="7"/>
      <c r="AC180" s="7"/>
    </row>
    <row r="181" spans="1:29" s="198" customFormat="1" ht="33" customHeight="1">
      <c r="A181" s="196"/>
      <c r="B181" s="148" t="s">
        <v>851</v>
      </c>
      <c r="C181" s="91">
        <f t="shared" si="32"/>
        <v>561.75</v>
      </c>
      <c r="D181" s="91"/>
      <c r="E181" s="91">
        <f>F181+G181</f>
        <v>36.75</v>
      </c>
      <c r="F181" s="91">
        <f t="shared" si="33"/>
        <v>21</v>
      </c>
      <c r="G181" s="91">
        <f t="shared" si="34"/>
        <v>15.75</v>
      </c>
      <c r="H181" s="91">
        <f t="shared" si="31"/>
        <v>525</v>
      </c>
      <c r="I181" s="91">
        <f t="shared" si="35"/>
        <v>337.05</v>
      </c>
      <c r="J181" s="22"/>
      <c r="K181" s="22"/>
      <c r="L181" s="22"/>
      <c r="M181" s="22"/>
      <c r="N181" s="22"/>
      <c r="O181" s="91">
        <v>8506</v>
      </c>
      <c r="P181" s="91">
        <v>9031</v>
      </c>
      <c r="Q181" s="122"/>
      <c r="R181" s="173"/>
      <c r="S181" s="91">
        <v>1</v>
      </c>
      <c r="T181" s="91">
        <f t="shared" si="27"/>
        <v>525</v>
      </c>
      <c r="U181" s="95">
        <v>99648</v>
      </c>
      <c r="V181" s="569" t="s">
        <v>232</v>
      </c>
      <c r="W181" s="191" t="s">
        <v>48</v>
      </c>
      <c r="X181" s="197"/>
      <c r="Y181" s="197"/>
      <c r="Z181" s="197"/>
      <c r="AA181" s="197"/>
      <c r="AB181" s="197"/>
      <c r="AC181" s="197"/>
    </row>
    <row r="182" spans="1:29" ht="26.25">
      <c r="A182" s="19"/>
      <c r="B182" s="148" t="s">
        <v>852</v>
      </c>
      <c r="C182" s="91">
        <f t="shared" si="32"/>
        <v>488.99</v>
      </c>
      <c r="D182" s="91"/>
      <c r="E182" s="91">
        <f>F182+G182</f>
        <v>31.990000000000002</v>
      </c>
      <c r="F182" s="91">
        <f t="shared" si="33"/>
        <v>18.28</v>
      </c>
      <c r="G182" s="91">
        <f t="shared" si="34"/>
        <v>13.709999999999999</v>
      </c>
      <c r="H182" s="91">
        <f t="shared" si="31"/>
        <v>457</v>
      </c>
      <c r="I182" s="91">
        <f t="shared" si="35"/>
        <v>293.39400000000001</v>
      </c>
      <c r="J182" s="22"/>
      <c r="K182" s="22"/>
      <c r="L182" s="22"/>
      <c r="M182" s="22"/>
      <c r="N182" s="22" t="s">
        <v>233</v>
      </c>
      <c r="O182" s="91">
        <v>34086</v>
      </c>
      <c r="P182" s="91">
        <v>34543</v>
      </c>
      <c r="Q182" s="149"/>
      <c r="R182" s="161"/>
      <c r="S182" s="91">
        <v>1</v>
      </c>
      <c r="T182" s="91">
        <f t="shared" si="27"/>
        <v>457</v>
      </c>
      <c r="U182" s="95">
        <v>98600</v>
      </c>
      <c r="V182" s="569" t="s">
        <v>234</v>
      </c>
      <c r="W182" s="191" t="s">
        <v>48</v>
      </c>
      <c r="X182" s="7"/>
      <c r="Y182" s="7"/>
      <c r="Z182" s="7"/>
      <c r="AA182" s="7"/>
      <c r="AB182" s="7"/>
      <c r="AC182" s="7"/>
    </row>
    <row r="183" spans="1:29" ht="26.25">
      <c r="A183" s="19"/>
      <c r="B183" s="148" t="s">
        <v>898</v>
      </c>
      <c r="C183" s="91">
        <f t="shared" si="32"/>
        <v>342.4</v>
      </c>
      <c r="D183" s="91"/>
      <c r="E183" s="91">
        <f>F183+G183</f>
        <v>22.4</v>
      </c>
      <c r="F183" s="91">
        <f t="shared" si="33"/>
        <v>12.8</v>
      </c>
      <c r="G183" s="91">
        <f t="shared" si="34"/>
        <v>9.6</v>
      </c>
      <c r="H183" s="91">
        <f>T183</f>
        <v>320</v>
      </c>
      <c r="I183" s="91">
        <f t="shared" si="35"/>
        <v>205.43999999999997</v>
      </c>
      <c r="J183" s="22"/>
      <c r="K183" s="22"/>
      <c r="L183" s="22"/>
      <c r="M183" s="22"/>
      <c r="N183" s="22" t="s">
        <v>235</v>
      </c>
      <c r="O183" s="91">
        <v>86266</v>
      </c>
      <c r="P183" s="91">
        <v>86586</v>
      </c>
      <c r="Q183" s="122"/>
      <c r="R183" s="173"/>
      <c r="S183" s="91">
        <v>1</v>
      </c>
      <c r="T183" s="91">
        <f t="shared" si="27"/>
        <v>320</v>
      </c>
      <c r="U183" s="95">
        <v>98517</v>
      </c>
      <c r="V183" s="569" t="s">
        <v>846</v>
      </c>
      <c r="W183" s="191" t="s">
        <v>48</v>
      </c>
      <c r="X183" s="7"/>
      <c r="Y183" s="7"/>
      <c r="Z183" s="7"/>
      <c r="AA183" s="7"/>
      <c r="AB183" s="7"/>
      <c r="AC183" s="7"/>
    </row>
    <row r="184" spans="1:29" ht="26.25">
      <c r="A184" s="19"/>
      <c r="B184" s="148" t="s">
        <v>853</v>
      </c>
      <c r="C184" s="91">
        <f t="shared" si="32"/>
        <v>632.37</v>
      </c>
      <c r="D184" s="91"/>
      <c r="E184" s="91">
        <f>F184++G184</f>
        <v>41.370000000000005</v>
      </c>
      <c r="F184" s="91">
        <f t="shared" si="33"/>
        <v>23.64</v>
      </c>
      <c r="G184" s="91">
        <f t="shared" si="34"/>
        <v>17.73</v>
      </c>
      <c r="H184" s="91">
        <f t="shared" ref="H184:H199" si="36">T184</f>
        <v>591</v>
      </c>
      <c r="I184" s="91">
        <f t="shared" si="35"/>
        <v>379.42199999999997</v>
      </c>
      <c r="J184" s="22"/>
      <c r="K184" s="22"/>
      <c r="L184" s="22"/>
      <c r="M184" s="22"/>
      <c r="N184" s="22" t="s">
        <v>237</v>
      </c>
      <c r="O184" s="91">
        <v>45099</v>
      </c>
      <c r="P184" s="91">
        <v>45690</v>
      </c>
      <c r="Q184" s="22" t="s">
        <v>33</v>
      </c>
      <c r="R184" s="142"/>
      <c r="S184" s="151">
        <v>1</v>
      </c>
      <c r="T184" s="91">
        <f t="shared" si="27"/>
        <v>591</v>
      </c>
      <c r="U184" s="95">
        <v>98627</v>
      </c>
      <c r="V184" s="569" t="s">
        <v>238</v>
      </c>
      <c r="W184" s="191" t="s">
        <v>48</v>
      </c>
      <c r="X184" s="7"/>
      <c r="Y184" s="7"/>
      <c r="Z184" s="7"/>
      <c r="AA184" s="7"/>
      <c r="AB184" s="7"/>
      <c r="AC184" s="7"/>
    </row>
    <row r="185" spans="1:29" ht="26.25">
      <c r="A185" s="19"/>
      <c r="B185" s="90" t="s">
        <v>899</v>
      </c>
      <c r="C185" s="91">
        <f t="shared" si="32"/>
        <v>192.6</v>
      </c>
      <c r="D185" s="91"/>
      <c r="E185" s="91">
        <f>G185+F185</f>
        <v>12.6</v>
      </c>
      <c r="F185" s="91">
        <f t="shared" si="33"/>
        <v>7.2</v>
      </c>
      <c r="G185" s="91">
        <f t="shared" si="34"/>
        <v>5.3999999999999995</v>
      </c>
      <c r="H185" s="91">
        <f t="shared" si="36"/>
        <v>180</v>
      </c>
      <c r="I185" s="91">
        <f t="shared" si="35"/>
        <v>115.55999999999999</v>
      </c>
      <c r="J185" s="22"/>
      <c r="K185" s="22"/>
      <c r="L185" s="22"/>
      <c r="M185" s="22"/>
      <c r="N185" s="22"/>
      <c r="O185" s="91">
        <v>73789</v>
      </c>
      <c r="P185" s="91">
        <v>73969</v>
      </c>
      <c r="Q185" s="149"/>
      <c r="R185" s="161"/>
      <c r="S185" s="151">
        <v>1</v>
      </c>
      <c r="T185" s="91">
        <f t="shared" si="27"/>
        <v>180</v>
      </c>
      <c r="U185" s="95">
        <v>98556</v>
      </c>
      <c r="V185" s="569" t="s">
        <v>240</v>
      </c>
      <c r="W185" s="191" t="s">
        <v>48</v>
      </c>
      <c r="X185" s="7"/>
      <c r="Y185" s="7"/>
      <c r="Z185" s="7"/>
      <c r="AA185" s="7"/>
      <c r="AB185" s="7"/>
      <c r="AC185" s="7"/>
    </row>
    <row r="186" spans="1:29" ht="26.25">
      <c r="A186" s="19"/>
      <c r="B186" s="148" t="s">
        <v>854</v>
      </c>
      <c r="C186" s="91">
        <f t="shared" si="32"/>
        <v>292.11</v>
      </c>
      <c r="D186" s="91"/>
      <c r="E186" s="91">
        <f t="shared" ref="E186:E193" si="37">F186+G186</f>
        <v>19.11</v>
      </c>
      <c r="F186" s="91">
        <f t="shared" si="33"/>
        <v>10.92</v>
      </c>
      <c r="G186" s="91">
        <f t="shared" si="34"/>
        <v>8.19</v>
      </c>
      <c r="H186" s="91">
        <f t="shared" si="36"/>
        <v>273</v>
      </c>
      <c r="I186" s="91">
        <f t="shared" si="35"/>
        <v>175.26599999999999</v>
      </c>
      <c r="J186" s="22"/>
      <c r="K186" s="22"/>
      <c r="L186" s="22"/>
      <c r="M186" s="22"/>
      <c r="N186" s="22"/>
      <c r="O186" s="91">
        <v>71120</v>
      </c>
      <c r="P186" s="91">
        <v>71393</v>
      </c>
      <c r="Q186" s="122"/>
      <c r="R186" s="173"/>
      <c r="S186" s="151">
        <v>1</v>
      </c>
      <c r="T186" s="91">
        <f t="shared" si="27"/>
        <v>273</v>
      </c>
      <c r="U186" s="95">
        <v>98503</v>
      </c>
      <c r="V186" s="569" t="s">
        <v>241</v>
      </c>
      <c r="W186" s="191" t="s">
        <v>48</v>
      </c>
      <c r="X186" s="7"/>
      <c r="Y186" s="7"/>
      <c r="Z186" s="7"/>
      <c r="AA186" s="7"/>
      <c r="AB186" s="7"/>
      <c r="AC186" s="7"/>
    </row>
    <row r="187" spans="1:29" ht="26.25" customHeight="1">
      <c r="A187" s="19"/>
      <c r="B187" s="837" t="s">
        <v>242</v>
      </c>
      <c r="C187" s="91">
        <f t="shared" si="32"/>
        <v>543.55999999999995</v>
      </c>
      <c r="D187" s="91"/>
      <c r="E187" s="91">
        <f t="shared" si="37"/>
        <v>35.56</v>
      </c>
      <c r="F187" s="91">
        <f t="shared" si="33"/>
        <v>20.32</v>
      </c>
      <c r="G187" s="91">
        <f t="shared" si="34"/>
        <v>15.24</v>
      </c>
      <c r="H187" s="91">
        <f t="shared" si="36"/>
        <v>508</v>
      </c>
      <c r="I187" s="91">
        <f t="shared" si="35"/>
        <v>326.13599999999997</v>
      </c>
      <c r="J187" s="22"/>
      <c r="K187" s="22"/>
      <c r="L187" s="22"/>
      <c r="M187" s="22"/>
      <c r="N187" s="22"/>
      <c r="O187" s="91">
        <v>82478</v>
      </c>
      <c r="P187" s="91">
        <v>82986</v>
      </c>
      <c r="Q187" s="149"/>
      <c r="R187" s="161"/>
      <c r="S187" s="151">
        <v>1</v>
      </c>
      <c r="T187" s="91">
        <f t="shared" si="27"/>
        <v>508</v>
      </c>
      <c r="U187" s="95">
        <v>98630</v>
      </c>
      <c r="V187" s="569" t="s">
        <v>243</v>
      </c>
      <c r="W187" s="191" t="s">
        <v>48</v>
      </c>
      <c r="X187" s="7"/>
      <c r="Y187" s="7"/>
      <c r="Z187" s="7"/>
      <c r="AA187" s="7"/>
      <c r="AB187" s="7"/>
      <c r="AC187" s="7"/>
    </row>
    <row r="188" spans="1:29" ht="30" customHeight="1">
      <c r="A188" s="19"/>
      <c r="B188" s="838"/>
      <c r="C188" s="199">
        <f t="shared" si="32"/>
        <v>603.48</v>
      </c>
      <c r="D188" s="91"/>
      <c r="E188" s="91">
        <f t="shared" si="37"/>
        <v>39.479999999999997</v>
      </c>
      <c r="F188" s="91">
        <f t="shared" si="33"/>
        <v>22.56</v>
      </c>
      <c r="G188" s="91">
        <f t="shared" si="34"/>
        <v>16.919999999999998</v>
      </c>
      <c r="H188" s="91">
        <f t="shared" si="36"/>
        <v>564</v>
      </c>
      <c r="I188" s="91">
        <f t="shared" si="35"/>
        <v>362.08800000000002</v>
      </c>
      <c r="J188" s="22"/>
      <c r="K188" s="22"/>
      <c r="L188" s="22"/>
      <c r="M188" s="22"/>
      <c r="N188" s="22"/>
      <c r="O188" s="91">
        <v>75065</v>
      </c>
      <c r="P188" s="91">
        <v>75629</v>
      </c>
      <c r="Q188" s="122"/>
      <c r="R188" s="200"/>
      <c r="S188" s="151">
        <v>1</v>
      </c>
      <c r="T188" s="91">
        <f t="shared" si="27"/>
        <v>564</v>
      </c>
      <c r="U188" s="95">
        <v>8265</v>
      </c>
      <c r="V188" s="569" t="s">
        <v>244</v>
      </c>
      <c r="W188" s="191" t="s">
        <v>48</v>
      </c>
      <c r="X188" s="7"/>
      <c r="Y188" s="7"/>
      <c r="Z188" s="7"/>
      <c r="AA188" s="7"/>
      <c r="AB188" s="7"/>
      <c r="AC188" s="7"/>
    </row>
    <row r="189" spans="1:29" ht="25.5">
      <c r="A189" s="19"/>
      <c r="B189" s="148" t="s">
        <v>245</v>
      </c>
      <c r="C189" s="91">
        <f>H189+E189</f>
        <v>0</v>
      </c>
      <c r="D189" s="91"/>
      <c r="E189" s="91">
        <f>F189+G189</f>
        <v>0</v>
      </c>
      <c r="F189" s="91">
        <f>0.04*H189</f>
        <v>0</v>
      </c>
      <c r="G189" s="91">
        <f>0.03*H189</f>
        <v>0</v>
      </c>
      <c r="H189" s="91">
        <f>T189</f>
        <v>0</v>
      </c>
      <c r="I189" s="91">
        <f>0.6*C189</f>
        <v>0</v>
      </c>
      <c r="J189" s="22"/>
      <c r="K189" s="22"/>
      <c r="L189" s="22"/>
      <c r="M189" s="22"/>
      <c r="N189" s="22"/>
      <c r="O189" s="91">
        <v>19403</v>
      </c>
      <c r="P189" s="91">
        <v>19403</v>
      </c>
      <c r="Q189" s="122"/>
      <c r="R189" s="92"/>
      <c r="S189" s="91">
        <v>1</v>
      </c>
      <c r="T189" s="91">
        <f>(P189-O189)*S189</f>
        <v>0</v>
      </c>
      <c r="U189" s="95">
        <v>8726</v>
      </c>
      <c r="V189" s="569" t="s">
        <v>246</v>
      </c>
      <c r="W189" s="191" t="s">
        <v>48</v>
      </c>
      <c r="X189" s="7"/>
      <c r="Y189" s="7"/>
      <c r="Z189" s="7"/>
      <c r="AA189" s="7"/>
      <c r="AB189" s="7"/>
      <c r="AC189" s="7"/>
    </row>
    <row r="190" spans="1:29" ht="26.25">
      <c r="A190" s="19"/>
      <c r="B190" s="148" t="s">
        <v>900</v>
      </c>
      <c r="C190" s="91">
        <f t="shared" si="32"/>
        <v>1153.46</v>
      </c>
      <c r="D190" s="91"/>
      <c r="E190" s="91">
        <f t="shared" si="37"/>
        <v>75.459999999999994</v>
      </c>
      <c r="F190" s="91">
        <f t="shared" si="33"/>
        <v>43.12</v>
      </c>
      <c r="G190" s="91">
        <f t="shared" si="34"/>
        <v>32.339999999999996</v>
      </c>
      <c r="H190" s="91">
        <f t="shared" si="36"/>
        <v>1078</v>
      </c>
      <c r="I190" s="91">
        <f t="shared" si="35"/>
        <v>692.07600000000002</v>
      </c>
      <c r="J190" s="22"/>
      <c r="K190" s="22"/>
      <c r="L190" s="22"/>
      <c r="M190" s="22"/>
      <c r="N190" s="22"/>
      <c r="O190" s="91">
        <v>131210</v>
      </c>
      <c r="P190" s="91">
        <v>132288</v>
      </c>
      <c r="Q190" s="122"/>
      <c r="R190" s="173"/>
      <c r="S190" s="91">
        <v>1</v>
      </c>
      <c r="T190" s="91">
        <f t="shared" si="27"/>
        <v>1078</v>
      </c>
      <c r="U190" s="95">
        <v>542003</v>
      </c>
      <c r="V190" s="569" t="s">
        <v>247</v>
      </c>
      <c r="W190" s="191" t="s">
        <v>48</v>
      </c>
      <c r="X190" s="7"/>
      <c r="Y190" s="7"/>
      <c r="Z190" s="7"/>
      <c r="AA190" s="7"/>
      <c r="AB190" s="7"/>
      <c r="AC190" s="7"/>
    </row>
    <row r="191" spans="1:29" ht="26.25">
      <c r="A191" s="19"/>
      <c r="B191" s="148" t="s">
        <v>855</v>
      </c>
      <c r="C191" s="91">
        <f t="shared" si="32"/>
        <v>269.64</v>
      </c>
      <c r="D191" s="91"/>
      <c r="E191" s="91">
        <f t="shared" si="37"/>
        <v>17.64</v>
      </c>
      <c r="F191" s="91">
        <f t="shared" si="33"/>
        <v>10.08</v>
      </c>
      <c r="G191" s="91">
        <f t="shared" si="34"/>
        <v>7.56</v>
      </c>
      <c r="H191" s="91">
        <f t="shared" si="36"/>
        <v>252</v>
      </c>
      <c r="I191" s="91">
        <f t="shared" si="35"/>
        <v>161.78399999999999</v>
      </c>
      <c r="J191" s="22"/>
      <c r="K191" s="22"/>
      <c r="L191" s="22"/>
      <c r="M191" s="22"/>
      <c r="N191" s="22" t="s">
        <v>248</v>
      </c>
      <c r="O191" s="91">
        <v>43645</v>
      </c>
      <c r="P191" s="91">
        <v>43897</v>
      </c>
      <c r="Q191" s="22" t="s">
        <v>37</v>
      </c>
      <c r="R191" s="142"/>
      <c r="S191" s="91">
        <v>1</v>
      </c>
      <c r="T191" s="91">
        <f t="shared" si="27"/>
        <v>252</v>
      </c>
      <c r="U191" s="95">
        <v>100986</v>
      </c>
      <c r="V191" s="569" t="s">
        <v>847</v>
      </c>
      <c r="W191" s="191" t="s">
        <v>48</v>
      </c>
      <c r="X191" s="7"/>
      <c r="Y191" s="7"/>
      <c r="Z191" s="7"/>
      <c r="AA191" s="7"/>
      <c r="AB191" s="7"/>
      <c r="AC191" s="7"/>
    </row>
    <row r="192" spans="1:29" ht="26.25">
      <c r="A192" s="19"/>
      <c r="B192" s="148" t="s">
        <v>856</v>
      </c>
      <c r="C192" s="91">
        <f t="shared" si="32"/>
        <v>381.99</v>
      </c>
      <c r="D192" s="91"/>
      <c r="E192" s="91">
        <f t="shared" si="37"/>
        <v>24.990000000000002</v>
      </c>
      <c r="F192" s="91">
        <f t="shared" si="33"/>
        <v>14.280000000000001</v>
      </c>
      <c r="G192" s="91">
        <f t="shared" si="34"/>
        <v>10.709999999999999</v>
      </c>
      <c r="H192" s="91">
        <f t="shared" si="36"/>
        <v>357</v>
      </c>
      <c r="I192" s="91">
        <f t="shared" si="35"/>
        <v>229.19399999999999</v>
      </c>
      <c r="J192" s="22"/>
      <c r="K192" s="22"/>
      <c r="L192" s="22"/>
      <c r="M192" s="22"/>
      <c r="N192" s="22"/>
      <c r="O192" s="91">
        <v>95601</v>
      </c>
      <c r="P192" s="91">
        <v>95958</v>
      </c>
      <c r="Q192" s="22" t="s">
        <v>28</v>
      </c>
      <c r="R192" s="142"/>
      <c r="S192" s="91">
        <v>1</v>
      </c>
      <c r="T192" s="91">
        <f t="shared" si="27"/>
        <v>357</v>
      </c>
      <c r="U192" s="95">
        <v>70386</v>
      </c>
      <c r="V192" s="569" t="s">
        <v>250</v>
      </c>
      <c r="W192" s="191" t="s">
        <v>48</v>
      </c>
      <c r="X192" s="7"/>
      <c r="Y192" s="7"/>
      <c r="Z192" s="7"/>
      <c r="AA192" s="7"/>
      <c r="AB192" s="7"/>
      <c r="AC192" s="7"/>
    </row>
    <row r="193" spans="1:29" ht="26.25">
      <c r="A193" s="19"/>
      <c r="B193" s="148" t="s">
        <v>901</v>
      </c>
      <c r="C193" s="91">
        <f t="shared" si="32"/>
        <v>422.65</v>
      </c>
      <c r="D193" s="91"/>
      <c r="E193" s="91">
        <f t="shared" si="37"/>
        <v>27.65</v>
      </c>
      <c r="F193" s="91">
        <f t="shared" si="33"/>
        <v>15.8</v>
      </c>
      <c r="G193" s="91">
        <f t="shared" si="34"/>
        <v>11.85</v>
      </c>
      <c r="H193" s="91">
        <f t="shared" si="36"/>
        <v>395</v>
      </c>
      <c r="I193" s="91">
        <f t="shared" si="35"/>
        <v>253.58999999999997</v>
      </c>
      <c r="J193" s="22"/>
      <c r="K193" s="22"/>
      <c r="L193" s="22"/>
      <c r="M193" s="22"/>
      <c r="N193" s="22"/>
      <c r="O193" s="91">
        <v>55702</v>
      </c>
      <c r="P193" s="91">
        <v>56097</v>
      </c>
      <c r="Q193" s="22" t="s">
        <v>37</v>
      </c>
      <c r="R193" s="142"/>
      <c r="S193" s="91">
        <v>1</v>
      </c>
      <c r="T193" s="91">
        <f t="shared" si="27"/>
        <v>395</v>
      </c>
      <c r="U193" s="95">
        <v>64591</v>
      </c>
      <c r="V193" s="569" t="s">
        <v>251</v>
      </c>
      <c r="W193" s="191" t="s">
        <v>48</v>
      </c>
      <c r="X193" s="7"/>
      <c r="Y193" s="7"/>
      <c r="Z193" s="7"/>
      <c r="AA193" s="7"/>
      <c r="AB193" s="7"/>
      <c r="AC193" s="7"/>
    </row>
    <row r="194" spans="1:29" ht="26.25">
      <c r="A194" s="19"/>
      <c r="B194" s="104" t="s">
        <v>902</v>
      </c>
      <c r="C194" s="91">
        <f t="shared" si="32"/>
        <v>1443.43</v>
      </c>
      <c r="D194" s="91"/>
      <c r="E194" s="91">
        <f>G194+F194</f>
        <v>94.43</v>
      </c>
      <c r="F194" s="91">
        <f t="shared" si="33"/>
        <v>53.96</v>
      </c>
      <c r="G194" s="91">
        <f t="shared" si="34"/>
        <v>40.47</v>
      </c>
      <c r="H194" s="91">
        <f t="shared" si="36"/>
        <v>1349</v>
      </c>
      <c r="I194" s="91">
        <f t="shared" si="35"/>
        <v>866.05799999999999</v>
      </c>
      <c r="J194" s="22"/>
      <c r="K194" s="22"/>
      <c r="L194" s="22"/>
      <c r="M194" s="22"/>
      <c r="N194" s="22"/>
      <c r="O194" s="91">
        <v>35254</v>
      </c>
      <c r="P194" s="91">
        <v>36603</v>
      </c>
      <c r="Q194" s="149"/>
      <c r="R194" s="161"/>
      <c r="S194" s="151">
        <v>1</v>
      </c>
      <c r="T194" s="91">
        <f t="shared" si="27"/>
        <v>1349</v>
      </c>
      <c r="U194" s="95">
        <v>87125</v>
      </c>
      <c r="V194" s="569" t="s">
        <v>808</v>
      </c>
      <c r="W194" s="191" t="s">
        <v>48</v>
      </c>
      <c r="X194" s="7"/>
      <c r="Y194" s="7"/>
      <c r="Z194" s="7"/>
      <c r="AA194" s="7"/>
      <c r="AB194" s="7"/>
      <c r="AC194" s="7"/>
    </row>
    <row r="195" spans="1:29" ht="26.25">
      <c r="A195" s="19"/>
      <c r="B195" s="148" t="s">
        <v>857</v>
      </c>
      <c r="C195" s="91">
        <f t="shared" si="32"/>
        <v>736.16</v>
      </c>
      <c r="D195" s="91"/>
      <c r="E195" s="91">
        <f>G195+F195</f>
        <v>48.16</v>
      </c>
      <c r="F195" s="91">
        <f t="shared" si="33"/>
        <v>27.52</v>
      </c>
      <c r="G195" s="91">
        <f t="shared" si="34"/>
        <v>20.64</v>
      </c>
      <c r="H195" s="91">
        <f t="shared" si="36"/>
        <v>688</v>
      </c>
      <c r="I195" s="91">
        <f t="shared" si="35"/>
        <v>441.69599999999997</v>
      </c>
      <c r="J195" s="22"/>
      <c r="K195" s="22"/>
      <c r="L195" s="22"/>
      <c r="M195" s="22"/>
      <c r="N195" s="22"/>
      <c r="O195" s="91">
        <v>73249</v>
      </c>
      <c r="P195" s="91">
        <v>73937</v>
      </c>
      <c r="Q195" s="122"/>
      <c r="R195" s="200"/>
      <c r="S195" s="151">
        <v>1</v>
      </c>
      <c r="T195" s="91">
        <f t="shared" si="27"/>
        <v>688</v>
      </c>
      <c r="U195" s="95">
        <v>87202</v>
      </c>
      <c r="V195" s="569" t="s">
        <v>777</v>
      </c>
      <c r="W195" s="191" t="s">
        <v>48</v>
      </c>
      <c r="X195" s="7"/>
      <c r="Y195" s="7"/>
      <c r="Z195" s="7"/>
      <c r="AA195" s="7"/>
      <c r="AB195" s="7"/>
      <c r="AC195" s="7"/>
    </row>
    <row r="196" spans="1:29" ht="26.25">
      <c r="A196" s="19"/>
      <c r="B196" s="148" t="s">
        <v>858</v>
      </c>
      <c r="C196" s="91">
        <f t="shared" si="32"/>
        <v>173.34</v>
      </c>
      <c r="D196" s="91"/>
      <c r="E196" s="91">
        <f>F196+G196</f>
        <v>11.34</v>
      </c>
      <c r="F196" s="91">
        <f t="shared" si="33"/>
        <v>6.48</v>
      </c>
      <c r="G196" s="91">
        <f t="shared" si="34"/>
        <v>4.8599999999999994</v>
      </c>
      <c r="H196" s="91">
        <f t="shared" si="36"/>
        <v>162</v>
      </c>
      <c r="I196" s="91">
        <f t="shared" si="35"/>
        <v>104.004</v>
      </c>
      <c r="J196" s="22"/>
      <c r="K196" s="22"/>
      <c r="L196" s="22"/>
      <c r="M196" s="22"/>
      <c r="N196" s="22"/>
      <c r="O196" s="91">
        <v>32579</v>
      </c>
      <c r="P196" s="91">
        <v>32741</v>
      </c>
      <c r="Q196" s="122"/>
      <c r="R196" s="173"/>
      <c r="S196" s="151">
        <v>1</v>
      </c>
      <c r="T196" s="91">
        <f t="shared" si="27"/>
        <v>162</v>
      </c>
      <c r="U196" s="95">
        <v>99475</v>
      </c>
      <c r="V196" s="569" t="s">
        <v>252</v>
      </c>
      <c r="W196" s="191" t="s">
        <v>48</v>
      </c>
      <c r="X196" s="7"/>
      <c r="Y196" s="7"/>
      <c r="Z196" s="7"/>
      <c r="AA196" s="7"/>
      <c r="AB196" s="7"/>
      <c r="AC196" s="7"/>
    </row>
    <row r="197" spans="1:29" ht="26.25">
      <c r="A197" s="19"/>
      <c r="B197" s="148" t="s">
        <v>859</v>
      </c>
      <c r="C197" s="91">
        <f t="shared" si="32"/>
        <v>216.14</v>
      </c>
      <c r="D197" s="91"/>
      <c r="E197" s="91">
        <f>F197+G197</f>
        <v>14.14</v>
      </c>
      <c r="F197" s="91">
        <f t="shared" si="33"/>
        <v>8.08</v>
      </c>
      <c r="G197" s="91">
        <f t="shared" si="34"/>
        <v>6.06</v>
      </c>
      <c r="H197" s="91">
        <f t="shared" si="36"/>
        <v>202</v>
      </c>
      <c r="I197" s="91">
        <f t="shared" si="35"/>
        <v>129.684</v>
      </c>
      <c r="J197" s="22"/>
      <c r="K197" s="22"/>
      <c r="L197" s="22"/>
      <c r="M197" s="22"/>
      <c r="N197" s="22"/>
      <c r="O197" s="91">
        <v>56572</v>
      </c>
      <c r="P197" s="91">
        <v>56774</v>
      </c>
      <c r="Q197" s="22"/>
      <c r="R197" s="142"/>
      <c r="S197" s="91">
        <v>1</v>
      </c>
      <c r="T197" s="91">
        <f t="shared" si="27"/>
        <v>202</v>
      </c>
      <c r="U197" s="95">
        <v>100985</v>
      </c>
      <c r="V197" s="569" t="s">
        <v>253</v>
      </c>
      <c r="W197" s="191" t="s">
        <v>48</v>
      </c>
      <c r="X197" s="7"/>
      <c r="Y197" s="7"/>
      <c r="Z197" s="7"/>
      <c r="AA197" s="7"/>
      <c r="AB197" s="7"/>
      <c r="AC197" s="7"/>
    </row>
    <row r="198" spans="1:29" ht="26.25">
      <c r="A198" s="19"/>
      <c r="B198" s="148" t="s">
        <v>859</v>
      </c>
      <c r="C198" s="91">
        <f t="shared" si="32"/>
        <v>80.25</v>
      </c>
      <c r="D198" s="91"/>
      <c r="E198" s="91">
        <f>F198+G198</f>
        <v>5.25</v>
      </c>
      <c r="F198" s="91">
        <f t="shared" si="33"/>
        <v>3</v>
      </c>
      <c r="G198" s="91">
        <f t="shared" si="34"/>
        <v>2.25</v>
      </c>
      <c r="H198" s="91">
        <f t="shared" si="36"/>
        <v>75</v>
      </c>
      <c r="I198" s="91">
        <f>0.5*C198</f>
        <v>40.125</v>
      </c>
      <c r="J198" s="22"/>
      <c r="K198" s="22"/>
      <c r="L198" s="22"/>
      <c r="M198" s="22"/>
      <c r="N198" s="22"/>
      <c r="O198" s="91">
        <v>32656</v>
      </c>
      <c r="P198" s="91">
        <v>32731</v>
      </c>
      <c r="Q198" s="149"/>
      <c r="R198" s="161"/>
      <c r="S198" s="151">
        <v>1</v>
      </c>
      <c r="T198" s="91">
        <f t="shared" si="27"/>
        <v>75</v>
      </c>
      <c r="U198" s="95">
        <v>100839</v>
      </c>
      <c r="V198" s="569" t="s">
        <v>253</v>
      </c>
      <c r="W198" s="191" t="s">
        <v>48</v>
      </c>
      <c r="X198" s="7"/>
      <c r="Y198" s="7"/>
      <c r="Z198" s="7"/>
      <c r="AA198" s="7"/>
      <c r="AB198" s="7"/>
      <c r="AC198" s="7"/>
    </row>
    <row r="199" spans="1:29" ht="26.25">
      <c r="A199" s="19"/>
      <c r="B199" s="148" t="s">
        <v>860</v>
      </c>
      <c r="C199" s="91">
        <f t="shared" si="32"/>
        <v>114.49</v>
      </c>
      <c r="D199" s="91"/>
      <c r="E199" s="91">
        <f>G199+F199</f>
        <v>7.49</v>
      </c>
      <c r="F199" s="91">
        <f t="shared" si="33"/>
        <v>4.28</v>
      </c>
      <c r="G199" s="91">
        <f t="shared" si="34"/>
        <v>3.21</v>
      </c>
      <c r="H199" s="91">
        <f t="shared" si="36"/>
        <v>107</v>
      </c>
      <c r="I199" s="91">
        <f t="shared" ref="I199:I223" si="38">0.6*C199</f>
        <v>68.693999999999988</v>
      </c>
      <c r="J199" s="22"/>
      <c r="K199" s="22"/>
      <c r="L199" s="22"/>
      <c r="M199" s="22"/>
      <c r="N199" s="22"/>
      <c r="O199" s="91">
        <v>23190</v>
      </c>
      <c r="P199" s="91">
        <v>23297</v>
      </c>
      <c r="Q199" s="122"/>
      <c r="R199" s="200"/>
      <c r="S199" s="151">
        <v>1</v>
      </c>
      <c r="T199" s="91">
        <f t="shared" si="27"/>
        <v>107</v>
      </c>
      <c r="U199" s="95">
        <v>100976</v>
      </c>
      <c r="V199" s="569" t="s">
        <v>254</v>
      </c>
      <c r="W199" s="191" t="s">
        <v>48</v>
      </c>
      <c r="X199" s="7"/>
      <c r="Y199" s="7"/>
      <c r="Z199" s="7"/>
      <c r="AA199" s="7"/>
      <c r="AB199" s="7"/>
      <c r="AC199" s="7"/>
    </row>
    <row r="200" spans="1:29" ht="29.25" customHeight="1">
      <c r="A200" s="19"/>
      <c r="B200" s="148" t="s">
        <v>255</v>
      </c>
      <c r="C200" s="91">
        <f t="shared" si="32"/>
        <v>167.99</v>
      </c>
      <c r="D200" s="91"/>
      <c r="E200" s="91">
        <f t="shared" ref="E200:E207" si="39">F200+G200</f>
        <v>10.99</v>
      </c>
      <c r="F200" s="91">
        <f t="shared" si="33"/>
        <v>6.28</v>
      </c>
      <c r="G200" s="91">
        <f t="shared" si="34"/>
        <v>4.71</v>
      </c>
      <c r="H200" s="91">
        <f>T200</f>
        <v>157</v>
      </c>
      <c r="I200" s="91">
        <f t="shared" si="38"/>
        <v>100.794</v>
      </c>
      <c r="J200" s="22"/>
      <c r="K200" s="22"/>
      <c r="L200" s="22"/>
      <c r="M200" s="22"/>
      <c r="N200" s="22"/>
      <c r="O200" s="91">
        <v>40646</v>
      </c>
      <c r="P200" s="91">
        <v>40803</v>
      </c>
      <c r="Q200" s="122"/>
      <c r="R200" s="173"/>
      <c r="S200" s="91">
        <v>1</v>
      </c>
      <c r="T200" s="91">
        <f t="shared" si="27"/>
        <v>157</v>
      </c>
      <c r="U200" s="95">
        <v>99491</v>
      </c>
      <c r="V200" s="839" t="s">
        <v>256</v>
      </c>
      <c r="W200" s="191" t="s">
        <v>48</v>
      </c>
      <c r="X200" s="7"/>
      <c r="Y200" s="7"/>
      <c r="Z200" s="7"/>
      <c r="AA200" s="7"/>
      <c r="AB200" s="7"/>
      <c r="AC200" s="7"/>
    </row>
    <row r="201" spans="1:29" ht="25.5">
      <c r="A201" s="19"/>
      <c r="B201" s="148" t="s">
        <v>255</v>
      </c>
      <c r="C201" s="91">
        <f t="shared" si="32"/>
        <v>163.71</v>
      </c>
      <c r="D201" s="91"/>
      <c r="E201" s="91">
        <f t="shared" si="39"/>
        <v>10.71</v>
      </c>
      <c r="F201" s="91">
        <f t="shared" si="33"/>
        <v>6.12</v>
      </c>
      <c r="G201" s="91">
        <f t="shared" si="34"/>
        <v>4.59</v>
      </c>
      <c r="H201" s="91">
        <f t="shared" ref="H201:H211" si="40">T201</f>
        <v>153</v>
      </c>
      <c r="I201" s="91">
        <f t="shared" si="38"/>
        <v>98.225999999999999</v>
      </c>
      <c r="J201" s="98"/>
      <c r="K201" s="98"/>
      <c r="L201" s="98"/>
      <c r="M201" s="98"/>
      <c r="N201" s="98"/>
      <c r="O201" s="91">
        <v>32642</v>
      </c>
      <c r="P201" s="91">
        <v>32795</v>
      </c>
      <c r="Q201" s="149"/>
      <c r="R201" s="161"/>
      <c r="S201" s="151">
        <v>1</v>
      </c>
      <c r="T201" s="91">
        <f t="shared" si="27"/>
        <v>153</v>
      </c>
      <c r="U201" s="95">
        <v>99470</v>
      </c>
      <c r="V201" s="839"/>
      <c r="W201" s="191" t="s">
        <v>48</v>
      </c>
      <c r="X201" s="7"/>
      <c r="Y201" s="7"/>
      <c r="Z201" s="7"/>
      <c r="AA201" s="7"/>
      <c r="AB201" s="7"/>
      <c r="AC201" s="7"/>
    </row>
    <row r="202" spans="1:29" ht="26.25">
      <c r="A202" s="19"/>
      <c r="B202" s="148" t="s">
        <v>861</v>
      </c>
      <c r="C202" s="91">
        <f t="shared" si="32"/>
        <v>140.16999999999999</v>
      </c>
      <c r="D202" s="91"/>
      <c r="E202" s="91">
        <f t="shared" si="39"/>
        <v>9.17</v>
      </c>
      <c r="F202" s="91">
        <f t="shared" si="33"/>
        <v>5.24</v>
      </c>
      <c r="G202" s="91">
        <f t="shared" si="34"/>
        <v>3.9299999999999997</v>
      </c>
      <c r="H202" s="91">
        <f t="shared" si="40"/>
        <v>131</v>
      </c>
      <c r="I202" s="91">
        <f t="shared" si="38"/>
        <v>84.10199999999999</v>
      </c>
      <c r="J202" s="22"/>
      <c r="K202" s="22"/>
      <c r="L202" s="22"/>
      <c r="M202" s="22"/>
      <c r="N202" s="22"/>
      <c r="O202" s="91">
        <v>30879</v>
      </c>
      <c r="P202" s="91">
        <v>31010</v>
      </c>
      <c r="Q202" s="122"/>
      <c r="R202" s="173"/>
      <c r="S202" s="151">
        <v>1</v>
      </c>
      <c r="T202" s="91">
        <f t="shared" si="27"/>
        <v>131</v>
      </c>
      <c r="U202" s="95">
        <v>99541</v>
      </c>
      <c r="V202" s="569" t="s">
        <v>809</v>
      </c>
      <c r="W202" s="191" t="s">
        <v>48</v>
      </c>
      <c r="X202" s="7"/>
      <c r="Y202" s="7"/>
      <c r="Z202" s="7"/>
      <c r="AA202" s="7"/>
      <c r="AB202" s="7"/>
      <c r="AC202" s="7"/>
    </row>
    <row r="203" spans="1:29" ht="26.25">
      <c r="A203" s="19"/>
      <c r="B203" s="148" t="s">
        <v>903</v>
      </c>
      <c r="C203" s="91">
        <f>H203+E203</f>
        <v>124.12</v>
      </c>
      <c r="D203" s="91"/>
      <c r="E203" s="91">
        <f t="shared" si="39"/>
        <v>8.1199999999999992</v>
      </c>
      <c r="F203" s="91">
        <f t="shared" si="33"/>
        <v>4.6399999999999997</v>
      </c>
      <c r="G203" s="91">
        <f t="shared" si="34"/>
        <v>3.48</v>
      </c>
      <c r="H203" s="91">
        <f t="shared" si="40"/>
        <v>116</v>
      </c>
      <c r="I203" s="91">
        <f>0.6*C203</f>
        <v>74.471999999999994</v>
      </c>
      <c r="J203" s="22"/>
      <c r="K203" s="22"/>
      <c r="L203" s="22"/>
      <c r="M203" s="22"/>
      <c r="N203" s="22"/>
      <c r="O203" s="91">
        <v>29663</v>
      </c>
      <c r="P203" s="91">
        <v>29779</v>
      </c>
      <c r="Q203" s="149"/>
      <c r="R203" s="161"/>
      <c r="S203" s="151">
        <v>1</v>
      </c>
      <c r="T203" s="91">
        <f t="shared" si="27"/>
        <v>116</v>
      </c>
      <c r="U203" s="95">
        <v>99680</v>
      </c>
      <c r="V203" s="569" t="s">
        <v>810</v>
      </c>
      <c r="W203" s="191" t="s">
        <v>48</v>
      </c>
      <c r="X203" s="7"/>
      <c r="Y203" s="7"/>
      <c r="Z203" s="7"/>
      <c r="AA203" s="7"/>
      <c r="AB203" s="7"/>
      <c r="AC203" s="7"/>
    </row>
    <row r="204" spans="1:29" ht="25.5">
      <c r="A204" s="19"/>
      <c r="B204" s="148" t="s">
        <v>904</v>
      </c>
      <c r="C204" s="91">
        <f t="shared" si="32"/>
        <v>239.68</v>
      </c>
      <c r="D204" s="91"/>
      <c r="E204" s="91">
        <f t="shared" si="39"/>
        <v>15.68</v>
      </c>
      <c r="F204" s="91">
        <f t="shared" si="33"/>
        <v>8.9600000000000009</v>
      </c>
      <c r="G204" s="91">
        <f t="shared" si="34"/>
        <v>6.72</v>
      </c>
      <c r="H204" s="91">
        <f t="shared" si="40"/>
        <v>224</v>
      </c>
      <c r="I204" s="91">
        <f t="shared" si="38"/>
        <v>143.80799999999999</v>
      </c>
      <c r="J204" s="22"/>
      <c r="K204" s="22"/>
      <c r="L204" s="22"/>
      <c r="M204" s="22"/>
      <c r="N204" s="22"/>
      <c r="O204" s="91">
        <v>64674</v>
      </c>
      <c r="P204" s="91">
        <v>64898</v>
      </c>
      <c r="Q204" s="22" t="s">
        <v>26</v>
      </c>
      <c r="R204" s="142"/>
      <c r="S204" s="151">
        <v>1</v>
      </c>
      <c r="T204" s="91">
        <f t="shared" si="27"/>
        <v>224</v>
      </c>
      <c r="U204" s="95">
        <v>100829</v>
      </c>
      <c r="V204" s="569" t="s">
        <v>258</v>
      </c>
      <c r="W204" s="191" t="s">
        <v>48</v>
      </c>
      <c r="X204" s="7"/>
      <c r="Y204" s="7"/>
      <c r="Z204" s="7"/>
      <c r="AA204" s="7"/>
      <c r="AB204" s="7"/>
      <c r="AC204" s="7"/>
    </row>
    <row r="205" spans="1:29" ht="25.5">
      <c r="A205" s="19"/>
      <c r="B205" s="638" t="s">
        <v>905</v>
      </c>
      <c r="C205" s="91">
        <f t="shared" si="32"/>
        <v>573.52</v>
      </c>
      <c r="D205" s="91"/>
      <c r="E205" s="91">
        <f t="shared" si="39"/>
        <v>37.519999999999996</v>
      </c>
      <c r="F205" s="91">
        <f t="shared" si="33"/>
        <v>21.44</v>
      </c>
      <c r="G205" s="91">
        <f t="shared" si="34"/>
        <v>16.079999999999998</v>
      </c>
      <c r="H205" s="91">
        <f t="shared" si="40"/>
        <v>536</v>
      </c>
      <c r="I205" s="91">
        <f t="shared" si="38"/>
        <v>344.11199999999997</v>
      </c>
      <c r="J205" s="22"/>
      <c r="K205" s="22"/>
      <c r="L205" s="22"/>
      <c r="M205" s="22"/>
      <c r="N205" s="22" t="s">
        <v>260</v>
      </c>
      <c r="O205" s="91">
        <v>55947</v>
      </c>
      <c r="P205" s="91">
        <v>56483</v>
      </c>
      <c r="Q205" s="122"/>
      <c r="R205" s="173"/>
      <c r="S205" s="151">
        <v>1</v>
      </c>
      <c r="T205" s="91">
        <f t="shared" si="27"/>
        <v>536</v>
      </c>
      <c r="U205" s="95">
        <v>100980</v>
      </c>
      <c r="V205" s="569" t="s">
        <v>276</v>
      </c>
      <c r="W205" s="191" t="s">
        <v>48</v>
      </c>
      <c r="X205" s="7"/>
      <c r="Y205" s="7"/>
      <c r="Z205" s="7"/>
      <c r="AA205" s="7"/>
      <c r="AB205" s="7"/>
      <c r="AC205" s="7"/>
    </row>
    <row r="206" spans="1:29" ht="41.25">
      <c r="A206" s="19"/>
      <c r="B206" s="148" t="s">
        <v>862</v>
      </c>
      <c r="C206" s="91">
        <f t="shared" si="32"/>
        <v>393.76</v>
      </c>
      <c r="D206" s="91"/>
      <c r="E206" s="91">
        <f t="shared" si="39"/>
        <v>25.759999999999998</v>
      </c>
      <c r="F206" s="91">
        <f t="shared" si="33"/>
        <v>14.72</v>
      </c>
      <c r="G206" s="91">
        <f t="shared" si="34"/>
        <v>11.04</v>
      </c>
      <c r="H206" s="91">
        <f t="shared" si="40"/>
        <v>368</v>
      </c>
      <c r="I206" s="91">
        <f t="shared" si="38"/>
        <v>236.25599999999997</v>
      </c>
      <c r="J206" s="22"/>
      <c r="K206" s="22"/>
      <c r="L206" s="22"/>
      <c r="M206" s="22"/>
      <c r="N206" s="22"/>
      <c r="O206" s="91">
        <v>43995</v>
      </c>
      <c r="P206" s="91">
        <v>44363</v>
      </c>
      <c r="Q206" s="122"/>
      <c r="R206" s="173"/>
      <c r="S206" s="91">
        <v>1</v>
      </c>
      <c r="T206" s="91">
        <f t="shared" si="27"/>
        <v>368</v>
      </c>
      <c r="U206" s="95">
        <v>2660</v>
      </c>
      <c r="V206" s="569" t="s">
        <v>261</v>
      </c>
      <c r="W206" s="191" t="s">
        <v>48</v>
      </c>
      <c r="X206" s="7"/>
      <c r="Y206" s="7"/>
      <c r="Z206" s="7"/>
      <c r="AA206" s="7"/>
      <c r="AB206" s="7"/>
      <c r="AC206" s="7"/>
    </row>
    <row r="207" spans="1:29" ht="25.5">
      <c r="A207" s="19"/>
      <c r="B207" s="639" t="s">
        <v>863</v>
      </c>
      <c r="C207" s="91">
        <f t="shared" si="32"/>
        <v>245.03</v>
      </c>
      <c r="D207" s="91"/>
      <c r="E207" s="91">
        <f t="shared" si="39"/>
        <v>16.03</v>
      </c>
      <c r="F207" s="91">
        <f t="shared" si="33"/>
        <v>9.16</v>
      </c>
      <c r="G207" s="91">
        <f t="shared" si="34"/>
        <v>6.87</v>
      </c>
      <c r="H207" s="91">
        <f t="shared" si="40"/>
        <v>229</v>
      </c>
      <c r="I207" s="91">
        <f t="shared" si="38"/>
        <v>147.018</v>
      </c>
      <c r="J207" s="22"/>
      <c r="K207" s="22"/>
      <c r="L207" s="22"/>
      <c r="M207" s="22"/>
      <c r="N207" s="22"/>
      <c r="O207" s="91">
        <v>6566</v>
      </c>
      <c r="P207" s="91">
        <v>6795</v>
      </c>
      <c r="Q207" s="122"/>
      <c r="R207" s="173"/>
      <c r="S207" s="151">
        <v>1</v>
      </c>
      <c r="T207" s="91">
        <f>(P207-O207)*S207</f>
        <v>229</v>
      </c>
      <c r="U207" s="95">
        <v>492770</v>
      </c>
      <c r="V207" s="569" t="s">
        <v>262</v>
      </c>
      <c r="W207" s="191" t="s">
        <v>48</v>
      </c>
      <c r="X207" s="7"/>
      <c r="Y207" s="7"/>
      <c r="Z207" s="7"/>
      <c r="AA207" s="7"/>
      <c r="AB207" s="7"/>
      <c r="AC207" s="7"/>
    </row>
    <row r="208" spans="1:29" ht="29.25" customHeight="1">
      <c r="A208" s="19"/>
      <c r="B208" s="148" t="s">
        <v>864</v>
      </c>
      <c r="C208" s="91">
        <f t="shared" si="32"/>
        <v>0</v>
      </c>
      <c r="D208" s="91"/>
      <c r="E208" s="91">
        <f>G208+F208</f>
        <v>0</v>
      </c>
      <c r="F208" s="91">
        <f t="shared" si="33"/>
        <v>0</v>
      </c>
      <c r="G208" s="91">
        <f t="shared" si="34"/>
        <v>0</v>
      </c>
      <c r="H208" s="91">
        <f t="shared" si="40"/>
        <v>0</v>
      </c>
      <c r="I208" s="91">
        <f t="shared" si="38"/>
        <v>0</v>
      </c>
      <c r="J208" s="22"/>
      <c r="K208" s="22"/>
      <c r="L208" s="22"/>
      <c r="M208" s="22"/>
      <c r="N208" s="22"/>
      <c r="O208" s="91">
        <v>68475</v>
      </c>
      <c r="P208" s="91">
        <v>68475</v>
      </c>
      <c r="Q208" s="122"/>
      <c r="R208" s="200"/>
      <c r="S208" s="151">
        <v>1</v>
      </c>
      <c r="T208" s="91">
        <f t="shared" si="27"/>
        <v>0</v>
      </c>
      <c r="U208" s="95">
        <v>492735</v>
      </c>
      <c r="V208" s="569" t="s">
        <v>263</v>
      </c>
      <c r="W208" s="191" t="s">
        <v>48</v>
      </c>
      <c r="X208" s="7"/>
      <c r="Y208" s="7"/>
      <c r="Z208" s="7"/>
      <c r="AA208" s="7"/>
      <c r="AB208" s="7"/>
      <c r="AC208" s="7"/>
    </row>
    <row r="209" spans="1:29" ht="30" customHeight="1">
      <c r="A209" s="19"/>
      <c r="B209" s="148" t="s">
        <v>865</v>
      </c>
      <c r="C209" s="91">
        <f t="shared" si="32"/>
        <v>248.24</v>
      </c>
      <c r="D209" s="91"/>
      <c r="E209" s="91">
        <f>F209++G209</f>
        <v>16.239999999999998</v>
      </c>
      <c r="F209" s="91">
        <f t="shared" si="33"/>
        <v>9.2799999999999994</v>
      </c>
      <c r="G209" s="91">
        <f t="shared" si="34"/>
        <v>6.96</v>
      </c>
      <c r="H209" s="91">
        <f t="shared" si="40"/>
        <v>232</v>
      </c>
      <c r="I209" s="91">
        <f t="shared" si="38"/>
        <v>148.94399999999999</v>
      </c>
      <c r="J209" s="22"/>
      <c r="K209" s="22"/>
      <c r="L209" s="22"/>
      <c r="M209" s="22"/>
      <c r="N209" s="22"/>
      <c r="O209" s="91">
        <v>1958</v>
      </c>
      <c r="P209" s="91">
        <v>2190</v>
      </c>
      <c r="Q209" s="22" t="s">
        <v>28</v>
      </c>
      <c r="R209" s="142"/>
      <c r="S209" s="151">
        <v>1</v>
      </c>
      <c r="T209" s="91">
        <f t="shared" si="27"/>
        <v>232</v>
      </c>
      <c r="U209" s="95">
        <v>77006572</v>
      </c>
      <c r="V209" s="569" t="s">
        <v>264</v>
      </c>
      <c r="W209" s="191" t="s">
        <v>48</v>
      </c>
      <c r="X209" s="7"/>
      <c r="Y209" s="7"/>
      <c r="Z209" s="7"/>
      <c r="AA209" s="7"/>
      <c r="AB209" s="7"/>
      <c r="AC209" s="7"/>
    </row>
    <row r="210" spans="1:29" ht="26.25">
      <c r="A210" s="19"/>
      <c r="B210" s="148" t="s">
        <v>866</v>
      </c>
      <c r="C210" s="91">
        <f t="shared" si="32"/>
        <v>297.45999999999998</v>
      </c>
      <c r="D210" s="91"/>
      <c r="E210" s="91">
        <f>F210+G210</f>
        <v>19.46</v>
      </c>
      <c r="F210" s="91">
        <f t="shared" si="33"/>
        <v>11.120000000000001</v>
      </c>
      <c r="G210" s="91">
        <f t="shared" si="34"/>
        <v>8.34</v>
      </c>
      <c r="H210" s="91">
        <f t="shared" si="40"/>
        <v>278</v>
      </c>
      <c r="I210" s="91">
        <f t="shared" si="38"/>
        <v>178.47599999999997</v>
      </c>
      <c r="J210" s="22"/>
      <c r="K210" s="22"/>
      <c r="L210" s="22"/>
      <c r="M210" s="22"/>
      <c r="N210" s="22"/>
      <c r="O210" s="91">
        <v>85822</v>
      </c>
      <c r="P210" s="91">
        <v>86100</v>
      </c>
      <c r="Q210" s="22"/>
      <c r="R210" s="142"/>
      <c r="S210" s="91">
        <v>1</v>
      </c>
      <c r="T210" s="91">
        <f t="shared" si="27"/>
        <v>278</v>
      </c>
      <c r="U210" s="95">
        <v>503440</v>
      </c>
      <c r="V210" s="569" t="s">
        <v>265</v>
      </c>
      <c r="W210" s="191" t="s">
        <v>48</v>
      </c>
      <c r="X210" s="7"/>
      <c r="Y210" s="7"/>
      <c r="Z210" s="7"/>
      <c r="AA210" s="7"/>
      <c r="AB210" s="7"/>
      <c r="AC210" s="7"/>
    </row>
    <row r="211" spans="1:29" ht="26.25">
      <c r="A211" s="19"/>
      <c r="B211" s="148" t="s">
        <v>867</v>
      </c>
      <c r="C211" s="91">
        <f t="shared" si="32"/>
        <v>140.16999999999999</v>
      </c>
      <c r="D211" s="91"/>
      <c r="E211" s="91">
        <f>F211+G211</f>
        <v>9.17</v>
      </c>
      <c r="F211" s="91">
        <f t="shared" si="33"/>
        <v>5.24</v>
      </c>
      <c r="G211" s="91">
        <f t="shared" si="34"/>
        <v>3.9299999999999997</v>
      </c>
      <c r="H211" s="91">
        <f t="shared" si="40"/>
        <v>131</v>
      </c>
      <c r="I211" s="91">
        <f t="shared" si="38"/>
        <v>84.10199999999999</v>
      </c>
      <c r="J211" s="98"/>
      <c r="K211" s="98"/>
      <c r="L211" s="98"/>
      <c r="M211" s="98"/>
      <c r="N211" s="98"/>
      <c r="O211" s="91">
        <v>53577</v>
      </c>
      <c r="P211" s="91">
        <v>53708</v>
      </c>
      <c r="Q211" s="149"/>
      <c r="R211" s="161"/>
      <c r="S211" s="151">
        <v>1</v>
      </c>
      <c r="T211" s="91">
        <f t="shared" si="27"/>
        <v>131</v>
      </c>
      <c r="U211" s="95">
        <v>492892</v>
      </c>
      <c r="V211" s="840" t="s">
        <v>266</v>
      </c>
      <c r="W211" s="191" t="s">
        <v>48</v>
      </c>
      <c r="X211" s="7"/>
      <c r="Y211" s="7"/>
      <c r="Z211" s="7"/>
      <c r="AA211" s="7"/>
      <c r="AB211" s="7"/>
      <c r="AC211" s="7"/>
    </row>
    <row r="212" spans="1:29" ht="30" customHeight="1">
      <c r="A212" s="19"/>
      <c r="B212" s="148" t="s">
        <v>868</v>
      </c>
      <c r="C212" s="91">
        <f t="shared" si="32"/>
        <v>138.03</v>
      </c>
      <c r="D212" s="91"/>
      <c r="E212" s="91">
        <f>F212+G212</f>
        <v>9.0299999999999994</v>
      </c>
      <c r="F212" s="91">
        <f t="shared" si="33"/>
        <v>5.16</v>
      </c>
      <c r="G212" s="91">
        <f t="shared" si="34"/>
        <v>3.8699999999999997</v>
      </c>
      <c r="H212" s="91">
        <f>T212+10</f>
        <v>129</v>
      </c>
      <c r="I212" s="91">
        <f t="shared" si="38"/>
        <v>82.817999999999998</v>
      </c>
      <c r="J212" s="22"/>
      <c r="K212" s="22"/>
      <c r="L212" s="22"/>
      <c r="M212" s="22"/>
      <c r="N212" s="22"/>
      <c r="O212" s="91">
        <v>35672</v>
      </c>
      <c r="P212" s="91">
        <v>35791</v>
      </c>
      <c r="Q212" s="122"/>
      <c r="R212" s="173"/>
      <c r="S212" s="91">
        <v>1</v>
      </c>
      <c r="T212" s="91">
        <f t="shared" si="27"/>
        <v>119</v>
      </c>
      <c r="U212" s="95">
        <v>503014</v>
      </c>
      <c r="V212" s="840"/>
      <c r="W212" s="191" t="s">
        <v>48</v>
      </c>
      <c r="X212" s="7"/>
      <c r="Y212" s="7"/>
      <c r="Z212" s="7"/>
      <c r="AA212" s="7"/>
      <c r="AB212" s="7"/>
      <c r="AC212" s="7"/>
    </row>
    <row r="213" spans="1:29" ht="26.25">
      <c r="A213" s="19"/>
      <c r="B213" s="633" t="s">
        <v>869</v>
      </c>
      <c r="C213" s="229">
        <f t="shared" si="32"/>
        <v>258.94</v>
      </c>
      <c r="D213" s="229"/>
      <c r="E213" s="229">
        <f>G213+F213</f>
        <v>16.939999999999998</v>
      </c>
      <c r="F213" s="229">
        <f t="shared" si="33"/>
        <v>9.68</v>
      </c>
      <c r="G213" s="229">
        <f t="shared" si="34"/>
        <v>7.26</v>
      </c>
      <c r="H213" s="229">
        <f t="shared" ref="H213:H271" si="41">T213</f>
        <v>242</v>
      </c>
      <c r="I213" s="229">
        <f t="shared" si="38"/>
        <v>155.364</v>
      </c>
      <c r="J213" s="634"/>
      <c r="K213" s="634"/>
      <c r="L213" s="634"/>
      <c r="M213" s="634"/>
      <c r="N213" s="634"/>
      <c r="O213" s="229">
        <v>33996</v>
      </c>
      <c r="P213" s="229">
        <v>34238</v>
      </c>
      <c r="Q213" s="641"/>
      <c r="R213" s="642"/>
      <c r="S213" s="637">
        <v>1</v>
      </c>
      <c r="T213" s="229">
        <f t="shared" si="27"/>
        <v>242</v>
      </c>
      <c r="U213" s="95">
        <v>88031383</v>
      </c>
      <c r="V213" s="569" t="s">
        <v>267</v>
      </c>
      <c r="W213" s="191" t="s">
        <v>48</v>
      </c>
      <c r="X213" s="7"/>
      <c r="Y213" s="7"/>
      <c r="Z213" s="7"/>
      <c r="AA213" s="7"/>
      <c r="AB213" s="7"/>
      <c r="AC213" s="7"/>
    </row>
    <row r="214" spans="1:29" ht="25.5">
      <c r="A214" s="19"/>
      <c r="B214" s="148" t="s">
        <v>268</v>
      </c>
      <c r="C214" s="91">
        <f t="shared" si="32"/>
        <v>120.91</v>
      </c>
      <c r="D214" s="91"/>
      <c r="E214" s="91">
        <f>F214+G214</f>
        <v>7.91</v>
      </c>
      <c r="F214" s="91">
        <f t="shared" si="33"/>
        <v>4.5200000000000005</v>
      </c>
      <c r="G214" s="91">
        <f t="shared" si="34"/>
        <v>3.3899999999999997</v>
      </c>
      <c r="H214" s="91">
        <f t="shared" si="41"/>
        <v>113</v>
      </c>
      <c r="I214" s="91">
        <f t="shared" si="38"/>
        <v>72.545999999999992</v>
      </c>
      <c r="J214" s="22"/>
      <c r="K214" s="22"/>
      <c r="L214" s="22"/>
      <c r="M214" s="22"/>
      <c r="N214" s="22"/>
      <c r="O214" s="91">
        <v>28328</v>
      </c>
      <c r="P214" s="91">
        <v>28441</v>
      </c>
      <c r="Q214" s="122"/>
      <c r="R214" s="173"/>
      <c r="S214" s="91">
        <v>1</v>
      </c>
      <c r="T214" s="91">
        <f t="shared" si="27"/>
        <v>113</v>
      </c>
      <c r="U214" s="95">
        <v>16596</v>
      </c>
      <c r="V214" s="569" t="s">
        <v>563</v>
      </c>
      <c r="W214" s="191" t="s">
        <v>48</v>
      </c>
      <c r="X214" s="7"/>
      <c r="Y214" s="7"/>
      <c r="Z214" s="7"/>
      <c r="AA214" s="7"/>
      <c r="AB214" s="7"/>
      <c r="AC214" s="7"/>
    </row>
    <row r="215" spans="1:29" ht="26.25">
      <c r="A215" s="19"/>
      <c r="B215" s="148" t="s">
        <v>870</v>
      </c>
      <c r="C215" s="91">
        <f t="shared" si="32"/>
        <v>141.24</v>
      </c>
      <c r="D215" s="91"/>
      <c r="E215" s="91">
        <f>F215+G215</f>
        <v>9.24</v>
      </c>
      <c r="F215" s="91">
        <f t="shared" si="33"/>
        <v>5.28</v>
      </c>
      <c r="G215" s="91">
        <f t="shared" si="34"/>
        <v>3.96</v>
      </c>
      <c r="H215" s="91">
        <f t="shared" si="41"/>
        <v>132</v>
      </c>
      <c r="I215" s="91">
        <f t="shared" si="38"/>
        <v>84.744</v>
      </c>
      <c r="J215" s="22"/>
      <c r="K215" s="22"/>
      <c r="L215" s="22"/>
      <c r="M215" s="22"/>
      <c r="N215" s="22"/>
      <c r="O215" s="91">
        <v>41172</v>
      </c>
      <c r="P215" s="91">
        <v>41304</v>
      </c>
      <c r="Q215" s="22"/>
      <c r="R215" s="142"/>
      <c r="S215" s="91">
        <v>1</v>
      </c>
      <c r="T215" s="91">
        <f t="shared" si="27"/>
        <v>132</v>
      </c>
      <c r="U215" s="95">
        <v>88031436</v>
      </c>
      <c r="V215" s="569" t="s">
        <v>269</v>
      </c>
      <c r="W215" s="191" t="s">
        <v>48</v>
      </c>
      <c r="X215" s="7"/>
      <c r="Y215" s="7"/>
      <c r="Z215" s="7"/>
      <c r="AA215" s="7"/>
      <c r="AB215" s="7"/>
      <c r="AC215" s="7"/>
    </row>
    <row r="216" spans="1:29" ht="35.25" customHeight="1">
      <c r="A216" s="19"/>
      <c r="B216" s="148" t="s">
        <v>871</v>
      </c>
      <c r="C216" s="91">
        <f t="shared" si="32"/>
        <v>649.49</v>
      </c>
      <c r="D216" s="91"/>
      <c r="E216" s="91">
        <f>F216+G216</f>
        <v>42.49</v>
      </c>
      <c r="F216" s="91">
        <f t="shared" si="33"/>
        <v>24.28</v>
      </c>
      <c r="G216" s="91">
        <f t="shared" si="34"/>
        <v>18.21</v>
      </c>
      <c r="H216" s="91">
        <f t="shared" si="41"/>
        <v>607</v>
      </c>
      <c r="I216" s="91">
        <f t="shared" si="38"/>
        <v>389.69400000000002</v>
      </c>
      <c r="J216" s="22"/>
      <c r="K216" s="22"/>
      <c r="L216" s="22"/>
      <c r="M216" s="22"/>
      <c r="N216" s="22"/>
      <c r="O216" s="643">
        <v>57201</v>
      </c>
      <c r="P216" s="643">
        <v>57808</v>
      </c>
      <c r="Q216" s="122"/>
      <c r="R216" s="173"/>
      <c r="S216" s="91">
        <v>1</v>
      </c>
      <c r="T216" s="91">
        <f t="shared" si="27"/>
        <v>607</v>
      </c>
      <c r="U216" s="95">
        <v>88031413</v>
      </c>
      <c r="V216" s="569" t="s">
        <v>778</v>
      </c>
      <c r="W216" s="191" t="s">
        <v>48</v>
      </c>
      <c r="X216" s="7"/>
      <c r="Y216" s="7"/>
      <c r="Z216" s="7"/>
      <c r="AA216" s="7"/>
      <c r="AB216" s="7"/>
      <c r="AC216" s="7"/>
    </row>
    <row r="217" spans="1:29" ht="25.5">
      <c r="A217" s="19"/>
      <c r="B217" s="148" t="s">
        <v>270</v>
      </c>
      <c r="C217" s="117">
        <f t="shared" si="32"/>
        <v>1201.6099999999999</v>
      </c>
      <c r="D217" s="117"/>
      <c r="E217" s="117">
        <f>F217+G217</f>
        <v>78.61</v>
      </c>
      <c r="F217" s="117">
        <f t="shared" si="33"/>
        <v>44.92</v>
      </c>
      <c r="G217" s="117">
        <f t="shared" si="34"/>
        <v>33.69</v>
      </c>
      <c r="H217" s="117">
        <f t="shared" si="41"/>
        <v>1123</v>
      </c>
      <c r="I217" s="117"/>
      <c r="J217" s="22"/>
      <c r="K217" s="22"/>
      <c r="L217" s="22"/>
      <c r="M217" s="22"/>
      <c r="N217" s="22" t="s">
        <v>271</v>
      </c>
      <c r="O217" s="117">
        <v>27977</v>
      </c>
      <c r="P217" s="117">
        <v>29100</v>
      </c>
      <c r="Q217" s="149"/>
      <c r="R217" s="309"/>
      <c r="S217" s="117">
        <v>1</v>
      </c>
      <c r="T217" s="91">
        <f t="shared" si="27"/>
        <v>1123</v>
      </c>
      <c r="V217" s="569" t="s">
        <v>272</v>
      </c>
      <c r="W217" s="14" t="s">
        <v>82</v>
      </c>
      <c r="X217" s="7"/>
      <c r="Y217" s="7"/>
      <c r="Z217" s="7"/>
      <c r="AA217" s="7"/>
      <c r="AB217" s="7"/>
      <c r="AC217" s="7"/>
    </row>
    <row r="218" spans="1:29" ht="33.75" customHeight="1">
      <c r="A218" s="19"/>
      <c r="B218" s="148" t="s">
        <v>872</v>
      </c>
      <c r="C218" s="91">
        <f t="shared" si="32"/>
        <v>173.34</v>
      </c>
      <c r="D218" s="91"/>
      <c r="E218" s="91">
        <f>G218+F218</f>
        <v>11.34</v>
      </c>
      <c r="F218" s="91">
        <f t="shared" si="33"/>
        <v>6.48</v>
      </c>
      <c r="G218" s="91">
        <f t="shared" si="34"/>
        <v>4.8599999999999994</v>
      </c>
      <c r="H218" s="91">
        <f t="shared" si="41"/>
        <v>162</v>
      </c>
      <c r="I218" s="91">
        <f t="shared" si="38"/>
        <v>104.004</v>
      </c>
      <c r="J218" s="22"/>
      <c r="K218" s="22"/>
      <c r="L218" s="22"/>
      <c r="M218" s="22"/>
      <c r="N218" s="22"/>
      <c r="O218" s="91">
        <v>38427</v>
      </c>
      <c r="P218" s="91">
        <v>38589</v>
      </c>
      <c r="Q218" s="122"/>
      <c r="R218" s="200"/>
      <c r="S218" s="151">
        <v>1</v>
      </c>
      <c r="T218" s="91">
        <f t="shared" si="27"/>
        <v>162</v>
      </c>
      <c r="U218" s="95">
        <v>4369</v>
      </c>
      <c r="V218" s="569" t="s">
        <v>273</v>
      </c>
      <c r="W218" s="14" t="s">
        <v>48</v>
      </c>
      <c r="X218" s="7"/>
      <c r="Y218" s="7"/>
      <c r="Z218" s="7"/>
      <c r="AA218" s="7"/>
      <c r="AB218" s="7"/>
      <c r="AC218" s="7"/>
    </row>
    <row r="219" spans="1:29" s="198" customFormat="1" ht="24.75" customHeight="1">
      <c r="A219" s="196"/>
      <c r="B219" s="148" t="s">
        <v>873</v>
      </c>
      <c r="C219" s="199">
        <f t="shared" si="32"/>
        <v>0</v>
      </c>
      <c r="D219" s="91"/>
      <c r="E219" s="91">
        <f>F219+G219</f>
        <v>0</v>
      </c>
      <c r="F219" s="91">
        <f t="shared" si="33"/>
        <v>0</v>
      </c>
      <c r="G219" s="91">
        <f t="shared" si="34"/>
        <v>0</v>
      </c>
      <c r="H219" s="91">
        <f t="shared" si="41"/>
        <v>0</v>
      </c>
      <c r="I219" s="91">
        <f t="shared" si="38"/>
        <v>0</v>
      </c>
      <c r="J219" s="22"/>
      <c r="K219" s="22"/>
      <c r="L219" s="22"/>
      <c r="M219" s="22"/>
      <c r="N219" s="22"/>
      <c r="O219" s="91">
        <v>36462</v>
      </c>
      <c r="P219" s="91">
        <v>36462</v>
      </c>
      <c r="Q219" s="122"/>
      <c r="R219" s="200"/>
      <c r="S219" s="151">
        <v>1</v>
      </c>
      <c r="T219" s="91">
        <f t="shared" si="27"/>
        <v>0</v>
      </c>
      <c r="U219" s="95">
        <v>1400</v>
      </c>
      <c r="V219" s="569" t="s">
        <v>274</v>
      </c>
      <c r="W219" s="14" t="s">
        <v>48</v>
      </c>
      <c r="X219" s="197"/>
      <c r="Y219" s="197"/>
      <c r="Z219" s="197"/>
      <c r="AA219" s="197"/>
      <c r="AB219" s="197"/>
      <c r="AC219" s="197"/>
    </row>
    <row r="220" spans="1:29" ht="26.25">
      <c r="A220" s="19"/>
      <c r="B220" s="148" t="s">
        <v>874</v>
      </c>
      <c r="C220" s="91">
        <f t="shared" si="32"/>
        <v>0</v>
      </c>
      <c r="D220" s="91"/>
      <c r="E220" s="91">
        <f>G220+F220</f>
        <v>0</v>
      </c>
      <c r="F220" s="91">
        <f t="shared" si="33"/>
        <v>0</v>
      </c>
      <c r="G220" s="91">
        <f t="shared" si="34"/>
        <v>0</v>
      </c>
      <c r="H220" s="91">
        <f t="shared" si="41"/>
        <v>0</v>
      </c>
      <c r="I220" s="91">
        <f t="shared" si="38"/>
        <v>0</v>
      </c>
      <c r="J220" s="22"/>
      <c r="K220" s="22"/>
      <c r="L220" s="22"/>
      <c r="M220" s="22"/>
      <c r="N220" s="22"/>
      <c r="O220" s="91">
        <v>43342</v>
      </c>
      <c r="P220" s="91">
        <v>43342</v>
      </c>
      <c r="Q220" s="149"/>
      <c r="R220" s="161"/>
      <c r="S220" s="151">
        <v>1</v>
      </c>
      <c r="T220" s="91">
        <f t="shared" si="27"/>
        <v>0</v>
      </c>
      <c r="U220" s="95">
        <v>2328</v>
      </c>
      <c r="V220" s="569" t="s">
        <v>275</v>
      </c>
      <c r="W220" s="14" t="s">
        <v>48</v>
      </c>
      <c r="X220" s="7"/>
      <c r="Y220" s="7"/>
      <c r="Z220" s="7"/>
      <c r="AA220" s="7"/>
      <c r="AB220" s="7"/>
      <c r="AC220" s="7"/>
    </row>
    <row r="221" spans="1:29" ht="26.25">
      <c r="A221" s="19"/>
      <c r="B221" s="148" t="s">
        <v>875</v>
      </c>
      <c r="C221" s="199">
        <f t="shared" si="32"/>
        <v>0</v>
      </c>
      <c r="D221" s="91"/>
      <c r="E221" s="91">
        <f t="shared" ref="E221:E230" si="42">F221+G221</f>
        <v>0</v>
      </c>
      <c r="F221" s="91">
        <f t="shared" si="33"/>
        <v>0</v>
      </c>
      <c r="G221" s="91">
        <f t="shared" si="34"/>
        <v>0</v>
      </c>
      <c r="H221" s="91">
        <f t="shared" si="41"/>
        <v>0</v>
      </c>
      <c r="I221" s="91">
        <f t="shared" si="38"/>
        <v>0</v>
      </c>
      <c r="J221" s="22"/>
      <c r="K221" s="22"/>
      <c r="L221" s="22"/>
      <c r="M221" s="22"/>
      <c r="N221" s="22"/>
      <c r="O221" s="91">
        <v>77142</v>
      </c>
      <c r="P221" s="91">
        <v>77142</v>
      </c>
      <c r="Q221" s="122"/>
      <c r="R221" s="200"/>
      <c r="S221" s="151">
        <v>1</v>
      </c>
      <c r="T221" s="91">
        <f t="shared" si="27"/>
        <v>0</v>
      </c>
      <c r="U221" s="95">
        <v>6910</v>
      </c>
      <c r="V221" s="569" t="s">
        <v>276</v>
      </c>
      <c r="W221" s="14" t="s">
        <v>48</v>
      </c>
      <c r="X221" s="7"/>
      <c r="Y221" s="7"/>
      <c r="Z221" s="7"/>
      <c r="AA221" s="7"/>
      <c r="AB221" s="7"/>
      <c r="AC221" s="7"/>
    </row>
    <row r="222" spans="1:29" ht="25.5">
      <c r="A222" s="19"/>
      <c r="B222" s="638" t="s">
        <v>876</v>
      </c>
      <c r="C222" s="91">
        <f t="shared" si="32"/>
        <v>227.91</v>
      </c>
      <c r="D222" s="91"/>
      <c r="E222" s="91">
        <f t="shared" si="42"/>
        <v>14.91</v>
      </c>
      <c r="F222" s="91">
        <f t="shared" si="33"/>
        <v>8.52</v>
      </c>
      <c r="G222" s="91">
        <f t="shared" si="34"/>
        <v>6.39</v>
      </c>
      <c r="H222" s="91">
        <f t="shared" si="41"/>
        <v>213</v>
      </c>
      <c r="I222" s="91">
        <f t="shared" si="38"/>
        <v>136.74599999999998</v>
      </c>
      <c r="J222" s="22"/>
      <c r="K222" s="22"/>
      <c r="L222" s="22"/>
      <c r="M222" s="22"/>
      <c r="N222" s="22"/>
      <c r="O222" s="91">
        <v>7361</v>
      </c>
      <c r="P222" s="91">
        <v>7574</v>
      </c>
      <c r="Q222" s="122"/>
      <c r="R222" s="173"/>
      <c r="S222" s="151">
        <v>1</v>
      </c>
      <c r="T222" s="91">
        <f t="shared" si="27"/>
        <v>213</v>
      </c>
      <c r="U222" s="95">
        <v>6295</v>
      </c>
      <c r="V222" s="569" t="s">
        <v>277</v>
      </c>
      <c r="W222" s="14" t="s">
        <v>48</v>
      </c>
      <c r="X222" s="7"/>
      <c r="Y222" s="7"/>
      <c r="Z222" s="7"/>
      <c r="AA222" s="7"/>
      <c r="AB222" s="7"/>
      <c r="AC222" s="7"/>
    </row>
    <row r="223" spans="1:29" ht="26.25">
      <c r="A223" s="19"/>
      <c r="B223" s="90" t="s">
        <v>278</v>
      </c>
      <c r="C223" s="91">
        <f t="shared" si="32"/>
        <v>319.93</v>
      </c>
      <c r="D223" s="91"/>
      <c r="E223" s="91">
        <f t="shared" si="42"/>
        <v>20.93</v>
      </c>
      <c r="F223" s="91">
        <f t="shared" si="33"/>
        <v>11.96</v>
      </c>
      <c r="G223" s="91">
        <f t="shared" si="34"/>
        <v>8.9699999999999989</v>
      </c>
      <c r="H223" s="91">
        <f t="shared" si="41"/>
        <v>299</v>
      </c>
      <c r="I223" s="91">
        <f t="shared" si="38"/>
        <v>191.958</v>
      </c>
      <c r="J223" s="22"/>
      <c r="K223" s="22"/>
      <c r="L223" s="22"/>
      <c r="M223" s="22"/>
      <c r="N223" s="22"/>
      <c r="O223" s="91">
        <v>22558</v>
      </c>
      <c r="P223" s="91">
        <v>22857</v>
      </c>
      <c r="Q223" s="149"/>
      <c r="R223" s="161"/>
      <c r="S223" s="151">
        <v>1</v>
      </c>
      <c r="T223" s="91">
        <f t="shared" si="27"/>
        <v>299</v>
      </c>
      <c r="U223" s="95">
        <v>6549</v>
      </c>
      <c r="V223" s="569" t="s">
        <v>279</v>
      </c>
      <c r="W223" s="14" t="s">
        <v>48</v>
      </c>
      <c r="X223" s="7"/>
      <c r="Y223" s="7"/>
      <c r="Z223" s="7"/>
      <c r="AA223" s="7"/>
      <c r="AB223" s="7"/>
      <c r="AC223" s="7"/>
    </row>
    <row r="224" spans="1:29" ht="26.25">
      <c r="A224" s="19"/>
      <c r="B224" s="148" t="s">
        <v>877</v>
      </c>
      <c r="C224" s="91">
        <f t="shared" si="32"/>
        <v>167.99</v>
      </c>
      <c r="D224" s="91"/>
      <c r="E224" s="91">
        <f t="shared" si="42"/>
        <v>10.99</v>
      </c>
      <c r="F224" s="91">
        <f t="shared" si="33"/>
        <v>6.28</v>
      </c>
      <c r="G224" s="91">
        <f t="shared" si="34"/>
        <v>4.71</v>
      </c>
      <c r="H224" s="91">
        <f t="shared" si="41"/>
        <v>157</v>
      </c>
      <c r="I224" s="91">
        <f>0.5*C224</f>
        <v>83.995000000000005</v>
      </c>
      <c r="J224" s="22"/>
      <c r="K224" s="22"/>
      <c r="L224" s="22"/>
      <c r="M224" s="22"/>
      <c r="N224" s="22"/>
      <c r="O224" s="91">
        <v>6533</v>
      </c>
      <c r="P224" s="91">
        <v>6690</v>
      </c>
      <c r="Q224" s="122"/>
      <c r="R224" s="173"/>
      <c r="S224" s="91">
        <v>1</v>
      </c>
      <c r="T224" s="91">
        <f t="shared" si="27"/>
        <v>157</v>
      </c>
      <c r="U224" s="95">
        <v>4924</v>
      </c>
      <c r="V224" s="569" t="s">
        <v>280</v>
      </c>
      <c r="W224" s="14" t="s">
        <v>48</v>
      </c>
      <c r="X224" s="7"/>
      <c r="Y224" s="7"/>
      <c r="Z224" s="7"/>
      <c r="AA224" s="7"/>
      <c r="AB224" s="7"/>
      <c r="AC224" s="7"/>
    </row>
    <row r="225" spans="1:29" ht="25.5">
      <c r="A225" s="19"/>
      <c r="B225" s="148" t="s">
        <v>281</v>
      </c>
      <c r="C225" s="91">
        <f t="shared" si="32"/>
        <v>141.24</v>
      </c>
      <c r="D225" s="91"/>
      <c r="E225" s="91">
        <f t="shared" si="42"/>
        <v>9.24</v>
      </c>
      <c r="F225" s="91">
        <f t="shared" si="33"/>
        <v>5.28</v>
      </c>
      <c r="G225" s="91">
        <f t="shared" si="34"/>
        <v>3.96</v>
      </c>
      <c r="H225" s="91">
        <f t="shared" si="41"/>
        <v>132</v>
      </c>
      <c r="I225" s="91">
        <f>0.5*C225</f>
        <v>70.62</v>
      </c>
      <c r="J225" s="22"/>
      <c r="K225" s="22"/>
      <c r="L225" s="22"/>
      <c r="M225" s="22"/>
      <c r="N225" s="22"/>
      <c r="O225" s="91">
        <v>37373</v>
      </c>
      <c r="P225" s="91">
        <v>37505</v>
      </c>
      <c r="Q225" s="122"/>
      <c r="R225" s="173"/>
      <c r="S225" s="91">
        <v>1</v>
      </c>
      <c r="T225" s="91">
        <f t="shared" si="27"/>
        <v>132</v>
      </c>
      <c r="U225" s="95">
        <v>4762</v>
      </c>
      <c r="V225" s="569" t="s">
        <v>282</v>
      </c>
      <c r="W225" s="14" t="s">
        <v>48</v>
      </c>
      <c r="X225" s="7"/>
      <c r="Y225" s="7"/>
      <c r="Z225" s="7"/>
      <c r="AA225" s="7"/>
      <c r="AB225" s="7"/>
      <c r="AC225" s="7"/>
    </row>
    <row r="226" spans="1:29" ht="26.25">
      <c r="A226" s="19"/>
      <c r="B226" s="148" t="s">
        <v>283</v>
      </c>
      <c r="C226" s="91">
        <f t="shared" si="32"/>
        <v>133.75</v>
      </c>
      <c r="D226" s="91"/>
      <c r="E226" s="91">
        <f t="shared" si="42"/>
        <v>8.75</v>
      </c>
      <c r="F226" s="91">
        <f t="shared" si="33"/>
        <v>5</v>
      </c>
      <c r="G226" s="91">
        <f t="shared" si="34"/>
        <v>3.75</v>
      </c>
      <c r="H226" s="91">
        <f t="shared" si="41"/>
        <v>125</v>
      </c>
      <c r="I226" s="115">
        <f>0.6*C226</f>
        <v>80.25</v>
      </c>
      <c r="J226" s="22"/>
      <c r="K226" s="22"/>
      <c r="L226" s="22"/>
      <c r="M226" s="22"/>
      <c r="N226" s="22"/>
      <c r="O226" s="91">
        <v>3834</v>
      </c>
      <c r="P226" s="91">
        <v>3959</v>
      </c>
      <c r="Q226" s="122"/>
      <c r="R226" s="173"/>
      <c r="S226" s="151">
        <v>1</v>
      </c>
      <c r="T226" s="91">
        <f t="shared" si="27"/>
        <v>125</v>
      </c>
      <c r="U226" s="95"/>
      <c r="V226" s="569" t="s">
        <v>284</v>
      </c>
      <c r="W226" s="14" t="s">
        <v>48</v>
      </c>
      <c r="X226" s="7"/>
      <c r="Y226" s="7"/>
      <c r="Z226" s="7"/>
      <c r="AA226" s="7"/>
      <c r="AB226" s="7"/>
      <c r="AC226" s="7"/>
    </row>
    <row r="227" spans="1:29" ht="26.25">
      <c r="A227" s="19"/>
      <c r="B227" s="148" t="s">
        <v>878</v>
      </c>
      <c r="C227" s="91">
        <f t="shared" si="32"/>
        <v>43.87</v>
      </c>
      <c r="D227" s="91"/>
      <c r="E227" s="91">
        <f t="shared" si="42"/>
        <v>2.87</v>
      </c>
      <c r="F227" s="91">
        <f t="shared" si="33"/>
        <v>1.6400000000000001</v>
      </c>
      <c r="G227" s="91">
        <f t="shared" si="34"/>
        <v>1.23</v>
      </c>
      <c r="H227" s="91">
        <f t="shared" si="41"/>
        <v>41</v>
      </c>
      <c r="I227" s="115">
        <f>0.6*C227</f>
        <v>26.321999999999999</v>
      </c>
      <c r="J227" s="22"/>
      <c r="K227" s="22"/>
      <c r="L227" s="22"/>
      <c r="M227" s="22"/>
      <c r="N227" s="22"/>
      <c r="O227" s="91">
        <v>22088</v>
      </c>
      <c r="P227" s="91">
        <v>22129</v>
      </c>
      <c r="Q227" s="122"/>
      <c r="R227" s="173"/>
      <c r="S227" s="151">
        <v>1</v>
      </c>
      <c r="T227" s="91">
        <f t="shared" si="27"/>
        <v>41</v>
      </c>
      <c r="U227" s="95">
        <v>530958</v>
      </c>
      <c r="V227" s="569" t="s">
        <v>285</v>
      </c>
      <c r="W227" s="14" t="s">
        <v>48</v>
      </c>
      <c r="X227" s="7"/>
      <c r="Y227" s="7"/>
      <c r="Z227" s="7"/>
      <c r="AA227" s="7"/>
      <c r="AB227" s="7"/>
      <c r="AC227" s="7"/>
    </row>
    <row r="228" spans="1:29" ht="26.25">
      <c r="A228" s="19"/>
      <c r="B228" s="148" t="s">
        <v>879</v>
      </c>
      <c r="C228" s="91">
        <f t="shared" si="32"/>
        <v>208.65</v>
      </c>
      <c r="D228" s="91"/>
      <c r="E228" s="91">
        <f t="shared" si="42"/>
        <v>13.649999999999999</v>
      </c>
      <c r="F228" s="91">
        <f t="shared" si="33"/>
        <v>7.8</v>
      </c>
      <c r="G228" s="91">
        <f t="shared" si="34"/>
        <v>5.85</v>
      </c>
      <c r="H228" s="91">
        <f t="shared" si="41"/>
        <v>195</v>
      </c>
      <c r="I228" s="91">
        <f>0.6*C228</f>
        <v>125.19</v>
      </c>
      <c r="J228" s="22"/>
      <c r="K228" s="22"/>
      <c r="L228" s="22"/>
      <c r="M228" s="22"/>
      <c r="N228" s="22"/>
      <c r="O228" s="91">
        <v>17765</v>
      </c>
      <c r="P228" s="91">
        <v>17960</v>
      </c>
      <c r="Q228" s="122"/>
      <c r="R228" s="173"/>
      <c r="S228" s="91">
        <v>1</v>
      </c>
      <c r="T228" s="91">
        <f t="shared" si="27"/>
        <v>195</v>
      </c>
      <c r="U228" s="95">
        <v>607637</v>
      </c>
      <c r="V228" s="569" t="s">
        <v>286</v>
      </c>
      <c r="W228" s="14" t="s">
        <v>48</v>
      </c>
      <c r="X228" s="7"/>
      <c r="Y228" s="7"/>
      <c r="Z228" s="7"/>
      <c r="AA228" s="7"/>
      <c r="AB228" s="7"/>
      <c r="AC228" s="7"/>
    </row>
    <row r="229" spans="1:29" ht="26.25">
      <c r="A229" s="19"/>
      <c r="B229" s="148" t="s">
        <v>287</v>
      </c>
      <c r="C229" s="91">
        <f t="shared" si="32"/>
        <v>162.63999999999999</v>
      </c>
      <c r="D229" s="91"/>
      <c r="E229" s="91">
        <f t="shared" si="42"/>
        <v>10.64</v>
      </c>
      <c r="F229" s="91">
        <f t="shared" si="33"/>
        <v>6.08</v>
      </c>
      <c r="G229" s="91">
        <f t="shared" si="34"/>
        <v>4.5599999999999996</v>
      </c>
      <c r="H229" s="91">
        <f t="shared" si="41"/>
        <v>152</v>
      </c>
      <c r="I229" s="115">
        <f>0.6*C229</f>
        <v>97.583999999999989</v>
      </c>
      <c r="J229" s="22"/>
      <c r="K229" s="22"/>
      <c r="L229" s="22"/>
      <c r="M229" s="22"/>
      <c r="N229" s="22"/>
      <c r="O229" s="91">
        <v>13227</v>
      </c>
      <c r="P229" s="91">
        <v>13379</v>
      </c>
      <c r="Q229" s="149"/>
      <c r="R229" s="247"/>
      <c r="S229" s="151">
        <v>1</v>
      </c>
      <c r="T229" s="91">
        <f t="shared" si="27"/>
        <v>152</v>
      </c>
      <c r="U229" s="95">
        <v>56067</v>
      </c>
      <c r="V229" s="569" t="s">
        <v>288</v>
      </c>
      <c r="W229" s="14" t="s">
        <v>48</v>
      </c>
      <c r="X229" s="7"/>
      <c r="Y229" s="7"/>
      <c r="Z229" s="7"/>
      <c r="AA229" s="7"/>
      <c r="AB229" s="7"/>
      <c r="AC229" s="7"/>
    </row>
    <row r="230" spans="1:29" ht="26.25">
      <c r="A230" s="19"/>
      <c r="B230" s="143" t="s">
        <v>766</v>
      </c>
      <c r="C230" s="115">
        <f t="shared" si="32"/>
        <v>5765.1599999998753</v>
      </c>
      <c r="D230" s="115"/>
      <c r="E230" s="115">
        <f t="shared" si="42"/>
        <v>377.15999999999184</v>
      </c>
      <c r="F230" s="115">
        <f t="shared" si="33"/>
        <v>215.51999999999535</v>
      </c>
      <c r="G230" s="115">
        <f t="shared" si="34"/>
        <v>161.63999999999649</v>
      </c>
      <c r="H230" s="115">
        <f t="shared" si="41"/>
        <v>5387.9999999998836</v>
      </c>
      <c r="I230" s="115"/>
      <c r="J230" s="22"/>
      <c r="K230" s="22"/>
      <c r="L230" s="22"/>
      <c r="M230" s="22"/>
      <c r="N230" s="22"/>
      <c r="O230" s="653">
        <v>34798.5</v>
      </c>
      <c r="P230" s="653">
        <v>34933.199999999997</v>
      </c>
      <c r="Q230" s="122"/>
      <c r="R230" s="142"/>
      <c r="S230" s="151">
        <v>40</v>
      </c>
      <c r="T230" s="91">
        <f t="shared" si="27"/>
        <v>5387.9999999998836</v>
      </c>
      <c r="U230" s="95">
        <v>1535390</v>
      </c>
      <c r="V230" s="617" t="s">
        <v>789</v>
      </c>
      <c r="W230" s="14" t="s">
        <v>53</v>
      </c>
      <c r="X230" s="7"/>
      <c r="Y230" s="7"/>
      <c r="Z230" s="7"/>
      <c r="AA230" s="7"/>
      <c r="AB230" s="7"/>
      <c r="AC230" s="7"/>
    </row>
    <row r="231" spans="1:29" ht="28.5" customHeight="1">
      <c r="A231" s="252"/>
      <c r="B231" s="104" t="s">
        <v>610</v>
      </c>
      <c r="C231" s="91">
        <f>H231+E231</f>
        <v>5114.5999999999949</v>
      </c>
      <c r="D231" s="92"/>
      <c r="E231" s="91">
        <f>F231+G231</f>
        <v>334.59999999999968</v>
      </c>
      <c r="F231" s="91">
        <f>0.04*T231</f>
        <v>191.19999999999982</v>
      </c>
      <c r="G231" s="91">
        <f>0.03*T231</f>
        <v>143.39999999999986</v>
      </c>
      <c r="H231" s="91">
        <f>T231</f>
        <v>4779.9999999999955</v>
      </c>
      <c r="I231" s="91">
        <f>H231*0.5</f>
        <v>2389.9999999999977</v>
      </c>
      <c r="J231" s="98"/>
      <c r="K231" s="98"/>
      <c r="L231" s="98"/>
      <c r="M231" s="98"/>
      <c r="N231" s="98"/>
      <c r="O231" s="92">
        <v>559.58000000000004</v>
      </c>
      <c r="P231" s="92">
        <v>655.17999999999995</v>
      </c>
      <c r="Q231" s="105"/>
      <c r="R231" s="106"/>
      <c r="S231" s="92">
        <v>50</v>
      </c>
      <c r="T231" s="91">
        <f>(P231-O231)*S231</f>
        <v>4779.9999999999955</v>
      </c>
      <c r="U231" s="95">
        <v>2536</v>
      </c>
      <c r="V231" s="569" t="s">
        <v>752</v>
      </c>
      <c r="W231" s="14" t="s">
        <v>48</v>
      </c>
      <c r="X231" s="7"/>
      <c r="Y231" s="7"/>
      <c r="Z231" s="7"/>
      <c r="AA231" s="7"/>
      <c r="AB231" s="7"/>
      <c r="AC231" s="7"/>
    </row>
    <row r="232" spans="1:29" ht="26.25">
      <c r="A232" s="19"/>
      <c r="B232" s="104" t="s">
        <v>906</v>
      </c>
      <c r="C232" s="91">
        <f t="shared" ref="C232" si="43">H232+E232</f>
        <v>1391</v>
      </c>
      <c r="D232" s="91"/>
      <c r="E232" s="91">
        <f>G232+F232</f>
        <v>91</v>
      </c>
      <c r="F232" s="91">
        <f>H232*0.04</f>
        <v>52</v>
      </c>
      <c r="G232" s="91">
        <f>H232*0.03</f>
        <v>39</v>
      </c>
      <c r="H232" s="91">
        <f t="shared" ref="H232" si="44">T232</f>
        <v>1300</v>
      </c>
      <c r="I232" s="91">
        <f>0.6*C232</f>
        <v>834.6</v>
      </c>
      <c r="J232" s="22"/>
      <c r="K232" s="22"/>
      <c r="L232" s="22"/>
      <c r="M232" s="22"/>
      <c r="N232" s="22"/>
      <c r="O232" s="115">
        <v>812978</v>
      </c>
      <c r="P232" s="115">
        <v>814278</v>
      </c>
      <c r="Q232" s="122"/>
      <c r="R232" s="614"/>
      <c r="S232" s="151">
        <v>1</v>
      </c>
      <c r="T232" s="91">
        <f t="shared" ref="T232" si="45">(P232-O232)*S232</f>
        <v>1300</v>
      </c>
      <c r="U232" s="95">
        <v>399479</v>
      </c>
      <c r="V232" s="569" t="s">
        <v>788</v>
      </c>
      <c r="W232" s="14" t="s">
        <v>48</v>
      </c>
      <c r="X232" s="7"/>
      <c r="Y232" s="7"/>
      <c r="Z232" s="7"/>
      <c r="AA232" s="7"/>
      <c r="AB232" s="7"/>
      <c r="AC232" s="7"/>
    </row>
    <row r="233" spans="1:29" ht="25.5">
      <c r="A233" s="19"/>
      <c r="B233" s="615"/>
      <c r="C233" s="91"/>
      <c r="D233" s="91"/>
      <c r="E233" s="91"/>
      <c r="F233" s="91"/>
      <c r="G233" s="91"/>
      <c r="H233" s="91"/>
      <c r="I233" s="91"/>
      <c r="J233" s="22"/>
      <c r="K233" s="22"/>
      <c r="L233" s="22"/>
      <c r="M233" s="22"/>
      <c r="N233" s="22"/>
      <c r="O233" s="91"/>
      <c r="P233" s="91"/>
      <c r="Q233" s="122"/>
      <c r="R233" s="173"/>
      <c r="S233" s="91"/>
      <c r="T233" s="91"/>
      <c r="U233" s="95"/>
      <c r="V233" s="569"/>
      <c r="W233" s="14" t="s">
        <v>48</v>
      </c>
      <c r="X233" s="7"/>
      <c r="Y233" s="7"/>
      <c r="Z233" s="7"/>
      <c r="AA233" s="7"/>
      <c r="AB233" s="7"/>
      <c r="AC233" s="7"/>
    </row>
    <row r="234" spans="1:29" ht="26.25" hidden="1">
      <c r="A234" s="19"/>
      <c r="B234" s="341"/>
      <c r="C234" s="91"/>
      <c r="D234" s="91"/>
      <c r="E234" s="91"/>
      <c r="F234" s="91"/>
      <c r="G234" s="91"/>
      <c r="H234" s="91"/>
      <c r="I234" s="91"/>
      <c r="J234" s="22"/>
      <c r="K234" s="22"/>
      <c r="L234" s="22"/>
      <c r="M234" s="22"/>
      <c r="N234" s="22"/>
      <c r="O234" s="91"/>
      <c r="P234" s="91"/>
      <c r="Q234" s="122"/>
      <c r="R234" s="173"/>
      <c r="S234" s="91"/>
      <c r="T234" s="91"/>
      <c r="U234" s="95"/>
      <c r="V234" s="569"/>
      <c r="W234" s="14" t="s">
        <v>48</v>
      </c>
      <c r="X234" s="7"/>
      <c r="Y234" s="7"/>
      <c r="Z234" s="7"/>
      <c r="AA234" s="7"/>
      <c r="AB234" s="7"/>
      <c r="AC234" s="7"/>
    </row>
    <row r="235" spans="1:29" ht="25.5" hidden="1">
      <c r="A235" s="19"/>
      <c r="B235" s="148"/>
      <c r="C235" s="91"/>
      <c r="D235" s="91"/>
      <c r="E235" s="91"/>
      <c r="F235" s="91"/>
      <c r="G235" s="91"/>
      <c r="H235" s="91"/>
      <c r="I235" s="91"/>
      <c r="J235" s="22"/>
      <c r="K235" s="22"/>
      <c r="L235" s="22"/>
      <c r="M235" s="22"/>
      <c r="N235" s="22"/>
      <c r="O235" s="91"/>
      <c r="P235" s="91"/>
      <c r="Q235" s="122"/>
      <c r="R235" s="173"/>
      <c r="S235" s="91"/>
      <c r="T235" s="91"/>
      <c r="U235" s="95"/>
      <c r="V235" s="569"/>
      <c r="W235" s="14" t="s">
        <v>48</v>
      </c>
      <c r="X235" s="7"/>
      <c r="Y235" s="7"/>
      <c r="Z235" s="7"/>
      <c r="AA235" s="7"/>
      <c r="AB235" s="7"/>
      <c r="AC235" s="7"/>
    </row>
    <row r="236" spans="1:29" ht="25.5" hidden="1">
      <c r="A236" s="19"/>
      <c r="B236" s="148"/>
      <c r="C236" s="91"/>
      <c r="D236" s="91"/>
      <c r="E236" s="91"/>
      <c r="F236" s="91"/>
      <c r="G236" s="91"/>
      <c r="H236" s="91"/>
      <c r="I236" s="91"/>
      <c r="J236" s="22"/>
      <c r="K236" s="22"/>
      <c r="L236" s="22"/>
      <c r="M236" s="22"/>
      <c r="N236" s="22"/>
      <c r="O236" s="91"/>
      <c r="P236" s="91"/>
      <c r="Q236" s="122"/>
      <c r="R236" s="173"/>
      <c r="S236" s="91"/>
      <c r="T236" s="91"/>
      <c r="U236" s="95"/>
      <c r="V236" s="569"/>
      <c r="W236" s="14" t="s">
        <v>48</v>
      </c>
      <c r="X236" s="7"/>
      <c r="Y236" s="7"/>
      <c r="Z236" s="7"/>
      <c r="AA236" s="7"/>
      <c r="AB236" s="7"/>
      <c r="AC236" s="7"/>
    </row>
    <row r="237" spans="1:29" ht="25.5" hidden="1">
      <c r="A237" s="19"/>
      <c r="B237" s="148"/>
      <c r="C237" s="91"/>
      <c r="D237" s="91"/>
      <c r="E237" s="91"/>
      <c r="F237" s="91"/>
      <c r="G237" s="91"/>
      <c r="H237" s="91"/>
      <c r="I237" s="91"/>
      <c r="J237" s="22"/>
      <c r="K237" s="22"/>
      <c r="L237" s="22"/>
      <c r="M237" s="22"/>
      <c r="N237" s="22"/>
      <c r="O237" s="91"/>
      <c r="P237" s="91"/>
      <c r="Q237" s="149"/>
      <c r="R237" s="142"/>
      <c r="S237" s="91"/>
      <c r="T237" s="91"/>
      <c r="U237" s="95"/>
      <c r="V237" s="569"/>
      <c r="W237" s="14" t="s">
        <v>48</v>
      </c>
      <c r="X237" s="7"/>
      <c r="Y237" s="7"/>
      <c r="Z237" s="7"/>
      <c r="AA237" s="7"/>
      <c r="AB237" s="7"/>
      <c r="AC237" s="7"/>
    </row>
    <row r="238" spans="1:29" ht="25.5" hidden="1">
      <c r="A238" s="19"/>
      <c r="B238" s="148"/>
      <c r="C238" s="91"/>
      <c r="D238" s="91"/>
      <c r="E238" s="91"/>
      <c r="F238" s="91"/>
      <c r="G238" s="91"/>
      <c r="H238" s="91"/>
      <c r="I238" s="91"/>
      <c r="J238" s="22"/>
      <c r="K238" s="22"/>
      <c r="L238" s="22"/>
      <c r="M238" s="22"/>
      <c r="N238" s="22"/>
      <c r="O238" s="91"/>
      <c r="P238" s="91"/>
      <c r="Q238" s="122"/>
      <c r="R238" s="200"/>
      <c r="S238" s="151"/>
      <c r="T238" s="91"/>
      <c r="U238" s="95"/>
      <c r="V238" s="569"/>
      <c r="W238" s="14" t="s">
        <v>48</v>
      </c>
      <c r="X238" s="7"/>
      <c r="Y238" s="7"/>
      <c r="Z238" s="7"/>
      <c r="AA238" s="7"/>
      <c r="AB238" s="7"/>
      <c r="AC238" s="7"/>
    </row>
    <row r="239" spans="1:29" ht="25.5" hidden="1">
      <c r="A239" s="19"/>
      <c r="B239" s="148"/>
      <c r="C239" s="91"/>
      <c r="D239" s="91"/>
      <c r="E239" s="91"/>
      <c r="F239" s="91"/>
      <c r="G239" s="91"/>
      <c r="H239" s="91"/>
      <c r="I239" s="91"/>
      <c r="J239" s="22"/>
      <c r="K239" s="22"/>
      <c r="L239" s="22"/>
      <c r="M239" s="22"/>
      <c r="N239" s="22"/>
      <c r="O239" s="91"/>
      <c r="P239" s="91"/>
      <c r="Q239" s="122"/>
      <c r="R239" s="200"/>
      <c r="S239" s="151"/>
      <c r="T239" s="91"/>
      <c r="U239" s="95"/>
      <c r="V239" s="569"/>
      <c r="W239" s="14" t="s">
        <v>48</v>
      </c>
      <c r="X239" s="7"/>
      <c r="Y239" s="7"/>
      <c r="Z239" s="7"/>
      <c r="AA239" s="7"/>
      <c r="AB239" s="7"/>
      <c r="AC239" s="7"/>
    </row>
    <row r="240" spans="1:29" ht="25.5" hidden="1">
      <c r="A240" s="19"/>
      <c r="B240" s="148"/>
      <c r="C240" s="91"/>
      <c r="D240" s="91"/>
      <c r="E240" s="91"/>
      <c r="F240" s="91"/>
      <c r="G240" s="91"/>
      <c r="H240" s="91"/>
      <c r="I240" s="91"/>
      <c r="J240" s="22"/>
      <c r="K240" s="22"/>
      <c r="L240" s="22"/>
      <c r="M240" s="22"/>
      <c r="N240" s="22"/>
      <c r="O240" s="117"/>
      <c r="P240" s="117"/>
      <c r="Q240" s="122"/>
      <c r="R240" s="342"/>
      <c r="S240" s="330"/>
      <c r="T240" s="117"/>
      <c r="U240" s="95"/>
      <c r="V240" s="569"/>
      <c r="W240" s="14" t="s">
        <v>48</v>
      </c>
      <c r="X240" s="7"/>
      <c r="Y240" s="7"/>
      <c r="Z240" s="7"/>
      <c r="AA240" s="7"/>
      <c r="AB240" s="7"/>
      <c r="AC240" s="7"/>
    </row>
    <row r="241" spans="1:29" ht="25.5" hidden="1">
      <c r="A241" s="19"/>
      <c r="B241" s="148"/>
      <c r="C241" s="91"/>
      <c r="D241" s="91"/>
      <c r="E241" s="91"/>
      <c r="F241" s="91"/>
      <c r="G241" s="91"/>
      <c r="H241" s="91"/>
      <c r="I241" s="91"/>
      <c r="J241" s="22"/>
      <c r="K241" s="22"/>
      <c r="L241" s="22"/>
      <c r="M241" s="22"/>
      <c r="N241" s="22"/>
      <c r="O241" s="117"/>
      <c r="P241" s="117"/>
      <c r="Q241" s="122"/>
      <c r="R241" s="342"/>
      <c r="S241" s="330"/>
      <c r="T241" s="117"/>
      <c r="U241" s="95"/>
      <c r="V241" s="569"/>
      <c r="W241" s="14" t="s">
        <v>48</v>
      </c>
      <c r="X241" s="7"/>
      <c r="Y241" s="7"/>
      <c r="Z241" s="7"/>
      <c r="AA241" s="7"/>
      <c r="AB241" s="7"/>
      <c r="AC241" s="7"/>
    </row>
    <row r="242" spans="1:29" ht="25.5" hidden="1">
      <c r="A242" s="19"/>
      <c r="B242" s="329"/>
      <c r="C242" s="117"/>
      <c r="D242" s="117"/>
      <c r="E242" s="117"/>
      <c r="F242" s="117"/>
      <c r="G242" s="117"/>
      <c r="H242" s="117"/>
      <c r="I242" s="117"/>
      <c r="J242" s="22"/>
      <c r="K242" s="22"/>
      <c r="L242" s="22"/>
      <c r="M242" s="22"/>
      <c r="N242" s="22"/>
      <c r="O242" s="91"/>
      <c r="P242" s="91"/>
      <c r="Q242" s="173"/>
      <c r="R242" s="200"/>
      <c r="S242" s="91"/>
      <c r="T242" s="91"/>
      <c r="U242" s="95"/>
      <c r="V242" s="569"/>
      <c r="W242" s="14" t="s">
        <v>48</v>
      </c>
      <c r="X242" s="7"/>
      <c r="Y242" s="7"/>
      <c r="Z242" s="7"/>
      <c r="AA242" s="7"/>
      <c r="AB242" s="7"/>
      <c r="AC242" s="7"/>
    </row>
    <row r="243" spans="1:29" ht="25.5">
      <c r="A243" s="19"/>
      <c r="B243" s="148" t="s">
        <v>290</v>
      </c>
      <c r="C243" s="91">
        <f t="shared" ref="C243:C268" si="46">H243+E243</f>
        <v>390.55</v>
      </c>
      <c r="D243" s="91"/>
      <c r="E243" s="91">
        <f t="shared" ref="E243:E273" si="47">F243+G243</f>
        <v>25.549999999999997</v>
      </c>
      <c r="F243" s="91">
        <f t="shared" ref="F243:F273" si="48">0.04*H243</f>
        <v>14.6</v>
      </c>
      <c r="G243" s="91">
        <f t="shared" ref="G243:G273" si="49">0.03*H243</f>
        <v>10.95</v>
      </c>
      <c r="H243" s="91">
        <f t="shared" si="41"/>
        <v>365</v>
      </c>
      <c r="I243" s="91"/>
      <c r="J243" s="142"/>
      <c r="K243" s="142"/>
      <c r="L243" s="142"/>
      <c r="M243" s="142"/>
      <c r="N243" s="142"/>
      <c r="O243" s="113">
        <v>50258</v>
      </c>
      <c r="P243" s="113">
        <v>50623</v>
      </c>
      <c r="Q243" s="149"/>
      <c r="R243" s="616"/>
      <c r="S243" s="113">
        <v>1</v>
      </c>
      <c r="T243" s="113">
        <f>P243-O243</f>
        <v>365</v>
      </c>
      <c r="U243" s="95">
        <v>7872</v>
      </c>
      <c r="V243" s="569" t="s">
        <v>291</v>
      </c>
      <c r="W243" s="14" t="s">
        <v>48</v>
      </c>
      <c r="X243" s="7"/>
      <c r="Y243" s="7"/>
      <c r="Z243" s="7"/>
      <c r="AA243" s="7"/>
      <c r="AB243" s="7"/>
      <c r="AC243" s="7"/>
    </row>
    <row r="244" spans="1:29" ht="25.5">
      <c r="A244" s="19"/>
      <c r="B244" s="213" t="s">
        <v>292</v>
      </c>
      <c r="C244" s="113">
        <f t="shared" si="46"/>
        <v>797.15</v>
      </c>
      <c r="D244" s="113"/>
      <c r="E244" s="113">
        <f t="shared" si="47"/>
        <v>52.15</v>
      </c>
      <c r="F244" s="113">
        <f t="shared" si="48"/>
        <v>29.8</v>
      </c>
      <c r="G244" s="113">
        <f t="shared" si="49"/>
        <v>22.349999999999998</v>
      </c>
      <c r="H244" s="113">
        <f t="shared" si="41"/>
        <v>745</v>
      </c>
      <c r="I244" s="113"/>
      <c r="J244" s="22"/>
      <c r="K244" s="22"/>
      <c r="L244" s="22"/>
      <c r="M244" s="22"/>
      <c r="N244" s="22"/>
      <c r="O244" s="91">
        <v>69019</v>
      </c>
      <c r="P244" s="91">
        <v>69764</v>
      </c>
      <c r="Q244" s="149"/>
      <c r="R244" s="232"/>
      <c r="S244" s="91">
        <v>1</v>
      </c>
      <c r="T244" s="91">
        <f>P244-O244</f>
        <v>745</v>
      </c>
      <c r="U244" s="95">
        <v>4200</v>
      </c>
      <c r="V244" s="569" t="s">
        <v>293</v>
      </c>
      <c r="W244" s="14" t="s">
        <v>48</v>
      </c>
      <c r="X244" s="7"/>
      <c r="Y244" s="7"/>
      <c r="Z244" s="7"/>
      <c r="AA244" s="7"/>
      <c r="AB244" s="7"/>
      <c r="AC244" s="7"/>
    </row>
    <row r="245" spans="1:29" ht="25.5">
      <c r="A245" s="19"/>
      <c r="B245" s="148" t="s">
        <v>294</v>
      </c>
      <c r="C245" s="91">
        <f t="shared" si="46"/>
        <v>211.86</v>
      </c>
      <c r="D245" s="91"/>
      <c r="E245" s="91">
        <f t="shared" si="47"/>
        <v>13.86</v>
      </c>
      <c r="F245" s="91">
        <f t="shared" si="48"/>
        <v>7.92</v>
      </c>
      <c r="G245" s="91">
        <f t="shared" si="49"/>
        <v>5.9399999999999995</v>
      </c>
      <c r="H245" s="91">
        <f t="shared" si="41"/>
        <v>198</v>
      </c>
      <c r="I245" s="91"/>
      <c r="J245" s="22"/>
      <c r="K245" s="22"/>
      <c r="L245" s="22"/>
      <c r="M245" s="22"/>
      <c r="N245" s="22"/>
      <c r="O245" s="91">
        <v>23272</v>
      </c>
      <c r="P245" s="91">
        <v>23470</v>
      </c>
      <c r="Q245" s="149"/>
      <c r="R245" s="232"/>
      <c r="S245" s="91">
        <v>1</v>
      </c>
      <c r="T245" s="91">
        <f>P245-O245</f>
        <v>198</v>
      </c>
      <c r="U245" s="95" t="s">
        <v>295</v>
      </c>
      <c r="V245" s="569" t="s">
        <v>296</v>
      </c>
      <c r="W245" s="14" t="s">
        <v>48</v>
      </c>
      <c r="X245" s="7"/>
      <c r="Y245" s="7"/>
      <c r="Z245" s="7"/>
      <c r="AA245" s="7"/>
      <c r="AB245" s="7"/>
      <c r="AC245" s="7"/>
    </row>
    <row r="246" spans="1:29" ht="25.5">
      <c r="A246" s="19"/>
      <c r="B246" s="148" t="s">
        <v>848</v>
      </c>
      <c r="C246" s="91">
        <f t="shared" si="46"/>
        <v>1019.71</v>
      </c>
      <c r="D246" s="91"/>
      <c r="E246" s="91">
        <f t="shared" si="47"/>
        <v>66.709999999999994</v>
      </c>
      <c r="F246" s="91">
        <f t="shared" si="48"/>
        <v>38.119999999999997</v>
      </c>
      <c r="G246" s="91">
        <f t="shared" si="49"/>
        <v>28.59</v>
      </c>
      <c r="H246" s="91">
        <f t="shared" si="41"/>
        <v>953</v>
      </c>
      <c r="I246" s="91"/>
      <c r="J246" s="22"/>
      <c r="K246" s="22"/>
      <c r="L246" s="22"/>
      <c r="M246" s="22"/>
      <c r="N246" s="22"/>
      <c r="O246" s="91">
        <v>96909</v>
      </c>
      <c r="P246" s="91">
        <v>97862</v>
      </c>
      <c r="Q246" s="149"/>
      <c r="R246" s="232"/>
      <c r="S246" s="91">
        <v>1</v>
      </c>
      <c r="T246" s="91">
        <f>P246-O246</f>
        <v>953</v>
      </c>
      <c r="U246" s="95">
        <v>3267</v>
      </c>
      <c r="V246" s="569" t="s">
        <v>297</v>
      </c>
      <c r="W246" s="14" t="s">
        <v>48</v>
      </c>
      <c r="X246" s="7"/>
      <c r="Y246" s="7"/>
      <c r="Z246" s="7"/>
      <c r="AA246" s="7"/>
      <c r="AB246" s="7"/>
      <c r="AC246" s="7"/>
    </row>
    <row r="247" spans="1:29" ht="26.25">
      <c r="A247" s="19"/>
      <c r="B247" s="812" t="s">
        <v>298</v>
      </c>
      <c r="C247" s="115">
        <f t="shared" si="46"/>
        <v>9411.720000000023</v>
      </c>
      <c r="D247" s="91"/>
      <c r="E247" s="91">
        <f t="shared" si="47"/>
        <v>615.72000000000151</v>
      </c>
      <c r="F247" s="91">
        <f t="shared" si="48"/>
        <v>351.84000000000088</v>
      </c>
      <c r="G247" s="91">
        <f t="shared" si="49"/>
        <v>263.88000000000062</v>
      </c>
      <c r="H247" s="91">
        <f t="shared" si="41"/>
        <v>8796.0000000000218</v>
      </c>
      <c r="I247" s="91"/>
      <c r="J247" s="22"/>
      <c r="K247" s="22"/>
      <c r="L247" s="22"/>
      <c r="M247" s="22"/>
      <c r="N247" s="22"/>
      <c r="O247" s="589">
        <v>25173.1</v>
      </c>
      <c r="P247" s="589">
        <v>25466.3</v>
      </c>
      <c r="Q247" s="149"/>
      <c r="R247" s="232"/>
      <c r="S247" s="91">
        <v>30</v>
      </c>
      <c r="T247" s="91">
        <f>(P247-O247)*S247</f>
        <v>8796.0000000000218</v>
      </c>
      <c r="U247" s="95" t="s">
        <v>299</v>
      </c>
      <c r="V247" s="839" t="s">
        <v>300</v>
      </c>
      <c r="W247" s="14" t="s">
        <v>48</v>
      </c>
      <c r="X247" s="7"/>
      <c r="Y247" s="7"/>
      <c r="Z247" s="7"/>
      <c r="AA247" s="7"/>
      <c r="AB247" s="7"/>
      <c r="AC247" s="7"/>
    </row>
    <row r="248" spans="1:29" ht="26.25">
      <c r="A248" s="19"/>
      <c r="B248" s="813"/>
      <c r="C248" s="115">
        <f t="shared" si="46"/>
        <v>2638.62</v>
      </c>
      <c r="D248" s="91"/>
      <c r="E248" s="91">
        <f t="shared" si="47"/>
        <v>172.62</v>
      </c>
      <c r="F248" s="91">
        <f t="shared" si="48"/>
        <v>98.64</v>
      </c>
      <c r="G248" s="91">
        <f t="shared" si="49"/>
        <v>73.98</v>
      </c>
      <c r="H248" s="91">
        <f t="shared" si="41"/>
        <v>2466</v>
      </c>
      <c r="I248" s="91"/>
      <c r="J248" s="22"/>
      <c r="K248" s="22"/>
      <c r="L248" s="22"/>
      <c r="M248" s="22"/>
      <c r="N248" s="22"/>
      <c r="O248" s="91">
        <v>78287</v>
      </c>
      <c r="P248" s="91">
        <v>80753</v>
      </c>
      <c r="Q248" s="149"/>
      <c r="R248" s="232"/>
      <c r="S248" s="91">
        <v>1</v>
      </c>
      <c r="T248" s="91">
        <f t="shared" ref="T248:T254" si="50">P248-O248</f>
        <v>2466</v>
      </c>
      <c r="U248" s="95">
        <v>6398</v>
      </c>
      <c r="V248" s="839"/>
      <c r="W248" s="14" t="s">
        <v>48</v>
      </c>
      <c r="X248" s="7"/>
      <c r="Y248" s="7"/>
      <c r="Z248" s="7"/>
      <c r="AA248" s="7"/>
      <c r="AB248" s="7"/>
      <c r="AC248" s="7"/>
    </row>
    <row r="249" spans="1:29" ht="25.5">
      <c r="A249" s="19"/>
      <c r="B249" s="148" t="s">
        <v>907</v>
      </c>
      <c r="C249" s="91">
        <f t="shared" si="46"/>
        <v>1167.3699999999999</v>
      </c>
      <c r="D249" s="91"/>
      <c r="E249" s="91">
        <f t="shared" si="47"/>
        <v>76.37</v>
      </c>
      <c r="F249" s="91">
        <f t="shared" si="48"/>
        <v>43.64</v>
      </c>
      <c r="G249" s="91">
        <f t="shared" si="49"/>
        <v>32.729999999999997</v>
      </c>
      <c r="H249" s="91">
        <f t="shared" si="41"/>
        <v>1091</v>
      </c>
      <c r="I249" s="91"/>
      <c r="J249" s="22"/>
      <c r="K249" s="22"/>
      <c r="L249" s="22"/>
      <c r="M249" s="22"/>
      <c r="N249" s="22"/>
      <c r="O249" s="91">
        <v>79891</v>
      </c>
      <c r="P249" s="91">
        <v>80982</v>
      </c>
      <c r="Q249" s="149"/>
      <c r="R249" s="232"/>
      <c r="S249" s="91">
        <v>1</v>
      </c>
      <c r="T249" s="91">
        <f t="shared" si="50"/>
        <v>1091</v>
      </c>
      <c r="U249" s="95" t="s">
        <v>302</v>
      </c>
      <c r="V249" s="569" t="s">
        <v>779</v>
      </c>
      <c r="W249" s="14" t="s">
        <v>48</v>
      </c>
      <c r="X249" s="7"/>
      <c r="Y249" s="7"/>
      <c r="Z249" s="7"/>
      <c r="AA249" s="7"/>
      <c r="AB249" s="7"/>
      <c r="AC249" s="7"/>
    </row>
    <row r="250" spans="1:29" ht="30.75" customHeight="1">
      <c r="A250" s="19"/>
      <c r="B250" s="148" t="s">
        <v>303</v>
      </c>
      <c r="C250" s="91">
        <f t="shared" si="46"/>
        <v>1942.05</v>
      </c>
      <c r="D250" s="91"/>
      <c r="E250" s="91">
        <f t="shared" si="47"/>
        <v>127.05000000000001</v>
      </c>
      <c r="F250" s="91">
        <f t="shared" si="48"/>
        <v>72.600000000000009</v>
      </c>
      <c r="G250" s="91">
        <f t="shared" si="49"/>
        <v>54.449999999999996</v>
      </c>
      <c r="H250" s="91">
        <f t="shared" si="41"/>
        <v>1815</v>
      </c>
      <c r="I250" s="91"/>
      <c r="J250" s="22"/>
      <c r="K250" s="22"/>
      <c r="L250" s="22"/>
      <c r="M250" s="22"/>
      <c r="N250" s="22"/>
      <c r="O250" s="91">
        <v>85537</v>
      </c>
      <c r="P250" s="91">
        <v>87352</v>
      </c>
      <c r="Q250" s="149"/>
      <c r="R250" s="232"/>
      <c r="S250" s="91">
        <v>1</v>
      </c>
      <c r="T250" s="91">
        <f t="shared" si="50"/>
        <v>1815</v>
      </c>
      <c r="U250" s="95">
        <v>2943</v>
      </c>
      <c r="V250" s="569" t="s">
        <v>304</v>
      </c>
      <c r="W250" s="14" t="s">
        <v>48</v>
      </c>
      <c r="X250" s="7"/>
      <c r="Y250" s="7"/>
      <c r="Z250" s="7"/>
      <c r="AA250" s="7"/>
      <c r="AB250" s="7"/>
      <c r="AC250" s="7"/>
    </row>
    <row r="251" spans="1:29" ht="26.25">
      <c r="A251" s="19"/>
      <c r="B251" s="618"/>
      <c r="C251" s="199">
        <f t="shared" si="46"/>
        <v>0</v>
      </c>
      <c r="D251" s="199"/>
      <c r="E251" s="199">
        <f t="shared" si="47"/>
        <v>0</v>
      </c>
      <c r="F251" s="199">
        <f t="shared" si="48"/>
        <v>0</v>
      </c>
      <c r="G251" s="199">
        <f t="shared" si="49"/>
        <v>0</v>
      </c>
      <c r="H251" s="199">
        <f t="shared" si="41"/>
        <v>0</v>
      </c>
      <c r="I251" s="199"/>
      <c r="J251" s="333"/>
      <c r="K251" s="333"/>
      <c r="L251" s="333"/>
      <c r="M251" s="333"/>
      <c r="N251" s="333"/>
      <c r="O251" s="199">
        <v>0</v>
      </c>
      <c r="P251" s="199">
        <v>0</v>
      </c>
      <c r="Q251" s="334"/>
      <c r="R251" s="335"/>
      <c r="S251" s="199">
        <v>1</v>
      </c>
      <c r="T251" s="199">
        <f t="shared" si="50"/>
        <v>0</v>
      </c>
      <c r="U251" s="95"/>
      <c r="V251" s="569"/>
      <c r="W251" s="14" t="s">
        <v>48</v>
      </c>
      <c r="X251" s="7"/>
      <c r="Y251" s="7"/>
      <c r="Z251" s="7"/>
      <c r="AA251" s="7"/>
      <c r="AB251" s="7"/>
      <c r="AC251" s="7"/>
    </row>
    <row r="252" spans="1:29" ht="27.75" customHeight="1">
      <c r="A252" s="19"/>
      <c r="B252" s="329" t="s">
        <v>305</v>
      </c>
      <c r="C252" s="117">
        <f t="shared" si="46"/>
        <v>242.89</v>
      </c>
      <c r="D252" s="117"/>
      <c r="E252" s="117">
        <f t="shared" si="47"/>
        <v>15.89</v>
      </c>
      <c r="F252" s="117">
        <f t="shared" si="48"/>
        <v>9.08</v>
      </c>
      <c r="G252" s="117">
        <f t="shared" si="49"/>
        <v>6.81</v>
      </c>
      <c r="H252" s="117">
        <f t="shared" si="41"/>
        <v>227</v>
      </c>
      <c r="I252" s="117"/>
      <c r="J252" s="22"/>
      <c r="K252" s="22"/>
      <c r="L252" s="22"/>
      <c r="M252" s="22"/>
      <c r="N252" s="22" t="s">
        <v>271</v>
      </c>
      <c r="O252" s="117">
        <v>21922</v>
      </c>
      <c r="P252" s="117">
        <v>22149</v>
      </c>
      <c r="Q252" s="149"/>
      <c r="R252" s="309"/>
      <c r="S252" s="117">
        <v>1</v>
      </c>
      <c r="T252" s="117">
        <f t="shared" si="50"/>
        <v>227</v>
      </c>
      <c r="U252" s="95" t="s">
        <v>306</v>
      </c>
      <c r="V252" s="569" t="s">
        <v>307</v>
      </c>
      <c r="W252" s="14" t="s">
        <v>48</v>
      </c>
      <c r="X252" s="7"/>
      <c r="Y252" s="7"/>
      <c r="Z252" s="7"/>
      <c r="AA252" s="7"/>
      <c r="AB252" s="7"/>
      <c r="AC252" s="7"/>
    </row>
    <row r="253" spans="1:29" ht="27.75" customHeight="1">
      <c r="A253" s="19"/>
      <c r="B253" s="329" t="s">
        <v>308</v>
      </c>
      <c r="C253" s="117">
        <f t="shared" si="46"/>
        <v>162.63999999999999</v>
      </c>
      <c r="D253" s="117"/>
      <c r="E253" s="117">
        <f t="shared" si="47"/>
        <v>10.64</v>
      </c>
      <c r="F253" s="117">
        <f t="shared" si="48"/>
        <v>6.08</v>
      </c>
      <c r="G253" s="117">
        <f t="shared" si="49"/>
        <v>4.5599999999999996</v>
      </c>
      <c r="H253" s="117">
        <f t="shared" si="41"/>
        <v>152</v>
      </c>
      <c r="I253" s="117"/>
      <c r="J253" s="22"/>
      <c r="K253" s="22"/>
      <c r="L253" s="22"/>
      <c r="M253" s="22"/>
      <c r="N253" s="22" t="s">
        <v>271</v>
      </c>
      <c r="O253" s="117">
        <v>4764</v>
      </c>
      <c r="P253" s="117">
        <v>4916</v>
      </c>
      <c r="Q253" s="149"/>
      <c r="R253" s="309"/>
      <c r="S253" s="117">
        <v>1</v>
      </c>
      <c r="T253" s="117">
        <f t="shared" si="50"/>
        <v>152</v>
      </c>
      <c r="U253" s="95"/>
      <c r="V253" s="569" t="s">
        <v>309</v>
      </c>
      <c r="W253" s="14" t="s">
        <v>82</v>
      </c>
      <c r="X253" s="7"/>
      <c r="Y253" s="7"/>
      <c r="Z253" s="7"/>
      <c r="AA253" s="7"/>
      <c r="AB253" s="7"/>
      <c r="AC253" s="7"/>
    </row>
    <row r="254" spans="1:29" ht="27">
      <c r="A254" s="19"/>
      <c r="B254" s="619" t="s">
        <v>310</v>
      </c>
      <c r="C254" s="117">
        <f t="shared" si="46"/>
        <v>225.77</v>
      </c>
      <c r="D254" s="117"/>
      <c r="E254" s="117">
        <f t="shared" si="47"/>
        <v>14.77</v>
      </c>
      <c r="F254" s="117">
        <f t="shared" si="48"/>
        <v>8.44</v>
      </c>
      <c r="G254" s="117">
        <f t="shared" si="49"/>
        <v>6.33</v>
      </c>
      <c r="H254" s="117">
        <f t="shared" si="41"/>
        <v>211</v>
      </c>
      <c r="I254" s="117"/>
      <c r="J254" s="22"/>
      <c r="K254" s="22"/>
      <c r="L254" s="22"/>
      <c r="M254" s="22"/>
      <c r="N254" s="22" t="s">
        <v>271</v>
      </c>
      <c r="O254" s="117">
        <v>12796</v>
      </c>
      <c r="P254" s="117">
        <v>13007</v>
      </c>
      <c r="Q254" s="149"/>
      <c r="R254" s="309"/>
      <c r="S254" s="117">
        <v>1</v>
      </c>
      <c r="T254" s="117">
        <f t="shared" si="50"/>
        <v>211</v>
      </c>
      <c r="U254" s="311">
        <v>6292</v>
      </c>
      <c r="V254" s="569" t="s">
        <v>311</v>
      </c>
      <c r="W254" s="14" t="s">
        <v>82</v>
      </c>
      <c r="X254" s="7"/>
      <c r="Y254" s="7"/>
      <c r="Z254" s="7"/>
      <c r="AA254" s="7"/>
      <c r="AB254" s="7"/>
      <c r="AC254" s="7"/>
    </row>
    <row r="255" spans="1:29" ht="25.5">
      <c r="A255" s="19"/>
      <c r="B255" s="620" t="s">
        <v>312</v>
      </c>
      <c r="C255" s="91">
        <f t="shared" si="46"/>
        <v>854.93</v>
      </c>
      <c r="D255" s="91"/>
      <c r="E255" s="91">
        <f t="shared" si="47"/>
        <v>55.93</v>
      </c>
      <c r="F255" s="91">
        <f t="shared" si="48"/>
        <v>31.96</v>
      </c>
      <c r="G255" s="91">
        <f t="shared" si="49"/>
        <v>23.97</v>
      </c>
      <c r="H255" s="91">
        <f t="shared" si="41"/>
        <v>799</v>
      </c>
      <c r="I255" s="91"/>
      <c r="J255" s="142"/>
      <c r="K255" s="142"/>
      <c r="L255" s="142"/>
      <c r="M255" s="142"/>
      <c r="N255" s="142"/>
      <c r="O255" s="91">
        <v>75377</v>
      </c>
      <c r="P255" s="91">
        <v>76176</v>
      </c>
      <c r="Q255" s="161"/>
      <c r="R255" s="200"/>
      <c r="S255" s="91">
        <v>1</v>
      </c>
      <c r="T255" s="91">
        <f>P255-O255</f>
        <v>799</v>
      </c>
      <c r="U255" s="95">
        <v>3092</v>
      </c>
      <c r="V255" s="569" t="s">
        <v>313</v>
      </c>
      <c r="W255" s="14" t="s">
        <v>48</v>
      </c>
      <c r="X255" s="7"/>
      <c r="Y255" s="7"/>
      <c r="Z255" s="7"/>
      <c r="AA255" s="7"/>
      <c r="AB255" s="7"/>
      <c r="AC255" s="7"/>
    </row>
    <row r="256" spans="1:29" ht="25.5">
      <c r="A256" s="19"/>
      <c r="B256" s="148" t="s">
        <v>314</v>
      </c>
      <c r="C256" s="113">
        <f t="shared" si="46"/>
        <v>743.65</v>
      </c>
      <c r="D256" s="113"/>
      <c r="E256" s="113">
        <f t="shared" si="47"/>
        <v>48.65</v>
      </c>
      <c r="F256" s="113">
        <f t="shared" si="48"/>
        <v>27.8</v>
      </c>
      <c r="G256" s="113">
        <f t="shared" si="49"/>
        <v>20.849999999999998</v>
      </c>
      <c r="H256" s="113">
        <f t="shared" si="41"/>
        <v>695</v>
      </c>
      <c r="I256" s="113"/>
      <c r="J256" s="22"/>
      <c r="K256" s="22"/>
      <c r="L256" s="22"/>
      <c r="M256" s="22"/>
      <c r="N256" s="22"/>
      <c r="O256" s="113">
        <v>54716</v>
      </c>
      <c r="P256" s="113">
        <v>55411</v>
      </c>
      <c r="Q256" s="149"/>
      <c r="R256" s="621"/>
      <c r="S256" s="113">
        <v>1</v>
      </c>
      <c r="T256" s="113">
        <f>P256-O256</f>
        <v>695</v>
      </c>
      <c r="U256" s="95">
        <v>3370</v>
      </c>
      <c r="V256" s="569" t="s">
        <v>315</v>
      </c>
      <c r="W256" s="14" t="s">
        <v>48</v>
      </c>
      <c r="X256" s="7"/>
      <c r="Y256" s="7"/>
      <c r="Z256" s="7"/>
      <c r="AA256" s="7"/>
      <c r="AB256" s="7"/>
      <c r="AC256" s="7"/>
    </row>
    <row r="257" spans="1:29" ht="25.5">
      <c r="A257" s="19"/>
      <c r="B257" s="148" t="s">
        <v>316</v>
      </c>
      <c r="C257" s="91">
        <f t="shared" si="46"/>
        <v>279.27</v>
      </c>
      <c r="D257" s="91"/>
      <c r="E257" s="91">
        <f>F257+G257</f>
        <v>18.27</v>
      </c>
      <c r="F257" s="91">
        <f t="shared" si="48"/>
        <v>10.44</v>
      </c>
      <c r="G257" s="91">
        <f>0.03*H257</f>
        <v>7.83</v>
      </c>
      <c r="H257" s="91">
        <f>T257</f>
        <v>261</v>
      </c>
      <c r="I257" s="91"/>
      <c r="J257" s="22"/>
      <c r="K257" s="22"/>
      <c r="L257" s="22"/>
      <c r="M257" s="22"/>
      <c r="N257" s="22"/>
      <c r="O257" s="91">
        <v>27023</v>
      </c>
      <c r="P257" s="91">
        <v>27284</v>
      </c>
      <c r="Q257" s="149"/>
      <c r="R257" s="200"/>
      <c r="S257" s="91">
        <v>1</v>
      </c>
      <c r="T257" s="91">
        <f>P257-O257</f>
        <v>261</v>
      </c>
      <c r="U257" s="95">
        <v>3300</v>
      </c>
      <c r="V257" s="569" t="s">
        <v>317</v>
      </c>
      <c r="W257" s="14" t="s">
        <v>48</v>
      </c>
      <c r="X257" s="7"/>
      <c r="Y257" s="7"/>
      <c r="Z257" s="7"/>
      <c r="AA257" s="7"/>
      <c r="AB257" s="7"/>
      <c r="AC257" s="7"/>
    </row>
    <row r="258" spans="1:29" ht="25.5">
      <c r="A258" s="19"/>
      <c r="B258" s="148" t="s">
        <v>318</v>
      </c>
      <c r="C258" s="91">
        <f t="shared" si="46"/>
        <v>821.76</v>
      </c>
      <c r="D258" s="91"/>
      <c r="E258" s="91">
        <f>F258+G258</f>
        <v>53.76</v>
      </c>
      <c r="F258" s="91">
        <f>0.04*H258</f>
        <v>30.72</v>
      </c>
      <c r="G258" s="91">
        <f>0.03*H258</f>
        <v>23.04</v>
      </c>
      <c r="H258" s="91">
        <f>T258</f>
        <v>768</v>
      </c>
      <c r="I258" s="91"/>
      <c r="J258" s="22"/>
      <c r="K258" s="22"/>
      <c r="L258" s="22"/>
      <c r="M258" s="22"/>
      <c r="N258" s="22"/>
      <c r="O258" s="91">
        <v>79289</v>
      </c>
      <c r="P258" s="91">
        <v>80057</v>
      </c>
      <c r="Q258" s="149"/>
      <c r="R258" s="200"/>
      <c r="S258" s="91">
        <v>1</v>
      </c>
      <c r="T258" s="91">
        <f>P258-O258</f>
        <v>768</v>
      </c>
      <c r="U258" s="95">
        <v>3920</v>
      </c>
      <c r="V258" s="569" t="s">
        <v>317</v>
      </c>
      <c r="W258" s="14" t="s">
        <v>48</v>
      </c>
      <c r="X258" s="7"/>
      <c r="Y258" s="7"/>
      <c r="Z258" s="7"/>
      <c r="AA258" s="7"/>
      <c r="AB258" s="7"/>
      <c r="AC258" s="7"/>
    </row>
    <row r="259" spans="1:29" ht="25.5">
      <c r="A259" s="19"/>
      <c r="B259" s="148" t="s">
        <v>319</v>
      </c>
      <c r="C259" s="91">
        <f t="shared" si="46"/>
        <v>875.26</v>
      </c>
      <c r="D259" s="91"/>
      <c r="E259" s="91">
        <f>F259+G259</f>
        <v>57.26</v>
      </c>
      <c r="F259" s="91">
        <f t="shared" si="48"/>
        <v>32.72</v>
      </c>
      <c r="G259" s="91">
        <f t="shared" si="49"/>
        <v>24.54</v>
      </c>
      <c r="H259" s="91">
        <f t="shared" si="41"/>
        <v>818</v>
      </c>
      <c r="I259" s="91"/>
      <c r="J259" s="22"/>
      <c r="K259" s="22"/>
      <c r="L259" s="22"/>
      <c r="M259" s="22"/>
      <c r="N259" s="22"/>
      <c r="O259" s="91">
        <v>110172</v>
      </c>
      <c r="P259" s="91">
        <v>110990</v>
      </c>
      <c r="Q259" s="149"/>
      <c r="R259" s="200"/>
      <c r="S259" s="91">
        <v>1</v>
      </c>
      <c r="T259" s="91">
        <f>P259-O259</f>
        <v>818</v>
      </c>
      <c r="U259" s="95">
        <v>3665</v>
      </c>
      <c r="V259" s="569" t="s">
        <v>320</v>
      </c>
      <c r="W259" s="14" t="s">
        <v>82</v>
      </c>
      <c r="X259" s="7"/>
      <c r="Y259" s="7"/>
      <c r="Z259" s="7"/>
      <c r="AA259" s="7"/>
      <c r="AB259" s="7"/>
      <c r="AC259" s="7"/>
    </row>
    <row r="260" spans="1:29" ht="25.5">
      <c r="A260" s="19"/>
      <c r="B260" s="148" t="s">
        <v>321</v>
      </c>
      <c r="C260" s="91">
        <f t="shared" si="46"/>
        <v>732.95</v>
      </c>
      <c r="D260" s="91"/>
      <c r="E260" s="91">
        <f t="shared" si="47"/>
        <v>47.95</v>
      </c>
      <c r="F260" s="91">
        <f t="shared" si="48"/>
        <v>27.400000000000002</v>
      </c>
      <c r="G260" s="91">
        <f t="shared" si="49"/>
        <v>20.55</v>
      </c>
      <c r="H260" s="91">
        <f t="shared" si="41"/>
        <v>685</v>
      </c>
      <c r="I260" s="91">
        <f t="shared" ref="I260:I273" si="51">0.6*C260</f>
        <v>439.77000000000004</v>
      </c>
      <c r="J260" s="22"/>
      <c r="K260" s="22"/>
      <c r="L260" s="22"/>
      <c r="M260" s="22"/>
      <c r="N260" s="22"/>
      <c r="O260" s="206">
        <v>17430</v>
      </c>
      <c r="P260" s="206">
        <v>18115</v>
      </c>
      <c r="Q260" s="22"/>
      <c r="R260" s="142"/>
      <c r="S260" s="151">
        <v>1</v>
      </c>
      <c r="T260" s="91">
        <f t="shared" ref="T260:T273" si="52">(P260-O260)*S260</f>
        <v>685</v>
      </c>
      <c r="U260" s="95">
        <v>34431</v>
      </c>
      <c r="V260" s="569" t="s">
        <v>322</v>
      </c>
      <c r="W260" s="14" t="s">
        <v>82</v>
      </c>
      <c r="X260" s="7"/>
      <c r="Y260" s="7"/>
      <c r="Z260" s="7"/>
      <c r="AA260" s="7"/>
      <c r="AB260" s="7"/>
      <c r="AC260" s="7"/>
    </row>
    <row r="261" spans="1:29" ht="25.5">
      <c r="A261" s="19"/>
      <c r="B261" s="622" t="s">
        <v>323</v>
      </c>
      <c r="C261" s="91">
        <f t="shared" si="46"/>
        <v>975.84</v>
      </c>
      <c r="D261" s="91"/>
      <c r="E261" s="91">
        <f t="shared" si="47"/>
        <v>63.84</v>
      </c>
      <c r="F261" s="91">
        <f t="shared" si="48"/>
        <v>36.480000000000004</v>
      </c>
      <c r="G261" s="91">
        <f t="shared" si="49"/>
        <v>27.36</v>
      </c>
      <c r="H261" s="91">
        <f t="shared" si="41"/>
        <v>912</v>
      </c>
      <c r="I261" s="91">
        <f t="shared" si="51"/>
        <v>585.50400000000002</v>
      </c>
      <c r="J261" s="22"/>
      <c r="K261" s="22"/>
      <c r="L261" s="22"/>
      <c r="M261" s="22"/>
      <c r="N261" s="22"/>
      <c r="O261" s="206">
        <v>63705</v>
      </c>
      <c r="P261" s="206">
        <v>64617</v>
      </c>
      <c r="Q261" s="22"/>
      <c r="R261" s="142"/>
      <c r="S261" s="151">
        <v>1</v>
      </c>
      <c r="T261" s="91">
        <f>(P261-O261)*S261</f>
        <v>912</v>
      </c>
      <c r="U261" s="95">
        <v>6272</v>
      </c>
      <c r="V261" s="569" t="s">
        <v>324</v>
      </c>
      <c r="W261" s="14" t="s">
        <v>82</v>
      </c>
      <c r="X261" s="7"/>
      <c r="Y261" s="7"/>
      <c r="Z261" s="7"/>
      <c r="AA261" s="7"/>
      <c r="AB261" s="7"/>
      <c r="AC261" s="7"/>
    </row>
    <row r="262" spans="1:29" ht="54.75" customHeight="1">
      <c r="A262" s="19"/>
      <c r="B262" s="148" t="s">
        <v>292</v>
      </c>
      <c r="C262" s="91">
        <f t="shared" si="46"/>
        <v>486.85</v>
      </c>
      <c r="D262" s="91"/>
      <c r="E262" s="91">
        <f t="shared" si="47"/>
        <v>31.85</v>
      </c>
      <c r="F262" s="91">
        <f t="shared" si="48"/>
        <v>18.2</v>
      </c>
      <c r="G262" s="91">
        <f t="shared" si="49"/>
        <v>13.65</v>
      </c>
      <c r="H262" s="91">
        <f t="shared" si="41"/>
        <v>455</v>
      </c>
      <c r="I262" s="91">
        <f t="shared" si="51"/>
        <v>292.11</v>
      </c>
      <c r="J262" s="22"/>
      <c r="K262" s="22"/>
      <c r="L262" s="22"/>
      <c r="M262" s="22"/>
      <c r="N262" s="22"/>
      <c r="O262" s="206">
        <v>31225</v>
      </c>
      <c r="P262" s="206">
        <v>31680</v>
      </c>
      <c r="Q262" s="22"/>
      <c r="R262" s="142"/>
      <c r="S262" s="151">
        <v>1</v>
      </c>
      <c r="T262" s="91">
        <f>(P262-O262)*S262</f>
        <v>455</v>
      </c>
      <c r="U262" s="623">
        <v>6090</v>
      </c>
      <c r="V262" s="569" t="s">
        <v>325</v>
      </c>
      <c r="W262" s="14" t="s">
        <v>82</v>
      </c>
      <c r="X262" s="7"/>
      <c r="Y262" s="7"/>
      <c r="Z262" s="7"/>
      <c r="AA262" s="7"/>
      <c r="AB262" s="7"/>
      <c r="AC262" s="7"/>
    </row>
    <row r="263" spans="1:29" ht="25.5">
      <c r="A263" s="19"/>
      <c r="B263" s="158" t="s">
        <v>849</v>
      </c>
      <c r="C263" s="91">
        <f t="shared" si="46"/>
        <v>624.88</v>
      </c>
      <c r="D263" s="91"/>
      <c r="E263" s="91">
        <f t="shared" si="47"/>
        <v>40.879999999999995</v>
      </c>
      <c r="F263" s="91">
        <f t="shared" si="48"/>
        <v>23.36</v>
      </c>
      <c r="G263" s="91">
        <f t="shared" si="49"/>
        <v>17.52</v>
      </c>
      <c r="H263" s="91">
        <f t="shared" si="41"/>
        <v>584</v>
      </c>
      <c r="I263" s="91">
        <f t="shared" si="51"/>
        <v>374.928</v>
      </c>
      <c r="J263" s="22"/>
      <c r="K263" s="22"/>
      <c r="L263" s="22"/>
      <c r="M263" s="22"/>
      <c r="N263" s="22"/>
      <c r="O263" s="206">
        <v>36201</v>
      </c>
      <c r="P263" s="206">
        <v>36785</v>
      </c>
      <c r="Q263" s="22"/>
      <c r="R263" s="142"/>
      <c r="S263" s="151">
        <v>1</v>
      </c>
      <c r="T263" s="91">
        <f t="shared" si="52"/>
        <v>584</v>
      </c>
      <c r="U263" s="95"/>
      <c r="V263" s="569" t="s">
        <v>326</v>
      </c>
      <c r="W263" s="14" t="s">
        <v>82</v>
      </c>
      <c r="X263" s="7"/>
      <c r="Y263" s="7"/>
      <c r="Z263" s="7"/>
      <c r="AA263" s="7"/>
      <c r="AB263" s="7"/>
      <c r="AC263" s="7"/>
    </row>
    <row r="264" spans="1:29" ht="25.5">
      <c r="A264" s="19"/>
      <c r="B264" s="622" t="s">
        <v>693</v>
      </c>
      <c r="C264" s="124">
        <f t="shared" si="46"/>
        <v>818.55</v>
      </c>
      <c r="D264" s="124"/>
      <c r="E264" s="124">
        <f t="shared" si="47"/>
        <v>53.55</v>
      </c>
      <c r="F264" s="124">
        <f t="shared" si="48"/>
        <v>30.6</v>
      </c>
      <c r="G264" s="124">
        <f t="shared" si="49"/>
        <v>22.95</v>
      </c>
      <c r="H264" s="124">
        <f t="shared" si="41"/>
        <v>765</v>
      </c>
      <c r="I264" s="124">
        <f t="shared" si="51"/>
        <v>491.12999999999994</v>
      </c>
      <c r="J264" s="126"/>
      <c r="K264" s="126"/>
      <c r="L264" s="126"/>
      <c r="M264" s="126"/>
      <c r="N264" s="126"/>
      <c r="O264" s="124">
        <v>60534</v>
      </c>
      <c r="P264" s="124">
        <v>61299</v>
      </c>
      <c r="Q264" s="126"/>
      <c r="R264" s="159"/>
      <c r="S264" s="140">
        <v>1</v>
      </c>
      <c r="T264" s="124">
        <f t="shared" si="52"/>
        <v>765</v>
      </c>
      <c r="U264" s="127">
        <v>6088</v>
      </c>
      <c r="V264" s="128" t="s">
        <v>327</v>
      </c>
      <c r="W264" s="14" t="s">
        <v>82</v>
      </c>
      <c r="X264" s="7"/>
      <c r="Y264" s="7"/>
      <c r="Z264" s="7"/>
      <c r="AA264" s="7"/>
      <c r="AB264" s="7"/>
      <c r="AC264" s="7"/>
    </row>
    <row r="265" spans="1:29" ht="25.5">
      <c r="A265" s="194"/>
      <c r="B265" s="587" t="s">
        <v>908</v>
      </c>
      <c r="C265" s="91">
        <f t="shared" si="46"/>
        <v>1090.33</v>
      </c>
      <c r="D265" s="91"/>
      <c r="E265" s="91">
        <f t="shared" si="47"/>
        <v>71.33</v>
      </c>
      <c r="F265" s="91">
        <f t="shared" si="48"/>
        <v>40.76</v>
      </c>
      <c r="G265" s="91">
        <f t="shared" si="49"/>
        <v>30.57</v>
      </c>
      <c r="H265" s="91">
        <f t="shared" si="41"/>
        <v>1019</v>
      </c>
      <c r="I265" s="91">
        <f t="shared" si="51"/>
        <v>654.19799999999998</v>
      </c>
      <c r="J265" s="22"/>
      <c r="K265" s="22"/>
      <c r="L265" s="22"/>
      <c r="M265" s="22"/>
      <c r="N265" s="22"/>
      <c r="O265" s="206">
        <v>72613</v>
      </c>
      <c r="P265" s="206">
        <v>73632</v>
      </c>
      <c r="Q265" s="22"/>
      <c r="R265" s="142"/>
      <c r="S265" s="151">
        <v>1</v>
      </c>
      <c r="T265" s="91">
        <f t="shared" si="52"/>
        <v>1019</v>
      </c>
      <c r="U265" s="95">
        <v>6209</v>
      </c>
      <c r="V265" s="569" t="s">
        <v>811</v>
      </c>
      <c r="W265" s="14" t="s">
        <v>82</v>
      </c>
      <c r="X265" s="7"/>
      <c r="Y265" s="7"/>
      <c r="Z265" s="7"/>
      <c r="AA265" s="7"/>
      <c r="AB265" s="7"/>
      <c r="AC265" s="7"/>
    </row>
    <row r="266" spans="1:29" ht="25.5">
      <c r="A266" s="19"/>
      <c r="B266" s="148" t="s">
        <v>909</v>
      </c>
      <c r="C266" s="91">
        <f t="shared" si="46"/>
        <v>661.26</v>
      </c>
      <c r="D266" s="91"/>
      <c r="E266" s="91">
        <f>F266+G266</f>
        <v>43.26</v>
      </c>
      <c r="F266" s="91">
        <f>0.04*H266</f>
        <v>24.72</v>
      </c>
      <c r="G266" s="91">
        <f>0.03*H266</f>
        <v>18.54</v>
      </c>
      <c r="H266" s="91">
        <f>T266</f>
        <v>618</v>
      </c>
      <c r="I266" s="91">
        <f>0.5*C266</f>
        <v>330.63</v>
      </c>
      <c r="J266" s="22"/>
      <c r="K266" s="22"/>
      <c r="L266" s="22"/>
      <c r="M266" s="22"/>
      <c r="N266" s="22"/>
      <c r="O266" s="229">
        <v>16080</v>
      </c>
      <c r="P266" s="229">
        <v>16698</v>
      </c>
      <c r="Q266" s="149"/>
      <c r="R266" s="150"/>
      <c r="S266" s="151">
        <v>1</v>
      </c>
      <c r="T266" s="91">
        <f>(P266-O266)*S266</f>
        <v>618</v>
      </c>
      <c r="U266" s="95">
        <v>4369</v>
      </c>
      <c r="V266" s="569" t="s">
        <v>381</v>
      </c>
      <c r="W266" s="14" t="s">
        <v>82</v>
      </c>
      <c r="X266" s="7"/>
      <c r="Y266" s="7"/>
      <c r="Z266" s="7"/>
      <c r="AA266" s="7"/>
      <c r="AB266" s="7"/>
      <c r="AC266" s="7"/>
    </row>
    <row r="267" spans="1:29" ht="25.5">
      <c r="A267" s="19"/>
      <c r="B267" s="148" t="s">
        <v>329</v>
      </c>
      <c r="C267" s="91">
        <f t="shared" si="46"/>
        <v>759.7</v>
      </c>
      <c r="D267" s="91"/>
      <c r="E267" s="91">
        <f t="shared" si="47"/>
        <v>49.7</v>
      </c>
      <c r="F267" s="91">
        <f t="shared" si="48"/>
        <v>28.400000000000002</v>
      </c>
      <c r="G267" s="91">
        <f t="shared" si="49"/>
        <v>21.3</v>
      </c>
      <c r="H267" s="91">
        <f t="shared" si="41"/>
        <v>710</v>
      </c>
      <c r="I267" s="91">
        <f t="shared" si="51"/>
        <v>455.82</v>
      </c>
      <c r="J267" s="22"/>
      <c r="K267" s="22"/>
      <c r="L267" s="22"/>
      <c r="M267" s="22"/>
      <c r="N267" s="22"/>
      <c r="O267" s="206">
        <v>63057</v>
      </c>
      <c r="P267" s="206">
        <v>63767</v>
      </c>
      <c r="Q267" s="22"/>
      <c r="R267" s="142"/>
      <c r="S267" s="151">
        <v>1</v>
      </c>
      <c r="T267" s="91">
        <f t="shared" si="52"/>
        <v>710</v>
      </c>
      <c r="U267" s="95"/>
      <c r="V267" s="569" t="s">
        <v>330</v>
      </c>
      <c r="W267" s="14" t="s">
        <v>82</v>
      </c>
      <c r="X267" s="7"/>
      <c r="Y267" s="7"/>
      <c r="Z267" s="7"/>
      <c r="AA267" s="7"/>
      <c r="AB267" s="7"/>
      <c r="AC267" s="7"/>
    </row>
    <row r="268" spans="1:29" ht="25.5">
      <c r="A268" s="19"/>
      <c r="B268" s="148" t="s">
        <v>331</v>
      </c>
      <c r="C268" s="91">
        <f t="shared" si="46"/>
        <v>587.42999999999995</v>
      </c>
      <c r="D268" s="91"/>
      <c r="E268" s="91">
        <f t="shared" si="47"/>
        <v>38.43</v>
      </c>
      <c r="F268" s="91">
        <f t="shared" si="48"/>
        <v>21.96</v>
      </c>
      <c r="G268" s="91">
        <f t="shared" si="49"/>
        <v>16.47</v>
      </c>
      <c r="H268" s="91">
        <f t="shared" si="41"/>
        <v>549</v>
      </c>
      <c r="I268" s="91">
        <f t="shared" si="51"/>
        <v>352.45799999999997</v>
      </c>
      <c r="J268" s="22"/>
      <c r="K268" s="22"/>
      <c r="L268" s="22"/>
      <c r="M268" s="22"/>
      <c r="N268" s="22"/>
      <c r="O268" s="206">
        <v>37101</v>
      </c>
      <c r="P268" s="206">
        <v>37650</v>
      </c>
      <c r="Q268" s="22"/>
      <c r="R268" s="142"/>
      <c r="S268" s="151">
        <v>1</v>
      </c>
      <c r="T268" s="91">
        <f t="shared" si="52"/>
        <v>549</v>
      </c>
      <c r="U268" s="95"/>
      <c r="V268" s="569" t="s">
        <v>332</v>
      </c>
      <c r="W268" s="14" t="s">
        <v>82</v>
      </c>
      <c r="X268" s="7"/>
      <c r="Y268" s="7"/>
      <c r="Z268" s="7"/>
      <c r="AA268" s="7"/>
      <c r="AB268" s="7"/>
      <c r="AC268" s="7"/>
    </row>
    <row r="269" spans="1:29" ht="25.5">
      <c r="A269" s="19"/>
      <c r="B269" s="148"/>
      <c r="C269" s="91"/>
      <c r="D269" s="91"/>
      <c r="E269" s="91"/>
      <c r="F269" s="91"/>
      <c r="G269" s="91"/>
      <c r="H269" s="91"/>
      <c r="I269" s="91"/>
      <c r="J269" s="22"/>
      <c r="K269" s="22"/>
      <c r="L269" s="22"/>
      <c r="M269" s="22"/>
      <c r="N269" s="22"/>
      <c r="O269" s="91"/>
      <c r="P269" s="91"/>
      <c r="Q269" s="22"/>
      <c r="R269" s="142"/>
      <c r="S269" s="151"/>
      <c r="T269" s="91"/>
      <c r="U269" s="95"/>
      <c r="V269" s="569"/>
      <c r="W269" s="14"/>
      <c r="X269" s="7"/>
      <c r="Y269" s="7"/>
      <c r="Z269" s="7"/>
      <c r="AA269" s="7"/>
      <c r="AB269" s="7"/>
      <c r="AC269" s="7"/>
    </row>
    <row r="270" spans="1:29" ht="25.5">
      <c r="A270" s="19"/>
      <c r="B270" s="587" t="s">
        <v>910</v>
      </c>
      <c r="C270" s="91">
        <f>H270+E270</f>
        <v>20.329999999999998</v>
      </c>
      <c r="D270" s="91"/>
      <c r="E270" s="91">
        <f t="shared" si="47"/>
        <v>1.33</v>
      </c>
      <c r="F270" s="91">
        <f t="shared" si="48"/>
        <v>0.76</v>
      </c>
      <c r="G270" s="91">
        <f t="shared" si="49"/>
        <v>0.56999999999999995</v>
      </c>
      <c r="H270" s="91">
        <f t="shared" si="41"/>
        <v>19</v>
      </c>
      <c r="I270" s="91">
        <f t="shared" si="51"/>
        <v>12.197999999999999</v>
      </c>
      <c r="J270" s="22"/>
      <c r="K270" s="22"/>
      <c r="L270" s="22"/>
      <c r="M270" s="22"/>
      <c r="N270" s="22"/>
      <c r="O270" s="91">
        <v>376742</v>
      </c>
      <c r="P270" s="91">
        <v>376761</v>
      </c>
      <c r="Q270" s="22" t="s">
        <v>33</v>
      </c>
      <c r="R270" s="142"/>
      <c r="S270" s="91">
        <v>1</v>
      </c>
      <c r="T270" s="91">
        <f t="shared" si="52"/>
        <v>19</v>
      </c>
      <c r="U270" s="95" t="s">
        <v>334</v>
      </c>
      <c r="V270" s="569" t="s">
        <v>812</v>
      </c>
      <c r="W270" s="14" t="s">
        <v>57</v>
      </c>
      <c r="X270" s="7"/>
      <c r="Y270" s="7"/>
      <c r="Z270" s="7"/>
      <c r="AA270" s="7"/>
      <c r="AB270" s="7"/>
      <c r="AC270" s="7"/>
    </row>
    <row r="271" spans="1:29" ht="25.5">
      <c r="A271" s="19"/>
      <c r="B271" s="624" t="s">
        <v>399</v>
      </c>
      <c r="C271" s="124">
        <f t="shared" ref="C271" si="53">H271+E271</f>
        <v>0</v>
      </c>
      <c r="D271" s="124"/>
      <c r="E271" s="124">
        <f t="shared" si="47"/>
        <v>0</v>
      </c>
      <c r="F271" s="124">
        <f t="shared" si="48"/>
        <v>0</v>
      </c>
      <c r="G271" s="124">
        <f t="shared" si="49"/>
        <v>0</v>
      </c>
      <c r="H271" s="124">
        <f t="shared" si="41"/>
        <v>0</v>
      </c>
      <c r="I271" s="124">
        <f t="shared" si="51"/>
        <v>0</v>
      </c>
      <c r="J271" s="126"/>
      <c r="K271" s="126"/>
      <c r="L271" s="126"/>
      <c r="M271" s="126"/>
      <c r="N271" s="126"/>
      <c r="O271" s="124">
        <v>38296</v>
      </c>
      <c r="P271" s="124">
        <v>38296</v>
      </c>
      <c r="Q271" s="138"/>
      <c r="R271" s="215"/>
      <c r="S271" s="140">
        <v>1</v>
      </c>
      <c r="T271" s="124">
        <f>(P271-O271)*S271</f>
        <v>0</v>
      </c>
      <c r="U271" s="127"/>
      <c r="V271" s="128" t="s">
        <v>400</v>
      </c>
      <c r="W271" s="14"/>
      <c r="X271" s="7"/>
      <c r="Y271" s="7"/>
      <c r="Z271" s="7"/>
      <c r="AA271" s="7"/>
      <c r="AB271" s="7"/>
      <c r="AC271" s="7"/>
    </row>
    <row r="272" spans="1:29" ht="27.75" customHeight="1">
      <c r="A272" s="19"/>
      <c r="B272" s="148"/>
      <c r="C272" s="91"/>
      <c r="D272" s="91"/>
      <c r="E272" s="91"/>
      <c r="F272" s="91"/>
      <c r="G272" s="91"/>
      <c r="H272" s="91"/>
      <c r="I272" s="91"/>
      <c r="J272" s="22"/>
      <c r="K272" s="22"/>
      <c r="L272" s="22"/>
      <c r="M272" s="22"/>
      <c r="N272" s="22"/>
      <c r="O272" s="91"/>
      <c r="P272" s="91"/>
      <c r="Q272" s="122"/>
      <c r="R272" s="173"/>
      <c r="S272" s="91"/>
      <c r="T272" s="91"/>
      <c r="U272" s="95"/>
      <c r="V272" s="569"/>
      <c r="W272" s="14" t="s">
        <v>57</v>
      </c>
      <c r="X272" s="7"/>
      <c r="Y272" s="7"/>
      <c r="Z272" s="7"/>
      <c r="AA272" s="7"/>
      <c r="AB272" s="7"/>
      <c r="AC272" s="7"/>
    </row>
    <row r="273" spans="1:29" ht="51" customHeight="1">
      <c r="A273" s="19"/>
      <c r="B273" s="494" t="s">
        <v>911</v>
      </c>
      <c r="C273" s="219">
        <v>50</v>
      </c>
      <c r="D273" s="219"/>
      <c r="E273" s="219">
        <f t="shared" si="47"/>
        <v>0</v>
      </c>
      <c r="F273" s="219">
        <f t="shared" si="48"/>
        <v>0</v>
      </c>
      <c r="G273" s="219">
        <f t="shared" si="49"/>
        <v>0</v>
      </c>
      <c r="H273" s="219">
        <v>0</v>
      </c>
      <c r="I273" s="219">
        <f t="shared" si="51"/>
        <v>30</v>
      </c>
      <c r="J273" s="220"/>
      <c r="K273" s="220"/>
      <c r="L273" s="220"/>
      <c r="M273" s="220"/>
      <c r="N273" s="220"/>
      <c r="O273" s="514"/>
      <c r="P273" s="514"/>
      <c r="Q273" s="515"/>
      <c r="R273" s="516"/>
      <c r="S273" s="514"/>
      <c r="T273" s="219">
        <f t="shared" si="52"/>
        <v>0</v>
      </c>
      <c r="U273" s="221" t="s">
        <v>336</v>
      </c>
      <c r="V273" s="222" t="s">
        <v>337</v>
      </c>
      <c r="W273" s="14"/>
      <c r="X273" s="7"/>
      <c r="Y273" s="7"/>
      <c r="Z273" s="7"/>
      <c r="AA273" s="7"/>
      <c r="AB273" s="7"/>
      <c r="AC273" s="7"/>
    </row>
    <row r="274" spans="1:29" ht="26.25">
      <c r="A274" s="19"/>
      <c r="B274" s="201"/>
      <c r="C274" s="202"/>
      <c r="D274" s="202"/>
      <c r="E274" s="202"/>
      <c r="F274" s="202"/>
      <c r="G274" s="202"/>
      <c r="H274" s="202"/>
      <c r="I274" s="202"/>
      <c r="J274" s="203"/>
      <c r="K274" s="203"/>
      <c r="L274" s="203"/>
      <c r="M274" s="203"/>
      <c r="N274" s="203"/>
      <c r="O274" s="204"/>
      <c r="P274" s="204"/>
      <c r="Q274" s="203"/>
      <c r="R274" s="205"/>
      <c r="S274" s="202"/>
      <c r="T274" s="206"/>
      <c r="U274" s="95"/>
      <c r="V274" s="569"/>
      <c r="W274" s="14"/>
      <c r="X274" s="7"/>
      <c r="Y274" s="7"/>
      <c r="Z274" s="7"/>
      <c r="AA274" s="7"/>
      <c r="AB274" s="7"/>
      <c r="AC274" s="7"/>
    </row>
    <row r="275" spans="1:29" ht="26.25">
      <c r="A275" s="19"/>
      <c r="B275" s="207"/>
      <c r="C275" s="202"/>
      <c r="D275" s="202"/>
      <c r="E275" s="208"/>
      <c r="F275" s="202"/>
      <c r="G275" s="202"/>
      <c r="H275" s="202"/>
      <c r="I275" s="202"/>
      <c r="J275" s="203"/>
      <c r="K275" s="203"/>
      <c r="L275" s="203"/>
      <c r="M275" s="203"/>
      <c r="N275" s="203"/>
      <c r="O275" s="204"/>
      <c r="P275" s="204"/>
      <c r="Q275" s="203"/>
      <c r="R275" s="205"/>
      <c r="S275" s="202"/>
      <c r="T275" s="206"/>
      <c r="U275" s="95"/>
      <c r="V275" s="569"/>
      <c r="W275" s="14"/>
      <c r="X275" s="7"/>
      <c r="Y275" s="7"/>
      <c r="Z275" s="7"/>
      <c r="AA275" s="7"/>
      <c r="AB275" s="7"/>
      <c r="AC275" s="7"/>
    </row>
    <row r="276" spans="1:29" ht="26.25">
      <c r="A276" s="19"/>
      <c r="B276" s="209"/>
      <c r="C276" s="115"/>
      <c r="D276" s="115"/>
      <c r="E276" s="112"/>
      <c r="F276" s="115"/>
      <c r="G276" s="115"/>
      <c r="H276" s="115"/>
      <c r="I276" s="115"/>
      <c r="J276" s="164"/>
      <c r="K276" s="164"/>
      <c r="L276" s="164"/>
      <c r="M276" s="164"/>
      <c r="N276" s="164"/>
      <c r="O276" s="210"/>
      <c r="P276" s="210"/>
      <c r="Q276" s="149"/>
      <c r="R276" s="211"/>
      <c r="S276" s="115"/>
      <c r="T276" s="91"/>
      <c r="U276" s="95"/>
      <c r="V276" s="569"/>
      <c r="W276" s="14"/>
      <c r="X276" s="7"/>
      <c r="Y276" s="7"/>
      <c r="Z276" s="7"/>
      <c r="AA276" s="7"/>
      <c r="AB276" s="7"/>
      <c r="AC276" s="7"/>
    </row>
    <row r="277" spans="1:29" ht="26.25">
      <c r="A277" s="19"/>
      <c r="B277" s="217" t="s">
        <v>338</v>
      </c>
      <c r="C277" s="212">
        <f>'Яблоко и ТП-7январь   '!B73</f>
        <v>96581.370000001334</v>
      </c>
      <c r="D277" s="115"/>
      <c r="E277" s="112"/>
      <c r="F277" s="115"/>
      <c r="G277" s="115"/>
      <c r="H277" s="115"/>
      <c r="I277" s="115"/>
      <c r="J277" s="164"/>
      <c r="K277" s="164"/>
      <c r="L277" s="164"/>
      <c r="M277" s="164"/>
      <c r="N277" s="164"/>
      <c r="O277" s="210"/>
      <c r="P277" s="210"/>
      <c r="Q277" s="149"/>
      <c r="R277" s="211"/>
      <c r="S277" s="248"/>
      <c r="T277" s="91"/>
      <c r="U277" s="95"/>
      <c r="V277" s="569"/>
      <c r="W277" s="14" t="s">
        <v>82</v>
      </c>
      <c r="X277" s="7"/>
      <c r="Y277" s="7"/>
      <c r="Z277" s="7"/>
      <c r="AA277" s="7"/>
      <c r="AB277" s="7"/>
      <c r="AC277" s="7"/>
    </row>
    <row r="278" spans="1:29" ht="26.25">
      <c r="A278" s="19"/>
      <c r="B278" s="90" t="s">
        <v>339</v>
      </c>
      <c r="C278" s="212">
        <f>'Яблоко и ТП-7январь   '!B62</f>
        <v>106408.50000000001</v>
      </c>
      <c r="D278" s="91"/>
      <c r="E278" s="91"/>
      <c r="F278" s="91"/>
      <c r="G278" s="91"/>
      <c r="H278" s="91"/>
      <c r="I278" s="91"/>
      <c r="J278" s="22"/>
      <c r="K278" s="22"/>
      <c r="L278" s="22"/>
      <c r="M278" s="22"/>
      <c r="N278" s="22"/>
      <c r="O278" s="91"/>
      <c r="P278" s="91"/>
      <c r="Q278" s="122"/>
      <c r="R278" s="200"/>
      <c r="S278" s="151"/>
      <c r="T278" s="91"/>
      <c r="U278" s="95"/>
      <c r="V278" s="569" t="s">
        <v>82</v>
      </c>
      <c r="W278" s="14" t="s">
        <v>82</v>
      </c>
      <c r="X278" s="7"/>
      <c r="Y278" s="7"/>
      <c r="Z278" s="7"/>
      <c r="AA278" s="7"/>
      <c r="AB278" s="7"/>
      <c r="AC278" s="7"/>
    </row>
    <row r="279" spans="1:29" ht="46.5">
      <c r="A279" s="19"/>
      <c r="B279" s="587" t="s">
        <v>340</v>
      </c>
      <c r="C279" s="91">
        <f t="shared" ref="C279:C284" si="54">H279+E279</f>
        <v>234.32999999999998</v>
      </c>
      <c r="D279" s="91"/>
      <c r="E279" s="91">
        <f>G279+F279</f>
        <v>15.329999999999998</v>
      </c>
      <c r="F279" s="91">
        <f t="shared" ref="F279:F284" si="55">0.04*H279</f>
        <v>8.76</v>
      </c>
      <c r="G279" s="91">
        <f t="shared" ref="G279:G284" si="56">0.03*H279</f>
        <v>6.5699999999999994</v>
      </c>
      <c r="H279" s="91">
        <f t="shared" ref="H279:H284" si="57">T279</f>
        <v>219</v>
      </c>
      <c r="I279" s="91">
        <f t="shared" ref="I279:I284" si="58">0.6*C279</f>
        <v>140.59799999999998</v>
      </c>
      <c r="J279" s="22"/>
      <c r="K279" s="22"/>
      <c r="L279" s="22"/>
      <c r="M279" s="22"/>
      <c r="N279" s="22"/>
      <c r="O279" s="91">
        <v>50188</v>
      </c>
      <c r="P279" s="91">
        <v>50407</v>
      </c>
      <c r="Q279" s="122"/>
      <c r="R279" s="200"/>
      <c r="S279" s="151">
        <v>1</v>
      </c>
      <c r="T279" s="91">
        <f>(P279-O279)*S279</f>
        <v>219</v>
      </c>
      <c r="U279" s="95" t="s">
        <v>341</v>
      </c>
      <c r="V279" s="569" t="s">
        <v>342</v>
      </c>
      <c r="W279" s="14" t="s">
        <v>57</v>
      </c>
      <c r="X279" s="7"/>
      <c r="Y279" s="7"/>
      <c r="Z279" s="7"/>
      <c r="AA279" s="7"/>
      <c r="AB279" s="7"/>
      <c r="AC279" s="7"/>
    </row>
    <row r="280" spans="1:29" ht="25.5">
      <c r="A280" s="19"/>
      <c r="B280" s="148" t="s">
        <v>343</v>
      </c>
      <c r="C280" s="91">
        <f t="shared" si="54"/>
        <v>0</v>
      </c>
      <c r="D280" s="91"/>
      <c r="E280" s="91">
        <f t="shared" ref="E280:E326" si="59">F280+G280</f>
        <v>0</v>
      </c>
      <c r="F280" s="91">
        <f t="shared" si="55"/>
        <v>0</v>
      </c>
      <c r="G280" s="91">
        <f t="shared" si="56"/>
        <v>0</v>
      </c>
      <c r="H280" s="91">
        <f t="shared" si="57"/>
        <v>0</v>
      </c>
      <c r="I280" s="91">
        <f t="shared" si="58"/>
        <v>0</v>
      </c>
      <c r="J280" s="22"/>
      <c r="K280" s="22"/>
      <c r="L280" s="22"/>
      <c r="M280" s="22"/>
      <c r="N280" s="22"/>
      <c r="O280" s="91">
        <v>19323</v>
      </c>
      <c r="P280" s="91">
        <v>19323</v>
      </c>
      <c r="Q280" s="149"/>
      <c r="R280" s="161"/>
      <c r="S280" s="151">
        <v>1</v>
      </c>
      <c r="T280" s="91">
        <f>(P280-O280)*S280</f>
        <v>0</v>
      </c>
      <c r="U280" s="95">
        <v>282335</v>
      </c>
      <c r="V280" s="569" t="s">
        <v>344</v>
      </c>
      <c r="W280" s="14" t="s">
        <v>57</v>
      </c>
      <c r="X280" s="7"/>
      <c r="Y280" s="7"/>
      <c r="Z280" s="7"/>
      <c r="AA280" s="7"/>
      <c r="AB280" s="7"/>
      <c r="AC280" s="7"/>
    </row>
    <row r="281" spans="1:29" ht="24.75" customHeight="1">
      <c r="A281" s="19"/>
      <c r="B281" s="213"/>
      <c r="C281" s="91"/>
      <c r="D281" s="91"/>
      <c r="E281" s="91"/>
      <c r="F281" s="91"/>
      <c r="G281" s="91"/>
      <c r="H281" s="91"/>
      <c r="I281" s="91"/>
      <c r="J281" s="22"/>
      <c r="K281" s="22"/>
      <c r="L281" s="22"/>
      <c r="M281" s="22"/>
      <c r="N281" s="22"/>
      <c r="O281" s="91"/>
      <c r="P281" s="91"/>
      <c r="Q281" s="149"/>
      <c r="R281" s="161"/>
      <c r="S281" s="151"/>
      <c r="T281" s="91"/>
      <c r="U281" s="95"/>
      <c r="V281" s="569"/>
      <c r="W281" s="14"/>
      <c r="X281" s="7"/>
      <c r="Y281" s="7"/>
      <c r="Z281" s="7"/>
      <c r="AA281" s="7"/>
      <c r="AB281" s="7"/>
      <c r="AC281" s="7"/>
    </row>
    <row r="282" spans="1:29" ht="25.5">
      <c r="A282" s="19"/>
      <c r="B282" s="213"/>
      <c r="C282" s="91"/>
      <c r="D282" s="91"/>
      <c r="E282" s="91"/>
      <c r="F282" s="91"/>
      <c r="G282" s="91"/>
      <c r="H282" s="91"/>
      <c r="I282" s="91"/>
      <c r="J282" s="22"/>
      <c r="K282" s="22"/>
      <c r="L282" s="22"/>
      <c r="M282" s="22"/>
      <c r="N282" s="22"/>
      <c r="O282" s="91"/>
      <c r="P282" s="91"/>
      <c r="Q282" s="149"/>
      <c r="R282" s="161"/>
      <c r="S282" s="151"/>
      <c r="T282" s="91"/>
      <c r="U282" s="95"/>
      <c r="V282" s="569"/>
      <c r="W282" s="14" t="s">
        <v>48</v>
      </c>
      <c r="X282" s="7"/>
      <c r="Y282" s="7"/>
      <c r="Z282" s="7"/>
      <c r="AA282" s="7"/>
      <c r="AB282" s="7"/>
      <c r="AC282" s="7"/>
    </row>
    <row r="283" spans="1:29" ht="25.5">
      <c r="A283" s="19"/>
      <c r="B283" s="213"/>
      <c r="C283" s="91"/>
      <c r="D283" s="91"/>
      <c r="E283" s="91"/>
      <c r="F283" s="91"/>
      <c r="G283" s="91"/>
      <c r="H283" s="91"/>
      <c r="I283" s="91"/>
      <c r="J283" s="22"/>
      <c r="K283" s="22"/>
      <c r="L283" s="22"/>
      <c r="M283" s="22"/>
      <c r="N283" s="22"/>
      <c r="O283" s="91"/>
      <c r="P283" s="91"/>
      <c r="Q283" s="149"/>
      <c r="R283" s="161"/>
      <c r="S283" s="151"/>
      <c r="T283" s="91"/>
      <c r="U283" s="95"/>
      <c r="V283" s="569"/>
      <c r="W283" s="14"/>
      <c r="X283" s="7"/>
      <c r="Y283" s="7"/>
      <c r="Z283" s="7"/>
      <c r="AA283" s="7"/>
      <c r="AB283" s="7"/>
      <c r="AC283" s="7"/>
    </row>
    <row r="284" spans="1:29" ht="25.5">
      <c r="A284" s="19"/>
      <c r="B284" s="213" t="s">
        <v>696</v>
      </c>
      <c r="C284" s="91">
        <f t="shared" si="54"/>
        <v>43.87</v>
      </c>
      <c r="D284" s="91"/>
      <c r="E284" s="91">
        <f t="shared" si="59"/>
        <v>2.87</v>
      </c>
      <c r="F284" s="91">
        <f t="shared" si="55"/>
        <v>1.6400000000000001</v>
      </c>
      <c r="G284" s="91">
        <f t="shared" si="56"/>
        <v>1.23</v>
      </c>
      <c r="H284" s="91">
        <f t="shared" si="57"/>
        <v>41</v>
      </c>
      <c r="I284" s="91">
        <f t="shared" si="58"/>
        <v>26.321999999999999</v>
      </c>
      <c r="J284" s="22"/>
      <c r="K284" s="22"/>
      <c r="L284" s="22"/>
      <c r="M284" s="22"/>
      <c r="N284" s="22"/>
      <c r="O284" s="91">
        <v>13937</v>
      </c>
      <c r="P284" s="91">
        <v>13978</v>
      </c>
      <c r="Q284" s="149"/>
      <c r="R284" s="161"/>
      <c r="S284" s="151">
        <v>1</v>
      </c>
      <c r="T284" s="91">
        <f>(P284-O284)*S284</f>
        <v>41</v>
      </c>
      <c r="U284" s="95">
        <v>1507</v>
      </c>
      <c r="V284" s="569" t="s">
        <v>345</v>
      </c>
      <c r="W284" s="14" t="s">
        <v>57</v>
      </c>
      <c r="X284" s="7"/>
      <c r="Y284" s="7"/>
      <c r="Z284" s="7"/>
      <c r="AA284" s="7"/>
      <c r="AB284" s="7"/>
      <c r="AC284" s="7"/>
    </row>
    <row r="285" spans="1:29" ht="26.25">
      <c r="A285" s="19"/>
      <c r="B285" s="214" t="s">
        <v>346</v>
      </c>
      <c r="C285" s="124"/>
      <c r="D285" s="124"/>
      <c r="E285" s="124"/>
      <c r="F285" s="124"/>
      <c r="G285" s="124"/>
      <c r="H285" s="124"/>
      <c r="I285" s="97"/>
      <c r="J285" s="126"/>
      <c r="K285" s="126"/>
      <c r="L285" s="126"/>
      <c r="M285" s="126"/>
      <c r="N285" s="126"/>
      <c r="O285" s="124"/>
      <c r="P285" s="124"/>
      <c r="Q285" s="138"/>
      <c r="R285" s="215"/>
      <c r="S285" s="140"/>
      <c r="T285" s="124"/>
      <c r="U285" s="127"/>
      <c r="V285" s="128"/>
      <c r="W285" s="14"/>
      <c r="X285" s="7"/>
      <c r="Y285" s="7"/>
      <c r="Z285" s="7"/>
      <c r="AA285" s="7"/>
      <c r="AB285" s="7"/>
      <c r="AC285" s="7"/>
    </row>
    <row r="286" spans="1:29" ht="26.25">
      <c r="A286" s="19"/>
      <c r="B286" s="654"/>
      <c r="C286" s="124">
        <f>H286+E286</f>
        <v>1656.36</v>
      </c>
      <c r="D286" s="124"/>
      <c r="E286" s="124">
        <f>F286+G286</f>
        <v>108.36</v>
      </c>
      <c r="F286" s="124">
        <f>0.04*H286</f>
        <v>61.92</v>
      </c>
      <c r="G286" s="124">
        <f>0.03*H286</f>
        <v>46.44</v>
      </c>
      <c r="H286" s="124">
        <f>T286</f>
        <v>1548</v>
      </c>
      <c r="I286" s="124">
        <f>0.6*C286</f>
        <v>993.81599999999992</v>
      </c>
      <c r="J286" s="126"/>
      <c r="K286" s="126"/>
      <c r="L286" s="126"/>
      <c r="M286" s="126"/>
      <c r="N286" s="126"/>
      <c r="O286" s="124">
        <v>92544</v>
      </c>
      <c r="P286" s="124">
        <v>94092</v>
      </c>
      <c r="Q286" s="138"/>
      <c r="R286" s="215"/>
      <c r="S286" s="140">
        <v>1</v>
      </c>
      <c r="T286" s="124">
        <f t="shared" ref="T286:T322" si="60">(P286-O286)*S286</f>
        <v>1548</v>
      </c>
      <c r="U286" s="127">
        <v>7347</v>
      </c>
      <c r="V286" s="128" t="s">
        <v>347</v>
      </c>
      <c r="W286" s="14" t="s">
        <v>82</v>
      </c>
      <c r="X286" s="7"/>
      <c r="Y286" s="7"/>
      <c r="Z286" s="7"/>
      <c r="AA286" s="7"/>
      <c r="AB286" s="7"/>
      <c r="AC286" s="7"/>
    </row>
    <row r="287" spans="1:29" ht="25.5">
      <c r="A287" s="19"/>
      <c r="B287" s="336" t="s">
        <v>348</v>
      </c>
      <c r="C287" s="124">
        <f>H287+E287</f>
        <v>899.87</v>
      </c>
      <c r="D287" s="124"/>
      <c r="E287" s="124">
        <f>F287+G287</f>
        <v>58.870000000000005</v>
      </c>
      <c r="F287" s="124">
        <f>0.04*H287</f>
        <v>33.64</v>
      </c>
      <c r="G287" s="124">
        <f>0.03*H287</f>
        <v>25.23</v>
      </c>
      <c r="H287" s="124">
        <f>T287</f>
        <v>841</v>
      </c>
      <c r="I287" s="124">
        <f>0.6*C287</f>
        <v>539.92200000000003</v>
      </c>
      <c r="J287" s="126"/>
      <c r="K287" s="126"/>
      <c r="L287" s="126"/>
      <c r="M287" s="126"/>
      <c r="N287" s="126"/>
      <c r="O287" s="124">
        <v>319001</v>
      </c>
      <c r="P287" s="124">
        <v>319842</v>
      </c>
      <c r="Q287" s="138"/>
      <c r="R287" s="215"/>
      <c r="S287" s="140">
        <v>1</v>
      </c>
      <c r="T287" s="124">
        <f t="shared" si="60"/>
        <v>841</v>
      </c>
      <c r="U287" s="127">
        <v>2706</v>
      </c>
      <c r="V287" s="307" t="s">
        <v>349</v>
      </c>
      <c r="W287" s="14" t="s">
        <v>82</v>
      </c>
      <c r="X287" s="7"/>
      <c r="Y287" s="7"/>
      <c r="Z287" s="7"/>
      <c r="AA287" s="7"/>
      <c r="AB287" s="7"/>
      <c r="AC287" s="7"/>
    </row>
    <row r="288" spans="1:29" ht="25.5">
      <c r="A288" s="19"/>
      <c r="B288" s="655" t="s">
        <v>350</v>
      </c>
      <c r="C288" s="124">
        <f>H288+E288</f>
        <v>7281.35</v>
      </c>
      <c r="D288" s="124"/>
      <c r="E288" s="124">
        <f t="shared" si="59"/>
        <v>476.35</v>
      </c>
      <c r="F288" s="124">
        <f>0.04*H288</f>
        <v>272.2</v>
      </c>
      <c r="G288" s="124">
        <f>0.03*H288</f>
        <v>204.15</v>
      </c>
      <c r="H288" s="124">
        <f>T288</f>
        <v>6805</v>
      </c>
      <c r="I288" s="124">
        <f>0.6*C288</f>
        <v>4368.8100000000004</v>
      </c>
      <c r="J288" s="126"/>
      <c r="K288" s="126"/>
      <c r="L288" s="126"/>
      <c r="M288" s="126"/>
      <c r="N288" s="126"/>
      <c r="O288" s="124">
        <v>341314</v>
      </c>
      <c r="P288" s="124">
        <v>348119</v>
      </c>
      <c r="Q288" s="138"/>
      <c r="R288" s="215"/>
      <c r="S288" s="140">
        <v>1</v>
      </c>
      <c r="T288" s="124">
        <f t="shared" si="60"/>
        <v>6805</v>
      </c>
      <c r="U288" s="127">
        <v>526</v>
      </c>
      <c r="V288" s="307" t="s">
        <v>351</v>
      </c>
      <c r="W288" s="14" t="s">
        <v>82</v>
      </c>
      <c r="X288" s="7"/>
      <c r="Y288" s="7"/>
      <c r="Z288" s="7"/>
      <c r="AA288" s="7"/>
      <c r="AB288" s="7"/>
      <c r="AC288" s="7"/>
    </row>
    <row r="289" spans="1:29" ht="25.5">
      <c r="A289" s="19"/>
      <c r="B289" s="336" t="s">
        <v>352</v>
      </c>
      <c r="C289" s="124">
        <f t="shared" ref="C289:C326" si="61">H289+E289</f>
        <v>13867.2</v>
      </c>
      <c r="D289" s="124"/>
      <c r="E289" s="124">
        <f t="shared" si="59"/>
        <v>907.2</v>
      </c>
      <c r="F289" s="124">
        <f t="shared" ref="F289:F326" si="62">0.04*H289</f>
        <v>518.4</v>
      </c>
      <c r="G289" s="124">
        <f t="shared" ref="G289:G326" si="63">0.03*H289</f>
        <v>388.8</v>
      </c>
      <c r="H289" s="124">
        <f t="shared" ref="H289:H326" si="64">T289</f>
        <v>12960</v>
      </c>
      <c r="I289" s="124">
        <f t="shared" ref="I289:I328" si="65">0.6*C289</f>
        <v>8320.32</v>
      </c>
      <c r="J289" s="126"/>
      <c r="K289" s="126"/>
      <c r="L289" s="126"/>
      <c r="M289" s="126"/>
      <c r="N289" s="126"/>
      <c r="O289" s="124">
        <v>12266</v>
      </c>
      <c r="P289" s="124">
        <v>12477</v>
      </c>
      <c r="Q289" s="138"/>
      <c r="R289" s="215"/>
      <c r="S289" s="140">
        <v>60</v>
      </c>
      <c r="T289" s="124">
        <f>(P289-O289)*S289+300</f>
        <v>12960</v>
      </c>
      <c r="U289" s="127"/>
      <c r="V289" s="307" t="s">
        <v>353</v>
      </c>
      <c r="W289" s="14" t="s">
        <v>82</v>
      </c>
      <c r="X289" s="7"/>
      <c r="Y289" s="7"/>
      <c r="Z289" s="7"/>
      <c r="AA289" s="7"/>
      <c r="AB289" s="7"/>
      <c r="AC289" s="7"/>
    </row>
    <row r="290" spans="1:29" ht="25.5">
      <c r="A290" s="19"/>
      <c r="B290" s="336" t="s">
        <v>354</v>
      </c>
      <c r="C290" s="124">
        <f t="shared" si="61"/>
        <v>234.32999999999998</v>
      </c>
      <c r="D290" s="124"/>
      <c r="E290" s="124">
        <f t="shared" si="59"/>
        <v>15.329999999999998</v>
      </c>
      <c r="F290" s="124">
        <f t="shared" si="62"/>
        <v>8.76</v>
      </c>
      <c r="G290" s="124">
        <f t="shared" si="63"/>
        <v>6.5699999999999994</v>
      </c>
      <c r="H290" s="124">
        <f t="shared" si="64"/>
        <v>219</v>
      </c>
      <c r="I290" s="124">
        <f t="shared" si="65"/>
        <v>140.59799999999998</v>
      </c>
      <c r="J290" s="126"/>
      <c r="K290" s="126"/>
      <c r="L290" s="126"/>
      <c r="M290" s="126"/>
      <c r="N290" s="126"/>
      <c r="O290" s="124">
        <v>124071</v>
      </c>
      <c r="P290" s="124">
        <v>124290</v>
      </c>
      <c r="Q290" s="138"/>
      <c r="R290" s="215"/>
      <c r="S290" s="140">
        <v>1</v>
      </c>
      <c r="T290" s="124">
        <f t="shared" si="60"/>
        <v>219</v>
      </c>
      <c r="U290" s="127"/>
      <c r="V290" s="640" t="s">
        <v>355</v>
      </c>
      <c r="W290" s="14" t="s">
        <v>82</v>
      </c>
      <c r="X290" s="7"/>
      <c r="Y290" s="7"/>
      <c r="Z290" s="7"/>
      <c r="AA290" s="7"/>
      <c r="AB290" s="7"/>
      <c r="AC290" s="7"/>
    </row>
    <row r="291" spans="1:29" ht="25.5">
      <c r="A291" s="19"/>
      <c r="B291" s="336" t="s">
        <v>356</v>
      </c>
      <c r="C291" s="124">
        <f t="shared" si="61"/>
        <v>497.55</v>
      </c>
      <c r="D291" s="124"/>
      <c r="E291" s="124">
        <f t="shared" si="59"/>
        <v>32.549999999999997</v>
      </c>
      <c r="F291" s="124">
        <f t="shared" si="62"/>
        <v>18.600000000000001</v>
      </c>
      <c r="G291" s="124">
        <f t="shared" si="63"/>
        <v>13.95</v>
      </c>
      <c r="H291" s="124">
        <f t="shared" si="64"/>
        <v>465</v>
      </c>
      <c r="I291" s="124">
        <f t="shared" si="65"/>
        <v>298.52999999999997</v>
      </c>
      <c r="J291" s="126"/>
      <c r="K291" s="126"/>
      <c r="L291" s="126"/>
      <c r="M291" s="126"/>
      <c r="N291" s="126"/>
      <c r="O291" s="124">
        <v>41116</v>
      </c>
      <c r="P291" s="124">
        <v>41581</v>
      </c>
      <c r="Q291" s="138"/>
      <c r="R291" s="215"/>
      <c r="S291" s="140">
        <v>1</v>
      </c>
      <c r="T291" s="124">
        <f t="shared" si="60"/>
        <v>465</v>
      </c>
      <c r="U291" s="127">
        <v>437</v>
      </c>
      <c r="V291" s="307" t="s">
        <v>357</v>
      </c>
      <c r="W291" s="14" t="s">
        <v>82</v>
      </c>
      <c r="X291" s="7"/>
      <c r="Y291" s="7"/>
      <c r="Z291" s="7"/>
      <c r="AA291" s="7"/>
      <c r="AB291" s="7"/>
      <c r="AC291" s="7"/>
    </row>
    <row r="292" spans="1:29" ht="28.5" customHeight="1">
      <c r="A292" s="19"/>
      <c r="B292" s="656" t="s">
        <v>358</v>
      </c>
      <c r="C292" s="124">
        <f t="shared" si="61"/>
        <v>354.17</v>
      </c>
      <c r="D292" s="124"/>
      <c r="E292" s="124">
        <f t="shared" si="59"/>
        <v>23.17</v>
      </c>
      <c r="F292" s="124">
        <f t="shared" si="62"/>
        <v>13.24</v>
      </c>
      <c r="G292" s="124">
        <f t="shared" si="63"/>
        <v>9.93</v>
      </c>
      <c r="H292" s="124">
        <f t="shared" si="64"/>
        <v>331</v>
      </c>
      <c r="I292" s="124">
        <f t="shared" si="65"/>
        <v>212.50200000000001</v>
      </c>
      <c r="J292" s="126"/>
      <c r="K292" s="126"/>
      <c r="L292" s="126"/>
      <c r="M292" s="126"/>
      <c r="N292" s="126"/>
      <c r="O292" s="124">
        <v>153396</v>
      </c>
      <c r="P292" s="124">
        <v>153727</v>
      </c>
      <c r="Q292" s="138"/>
      <c r="R292" s="215"/>
      <c r="S292" s="140">
        <v>1</v>
      </c>
      <c r="T292" s="124">
        <f t="shared" si="60"/>
        <v>331</v>
      </c>
      <c r="U292" s="127">
        <v>5006</v>
      </c>
      <c r="V292" s="307" t="s">
        <v>359</v>
      </c>
      <c r="W292" s="14" t="s">
        <v>82</v>
      </c>
      <c r="X292" s="7"/>
      <c r="Y292" s="7"/>
      <c r="Z292" s="7"/>
      <c r="AA292" s="7"/>
      <c r="AB292" s="7"/>
      <c r="AC292" s="7"/>
    </row>
    <row r="293" spans="1:29" ht="25.5">
      <c r="A293" s="19"/>
      <c r="B293" s="336"/>
      <c r="C293" s="124"/>
      <c r="D293" s="124"/>
      <c r="E293" s="124"/>
      <c r="F293" s="124"/>
      <c r="G293" s="124"/>
      <c r="H293" s="124"/>
      <c r="I293" s="124"/>
      <c r="J293" s="126"/>
      <c r="K293" s="126"/>
      <c r="L293" s="126"/>
      <c r="M293" s="126"/>
      <c r="N293" s="126"/>
      <c r="O293" s="124"/>
      <c r="P293" s="124"/>
      <c r="Q293" s="138"/>
      <c r="R293" s="215"/>
      <c r="S293" s="140"/>
      <c r="T293" s="124"/>
      <c r="U293" s="127"/>
      <c r="V293" s="307"/>
      <c r="W293" s="14" t="s">
        <v>82</v>
      </c>
      <c r="X293" s="7"/>
      <c r="Y293" s="7"/>
      <c r="Z293" s="7"/>
      <c r="AA293" s="7"/>
      <c r="AB293" s="7"/>
      <c r="AC293" s="7"/>
    </row>
    <row r="294" spans="1:29" ht="24.75" customHeight="1">
      <c r="A294" s="19"/>
      <c r="B294" s="336" t="s">
        <v>912</v>
      </c>
      <c r="C294" s="124">
        <f t="shared" si="61"/>
        <v>319.93</v>
      </c>
      <c r="D294" s="124"/>
      <c r="E294" s="124">
        <f t="shared" si="59"/>
        <v>20.93</v>
      </c>
      <c r="F294" s="124">
        <f t="shared" si="62"/>
        <v>11.96</v>
      </c>
      <c r="G294" s="124">
        <f t="shared" si="63"/>
        <v>8.9699999999999989</v>
      </c>
      <c r="H294" s="124">
        <f t="shared" si="64"/>
        <v>299</v>
      </c>
      <c r="I294" s="124">
        <f t="shared" si="65"/>
        <v>191.958</v>
      </c>
      <c r="J294" s="126"/>
      <c r="K294" s="126"/>
      <c r="L294" s="126"/>
      <c r="M294" s="126"/>
      <c r="N294" s="126"/>
      <c r="O294" s="124">
        <v>2226</v>
      </c>
      <c r="P294" s="124">
        <v>2525</v>
      </c>
      <c r="Q294" s="138"/>
      <c r="R294" s="215"/>
      <c r="S294" s="140">
        <v>1</v>
      </c>
      <c r="T294" s="124">
        <f t="shared" si="60"/>
        <v>299</v>
      </c>
      <c r="U294" s="127">
        <v>3233</v>
      </c>
      <c r="V294" s="307" t="s">
        <v>802</v>
      </c>
      <c r="W294" s="14" t="s">
        <v>82</v>
      </c>
      <c r="X294" s="7"/>
      <c r="Y294" s="7"/>
      <c r="Z294" s="7"/>
      <c r="AA294" s="7"/>
      <c r="AB294" s="7"/>
      <c r="AC294" s="7"/>
    </row>
    <row r="295" spans="1:29" ht="25.5">
      <c r="A295" s="19"/>
      <c r="B295" s="336" t="s">
        <v>361</v>
      </c>
      <c r="C295" s="124">
        <f t="shared" si="61"/>
        <v>2699.61</v>
      </c>
      <c r="D295" s="124"/>
      <c r="E295" s="124">
        <f t="shared" si="59"/>
        <v>176.61</v>
      </c>
      <c r="F295" s="124">
        <f t="shared" si="62"/>
        <v>100.92</v>
      </c>
      <c r="G295" s="124">
        <f t="shared" si="63"/>
        <v>75.69</v>
      </c>
      <c r="H295" s="124">
        <f t="shared" si="64"/>
        <v>2523</v>
      </c>
      <c r="I295" s="124">
        <f t="shared" si="65"/>
        <v>1619.7660000000001</v>
      </c>
      <c r="J295" s="126"/>
      <c r="K295" s="126"/>
      <c r="L295" s="126"/>
      <c r="M295" s="126"/>
      <c r="N295" s="126"/>
      <c r="O295" s="124">
        <v>447403</v>
      </c>
      <c r="P295" s="124">
        <v>449926</v>
      </c>
      <c r="Q295" s="138"/>
      <c r="R295" s="215"/>
      <c r="S295" s="140">
        <v>1</v>
      </c>
      <c r="T295" s="124">
        <f t="shared" si="60"/>
        <v>2523</v>
      </c>
      <c r="U295" s="127">
        <v>4506</v>
      </c>
      <c r="V295" s="307" t="s">
        <v>362</v>
      </c>
      <c r="W295" s="14" t="s">
        <v>82</v>
      </c>
      <c r="X295" s="7"/>
      <c r="Y295" s="7"/>
      <c r="Z295" s="7"/>
      <c r="AA295" s="7"/>
      <c r="AB295" s="7"/>
      <c r="AC295" s="7"/>
    </row>
    <row r="296" spans="1:29" ht="25.5">
      <c r="A296" s="19"/>
      <c r="B296" s="336" t="s">
        <v>363</v>
      </c>
      <c r="C296" s="124">
        <f t="shared" si="61"/>
        <v>7243.9</v>
      </c>
      <c r="D296" s="124"/>
      <c r="E296" s="124">
        <f t="shared" si="59"/>
        <v>473.9</v>
      </c>
      <c r="F296" s="124">
        <f t="shared" si="62"/>
        <v>270.8</v>
      </c>
      <c r="G296" s="124">
        <f t="shared" si="63"/>
        <v>203.1</v>
      </c>
      <c r="H296" s="124">
        <f t="shared" si="64"/>
        <v>6770</v>
      </c>
      <c r="I296" s="124">
        <f t="shared" si="65"/>
        <v>4346.3399999999992</v>
      </c>
      <c r="J296" s="126"/>
      <c r="K296" s="126"/>
      <c r="L296" s="126"/>
      <c r="M296" s="126"/>
      <c r="N296" s="126"/>
      <c r="O296" s="124">
        <v>511427</v>
      </c>
      <c r="P296" s="124">
        <v>518197</v>
      </c>
      <c r="Q296" s="138"/>
      <c r="R296" s="215"/>
      <c r="S296" s="140">
        <v>1</v>
      </c>
      <c r="T296" s="124">
        <f t="shared" si="60"/>
        <v>6770</v>
      </c>
      <c r="U296" s="127">
        <v>361</v>
      </c>
      <c r="V296" s="307" t="s">
        <v>364</v>
      </c>
      <c r="W296" s="14" t="s">
        <v>82</v>
      </c>
      <c r="X296" s="7"/>
      <c r="Y296" s="7"/>
      <c r="Z296" s="7"/>
      <c r="AA296" s="7"/>
      <c r="AB296" s="7"/>
      <c r="AC296" s="7"/>
    </row>
    <row r="297" spans="1:29" ht="25.5">
      <c r="A297" s="19"/>
      <c r="B297" s="336" t="s">
        <v>913</v>
      </c>
      <c r="C297" s="337">
        <f t="shared" si="61"/>
        <v>4991.55</v>
      </c>
      <c r="D297" s="124"/>
      <c r="E297" s="124">
        <f t="shared" si="59"/>
        <v>326.54999999999995</v>
      </c>
      <c r="F297" s="124">
        <f t="shared" si="62"/>
        <v>186.6</v>
      </c>
      <c r="G297" s="124">
        <f t="shared" si="63"/>
        <v>139.94999999999999</v>
      </c>
      <c r="H297" s="124">
        <f t="shared" si="64"/>
        <v>4665</v>
      </c>
      <c r="I297" s="124">
        <f t="shared" si="65"/>
        <v>2994.93</v>
      </c>
      <c r="J297" s="126"/>
      <c r="K297" s="126"/>
      <c r="L297" s="126"/>
      <c r="M297" s="126"/>
      <c r="N297" s="126"/>
      <c r="O297" s="124">
        <f>23919+976</f>
        <v>24895</v>
      </c>
      <c r="P297" s="124">
        <f>28095+1465</f>
        <v>29560</v>
      </c>
      <c r="Q297" s="138"/>
      <c r="R297" s="215"/>
      <c r="S297" s="140">
        <v>1</v>
      </c>
      <c r="T297" s="124">
        <f t="shared" si="60"/>
        <v>4665</v>
      </c>
      <c r="U297" s="127">
        <v>9263</v>
      </c>
      <c r="V297" s="307" t="s">
        <v>803</v>
      </c>
      <c r="W297" s="14" t="s">
        <v>82</v>
      </c>
      <c r="X297" s="7"/>
      <c r="Y297" s="7"/>
      <c r="Z297" s="7"/>
      <c r="AA297" s="7"/>
      <c r="AB297" s="7"/>
      <c r="AC297" s="7"/>
    </row>
    <row r="298" spans="1:29" ht="25.5">
      <c r="A298" s="19"/>
      <c r="B298" s="336" t="s">
        <v>365</v>
      </c>
      <c r="C298" s="124">
        <f t="shared" si="61"/>
        <v>1588.95</v>
      </c>
      <c r="D298" s="124"/>
      <c r="E298" s="124">
        <f t="shared" si="59"/>
        <v>103.94999999999999</v>
      </c>
      <c r="F298" s="124">
        <f t="shared" si="62"/>
        <v>59.4</v>
      </c>
      <c r="G298" s="124">
        <f t="shared" si="63"/>
        <v>44.55</v>
      </c>
      <c r="H298" s="124">
        <f t="shared" si="64"/>
        <v>1485</v>
      </c>
      <c r="I298" s="124">
        <f t="shared" si="65"/>
        <v>953.37</v>
      </c>
      <c r="J298" s="126"/>
      <c r="K298" s="126"/>
      <c r="L298" s="126"/>
      <c r="M298" s="126"/>
      <c r="N298" s="126"/>
      <c r="O298" s="124">
        <v>278706</v>
      </c>
      <c r="P298" s="124">
        <v>280191</v>
      </c>
      <c r="Q298" s="138"/>
      <c r="R298" s="215"/>
      <c r="S298" s="140">
        <v>1</v>
      </c>
      <c r="T298" s="124">
        <f t="shared" si="60"/>
        <v>1485</v>
      </c>
      <c r="U298" s="127">
        <v>776</v>
      </c>
      <c r="V298" s="307" t="s">
        <v>366</v>
      </c>
      <c r="W298" s="14" t="s">
        <v>82</v>
      </c>
      <c r="X298" s="7"/>
      <c r="Y298" s="7"/>
      <c r="Z298" s="7"/>
      <c r="AA298" s="7"/>
      <c r="AB298" s="7"/>
      <c r="AC298" s="7"/>
    </row>
    <row r="299" spans="1:29" ht="25.5">
      <c r="A299" s="19"/>
      <c r="B299" s="336" t="s">
        <v>695</v>
      </c>
      <c r="C299" s="124">
        <f t="shared" si="61"/>
        <v>1244.4100000000001</v>
      </c>
      <c r="D299" s="124"/>
      <c r="E299" s="124">
        <f t="shared" si="59"/>
        <v>81.41</v>
      </c>
      <c r="F299" s="124">
        <f t="shared" si="62"/>
        <v>46.52</v>
      </c>
      <c r="G299" s="124">
        <f t="shared" si="63"/>
        <v>34.89</v>
      </c>
      <c r="H299" s="124">
        <f t="shared" si="64"/>
        <v>1163</v>
      </c>
      <c r="I299" s="124">
        <f t="shared" si="65"/>
        <v>746.64600000000007</v>
      </c>
      <c r="J299" s="126"/>
      <c r="K299" s="126"/>
      <c r="L299" s="126"/>
      <c r="M299" s="126"/>
      <c r="N299" s="126"/>
      <c r="O299" s="124">
        <v>85641</v>
      </c>
      <c r="P299" s="124">
        <v>86804</v>
      </c>
      <c r="Q299" s="138"/>
      <c r="R299" s="215"/>
      <c r="S299" s="140">
        <v>1</v>
      </c>
      <c r="T299" s="124">
        <f t="shared" si="60"/>
        <v>1163</v>
      </c>
      <c r="U299" s="127">
        <v>4291</v>
      </c>
      <c r="V299" s="307" t="s">
        <v>367</v>
      </c>
      <c r="W299" s="14" t="s">
        <v>82</v>
      </c>
      <c r="X299" s="7"/>
      <c r="Y299" s="7"/>
      <c r="Z299" s="7"/>
      <c r="AA299" s="7"/>
      <c r="AB299" s="7"/>
      <c r="AC299" s="7"/>
    </row>
    <row r="300" spans="1:29" ht="25.5">
      <c r="A300" s="19"/>
      <c r="B300" s="336" t="s">
        <v>368</v>
      </c>
      <c r="C300" s="124">
        <f t="shared" si="61"/>
        <v>727.6</v>
      </c>
      <c r="D300" s="124"/>
      <c r="E300" s="124">
        <f t="shared" si="59"/>
        <v>47.599999999999994</v>
      </c>
      <c r="F300" s="124">
        <f t="shared" si="62"/>
        <v>27.2</v>
      </c>
      <c r="G300" s="124">
        <f t="shared" si="63"/>
        <v>20.399999999999999</v>
      </c>
      <c r="H300" s="124">
        <f t="shared" si="64"/>
        <v>680</v>
      </c>
      <c r="I300" s="124">
        <f t="shared" si="65"/>
        <v>436.56</v>
      </c>
      <c r="J300" s="126"/>
      <c r="K300" s="126"/>
      <c r="L300" s="126"/>
      <c r="M300" s="126"/>
      <c r="N300" s="126"/>
      <c r="O300" s="124">
        <v>35959</v>
      </c>
      <c r="P300" s="124">
        <v>36639</v>
      </c>
      <c r="Q300" s="138"/>
      <c r="R300" s="215"/>
      <c r="S300" s="140">
        <v>1</v>
      </c>
      <c r="T300" s="124">
        <f t="shared" si="60"/>
        <v>680</v>
      </c>
      <c r="U300" s="127">
        <v>101522115</v>
      </c>
      <c r="V300" s="307" t="s">
        <v>369</v>
      </c>
      <c r="W300" s="14" t="s">
        <v>82</v>
      </c>
      <c r="X300" s="7"/>
      <c r="Y300" s="7"/>
      <c r="Z300" s="7"/>
      <c r="AA300" s="7"/>
      <c r="AB300" s="7"/>
      <c r="AC300" s="7"/>
    </row>
    <row r="301" spans="1:29" ht="25.5">
      <c r="A301" s="19"/>
      <c r="B301" s="336" t="s">
        <v>697</v>
      </c>
      <c r="C301" s="124">
        <f t="shared" si="61"/>
        <v>221.49</v>
      </c>
      <c r="D301" s="124"/>
      <c r="E301" s="124">
        <f t="shared" si="59"/>
        <v>14.489999999999998</v>
      </c>
      <c r="F301" s="124">
        <f t="shared" si="62"/>
        <v>8.2799999999999994</v>
      </c>
      <c r="G301" s="124">
        <f t="shared" si="63"/>
        <v>6.21</v>
      </c>
      <c r="H301" s="124">
        <f t="shared" si="64"/>
        <v>207</v>
      </c>
      <c r="I301" s="124">
        <f t="shared" si="65"/>
        <v>132.89400000000001</v>
      </c>
      <c r="J301" s="126"/>
      <c r="K301" s="126"/>
      <c r="L301" s="126"/>
      <c r="M301" s="126"/>
      <c r="N301" s="126"/>
      <c r="O301" s="124">
        <v>18196</v>
      </c>
      <c r="P301" s="124">
        <v>18403</v>
      </c>
      <c r="Q301" s="138"/>
      <c r="R301" s="215"/>
      <c r="S301" s="140">
        <v>1</v>
      </c>
      <c r="T301" s="124">
        <f t="shared" si="60"/>
        <v>207</v>
      </c>
      <c r="U301" s="127">
        <v>1116</v>
      </c>
      <c r="V301" s="307" t="s">
        <v>370</v>
      </c>
      <c r="W301" s="14" t="s">
        <v>82</v>
      </c>
      <c r="X301" s="7"/>
      <c r="Y301" s="7"/>
      <c r="Z301" s="7"/>
      <c r="AA301" s="7"/>
      <c r="AB301" s="7"/>
      <c r="AC301" s="7"/>
    </row>
    <row r="302" spans="1:29" ht="25.5">
      <c r="A302" s="19"/>
      <c r="B302" s="336" t="s">
        <v>371</v>
      </c>
      <c r="C302" s="124">
        <f t="shared" si="61"/>
        <v>357.38</v>
      </c>
      <c r="D302" s="124"/>
      <c r="E302" s="124">
        <f t="shared" si="59"/>
        <v>23.38</v>
      </c>
      <c r="F302" s="124">
        <f t="shared" si="62"/>
        <v>13.36</v>
      </c>
      <c r="G302" s="124">
        <f t="shared" si="63"/>
        <v>10.02</v>
      </c>
      <c r="H302" s="124">
        <f t="shared" si="64"/>
        <v>334</v>
      </c>
      <c r="I302" s="124">
        <f t="shared" si="65"/>
        <v>214.428</v>
      </c>
      <c r="J302" s="126"/>
      <c r="K302" s="126"/>
      <c r="L302" s="126"/>
      <c r="M302" s="126"/>
      <c r="N302" s="126"/>
      <c r="O302" s="124">
        <v>25467</v>
      </c>
      <c r="P302" s="124">
        <v>25801</v>
      </c>
      <c r="Q302" s="138"/>
      <c r="R302" s="215"/>
      <c r="S302" s="140">
        <v>1</v>
      </c>
      <c r="T302" s="124">
        <f t="shared" si="60"/>
        <v>334</v>
      </c>
      <c r="U302" s="127">
        <v>7838</v>
      </c>
      <c r="V302" s="307" t="s">
        <v>771</v>
      </c>
      <c r="W302" s="14" t="s">
        <v>82</v>
      </c>
      <c r="X302" s="7"/>
      <c r="Y302" s="7"/>
      <c r="Z302" s="7"/>
      <c r="AA302" s="7"/>
      <c r="AB302" s="7"/>
      <c r="AC302" s="7"/>
    </row>
    <row r="303" spans="1:29" ht="25.5">
      <c r="A303" s="19"/>
      <c r="B303" s="336" t="s">
        <v>372</v>
      </c>
      <c r="C303" s="124">
        <f t="shared" si="61"/>
        <v>1099.96</v>
      </c>
      <c r="D303" s="124"/>
      <c r="E303" s="124">
        <f t="shared" si="59"/>
        <v>71.959999999999994</v>
      </c>
      <c r="F303" s="124">
        <f t="shared" si="62"/>
        <v>41.12</v>
      </c>
      <c r="G303" s="124">
        <f t="shared" si="63"/>
        <v>30.84</v>
      </c>
      <c r="H303" s="124">
        <f t="shared" si="64"/>
        <v>1028</v>
      </c>
      <c r="I303" s="124">
        <f t="shared" si="65"/>
        <v>659.976</v>
      </c>
      <c r="J303" s="126"/>
      <c r="K303" s="126"/>
      <c r="L303" s="126"/>
      <c r="M303" s="126"/>
      <c r="N303" s="126"/>
      <c r="O303" s="124">
        <v>243146</v>
      </c>
      <c r="P303" s="124">
        <v>244174</v>
      </c>
      <c r="Q303" s="138"/>
      <c r="R303" s="215"/>
      <c r="S303" s="140">
        <v>1</v>
      </c>
      <c r="T303" s="124">
        <f t="shared" si="60"/>
        <v>1028</v>
      </c>
      <c r="U303" s="127">
        <v>8906</v>
      </c>
      <c r="V303" s="307" t="s">
        <v>373</v>
      </c>
      <c r="W303" s="14" t="s">
        <v>82</v>
      </c>
      <c r="X303" s="7"/>
      <c r="Y303" s="7"/>
      <c r="Z303" s="7"/>
      <c r="AA303" s="7"/>
      <c r="AB303" s="7"/>
      <c r="AC303" s="7"/>
    </row>
    <row r="304" spans="1:29" ht="25.5">
      <c r="A304" s="19"/>
      <c r="B304" s="336" t="s">
        <v>374</v>
      </c>
      <c r="C304" s="124">
        <f t="shared" si="61"/>
        <v>3488.2</v>
      </c>
      <c r="D304" s="124"/>
      <c r="E304" s="124">
        <f t="shared" si="59"/>
        <v>228.2</v>
      </c>
      <c r="F304" s="124">
        <f t="shared" si="62"/>
        <v>130.4</v>
      </c>
      <c r="G304" s="124">
        <f t="shared" si="63"/>
        <v>97.8</v>
      </c>
      <c r="H304" s="124">
        <f t="shared" si="64"/>
        <v>3260</v>
      </c>
      <c r="I304" s="124">
        <f t="shared" si="65"/>
        <v>2092.9199999999996</v>
      </c>
      <c r="J304" s="126"/>
      <c r="K304" s="126"/>
      <c r="L304" s="126"/>
      <c r="M304" s="126"/>
      <c r="N304" s="126"/>
      <c r="O304" s="124">
        <v>380786</v>
      </c>
      <c r="P304" s="124">
        <v>384046</v>
      </c>
      <c r="Q304" s="138"/>
      <c r="R304" s="215"/>
      <c r="S304" s="140">
        <v>1</v>
      </c>
      <c r="T304" s="124">
        <f t="shared" si="60"/>
        <v>3260</v>
      </c>
      <c r="U304" s="127">
        <v>4786</v>
      </c>
      <c r="V304" s="307" t="s">
        <v>375</v>
      </c>
      <c r="W304" s="14" t="s">
        <v>82</v>
      </c>
      <c r="X304" s="7"/>
      <c r="Y304" s="7"/>
      <c r="Z304" s="7"/>
      <c r="AA304" s="7"/>
      <c r="AB304" s="7"/>
      <c r="AC304" s="7"/>
    </row>
    <row r="305" spans="1:29" ht="25.5">
      <c r="A305" s="19"/>
      <c r="B305" s="336" t="s">
        <v>914</v>
      </c>
      <c r="C305" s="124">
        <f t="shared" si="61"/>
        <v>190.46</v>
      </c>
      <c r="D305" s="124"/>
      <c r="E305" s="124">
        <f t="shared" si="59"/>
        <v>12.46</v>
      </c>
      <c r="F305" s="124">
        <f t="shared" si="62"/>
        <v>7.12</v>
      </c>
      <c r="G305" s="124">
        <f t="shared" si="63"/>
        <v>5.34</v>
      </c>
      <c r="H305" s="124">
        <f t="shared" si="64"/>
        <v>178</v>
      </c>
      <c r="I305" s="124">
        <f t="shared" si="65"/>
        <v>114.276</v>
      </c>
      <c r="J305" s="126"/>
      <c r="K305" s="126"/>
      <c r="L305" s="126"/>
      <c r="M305" s="126"/>
      <c r="N305" s="126"/>
      <c r="O305" s="124">
        <v>79737</v>
      </c>
      <c r="P305" s="124">
        <v>79915</v>
      </c>
      <c r="Q305" s="138"/>
      <c r="R305" s="215"/>
      <c r="S305" s="140">
        <v>1</v>
      </c>
      <c r="T305" s="124">
        <f t="shared" si="60"/>
        <v>178</v>
      </c>
      <c r="U305" s="127">
        <v>3506</v>
      </c>
      <c r="V305" s="307" t="s">
        <v>804</v>
      </c>
      <c r="W305" s="14" t="s">
        <v>82</v>
      </c>
      <c r="X305" s="7"/>
      <c r="Y305" s="7"/>
      <c r="Z305" s="7"/>
      <c r="AA305" s="7"/>
      <c r="AB305" s="7"/>
      <c r="AC305" s="7"/>
    </row>
    <row r="306" spans="1:29" ht="25.5">
      <c r="A306" s="19"/>
      <c r="B306" s="336" t="s">
        <v>376</v>
      </c>
      <c r="C306" s="124">
        <f t="shared" si="61"/>
        <v>533.92999999999995</v>
      </c>
      <c r="D306" s="124"/>
      <c r="E306" s="124">
        <f t="shared" si="59"/>
        <v>34.93</v>
      </c>
      <c r="F306" s="124">
        <f t="shared" si="62"/>
        <v>19.96</v>
      </c>
      <c r="G306" s="124">
        <f t="shared" si="63"/>
        <v>14.969999999999999</v>
      </c>
      <c r="H306" s="124">
        <f t="shared" si="64"/>
        <v>499</v>
      </c>
      <c r="I306" s="124">
        <f t="shared" si="65"/>
        <v>320.35799999999995</v>
      </c>
      <c r="J306" s="126"/>
      <c r="K306" s="126"/>
      <c r="L306" s="126"/>
      <c r="M306" s="126"/>
      <c r="N306" s="126"/>
      <c r="O306" s="124">
        <v>198192</v>
      </c>
      <c r="P306" s="124">
        <v>198691</v>
      </c>
      <c r="Q306" s="138"/>
      <c r="R306" s="215"/>
      <c r="S306" s="140">
        <v>1</v>
      </c>
      <c r="T306" s="124">
        <f t="shared" si="60"/>
        <v>499</v>
      </c>
      <c r="U306" s="127">
        <v>2406</v>
      </c>
      <c r="V306" s="307" t="s">
        <v>377</v>
      </c>
      <c r="W306" s="14" t="s">
        <v>82</v>
      </c>
      <c r="X306" s="7"/>
      <c r="Y306" s="7"/>
      <c r="Z306" s="7"/>
      <c r="AA306" s="7"/>
      <c r="AB306" s="7"/>
      <c r="AC306" s="7"/>
    </row>
    <row r="307" spans="1:29" ht="25.5">
      <c r="A307" s="19"/>
      <c r="B307" s="336" t="s">
        <v>378</v>
      </c>
      <c r="C307" s="124">
        <f t="shared" si="61"/>
        <v>842.09</v>
      </c>
      <c r="D307" s="124"/>
      <c r="E307" s="124">
        <f t="shared" si="59"/>
        <v>55.09</v>
      </c>
      <c r="F307" s="124">
        <f t="shared" si="62"/>
        <v>31.48</v>
      </c>
      <c r="G307" s="124">
        <f t="shared" si="63"/>
        <v>23.61</v>
      </c>
      <c r="H307" s="124">
        <f t="shared" si="64"/>
        <v>787</v>
      </c>
      <c r="I307" s="124">
        <f t="shared" si="65"/>
        <v>505.25400000000002</v>
      </c>
      <c r="J307" s="126"/>
      <c r="K307" s="126"/>
      <c r="L307" s="126"/>
      <c r="M307" s="126"/>
      <c r="N307" s="126"/>
      <c r="O307" s="124">
        <v>342592</v>
      </c>
      <c r="P307" s="124">
        <v>343379</v>
      </c>
      <c r="Q307" s="138"/>
      <c r="R307" s="215"/>
      <c r="S307" s="140">
        <v>1</v>
      </c>
      <c r="T307" s="124">
        <f t="shared" si="60"/>
        <v>787</v>
      </c>
      <c r="U307" s="127">
        <v>4306</v>
      </c>
      <c r="V307" s="307" t="s">
        <v>379</v>
      </c>
      <c r="W307" s="14" t="s">
        <v>82</v>
      </c>
      <c r="X307" s="7"/>
      <c r="Y307" s="7"/>
      <c r="Z307" s="7"/>
      <c r="AA307" s="7"/>
      <c r="AB307" s="7"/>
      <c r="AC307" s="7"/>
    </row>
    <row r="308" spans="1:29" ht="25.5">
      <c r="A308" s="19"/>
      <c r="B308" s="336"/>
      <c r="C308" s="124"/>
      <c r="D308" s="124"/>
      <c r="E308" s="124"/>
      <c r="F308" s="124"/>
      <c r="G308" s="124"/>
      <c r="H308" s="124"/>
      <c r="I308" s="124"/>
      <c r="J308" s="126"/>
      <c r="K308" s="126"/>
      <c r="L308" s="126"/>
      <c r="M308" s="126"/>
      <c r="N308" s="126"/>
      <c r="O308" s="124"/>
      <c r="P308" s="124"/>
      <c r="Q308" s="138"/>
      <c r="R308" s="215"/>
      <c r="S308" s="140"/>
      <c r="T308" s="124"/>
      <c r="U308" s="127"/>
      <c r="V308" s="307"/>
      <c r="W308" s="14" t="s">
        <v>82</v>
      </c>
      <c r="X308" s="7"/>
      <c r="Y308" s="7"/>
      <c r="Z308" s="7"/>
      <c r="AA308" s="7"/>
      <c r="AB308" s="7"/>
      <c r="AC308" s="7"/>
    </row>
    <row r="309" spans="1:29" ht="25.5">
      <c r="A309" s="19"/>
      <c r="B309" s="336" t="s">
        <v>380</v>
      </c>
      <c r="C309" s="124">
        <f t="shared" si="61"/>
        <v>0</v>
      </c>
      <c r="D309" s="124"/>
      <c r="E309" s="124">
        <f t="shared" si="59"/>
        <v>0</v>
      </c>
      <c r="F309" s="124">
        <f t="shared" si="62"/>
        <v>0</v>
      </c>
      <c r="G309" s="124">
        <f t="shared" si="63"/>
        <v>0</v>
      </c>
      <c r="H309" s="124">
        <f t="shared" si="64"/>
        <v>0</v>
      </c>
      <c r="I309" s="124">
        <f t="shared" si="65"/>
        <v>0</v>
      </c>
      <c r="J309" s="126"/>
      <c r="K309" s="126"/>
      <c r="L309" s="126"/>
      <c r="M309" s="126"/>
      <c r="N309" s="126"/>
      <c r="O309" s="124">
        <v>392079</v>
      </c>
      <c r="P309" s="124">
        <v>392079</v>
      </c>
      <c r="Q309" s="138"/>
      <c r="R309" s="215"/>
      <c r="S309" s="140">
        <v>1</v>
      </c>
      <c r="T309" s="124">
        <f t="shared" si="60"/>
        <v>0</v>
      </c>
      <c r="U309" s="127">
        <v>806</v>
      </c>
      <c r="V309" s="307" t="s">
        <v>381</v>
      </c>
      <c r="W309" s="14" t="s">
        <v>82</v>
      </c>
      <c r="X309" s="7"/>
      <c r="Y309" s="7"/>
      <c r="Z309" s="7"/>
      <c r="AA309" s="7"/>
      <c r="AB309" s="7"/>
      <c r="AC309" s="7"/>
    </row>
    <row r="310" spans="1:29" ht="26.25" customHeight="1">
      <c r="A310" s="19"/>
      <c r="B310" s="336" t="s">
        <v>382</v>
      </c>
      <c r="C310" s="124">
        <f t="shared" si="61"/>
        <v>2293.0100000000002</v>
      </c>
      <c r="D310" s="124"/>
      <c r="E310" s="124">
        <f t="shared" si="59"/>
        <v>150.01</v>
      </c>
      <c r="F310" s="124">
        <f t="shared" si="62"/>
        <v>85.72</v>
      </c>
      <c r="G310" s="124">
        <f t="shared" si="63"/>
        <v>64.289999999999992</v>
      </c>
      <c r="H310" s="124">
        <f t="shared" si="64"/>
        <v>2143</v>
      </c>
      <c r="I310" s="124">
        <f t="shared" si="65"/>
        <v>1375.806</v>
      </c>
      <c r="J310" s="126"/>
      <c r="K310" s="126"/>
      <c r="L310" s="126"/>
      <c r="M310" s="126"/>
      <c r="N310" s="126"/>
      <c r="O310" s="124">
        <v>118322</v>
      </c>
      <c r="P310" s="124">
        <v>120465</v>
      </c>
      <c r="Q310" s="138"/>
      <c r="R310" s="215"/>
      <c r="S310" s="140">
        <v>1</v>
      </c>
      <c r="T310" s="124">
        <f t="shared" si="60"/>
        <v>2143</v>
      </c>
      <c r="U310" s="127">
        <v>1131</v>
      </c>
      <c r="V310" s="307" t="s">
        <v>383</v>
      </c>
      <c r="W310" s="14" t="s">
        <v>82</v>
      </c>
      <c r="X310" s="7"/>
      <c r="Y310" s="7"/>
      <c r="Z310" s="7"/>
      <c r="AA310" s="7"/>
      <c r="AB310" s="7"/>
      <c r="AC310" s="7"/>
    </row>
    <row r="311" spans="1:29" ht="25.5">
      <c r="A311" s="19"/>
      <c r="B311" s="336" t="s">
        <v>384</v>
      </c>
      <c r="C311" s="124">
        <f t="shared" si="61"/>
        <v>108.07</v>
      </c>
      <c r="D311" s="124"/>
      <c r="E311" s="124">
        <f t="shared" si="59"/>
        <v>7.07</v>
      </c>
      <c r="F311" s="124">
        <f t="shared" si="62"/>
        <v>4.04</v>
      </c>
      <c r="G311" s="124">
        <f t="shared" si="63"/>
        <v>3.03</v>
      </c>
      <c r="H311" s="124">
        <f t="shared" si="64"/>
        <v>101</v>
      </c>
      <c r="I311" s="124">
        <f t="shared" si="65"/>
        <v>64.841999999999999</v>
      </c>
      <c r="J311" s="126"/>
      <c r="K311" s="126"/>
      <c r="L311" s="126"/>
      <c r="M311" s="126"/>
      <c r="N311" s="126"/>
      <c r="O311" s="124">
        <v>28889</v>
      </c>
      <c r="P311" s="124">
        <v>28990</v>
      </c>
      <c r="Q311" s="138"/>
      <c r="R311" s="215"/>
      <c r="S311" s="140">
        <v>1</v>
      </c>
      <c r="T311" s="124">
        <f t="shared" si="60"/>
        <v>101</v>
      </c>
      <c r="U311" s="127">
        <v>2125</v>
      </c>
      <c r="V311" s="307" t="s">
        <v>772</v>
      </c>
      <c r="W311" s="14" t="s">
        <v>82</v>
      </c>
      <c r="X311" s="7"/>
      <c r="Y311" s="7"/>
      <c r="Z311" s="7"/>
      <c r="AA311" s="7"/>
      <c r="AB311" s="7"/>
      <c r="AC311" s="7"/>
    </row>
    <row r="312" spans="1:29" ht="25.5">
      <c r="A312" s="19"/>
      <c r="B312" s="336"/>
      <c r="C312" s="337"/>
      <c r="D312" s="124"/>
      <c r="E312" s="124"/>
      <c r="F312" s="124"/>
      <c r="G312" s="124"/>
      <c r="H312" s="124"/>
      <c r="I312" s="124"/>
      <c r="J312" s="126"/>
      <c r="K312" s="126"/>
      <c r="L312" s="126"/>
      <c r="M312" s="126"/>
      <c r="N312" s="126"/>
      <c r="O312" s="124"/>
      <c r="P312" s="124"/>
      <c r="Q312" s="138"/>
      <c r="R312" s="215"/>
      <c r="S312" s="140"/>
      <c r="T312" s="124"/>
      <c r="U312" s="127"/>
      <c r="V312" s="307"/>
      <c r="W312" s="14" t="s">
        <v>82</v>
      </c>
      <c r="X312" s="7"/>
      <c r="Y312" s="7"/>
      <c r="Z312" s="7"/>
      <c r="AA312" s="7"/>
      <c r="AB312" s="7"/>
      <c r="AC312" s="7"/>
    </row>
    <row r="313" spans="1:29" ht="25.5">
      <c r="A313" s="19"/>
      <c r="B313" s="657" t="s">
        <v>915</v>
      </c>
      <c r="C313" s="124">
        <f t="shared" si="61"/>
        <v>135.88999999999999</v>
      </c>
      <c r="D313" s="124"/>
      <c r="E313" s="124">
        <f t="shared" si="59"/>
        <v>8.89</v>
      </c>
      <c r="F313" s="124">
        <f t="shared" si="62"/>
        <v>5.08</v>
      </c>
      <c r="G313" s="124">
        <f t="shared" si="63"/>
        <v>3.81</v>
      </c>
      <c r="H313" s="124">
        <f t="shared" si="64"/>
        <v>127</v>
      </c>
      <c r="I313" s="124">
        <f t="shared" si="65"/>
        <v>81.533999999999992</v>
      </c>
      <c r="J313" s="126"/>
      <c r="K313" s="126"/>
      <c r="L313" s="126"/>
      <c r="M313" s="126"/>
      <c r="N313" s="126"/>
      <c r="O313" s="124">
        <v>85561</v>
      </c>
      <c r="P313" s="124">
        <v>85688</v>
      </c>
      <c r="Q313" s="138"/>
      <c r="R313" s="215"/>
      <c r="S313" s="140">
        <v>1</v>
      </c>
      <c r="T313" s="124">
        <f t="shared" si="60"/>
        <v>127</v>
      </c>
      <c r="U313" s="127">
        <v>2831</v>
      </c>
      <c r="V313" s="307" t="s">
        <v>805</v>
      </c>
      <c r="W313" s="14" t="s">
        <v>82</v>
      </c>
      <c r="X313" s="7"/>
      <c r="Y313" s="7"/>
      <c r="Z313" s="7"/>
      <c r="AA313" s="7"/>
      <c r="AB313" s="7"/>
      <c r="AC313" s="7"/>
    </row>
    <row r="314" spans="1:29" ht="25.5">
      <c r="A314" s="19"/>
      <c r="B314" s="336" t="s">
        <v>699</v>
      </c>
      <c r="C314" s="124">
        <f t="shared" si="61"/>
        <v>752.21</v>
      </c>
      <c r="D314" s="124"/>
      <c r="E314" s="124">
        <f t="shared" si="59"/>
        <v>49.21</v>
      </c>
      <c r="F314" s="124">
        <f t="shared" si="62"/>
        <v>28.12</v>
      </c>
      <c r="G314" s="124">
        <f t="shared" si="63"/>
        <v>21.09</v>
      </c>
      <c r="H314" s="124">
        <f t="shared" si="64"/>
        <v>703</v>
      </c>
      <c r="I314" s="124">
        <f t="shared" si="65"/>
        <v>451.32600000000002</v>
      </c>
      <c r="J314" s="126"/>
      <c r="K314" s="126"/>
      <c r="L314" s="126"/>
      <c r="M314" s="126"/>
      <c r="N314" s="126"/>
      <c r="O314" s="124">
        <v>289081</v>
      </c>
      <c r="P314" s="124">
        <v>289784</v>
      </c>
      <c r="Q314" s="138"/>
      <c r="R314" s="215"/>
      <c r="S314" s="140">
        <v>1</v>
      </c>
      <c r="T314" s="124">
        <f t="shared" si="60"/>
        <v>703</v>
      </c>
      <c r="U314" s="127">
        <v>506</v>
      </c>
      <c r="V314" s="307" t="s">
        <v>387</v>
      </c>
      <c r="W314" s="14" t="s">
        <v>82</v>
      </c>
      <c r="X314" s="7"/>
      <c r="Y314" s="7"/>
      <c r="Z314" s="7"/>
      <c r="AA314" s="7"/>
      <c r="AB314" s="7"/>
      <c r="AC314" s="7"/>
    </row>
    <row r="315" spans="1:29" ht="25.5">
      <c r="A315" s="19"/>
      <c r="B315" s="336"/>
      <c r="C315" s="124"/>
      <c r="D315" s="124"/>
      <c r="E315" s="124"/>
      <c r="F315" s="124"/>
      <c r="G315" s="124"/>
      <c r="H315" s="124"/>
      <c r="I315" s="124"/>
      <c r="J315" s="126"/>
      <c r="K315" s="126"/>
      <c r="L315" s="126"/>
      <c r="M315" s="126"/>
      <c r="N315" s="126"/>
      <c r="O315" s="124"/>
      <c r="P315" s="124"/>
      <c r="Q315" s="138"/>
      <c r="R315" s="215"/>
      <c r="S315" s="140"/>
      <c r="T315" s="124"/>
      <c r="U315" s="127"/>
      <c r="V315" s="307"/>
      <c r="W315" s="14" t="s">
        <v>82</v>
      </c>
      <c r="X315" s="7"/>
      <c r="Y315" s="7"/>
      <c r="Z315" s="7"/>
      <c r="AA315" s="7"/>
      <c r="AB315" s="7"/>
      <c r="AC315" s="7"/>
    </row>
    <row r="316" spans="1:29" ht="25.5">
      <c r="A316" s="19"/>
      <c r="B316" s="336" t="s">
        <v>388</v>
      </c>
      <c r="C316" s="124">
        <f t="shared" si="61"/>
        <v>10635.8</v>
      </c>
      <c r="D316" s="124"/>
      <c r="E316" s="124">
        <f t="shared" si="59"/>
        <v>695.8</v>
      </c>
      <c r="F316" s="124">
        <f t="shared" si="62"/>
        <v>397.6</v>
      </c>
      <c r="G316" s="124">
        <f t="shared" si="63"/>
        <v>298.2</v>
      </c>
      <c r="H316" s="124">
        <f t="shared" si="64"/>
        <v>9940</v>
      </c>
      <c r="I316" s="124">
        <f t="shared" si="65"/>
        <v>6381.48</v>
      </c>
      <c r="J316" s="126"/>
      <c r="K316" s="126"/>
      <c r="L316" s="126"/>
      <c r="M316" s="126"/>
      <c r="N316" s="126"/>
      <c r="O316" s="124">
        <v>18614</v>
      </c>
      <c r="P316" s="124">
        <v>19111</v>
      </c>
      <c r="Q316" s="138"/>
      <c r="R316" s="215"/>
      <c r="S316" s="140">
        <v>20</v>
      </c>
      <c r="T316" s="124">
        <f t="shared" si="60"/>
        <v>9940</v>
      </c>
      <c r="U316" s="127">
        <v>1064</v>
      </c>
      <c r="V316" s="307" t="s">
        <v>389</v>
      </c>
      <c r="W316" s="14" t="s">
        <v>82</v>
      </c>
      <c r="X316" s="7"/>
      <c r="Y316" s="7"/>
      <c r="Z316" s="7"/>
      <c r="AA316" s="7"/>
      <c r="AB316" s="7"/>
      <c r="AC316" s="7"/>
    </row>
    <row r="317" spans="1:29" ht="25.5">
      <c r="A317" s="19"/>
      <c r="B317" s="336" t="s">
        <v>390</v>
      </c>
      <c r="C317" s="124">
        <f>H317+E317</f>
        <v>6493.83</v>
      </c>
      <c r="D317" s="124"/>
      <c r="E317" s="124">
        <f t="shared" si="59"/>
        <v>424.83</v>
      </c>
      <c r="F317" s="124">
        <f t="shared" si="62"/>
        <v>242.76</v>
      </c>
      <c r="G317" s="124">
        <f t="shared" si="63"/>
        <v>182.07</v>
      </c>
      <c r="H317" s="124">
        <f t="shared" si="64"/>
        <v>6069</v>
      </c>
      <c r="I317" s="124">
        <f t="shared" si="65"/>
        <v>3896.2979999999998</v>
      </c>
      <c r="J317" s="126"/>
      <c r="K317" s="126"/>
      <c r="L317" s="126"/>
      <c r="M317" s="126"/>
      <c r="N317" s="126"/>
      <c r="O317" s="124">
        <v>224726</v>
      </c>
      <c r="P317" s="124">
        <v>230795</v>
      </c>
      <c r="Q317" s="138"/>
      <c r="R317" s="215"/>
      <c r="S317" s="140">
        <v>1</v>
      </c>
      <c r="T317" s="124">
        <f t="shared" si="60"/>
        <v>6069</v>
      </c>
      <c r="U317" s="127">
        <v>1173</v>
      </c>
      <c r="V317" s="307" t="s">
        <v>391</v>
      </c>
      <c r="W317" s="14" t="s">
        <v>82</v>
      </c>
      <c r="X317" s="7"/>
      <c r="Y317" s="7"/>
      <c r="Z317" s="7"/>
      <c r="AA317" s="7"/>
      <c r="AB317" s="7"/>
      <c r="AC317" s="7"/>
    </row>
    <row r="318" spans="1:29" ht="25.5">
      <c r="A318" s="19"/>
      <c r="B318" s="655" t="s">
        <v>916</v>
      </c>
      <c r="C318" s="124">
        <f t="shared" si="61"/>
        <v>2745.62</v>
      </c>
      <c r="D318" s="124"/>
      <c r="E318" s="124">
        <f t="shared" si="59"/>
        <v>179.62</v>
      </c>
      <c r="F318" s="124">
        <f t="shared" si="62"/>
        <v>102.64</v>
      </c>
      <c r="G318" s="124">
        <f t="shared" si="63"/>
        <v>76.98</v>
      </c>
      <c r="H318" s="124">
        <f t="shared" si="64"/>
        <v>2566</v>
      </c>
      <c r="I318" s="124">
        <f t="shared" si="65"/>
        <v>1647.3719999999998</v>
      </c>
      <c r="J318" s="126"/>
      <c r="K318" s="126"/>
      <c r="L318" s="126"/>
      <c r="M318" s="126"/>
      <c r="N318" s="126"/>
      <c r="O318" s="124">
        <v>557485</v>
      </c>
      <c r="P318" s="124">
        <v>560051</v>
      </c>
      <c r="Q318" s="138"/>
      <c r="R318" s="215"/>
      <c r="S318" s="140">
        <v>1</v>
      </c>
      <c r="T318" s="124">
        <f t="shared" si="60"/>
        <v>2566</v>
      </c>
      <c r="U318" s="127">
        <v>35821</v>
      </c>
      <c r="V318" s="128" t="s">
        <v>759</v>
      </c>
      <c r="W318" s="14" t="s">
        <v>82</v>
      </c>
      <c r="X318" s="7"/>
      <c r="Y318" s="7"/>
      <c r="Z318" s="7"/>
      <c r="AA318" s="7"/>
      <c r="AB318" s="7"/>
      <c r="AC318" s="7"/>
    </row>
    <row r="319" spans="1:29" ht="25.5">
      <c r="A319" s="19"/>
      <c r="B319" s="158" t="s">
        <v>314</v>
      </c>
      <c r="C319" s="124">
        <f t="shared" si="61"/>
        <v>670.89</v>
      </c>
      <c r="D319" s="124"/>
      <c r="E319" s="124">
        <f t="shared" si="59"/>
        <v>43.89</v>
      </c>
      <c r="F319" s="124">
        <f t="shared" si="62"/>
        <v>25.080000000000002</v>
      </c>
      <c r="G319" s="124">
        <f t="shared" si="63"/>
        <v>18.809999999999999</v>
      </c>
      <c r="H319" s="124">
        <f t="shared" si="64"/>
        <v>627</v>
      </c>
      <c r="I319" s="124">
        <f t="shared" si="65"/>
        <v>402.53399999999999</v>
      </c>
      <c r="J319" s="126"/>
      <c r="K319" s="126"/>
      <c r="L319" s="126"/>
      <c r="M319" s="126"/>
      <c r="N319" s="126"/>
      <c r="O319" s="124">
        <v>26184</v>
      </c>
      <c r="P319" s="124">
        <v>26811</v>
      </c>
      <c r="Q319" s="138"/>
      <c r="R319" s="215"/>
      <c r="S319" s="140">
        <v>1</v>
      </c>
      <c r="T319" s="124">
        <f t="shared" si="60"/>
        <v>627</v>
      </c>
      <c r="U319" s="127">
        <v>103473542</v>
      </c>
      <c r="V319" s="128" t="s">
        <v>393</v>
      </c>
      <c r="W319" s="14" t="s">
        <v>82</v>
      </c>
      <c r="X319" s="7"/>
      <c r="Y319" s="7"/>
      <c r="Z319" s="7"/>
      <c r="AA319" s="7"/>
      <c r="AB319" s="7"/>
      <c r="AC319" s="7"/>
    </row>
    <row r="320" spans="1:29" ht="25.5">
      <c r="A320" s="19"/>
      <c r="B320" s="655" t="s">
        <v>365</v>
      </c>
      <c r="C320" s="124">
        <f t="shared" si="61"/>
        <v>553.19000000000005</v>
      </c>
      <c r="D320" s="124"/>
      <c r="E320" s="124">
        <f t="shared" si="59"/>
        <v>36.19</v>
      </c>
      <c r="F320" s="124">
        <f t="shared" si="62"/>
        <v>20.68</v>
      </c>
      <c r="G320" s="124">
        <f t="shared" si="63"/>
        <v>15.51</v>
      </c>
      <c r="H320" s="124">
        <f t="shared" si="64"/>
        <v>517</v>
      </c>
      <c r="I320" s="124">
        <f t="shared" si="65"/>
        <v>331.91400000000004</v>
      </c>
      <c r="J320" s="126"/>
      <c r="K320" s="126"/>
      <c r="L320" s="126"/>
      <c r="M320" s="126"/>
      <c r="N320" s="126"/>
      <c r="O320" s="124">
        <v>22812</v>
      </c>
      <c r="P320" s="124">
        <v>23329</v>
      </c>
      <c r="Q320" s="138"/>
      <c r="R320" s="215"/>
      <c r="S320" s="140">
        <v>1</v>
      </c>
      <c r="T320" s="124">
        <f t="shared" si="60"/>
        <v>517</v>
      </c>
      <c r="U320" s="127">
        <v>103095559</v>
      </c>
      <c r="V320" s="128" t="s">
        <v>394</v>
      </c>
      <c r="W320" s="14" t="s">
        <v>82</v>
      </c>
      <c r="X320" s="7"/>
      <c r="Y320" s="7"/>
      <c r="Z320" s="7"/>
      <c r="AA320" s="7"/>
      <c r="AB320" s="7"/>
      <c r="AC320" s="7"/>
    </row>
    <row r="321" spans="1:29" ht="25.5">
      <c r="A321" s="19"/>
      <c r="B321" s="655" t="s">
        <v>831</v>
      </c>
      <c r="C321" s="124">
        <f t="shared" si="61"/>
        <v>802.5</v>
      </c>
      <c r="D321" s="124"/>
      <c r="E321" s="124">
        <f t="shared" si="59"/>
        <v>52.5</v>
      </c>
      <c r="F321" s="124">
        <f t="shared" si="62"/>
        <v>30</v>
      </c>
      <c r="G321" s="124">
        <f t="shared" si="63"/>
        <v>22.5</v>
      </c>
      <c r="H321" s="124">
        <f t="shared" si="64"/>
        <v>750</v>
      </c>
      <c r="I321" s="124">
        <f t="shared" si="65"/>
        <v>481.5</v>
      </c>
      <c r="J321" s="126"/>
      <c r="K321" s="126"/>
      <c r="L321" s="126"/>
      <c r="M321" s="126"/>
      <c r="N321" s="126"/>
      <c r="O321" s="124">
        <v>40252</v>
      </c>
      <c r="P321" s="124">
        <v>41002</v>
      </c>
      <c r="Q321" s="138"/>
      <c r="R321" s="215"/>
      <c r="S321" s="140">
        <v>1</v>
      </c>
      <c r="T321" s="124">
        <f t="shared" si="60"/>
        <v>750</v>
      </c>
      <c r="U321" s="127"/>
      <c r="V321" s="128" t="s">
        <v>395</v>
      </c>
      <c r="W321" s="14" t="s">
        <v>82</v>
      </c>
      <c r="X321" s="7"/>
      <c r="Y321" s="7"/>
      <c r="Z321" s="7"/>
      <c r="AA321" s="7"/>
      <c r="AB321" s="7"/>
      <c r="AC321" s="7"/>
    </row>
    <row r="322" spans="1:29" ht="25.5">
      <c r="A322" s="19"/>
      <c r="B322" s="624" t="s">
        <v>396</v>
      </c>
      <c r="C322" s="124">
        <f t="shared" si="61"/>
        <v>1113.8699999999999</v>
      </c>
      <c r="D322" s="124"/>
      <c r="E322" s="124">
        <f t="shared" si="59"/>
        <v>72.87</v>
      </c>
      <c r="F322" s="124">
        <f t="shared" si="62"/>
        <v>41.64</v>
      </c>
      <c r="G322" s="124">
        <f t="shared" si="63"/>
        <v>31.23</v>
      </c>
      <c r="H322" s="124">
        <f t="shared" si="64"/>
        <v>1041</v>
      </c>
      <c r="I322" s="124">
        <f t="shared" si="65"/>
        <v>668.32199999999989</v>
      </c>
      <c r="J322" s="126"/>
      <c r="K322" s="126"/>
      <c r="L322" s="126"/>
      <c r="M322" s="126"/>
      <c r="N322" s="126"/>
      <c r="O322" s="124">
        <v>56657</v>
      </c>
      <c r="P322" s="124">
        <v>57698</v>
      </c>
      <c r="Q322" s="138"/>
      <c r="R322" s="215"/>
      <c r="S322" s="140">
        <v>1</v>
      </c>
      <c r="T322" s="124">
        <f t="shared" si="60"/>
        <v>1041</v>
      </c>
      <c r="U322" s="127">
        <v>4616</v>
      </c>
      <c r="V322" s="128" t="s">
        <v>397</v>
      </c>
      <c r="W322" s="14" t="s">
        <v>82</v>
      </c>
      <c r="X322" s="7"/>
      <c r="Y322" s="7"/>
      <c r="Z322" s="7"/>
      <c r="AA322" s="7"/>
      <c r="AB322" s="7"/>
      <c r="AC322" s="7"/>
    </row>
    <row r="323" spans="1:29" ht="25.5">
      <c r="A323" s="19"/>
      <c r="B323" s="624" t="s">
        <v>806</v>
      </c>
      <c r="C323" s="124">
        <f>H323+E323</f>
        <v>6461.73</v>
      </c>
      <c r="D323" s="124"/>
      <c r="E323" s="124">
        <f t="shared" si="59"/>
        <v>422.73</v>
      </c>
      <c r="F323" s="124">
        <f t="shared" si="62"/>
        <v>241.56</v>
      </c>
      <c r="G323" s="124">
        <f t="shared" si="63"/>
        <v>181.17</v>
      </c>
      <c r="H323" s="124">
        <f t="shared" si="64"/>
        <v>6039</v>
      </c>
      <c r="I323" s="124">
        <f t="shared" si="65"/>
        <v>3877.0379999999996</v>
      </c>
      <c r="J323" s="126"/>
      <c r="K323" s="126"/>
      <c r="L323" s="126"/>
      <c r="M323" s="126"/>
      <c r="N323" s="126"/>
      <c r="O323" s="124">
        <v>59626</v>
      </c>
      <c r="P323" s="124">
        <v>61197</v>
      </c>
      <c r="Q323" s="138"/>
      <c r="R323" s="215"/>
      <c r="S323" s="140">
        <v>20</v>
      </c>
      <c r="T323" s="124">
        <f>(P323-O323)*S323-T326-C327-T286-T317-T324-T325-T167-T168-T173</f>
        <v>6039</v>
      </c>
      <c r="U323" s="127"/>
      <c r="V323" s="128" t="s">
        <v>806</v>
      </c>
      <c r="W323" s="14" t="s">
        <v>82</v>
      </c>
      <c r="X323" s="7"/>
      <c r="Y323" s="7"/>
      <c r="Z323" s="7"/>
      <c r="AA323" s="7"/>
      <c r="AB323" s="7"/>
      <c r="AC323" s="7"/>
    </row>
    <row r="324" spans="1:29" ht="25.5">
      <c r="A324" s="19"/>
      <c r="B324" s="624" t="s">
        <v>763</v>
      </c>
      <c r="C324" s="124">
        <f>H324+E324</f>
        <v>4572.1099999999997</v>
      </c>
      <c r="D324" s="124"/>
      <c r="E324" s="124">
        <f t="shared" si="59"/>
        <v>299.11</v>
      </c>
      <c r="F324" s="124">
        <f t="shared" si="62"/>
        <v>170.92000000000002</v>
      </c>
      <c r="G324" s="124">
        <f t="shared" si="63"/>
        <v>128.19</v>
      </c>
      <c r="H324" s="124">
        <f t="shared" si="64"/>
        <v>4273</v>
      </c>
      <c r="I324" s="124">
        <f t="shared" si="65"/>
        <v>2743.2659999999996</v>
      </c>
      <c r="J324" s="126"/>
      <c r="K324" s="126"/>
      <c r="L324" s="126"/>
      <c r="M324" s="126"/>
      <c r="N324" s="126"/>
      <c r="O324" s="124">
        <v>40160</v>
      </c>
      <c r="P324" s="124">
        <v>44433</v>
      </c>
      <c r="Q324" s="138"/>
      <c r="R324" s="215"/>
      <c r="S324" s="140">
        <v>1</v>
      </c>
      <c r="T324" s="124">
        <f>(P324-O324)*S324</f>
        <v>4273</v>
      </c>
      <c r="U324" s="127">
        <v>286</v>
      </c>
      <c r="V324" s="128" t="s">
        <v>769</v>
      </c>
      <c r="W324" s="14" t="s">
        <v>82</v>
      </c>
      <c r="X324" s="7"/>
      <c r="Y324" s="7"/>
      <c r="Z324" s="7"/>
      <c r="AA324" s="7"/>
      <c r="AB324" s="7"/>
      <c r="AC324" s="7"/>
    </row>
    <row r="325" spans="1:29" ht="25.5">
      <c r="A325" s="19"/>
      <c r="B325" s="624"/>
      <c r="C325" s="124">
        <f>H325+E325</f>
        <v>603.48</v>
      </c>
      <c r="D325" s="124"/>
      <c r="E325" s="124">
        <f t="shared" si="59"/>
        <v>39.479999999999997</v>
      </c>
      <c r="F325" s="124">
        <f t="shared" si="62"/>
        <v>22.56</v>
      </c>
      <c r="G325" s="124">
        <f t="shared" si="63"/>
        <v>16.919999999999998</v>
      </c>
      <c r="H325" s="124">
        <f t="shared" si="64"/>
        <v>564</v>
      </c>
      <c r="I325" s="124">
        <f t="shared" si="65"/>
        <v>362.08800000000002</v>
      </c>
      <c r="J325" s="126"/>
      <c r="K325" s="126"/>
      <c r="L325" s="126"/>
      <c r="M325" s="126"/>
      <c r="N325" s="126"/>
      <c r="O325" s="124">
        <v>13781</v>
      </c>
      <c r="P325" s="124">
        <v>14345</v>
      </c>
      <c r="Q325" s="138"/>
      <c r="R325" s="215"/>
      <c r="S325" s="140">
        <v>1</v>
      </c>
      <c r="T325" s="124">
        <f>(P325-O325)*S325</f>
        <v>564</v>
      </c>
      <c r="U325" s="127"/>
      <c r="V325" s="128" t="s">
        <v>398</v>
      </c>
      <c r="W325" s="14" t="s">
        <v>82</v>
      </c>
      <c r="X325" s="7"/>
      <c r="Y325" s="7"/>
      <c r="Z325" s="7"/>
      <c r="AA325" s="7"/>
      <c r="AB325" s="7"/>
      <c r="AC325" s="7"/>
    </row>
    <row r="326" spans="1:29" ht="25.5">
      <c r="A326" s="19"/>
      <c r="B326" s="624" t="s">
        <v>763</v>
      </c>
      <c r="C326" s="124">
        <f t="shared" si="61"/>
        <v>707.27</v>
      </c>
      <c r="D326" s="124"/>
      <c r="E326" s="124">
        <f t="shared" si="59"/>
        <v>46.269999999999996</v>
      </c>
      <c r="F326" s="124">
        <f t="shared" si="62"/>
        <v>26.44</v>
      </c>
      <c r="G326" s="124">
        <f t="shared" si="63"/>
        <v>19.829999999999998</v>
      </c>
      <c r="H326" s="124">
        <f t="shared" si="64"/>
        <v>661</v>
      </c>
      <c r="I326" s="124">
        <f t="shared" si="65"/>
        <v>424.36199999999997</v>
      </c>
      <c r="J326" s="126"/>
      <c r="K326" s="126"/>
      <c r="L326" s="126"/>
      <c r="M326" s="126"/>
      <c r="N326" s="126"/>
      <c r="O326" s="124">
        <v>8062</v>
      </c>
      <c r="P326" s="124">
        <v>8723</v>
      </c>
      <c r="Q326" s="138"/>
      <c r="R326" s="215"/>
      <c r="S326" s="140">
        <v>1</v>
      </c>
      <c r="T326" s="124">
        <f>(P326-O326)*S326</f>
        <v>661</v>
      </c>
      <c r="U326" s="127"/>
      <c r="V326" s="128" t="s">
        <v>770</v>
      </c>
      <c r="W326" s="14" t="s">
        <v>82</v>
      </c>
      <c r="X326" s="7"/>
      <c r="Y326" s="7"/>
      <c r="Z326" s="7"/>
      <c r="AA326" s="7"/>
      <c r="AB326" s="7"/>
      <c r="AC326" s="7"/>
    </row>
    <row r="327" spans="1:29" ht="25.5">
      <c r="A327" s="19"/>
      <c r="B327" s="655"/>
      <c r="C327" s="124">
        <v>12000</v>
      </c>
      <c r="D327" s="124"/>
      <c r="E327" s="124"/>
      <c r="F327" s="124"/>
      <c r="G327" s="124"/>
      <c r="H327" s="124"/>
      <c r="I327" s="124"/>
      <c r="J327" s="126"/>
      <c r="K327" s="126"/>
      <c r="L327" s="126"/>
      <c r="M327" s="126"/>
      <c r="N327" s="126"/>
      <c r="O327" s="124"/>
      <c r="P327" s="124"/>
      <c r="Q327" s="138"/>
      <c r="R327" s="215"/>
      <c r="S327" s="140"/>
      <c r="T327" s="124">
        <v>0</v>
      </c>
      <c r="U327" s="127"/>
      <c r="V327" s="128" t="s">
        <v>401</v>
      </c>
      <c r="W327" s="14" t="s">
        <v>82</v>
      </c>
      <c r="X327" s="7"/>
      <c r="Y327" s="7"/>
      <c r="Z327" s="7"/>
      <c r="AA327" s="7"/>
      <c r="AB327" s="7"/>
      <c r="AC327" s="7"/>
    </row>
    <row r="328" spans="1:29" ht="26.25">
      <c r="A328" s="19"/>
      <c r="B328" s="213" t="s">
        <v>402</v>
      </c>
      <c r="C328" s="97">
        <f>SUM(C286:C327)</f>
        <v>100989.75999999998</v>
      </c>
      <c r="D328" s="91"/>
      <c r="E328" s="91"/>
      <c r="F328" s="91"/>
      <c r="G328" s="91"/>
      <c r="H328" s="91"/>
      <c r="I328" s="124">
        <f t="shared" si="65"/>
        <v>60593.855999999985</v>
      </c>
      <c r="J328" s="22"/>
      <c r="K328" s="22"/>
      <c r="L328" s="22"/>
      <c r="M328" s="22"/>
      <c r="N328" s="22"/>
      <c r="O328" s="91"/>
      <c r="P328" s="91"/>
      <c r="Q328" s="149"/>
      <c r="R328" s="161"/>
      <c r="S328" s="151"/>
      <c r="T328" s="91"/>
      <c r="U328" s="95"/>
      <c r="V328" s="569"/>
      <c r="W328" s="14"/>
      <c r="X328" s="7"/>
      <c r="Y328" s="7"/>
      <c r="Z328" s="7"/>
      <c r="AA328" s="7"/>
      <c r="AB328" s="7"/>
      <c r="AC328" s="7"/>
    </row>
    <row r="329" spans="1:29" ht="27.75">
      <c r="A329" s="19"/>
      <c r="B329" s="216" t="s">
        <v>403</v>
      </c>
      <c r="C329" s="97">
        <f>SUM(C166:C327)</f>
        <v>398183.42400000122</v>
      </c>
      <c r="D329" s="91"/>
      <c r="E329" s="113"/>
      <c r="F329" s="91"/>
      <c r="G329" s="91"/>
      <c r="H329" s="91"/>
      <c r="I329" s="115"/>
      <c r="J329" s="22"/>
      <c r="K329" s="22"/>
      <c r="L329" s="22"/>
      <c r="M329" s="22"/>
      <c r="N329" s="22"/>
      <c r="O329" s="91"/>
      <c r="P329" s="91"/>
      <c r="Q329" s="149"/>
      <c r="R329" s="161"/>
      <c r="S329" s="151"/>
      <c r="T329" s="91"/>
      <c r="U329" s="95"/>
      <c r="V329" s="569"/>
      <c r="W329" s="14"/>
      <c r="X329" s="7"/>
      <c r="Y329" s="7"/>
      <c r="Z329" s="7"/>
      <c r="AA329" s="7"/>
      <c r="AB329" s="7"/>
      <c r="AC329" s="7"/>
    </row>
    <row r="330" spans="1:29" ht="26.25">
      <c r="A330" s="19"/>
      <c r="B330" s="217"/>
      <c r="C330" s="115"/>
      <c r="D330" s="115"/>
      <c r="E330" s="112"/>
      <c r="F330" s="115"/>
      <c r="G330" s="115"/>
      <c r="H330" s="115"/>
      <c r="I330" s="115"/>
      <c r="J330" s="164"/>
      <c r="K330" s="164"/>
      <c r="L330" s="164"/>
      <c r="M330" s="164"/>
      <c r="N330" s="164"/>
      <c r="O330" s="210"/>
      <c r="P330" s="210"/>
      <c r="Q330" s="149"/>
      <c r="R330" s="211"/>
      <c r="S330" s="115"/>
      <c r="T330" s="91"/>
      <c r="U330" s="95"/>
      <c r="V330" s="569"/>
      <c r="W330" s="14"/>
      <c r="X330" s="7"/>
      <c r="Y330" s="7"/>
      <c r="Z330" s="7"/>
      <c r="AA330" s="7"/>
      <c r="AB330" s="7"/>
      <c r="AC330" s="7"/>
    </row>
    <row r="331" spans="1:29" ht="26.25">
      <c r="A331" s="19"/>
      <c r="B331" s="193" t="s">
        <v>404</v>
      </c>
      <c r="C331" s="91"/>
      <c r="D331" s="115"/>
      <c r="E331" s="115"/>
      <c r="F331" s="91"/>
      <c r="G331" s="91"/>
      <c r="H331" s="91"/>
      <c r="I331" s="91"/>
      <c r="J331" s="164"/>
      <c r="K331" s="164"/>
      <c r="L331" s="164"/>
      <c r="M331" s="164"/>
      <c r="N331" s="164"/>
      <c r="O331" s="91"/>
      <c r="P331" s="91"/>
      <c r="Q331" s="7"/>
      <c r="R331" s="94"/>
      <c r="S331" s="91"/>
      <c r="T331" s="91"/>
      <c r="U331" s="95"/>
      <c r="V331" s="569"/>
      <c r="W331" s="14"/>
      <c r="X331" s="7"/>
      <c r="Y331" s="7"/>
      <c r="Z331" s="7"/>
      <c r="AA331" s="7"/>
      <c r="AB331" s="7"/>
      <c r="AC331" s="7"/>
    </row>
    <row r="332" spans="1:29" ht="25.5">
      <c r="A332" s="19"/>
      <c r="B332" s="1"/>
      <c r="V332" s="569"/>
      <c r="W332" s="14"/>
      <c r="X332" s="7"/>
      <c r="Y332" s="7"/>
      <c r="Z332" s="7"/>
      <c r="AA332" s="7"/>
      <c r="AB332" s="7"/>
      <c r="AC332" s="7"/>
    </row>
    <row r="333" spans="1:29" ht="25.5">
      <c r="A333" s="19"/>
      <c r="B333" s="148" t="s">
        <v>405</v>
      </c>
      <c r="C333" s="91">
        <f t="shared" ref="C333:C354" si="66">H333+E333</f>
        <v>0</v>
      </c>
      <c r="D333" s="91"/>
      <c r="E333" s="91">
        <f t="shared" ref="E333:E355" si="67">F333+G333</f>
        <v>0</v>
      </c>
      <c r="F333" s="91">
        <f t="shared" ref="F333:F376" si="68">0.04*H333</f>
        <v>0</v>
      </c>
      <c r="G333" s="91">
        <f t="shared" ref="G333:G376" si="69">0.03*H333</f>
        <v>0</v>
      </c>
      <c r="H333" s="91">
        <f t="shared" ref="H333:H367" si="70">T333</f>
        <v>0</v>
      </c>
      <c r="I333" s="91">
        <f t="shared" ref="I333:I342" si="71">0.6*C333</f>
        <v>0</v>
      </c>
      <c r="J333" s="22"/>
      <c r="K333" s="22"/>
      <c r="L333" s="22"/>
      <c r="M333" s="22"/>
      <c r="N333" s="22"/>
      <c r="O333" s="91">
        <v>12350</v>
      </c>
      <c r="P333" s="91">
        <v>12350</v>
      </c>
      <c r="Q333" s="22"/>
      <c r="R333" s="142"/>
      <c r="S333" s="151">
        <v>1</v>
      </c>
      <c r="T333" s="91">
        <f t="shared" ref="T333:T348" si="72">(P333-O333)*S333</f>
        <v>0</v>
      </c>
      <c r="U333" s="95">
        <v>55953</v>
      </c>
      <c r="V333" s="650" t="s">
        <v>406</v>
      </c>
      <c r="W333" s="14" t="s">
        <v>212</v>
      </c>
      <c r="X333" s="7"/>
      <c r="Y333" s="7"/>
      <c r="Z333" s="7"/>
      <c r="AA333" s="7"/>
      <c r="AB333" s="7"/>
      <c r="AC333" s="7"/>
    </row>
    <row r="334" spans="1:29" ht="25.5">
      <c r="A334" s="19"/>
      <c r="B334" s="148" t="s">
        <v>407</v>
      </c>
      <c r="C334" s="91">
        <f t="shared" si="66"/>
        <v>160.5</v>
      </c>
      <c r="D334" s="91"/>
      <c r="E334" s="91">
        <f t="shared" si="67"/>
        <v>10.5</v>
      </c>
      <c r="F334" s="91">
        <f t="shared" si="68"/>
        <v>6</v>
      </c>
      <c r="G334" s="91">
        <f t="shared" si="69"/>
        <v>4.5</v>
      </c>
      <c r="H334" s="91">
        <f t="shared" si="70"/>
        <v>150</v>
      </c>
      <c r="I334" s="91">
        <f t="shared" si="71"/>
        <v>96.3</v>
      </c>
      <c r="J334" s="22"/>
      <c r="K334" s="22"/>
      <c r="L334" s="22"/>
      <c r="M334" s="22"/>
      <c r="N334" s="22"/>
      <c r="O334" s="91">
        <v>17142</v>
      </c>
      <c r="P334" s="91">
        <v>17292</v>
      </c>
      <c r="Q334" s="22"/>
      <c r="R334" s="142"/>
      <c r="S334" s="151">
        <v>1</v>
      </c>
      <c r="T334" s="91">
        <f t="shared" si="72"/>
        <v>150</v>
      </c>
      <c r="U334" s="95">
        <v>1485</v>
      </c>
      <c r="V334" s="650" t="s">
        <v>408</v>
      </c>
      <c r="W334" s="14" t="s">
        <v>212</v>
      </c>
      <c r="X334" s="7"/>
      <c r="Y334" s="7"/>
      <c r="Z334" s="7"/>
      <c r="AA334" s="7"/>
      <c r="AB334" s="7"/>
      <c r="AC334" s="7"/>
    </row>
    <row r="335" spans="1:29" ht="25.5">
      <c r="A335" s="19"/>
      <c r="B335" s="258" t="s">
        <v>826</v>
      </c>
      <c r="C335" s="91">
        <f t="shared" si="66"/>
        <v>10.7</v>
      </c>
      <c r="D335" s="91"/>
      <c r="E335" s="91">
        <f t="shared" si="67"/>
        <v>0.7</v>
      </c>
      <c r="F335" s="91">
        <f t="shared" si="68"/>
        <v>0.4</v>
      </c>
      <c r="G335" s="91">
        <f t="shared" si="69"/>
        <v>0.3</v>
      </c>
      <c r="H335" s="91">
        <f t="shared" si="70"/>
        <v>10</v>
      </c>
      <c r="I335" s="91">
        <f t="shared" si="71"/>
        <v>6.419999999999999</v>
      </c>
      <c r="J335" s="22"/>
      <c r="K335" s="22"/>
      <c r="L335" s="22"/>
      <c r="M335" s="22"/>
      <c r="N335" s="22"/>
      <c r="O335" s="91">
        <v>15632</v>
      </c>
      <c r="P335" s="91">
        <v>15642</v>
      </c>
      <c r="Q335" s="22"/>
      <c r="R335" s="142"/>
      <c r="S335" s="151">
        <v>1</v>
      </c>
      <c r="T335" s="91">
        <f t="shared" si="72"/>
        <v>10</v>
      </c>
      <c r="U335" s="95"/>
      <c r="V335" s="650" t="s">
        <v>818</v>
      </c>
      <c r="W335" s="14" t="s">
        <v>212</v>
      </c>
      <c r="X335" s="7"/>
      <c r="Y335" s="7"/>
      <c r="Z335" s="7"/>
      <c r="AA335" s="7"/>
      <c r="AB335" s="7"/>
      <c r="AC335" s="7"/>
    </row>
    <row r="336" spans="1:29" ht="25.5">
      <c r="A336" s="19"/>
      <c r="B336" s="258" t="s">
        <v>409</v>
      </c>
      <c r="C336" s="91">
        <f t="shared" si="66"/>
        <v>911.64</v>
      </c>
      <c r="D336" s="91"/>
      <c r="E336" s="91">
        <f t="shared" si="67"/>
        <v>59.64</v>
      </c>
      <c r="F336" s="91">
        <f t="shared" si="68"/>
        <v>34.08</v>
      </c>
      <c r="G336" s="91">
        <f t="shared" si="69"/>
        <v>25.56</v>
      </c>
      <c r="H336" s="91">
        <f t="shared" si="70"/>
        <v>852</v>
      </c>
      <c r="I336" s="91">
        <f t="shared" si="71"/>
        <v>546.98399999999992</v>
      </c>
      <c r="J336" s="22"/>
      <c r="K336" s="22"/>
      <c r="L336" s="22"/>
      <c r="M336" s="22"/>
      <c r="N336" s="22"/>
      <c r="O336" s="229">
        <f>68145+5731+35514</f>
        <v>109390</v>
      </c>
      <c r="P336" s="229">
        <f>68689+5741+35812</f>
        <v>110242</v>
      </c>
      <c r="Q336" s="22"/>
      <c r="R336" s="142"/>
      <c r="S336" s="151">
        <v>1</v>
      </c>
      <c r="T336" s="91">
        <f t="shared" si="72"/>
        <v>852</v>
      </c>
      <c r="U336" s="95"/>
      <c r="V336" s="650" t="s">
        <v>410</v>
      </c>
      <c r="W336" s="14" t="s">
        <v>212</v>
      </c>
      <c r="X336" s="7"/>
      <c r="Y336" s="7"/>
      <c r="Z336" s="7"/>
      <c r="AA336" s="7"/>
      <c r="AB336" s="7"/>
      <c r="AC336" s="7"/>
    </row>
    <row r="337" spans="1:29" ht="25.5">
      <c r="A337" s="19"/>
      <c r="B337" s="659" t="s">
        <v>411</v>
      </c>
      <c r="C337" s="91">
        <f t="shared" si="66"/>
        <v>103.78999999999999</v>
      </c>
      <c r="D337" s="91"/>
      <c r="E337" s="91">
        <f t="shared" si="67"/>
        <v>6.7899999999999991</v>
      </c>
      <c r="F337" s="91">
        <f t="shared" si="68"/>
        <v>3.88</v>
      </c>
      <c r="G337" s="91">
        <f t="shared" si="69"/>
        <v>2.9099999999999997</v>
      </c>
      <c r="H337" s="91">
        <f t="shared" si="70"/>
        <v>97</v>
      </c>
      <c r="I337" s="91">
        <f t="shared" si="71"/>
        <v>62.273999999999994</v>
      </c>
      <c r="J337" s="22"/>
      <c r="K337" s="22"/>
      <c r="L337" s="22"/>
      <c r="M337" s="22"/>
      <c r="N337" s="22"/>
      <c r="O337" s="91">
        <v>1380</v>
      </c>
      <c r="P337" s="91">
        <v>1477</v>
      </c>
      <c r="Q337" s="22"/>
      <c r="R337" s="142"/>
      <c r="S337" s="151">
        <v>1</v>
      </c>
      <c r="T337" s="91">
        <f>(P337-O337)*S337</f>
        <v>97</v>
      </c>
      <c r="U337" s="644" t="s">
        <v>781</v>
      </c>
      <c r="V337" s="650" t="s">
        <v>780</v>
      </c>
      <c r="W337" s="14" t="s">
        <v>212</v>
      </c>
      <c r="X337" s="7"/>
      <c r="Y337" s="7"/>
      <c r="Z337" s="7"/>
      <c r="AA337" s="7"/>
      <c r="AB337" s="7"/>
      <c r="AC337" s="7"/>
    </row>
    <row r="338" spans="1:29" ht="25.5">
      <c r="A338" s="19"/>
      <c r="B338" s="660" t="s">
        <v>412</v>
      </c>
      <c r="C338" s="91">
        <f t="shared" si="66"/>
        <v>40.659999999999997</v>
      </c>
      <c r="D338" s="91"/>
      <c r="E338" s="91">
        <f t="shared" si="67"/>
        <v>2.66</v>
      </c>
      <c r="F338" s="91">
        <f t="shared" si="68"/>
        <v>1.52</v>
      </c>
      <c r="G338" s="91">
        <f t="shared" si="69"/>
        <v>1.1399999999999999</v>
      </c>
      <c r="H338" s="91">
        <f t="shared" si="70"/>
        <v>38</v>
      </c>
      <c r="I338" s="91">
        <f t="shared" si="71"/>
        <v>24.395999999999997</v>
      </c>
      <c r="J338" s="22"/>
      <c r="K338" s="22"/>
      <c r="L338" s="22"/>
      <c r="M338" s="22"/>
      <c r="N338" s="22"/>
      <c r="O338" s="91">
        <v>1318</v>
      </c>
      <c r="P338" s="91">
        <v>1356</v>
      </c>
      <c r="Q338" s="22"/>
      <c r="R338" s="142"/>
      <c r="S338" s="151">
        <v>1</v>
      </c>
      <c r="T338" s="91">
        <f>(P338-O338)*S338</f>
        <v>38</v>
      </c>
      <c r="U338" s="644" t="s">
        <v>782</v>
      </c>
      <c r="V338" s="650" t="s">
        <v>413</v>
      </c>
      <c r="W338" s="14" t="s">
        <v>212</v>
      </c>
      <c r="X338" s="7"/>
      <c r="Y338" s="7"/>
      <c r="Z338" s="7"/>
      <c r="AA338" s="7"/>
      <c r="AB338" s="7"/>
      <c r="AC338" s="7"/>
    </row>
    <row r="339" spans="1:29" ht="25.5">
      <c r="A339" s="19"/>
      <c r="B339" s="660" t="s">
        <v>414</v>
      </c>
      <c r="C339" s="91">
        <f t="shared" si="66"/>
        <v>93.09</v>
      </c>
      <c r="D339" s="91"/>
      <c r="E339" s="91">
        <f t="shared" si="67"/>
        <v>6.09</v>
      </c>
      <c r="F339" s="91">
        <f t="shared" si="68"/>
        <v>3.48</v>
      </c>
      <c r="G339" s="91">
        <f t="shared" si="69"/>
        <v>2.61</v>
      </c>
      <c r="H339" s="91">
        <f t="shared" si="70"/>
        <v>87</v>
      </c>
      <c r="I339" s="91">
        <f t="shared" si="71"/>
        <v>55.853999999999999</v>
      </c>
      <c r="J339" s="22"/>
      <c r="K339" s="22"/>
      <c r="L339" s="22"/>
      <c r="M339" s="22"/>
      <c r="N339" s="22"/>
      <c r="O339" s="91">
        <v>4181</v>
      </c>
      <c r="P339" s="91">
        <v>4268</v>
      </c>
      <c r="Q339" s="22"/>
      <c r="R339" s="142"/>
      <c r="S339" s="151">
        <v>1</v>
      </c>
      <c r="T339" s="91">
        <f>(P339-O339)*S339</f>
        <v>87</v>
      </c>
      <c r="U339" s="644" t="s">
        <v>783</v>
      </c>
      <c r="V339" s="650" t="s">
        <v>415</v>
      </c>
      <c r="W339" s="14" t="s">
        <v>212</v>
      </c>
      <c r="X339" s="7"/>
      <c r="Y339" s="7"/>
      <c r="Z339" s="7"/>
      <c r="AA339" s="7"/>
      <c r="AB339" s="7"/>
      <c r="AC339" s="7"/>
    </row>
    <row r="340" spans="1:29" ht="25.5">
      <c r="A340" s="19"/>
      <c r="B340" s="661" t="s">
        <v>828</v>
      </c>
      <c r="C340" s="91">
        <f t="shared" si="66"/>
        <v>90.95</v>
      </c>
      <c r="D340" s="91"/>
      <c r="E340" s="91">
        <f t="shared" si="67"/>
        <v>5.9499999999999993</v>
      </c>
      <c r="F340" s="91">
        <f t="shared" si="68"/>
        <v>3.4</v>
      </c>
      <c r="G340" s="91">
        <f t="shared" si="69"/>
        <v>2.5499999999999998</v>
      </c>
      <c r="H340" s="91">
        <f t="shared" si="70"/>
        <v>85</v>
      </c>
      <c r="I340" s="91">
        <f t="shared" si="71"/>
        <v>54.57</v>
      </c>
      <c r="J340" s="22"/>
      <c r="K340" s="22"/>
      <c r="L340" s="22"/>
      <c r="M340" s="22"/>
      <c r="N340" s="22"/>
      <c r="O340" s="91">
        <v>1057</v>
      </c>
      <c r="P340" s="91">
        <v>1142</v>
      </c>
      <c r="Q340" s="22"/>
      <c r="R340" s="142"/>
      <c r="S340" s="151">
        <v>1</v>
      </c>
      <c r="T340" s="91">
        <f>(P340-O340)*S340</f>
        <v>85</v>
      </c>
      <c r="U340" s="644" t="s">
        <v>784</v>
      </c>
      <c r="V340" s="650" t="s">
        <v>819</v>
      </c>
      <c r="W340" s="14" t="s">
        <v>212</v>
      </c>
      <c r="X340" s="7"/>
      <c r="Y340" s="7"/>
      <c r="Z340" s="7"/>
      <c r="AA340" s="7"/>
      <c r="AB340" s="7"/>
      <c r="AC340" s="7"/>
    </row>
    <row r="341" spans="1:29" ht="27" customHeight="1">
      <c r="A341" s="19"/>
      <c r="B341" s="633" t="s">
        <v>416</v>
      </c>
      <c r="C341" s="229">
        <f t="shared" si="66"/>
        <v>518.95000000000005</v>
      </c>
      <c r="D341" s="229"/>
      <c r="E341" s="229">
        <f t="shared" si="67"/>
        <v>33.950000000000003</v>
      </c>
      <c r="F341" s="229">
        <f t="shared" si="68"/>
        <v>19.400000000000002</v>
      </c>
      <c r="G341" s="229">
        <f t="shared" si="69"/>
        <v>14.549999999999999</v>
      </c>
      <c r="H341" s="229">
        <f t="shared" si="70"/>
        <v>485</v>
      </c>
      <c r="I341" s="229">
        <f t="shared" si="71"/>
        <v>311.37</v>
      </c>
      <c r="J341" s="634"/>
      <c r="K341" s="634"/>
      <c r="L341" s="634"/>
      <c r="M341" s="634"/>
      <c r="N341" s="634" t="s">
        <v>417</v>
      </c>
      <c r="O341" s="229">
        <f>5449+31995+33386</f>
        <v>70830</v>
      </c>
      <c r="P341" s="229">
        <f>5664+33484+32167</f>
        <v>71315</v>
      </c>
      <c r="Q341" s="641"/>
      <c r="R341" s="662"/>
      <c r="S341" s="229">
        <v>1</v>
      </c>
      <c r="T341" s="229">
        <f>(P341-O341)*S341</f>
        <v>485</v>
      </c>
      <c r="U341" s="95">
        <v>9516</v>
      </c>
      <c r="V341" s="650" t="s">
        <v>820</v>
      </c>
      <c r="W341" s="14" t="s">
        <v>212</v>
      </c>
      <c r="X341" s="7"/>
      <c r="Y341" s="7"/>
      <c r="Z341" s="7"/>
      <c r="AA341" s="7"/>
      <c r="AB341" s="7"/>
      <c r="AC341" s="7"/>
    </row>
    <row r="342" spans="1:29" s="195" customFormat="1" ht="26.25" customHeight="1">
      <c r="A342" s="194"/>
      <c r="B342" s="258" t="s">
        <v>827</v>
      </c>
      <c r="C342" s="91">
        <f t="shared" si="66"/>
        <v>135.88999999999999</v>
      </c>
      <c r="D342" s="91"/>
      <c r="E342" s="91">
        <f t="shared" si="67"/>
        <v>8.89</v>
      </c>
      <c r="F342" s="250">
        <f t="shared" si="68"/>
        <v>5.08</v>
      </c>
      <c r="G342" s="91">
        <f t="shared" si="69"/>
        <v>3.81</v>
      </c>
      <c r="H342" s="91">
        <f t="shared" si="70"/>
        <v>127</v>
      </c>
      <c r="I342" s="91">
        <f t="shared" si="71"/>
        <v>81.533999999999992</v>
      </c>
      <c r="J342" s="22"/>
      <c r="K342" s="22"/>
      <c r="L342" s="22"/>
      <c r="M342" s="22"/>
      <c r="N342" s="22"/>
      <c r="O342" s="91">
        <v>53808</v>
      </c>
      <c r="P342" s="91">
        <v>53935</v>
      </c>
      <c r="Q342" s="122"/>
      <c r="R342" s="200"/>
      <c r="S342" s="151">
        <v>1</v>
      </c>
      <c r="T342" s="91">
        <f t="shared" si="72"/>
        <v>127</v>
      </c>
      <c r="U342" s="95"/>
      <c r="V342" s="650" t="s">
        <v>821</v>
      </c>
      <c r="W342" s="191" t="s">
        <v>212</v>
      </c>
      <c r="X342" s="86"/>
      <c r="Y342" s="86"/>
      <c r="Z342" s="86"/>
      <c r="AA342" s="86"/>
      <c r="AB342" s="86"/>
      <c r="AC342" s="86"/>
    </row>
    <row r="343" spans="1:29" ht="25.5">
      <c r="A343" s="19"/>
      <c r="B343" s="148" t="s">
        <v>825</v>
      </c>
      <c r="C343" s="91">
        <f t="shared" si="66"/>
        <v>4659.8500000000004</v>
      </c>
      <c r="D343" s="91"/>
      <c r="E343" s="91">
        <f t="shared" si="67"/>
        <v>304.85000000000002</v>
      </c>
      <c r="F343" s="250">
        <f t="shared" si="68"/>
        <v>174.20000000000002</v>
      </c>
      <c r="G343" s="91">
        <f t="shared" si="69"/>
        <v>130.65</v>
      </c>
      <c r="H343" s="91">
        <f t="shared" si="70"/>
        <v>4355</v>
      </c>
      <c r="I343" s="91">
        <f>0.5*C343</f>
        <v>2329.9250000000002</v>
      </c>
      <c r="J343" s="22"/>
      <c r="K343" s="22"/>
      <c r="L343" s="22"/>
      <c r="M343" s="22"/>
      <c r="N343" s="22"/>
      <c r="O343" s="91">
        <f>104796+1475+342598</f>
        <v>448869</v>
      </c>
      <c r="P343" s="91">
        <f>105821+1489+345914</f>
        <v>453224</v>
      </c>
      <c r="Q343" s="122"/>
      <c r="R343" s="200"/>
      <c r="S343" s="151">
        <v>1</v>
      </c>
      <c r="T343" s="91">
        <f t="shared" si="72"/>
        <v>4355</v>
      </c>
      <c r="U343" s="95" t="s">
        <v>418</v>
      </c>
      <c r="V343" s="666" t="s">
        <v>419</v>
      </c>
      <c r="W343" s="14" t="s">
        <v>212</v>
      </c>
      <c r="X343" s="7"/>
      <c r="Y343" s="7"/>
      <c r="Z343" s="7"/>
      <c r="AA343" s="7"/>
      <c r="AB343" s="7"/>
      <c r="AC343" s="7"/>
    </row>
    <row r="344" spans="1:29" ht="25.5">
      <c r="A344" s="19"/>
      <c r="B344" s="148" t="s">
        <v>829</v>
      </c>
      <c r="C344" s="91">
        <f t="shared" si="66"/>
        <v>226.84</v>
      </c>
      <c r="D344" s="91"/>
      <c r="E344" s="91">
        <f t="shared" si="67"/>
        <v>14.84</v>
      </c>
      <c r="F344" s="250">
        <f t="shared" si="68"/>
        <v>8.48</v>
      </c>
      <c r="G344" s="91">
        <f t="shared" si="69"/>
        <v>6.3599999999999994</v>
      </c>
      <c r="H344" s="91">
        <f t="shared" si="70"/>
        <v>212</v>
      </c>
      <c r="I344" s="91">
        <f>0.5*C344</f>
        <v>113.42</v>
      </c>
      <c r="J344" s="22"/>
      <c r="K344" s="22"/>
      <c r="L344" s="22"/>
      <c r="M344" s="22"/>
      <c r="N344" s="22"/>
      <c r="O344" s="91">
        <v>5465</v>
      </c>
      <c r="P344" s="91">
        <v>5677</v>
      </c>
      <c r="Q344" s="122"/>
      <c r="R344" s="200"/>
      <c r="S344" s="151">
        <v>1</v>
      </c>
      <c r="T344" s="91">
        <f t="shared" si="72"/>
        <v>212</v>
      </c>
      <c r="U344" s="95"/>
      <c r="V344" s="343" t="s">
        <v>822</v>
      </c>
      <c r="W344" s="14" t="s">
        <v>212</v>
      </c>
      <c r="X344" s="7"/>
      <c r="Y344" s="7"/>
      <c r="Z344" s="7"/>
      <c r="AA344" s="7"/>
      <c r="AB344" s="7"/>
      <c r="AC344" s="7"/>
    </row>
    <row r="345" spans="1:29" ht="25.5">
      <c r="A345" s="19"/>
      <c r="B345" s="148" t="s">
        <v>420</v>
      </c>
      <c r="C345" s="91">
        <f t="shared" si="66"/>
        <v>393.76</v>
      </c>
      <c r="D345" s="91"/>
      <c r="E345" s="91">
        <f t="shared" si="67"/>
        <v>25.759999999999998</v>
      </c>
      <c r="F345" s="91">
        <f t="shared" si="68"/>
        <v>14.72</v>
      </c>
      <c r="G345" s="91">
        <f t="shared" si="69"/>
        <v>11.04</v>
      </c>
      <c r="H345" s="91">
        <f t="shared" si="70"/>
        <v>368</v>
      </c>
      <c r="I345" s="91">
        <f>0.6*C345</f>
        <v>236.25599999999997</v>
      </c>
      <c r="J345" s="22"/>
      <c r="K345" s="22"/>
      <c r="L345" s="22"/>
      <c r="M345" s="22"/>
      <c r="N345" s="22" t="s">
        <v>421</v>
      </c>
      <c r="O345" s="91">
        <f>32779+68174</f>
        <v>100953</v>
      </c>
      <c r="P345" s="91">
        <f>32869+68452</f>
        <v>101321</v>
      </c>
      <c r="Q345" s="149"/>
      <c r="R345" s="161"/>
      <c r="S345" s="151">
        <v>1</v>
      </c>
      <c r="T345" s="91">
        <f t="shared" si="72"/>
        <v>368</v>
      </c>
      <c r="U345" s="663" t="s">
        <v>422</v>
      </c>
      <c r="V345" s="343" t="s">
        <v>423</v>
      </c>
      <c r="W345" s="14" t="s">
        <v>212</v>
      </c>
      <c r="X345" s="7"/>
      <c r="Y345" s="7"/>
      <c r="Z345" s="7"/>
      <c r="AA345" s="7"/>
      <c r="AB345" s="7"/>
      <c r="AC345" s="7"/>
    </row>
    <row r="346" spans="1:29" ht="25.5">
      <c r="A346" s="19"/>
      <c r="B346" s="148" t="s">
        <v>424</v>
      </c>
      <c r="C346" s="91">
        <f t="shared" si="66"/>
        <v>34.24</v>
      </c>
      <c r="D346" s="91"/>
      <c r="E346" s="91">
        <f t="shared" si="67"/>
        <v>2.2400000000000002</v>
      </c>
      <c r="F346" s="340">
        <f t="shared" si="68"/>
        <v>1.28</v>
      </c>
      <c r="G346" s="91">
        <f t="shared" si="69"/>
        <v>0.96</v>
      </c>
      <c r="H346" s="91">
        <f t="shared" si="70"/>
        <v>32</v>
      </c>
      <c r="I346" s="91">
        <f>0.6*C346</f>
        <v>20.544</v>
      </c>
      <c r="J346" s="22"/>
      <c r="K346" s="22"/>
      <c r="L346" s="22"/>
      <c r="M346" s="22"/>
      <c r="N346" s="22"/>
      <c r="O346" s="91">
        <v>11380</v>
      </c>
      <c r="P346" s="91">
        <v>11412</v>
      </c>
      <c r="Q346" s="122"/>
      <c r="R346" s="200"/>
      <c r="S346" s="151">
        <v>1</v>
      </c>
      <c r="T346" s="91">
        <f t="shared" si="72"/>
        <v>32</v>
      </c>
      <c r="U346" s="95"/>
      <c r="V346" s="650" t="s">
        <v>425</v>
      </c>
      <c r="W346" s="14" t="s">
        <v>212</v>
      </c>
      <c r="X346" s="7"/>
      <c r="Y346" s="7"/>
      <c r="Z346" s="7"/>
      <c r="AA346" s="7"/>
      <c r="AB346" s="7"/>
      <c r="AC346" s="7"/>
    </row>
    <row r="347" spans="1:29" ht="25.5">
      <c r="A347" s="19"/>
      <c r="B347" s="664" t="s">
        <v>426</v>
      </c>
      <c r="C347" s="315">
        <f t="shared" si="66"/>
        <v>51.36</v>
      </c>
      <c r="D347" s="315"/>
      <c r="E347" s="315">
        <f t="shared" si="67"/>
        <v>3.36</v>
      </c>
      <c r="F347" s="315">
        <f t="shared" si="68"/>
        <v>1.92</v>
      </c>
      <c r="G347" s="315">
        <f t="shared" si="69"/>
        <v>1.44</v>
      </c>
      <c r="H347" s="315">
        <f t="shared" si="70"/>
        <v>48</v>
      </c>
      <c r="I347" s="315">
        <f>0.4*C347</f>
        <v>20.544</v>
      </c>
      <c r="J347" s="316"/>
      <c r="K347" s="316"/>
      <c r="L347" s="316"/>
      <c r="M347" s="316"/>
      <c r="N347" s="316"/>
      <c r="O347" s="315">
        <v>2616</v>
      </c>
      <c r="P347" s="315">
        <v>2664</v>
      </c>
      <c r="Q347" s="344"/>
      <c r="R347" s="579"/>
      <c r="S347" s="593">
        <v>1</v>
      </c>
      <c r="T347" s="315">
        <f t="shared" si="72"/>
        <v>48</v>
      </c>
      <c r="U347" s="319"/>
      <c r="V347" s="665" t="s">
        <v>427</v>
      </c>
      <c r="W347" s="14" t="s">
        <v>212</v>
      </c>
      <c r="X347" s="7"/>
      <c r="Y347" s="7"/>
      <c r="Z347" s="7"/>
      <c r="AA347" s="7"/>
      <c r="AB347" s="7"/>
      <c r="AC347" s="7"/>
    </row>
    <row r="348" spans="1:29" ht="24" customHeight="1">
      <c r="A348" s="19"/>
      <c r="B348" s="148" t="s">
        <v>428</v>
      </c>
      <c r="C348" s="91">
        <f t="shared" si="66"/>
        <v>0</v>
      </c>
      <c r="D348" s="91"/>
      <c r="E348" s="91">
        <f t="shared" si="67"/>
        <v>0</v>
      </c>
      <c r="F348" s="91">
        <f t="shared" si="68"/>
        <v>0</v>
      </c>
      <c r="G348" s="91">
        <f t="shared" si="69"/>
        <v>0</v>
      </c>
      <c r="H348" s="91">
        <f t="shared" si="70"/>
        <v>0</v>
      </c>
      <c r="I348" s="91">
        <f>0.6*C348</f>
        <v>0</v>
      </c>
      <c r="J348" s="22"/>
      <c r="K348" s="22"/>
      <c r="L348" s="22"/>
      <c r="M348" s="22"/>
      <c r="N348" s="22"/>
      <c r="O348" s="91">
        <v>3295</v>
      </c>
      <c r="P348" s="91">
        <v>3295</v>
      </c>
      <c r="Q348" s="22"/>
      <c r="R348" s="142"/>
      <c r="S348" s="91">
        <v>1</v>
      </c>
      <c r="T348" s="91">
        <f t="shared" si="72"/>
        <v>0</v>
      </c>
      <c r="U348" s="95"/>
      <c r="V348" s="343" t="s">
        <v>429</v>
      </c>
      <c r="W348" s="14" t="s">
        <v>212</v>
      </c>
      <c r="X348" s="7"/>
      <c r="Y348" s="7"/>
      <c r="Z348" s="7"/>
      <c r="AA348" s="7"/>
      <c r="AB348" s="7"/>
      <c r="AC348" s="7"/>
    </row>
    <row r="349" spans="1:29" s="195" customFormat="1" ht="25.5">
      <c r="A349" s="194"/>
      <c r="B349" s="148" t="s">
        <v>430</v>
      </c>
      <c r="C349" s="91">
        <f>H349+E349</f>
        <v>29.96</v>
      </c>
      <c r="D349" s="91"/>
      <c r="E349" s="91">
        <f t="shared" si="67"/>
        <v>1.96</v>
      </c>
      <c r="F349" s="91">
        <f t="shared" si="68"/>
        <v>1.1200000000000001</v>
      </c>
      <c r="G349" s="91">
        <f t="shared" si="69"/>
        <v>0.84</v>
      </c>
      <c r="H349" s="91">
        <f>T349</f>
        <v>28</v>
      </c>
      <c r="I349" s="91">
        <f>0.6*C349</f>
        <v>17.975999999999999</v>
      </c>
      <c r="J349" s="22"/>
      <c r="K349" s="22"/>
      <c r="L349" s="22"/>
      <c r="M349" s="22"/>
      <c r="N349" s="22"/>
      <c r="O349" s="91">
        <v>6902</v>
      </c>
      <c r="P349" s="91">
        <v>6978</v>
      </c>
      <c r="Q349" s="22"/>
      <c r="R349" s="142"/>
      <c r="S349" s="91">
        <v>1</v>
      </c>
      <c r="T349" s="91">
        <f>(P349-O349)*S349-T347</f>
        <v>28</v>
      </c>
      <c r="U349" s="95">
        <v>6099</v>
      </c>
      <c r="V349" s="650" t="s">
        <v>431</v>
      </c>
      <c r="W349" s="191" t="s">
        <v>212</v>
      </c>
      <c r="X349" s="86"/>
      <c r="Y349" s="86"/>
      <c r="Z349" s="86"/>
      <c r="AA349" s="86"/>
      <c r="AB349" s="86"/>
      <c r="AC349" s="86"/>
    </row>
    <row r="350" spans="1:29" s="195" customFormat="1" ht="25.5">
      <c r="A350" s="194"/>
      <c r="B350" s="148" t="s">
        <v>432</v>
      </c>
      <c r="C350" s="91">
        <f>H350+E350</f>
        <v>0</v>
      </c>
      <c r="D350" s="91"/>
      <c r="E350" s="91">
        <f t="shared" si="67"/>
        <v>0</v>
      </c>
      <c r="F350" s="91">
        <f t="shared" si="68"/>
        <v>0</v>
      </c>
      <c r="G350" s="91">
        <f t="shared" si="69"/>
        <v>0</v>
      </c>
      <c r="H350" s="91">
        <f t="shared" si="70"/>
        <v>0</v>
      </c>
      <c r="I350" s="91">
        <f>0.6*C350</f>
        <v>0</v>
      </c>
      <c r="J350" s="22"/>
      <c r="K350" s="22"/>
      <c r="L350" s="22"/>
      <c r="M350" s="22"/>
      <c r="N350" s="22"/>
      <c r="O350" s="91">
        <v>1050</v>
      </c>
      <c r="P350" s="91">
        <v>1050</v>
      </c>
      <c r="Q350" s="22" t="s">
        <v>37</v>
      </c>
      <c r="R350" s="142"/>
      <c r="S350" s="151">
        <v>1</v>
      </c>
      <c r="T350" s="91">
        <f t="shared" ref="T350:T361" si="73">(P350-O350)*S350</f>
        <v>0</v>
      </c>
      <c r="U350" s="95">
        <v>451396</v>
      </c>
      <c r="V350" s="650" t="s">
        <v>885</v>
      </c>
      <c r="W350" s="191" t="s">
        <v>212</v>
      </c>
      <c r="X350" s="86"/>
      <c r="Y350" s="86"/>
      <c r="Z350" s="86"/>
      <c r="AA350" s="86"/>
      <c r="AB350" s="86"/>
      <c r="AC350" s="86"/>
    </row>
    <row r="351" spans="1:29" ht="25.5">
      <c r="A351" s="19"/>
      <c r="B351" s="148" t="s">
        <v>830</v>
      </c>
      <c r="C351" s="91">
        <f t="shared" si="66"/>
        <v>11.77</v>
      </c>
      <c r="D351" s="91"/>
      <c r="E351" s="91">
        <f t="shared" si="67"/>
        <v>0.77</v>
      </c>
      <c r="F351" s="91">
        <f t="shared" si="68"/>
        <v>0.44</v>
      </c>
      <c r="G351" s="91">
        <f t="shared" si="69"/>
        <v>0.32999999999999996</v>
      </c>
      <c r="H351" s="91">
        <f t="shared" si="70"/>
        <v>11</v>
      </c>
      <c r="I351" s="91">
        <f>0.6*C351</f>
        <v>7.0619999999999994</v>
      </c>
      <c r="J351" s="22"/>
      <c r="K351" s="22"/>
      <c r="L351" s="22"/>
      <c r="M351" s="22"/>
      <c r="N351" s="22"/>
      <c r="O351" s="91">
        <v>6920</v>
      </c>
      <c r="P351" s="91">
        <v>6931</v>
      </c>
      <c r="Q351" s="22" t="s">
        <v>37</v>
      </c>
      <c r="R351" s="142"/>
      <c r="S351" s="151">
        <v>1</v>
      </c>
      <c r="T351" s="91">
        <f t="shared" si="73"/>
        <v>11</v>
      </c>
      <c r="U351" s="95">
        <v>451396</v>
      </c>
      <c r="V351" s="667" t="s">
        <v>434</v>
      </c>
      <c r="W351" s="14" t="s">
        <v>212</v>
      </c>
      <c r="X351" s="7"/>
      <c r="Y351" s="7"/>
      <c r="Z351" s="7"/>
      <c r="AA351" s="7"/>
      <c r="AB351" s="7"/>
      <c r="AC351" s="7"/>
    </row>
    <row r="352" spans="1:29" ht="25.5">
      <c r="A352" s="19"/>
      <c r="B352" s="660" t="s">
        <v>689</v>
      </c>
      <c r="C352" s="91">
        <f>H352+E352</f>
        <v>16.05</v>
      </c>
      <c r="D352" s="91"/>
      <c r="E352" s="91">
        <f>F352+G352</f>
        <v>1.0499999999999998</v>
      </c>
      <c r="F352" s="91">
        <f>0.04*H352</f>
        <v>0.6</v>
      </c>
      <c r="G352" s="91">
        <f>0.03*H352</f>
        <v>0.44999999999999996</v>
      </c>
      <c r="H352" s="91">
        <f>T352</f>
        <v>15</v>
      </c>
      <c r="I352" s="91">
        <f>0.6*C352</f>
        <v>9.6300000000000008</v>
      </c>
      <c r="J352" s="22"/>
      <c r="K352" s="22"/>
      <c r="L352" s="22"/>
      <c r="M352" s="22"/>
      <c r="N352" s="22"/>
      <c r="O352" s="91">
        <v>10323</v>
      </c>
      <c r="P352" s="91">
        <v>10338</v>
      </c>
      <c r="Q352" s="22"/>
      <c r="R352" s="142"/>
      <c r="S352" s="151">
        <v>1</v>
      </c>
      <c r="T352" s="91">
        <f>(P352-O352)*S352</f>
        <v>15</v>
      </c>
      <c r="U352" s="95"/>
      <c r="V352" s="650" t="s">
        <v>435</v>
      </c>
      <c r="W352" s="14" t="s">
        <v>212</v>
      </c>
      <c r="X352" s="7"/>
      <c r="Y352" s="7"/>
      <c r="Z352" s="7"/>
      <c r="AA352" s="7"/>
      <c r="AB352" s="7"/>
      <c r="AC352" s="7"/>
    </row>
    <row r="353" spans="1:29" ht="25.5">
      <c r="A353" s="19"/>
      <c r="B353" s="148" t="s">
        <v>436</v>
      </c>
      <c r="C353" s="91">
        <f t="shared" si="66"/>
        <v>0</v>
      </c>
      <c r="D353" s="91"/>
      <c r="E353" s="91">
        <f t="shared" si="67"/>
        <v>0</v>
      </c>
      <c r="F353" s="91">
        <f t="shared" si="68"/>
        <v>0</v>
      </c>
      <c r="G353" s="91">
        <f t="shared" si="69"/>
        <v>0</v>
      </c>
      <c r="H353" s="91">
        <f t="shared" si="70"/>
        <v>0</v>
      </c>
      <c r="I353" s="91">
        <f>0.4*C353</f>
        <v>0</v>
      </c>
      <c r="J353" s="22"/>
      <c r="K353" s="22"/>
      <c r="L353" s="22"/>
      <c r="M353" s="22"/>
      <c r="N353" s="22"/>
      <c r="O353" s="91">
        <v>10404</v>
      </c>
      <c r="P353" s="91">
        <v>10404</v>
      </c>
      <c r="Q353" s="122"/>
      <c r="R353" s="173"/>
      <c r="S353" s="151">
        <v>1</v>
      </c>
      <c r="T353" s="91">
        <f t="shared" si="73"/>
        <v>0</v>
      </c>
      <c r="U353" s="95">
        <v>382548</v>
      </c>
      <c r="V353" s="650" t="s">
        <v>437</v>
      </c>
      <c r="W353" s="14" t="s">
        <v>212</v>
      </c>
      <c r="X353" s="7"/>
      <c r="Y353" s="7"/>
      <c r="Z353" s="7"/>
      <c r="AA353" s="7"/>
      <c r="AB353" s="7"/>
      <c r="AC353" s="7"/>
    </row>
    <row r="354" spans="1:29" s="195" customFormat="1" ht="25.5">
      <c r="A354" s="194"/>
      <c r="B354" s="148" t="s">
        <v>438</v>
      </c>
      <c r="C354" s="91">
        <f t="shared" si="66"/>
        <v>71.69</v>
      </c>
      <c r="D354" s="91"/>
      <c r="E354" s="91">
        <f t="shared" si="67"/>
        <v>4.6899999999999995</v>
      </c>
      <c r="F354" s="91">
        <f t="shared" si="68"/>
        <v>2.68</v>
      </c>
      <c r="G354" s="91">
        <f t="shared" si="69"/>
        <v>2.0099999999999998</v>
      </c>
      <c r="H354" s="91">
        <f t="shared" si="70"/>
        <v>67</v>
      </c>
      <c r="I354" s="91">
        <f>0.4*C354</f>
        <v>28.676000000000002</v>
      </c>
      <c r="J354" s="22"/>
      <c r="K354" s="22"/>
      <c r="L354" s="22"/>
      <c r="M354" s="22"/>
      <c r="N354" s="22"/>
      <c r="O354" s="91">
        <v>1697</v>
      </c>
      <c r="P354" s="91">
        <v>1764</v>
      </c>
      <c r="Q354" s="122"/>
      <c r="R354" s="173"/>
      <c r="S354" s="151">
        <v>1</v>
      </c>
      <c r="T354" s="91">
        <f t="shared" si="73"/>
        <v>67</v>
      </c>
      <c r="U354" s="95"/>
      <c r="V354" s="650" t="s">
        <v>439</v>
      </c>
      <c r="W354" s="191" t="s">
        <v>212</v>
      </c>
      <c r="X354" s="86"/>
      <c r="Y354" s="86"/>
      <c r="Z354" s="86"/>
      <c r="AA354" s="86"/>
      <c r="AB354" s="86"/>
      <c r="AC354" s="86"/>
    </row>
    <row r="355" spans="1:29" ht="25.5">
      <c r="A355" s="19"/>
      <c r="B355" s="148" t="s">
        <v>440</v>
      </c>
      <c r="C355" s="91">
        <f>E355+H355</f>
        <v>142.31</v>
      </c>
      <c r="D355" s="91"/>
      <c r="E355" s="91">
        <f t="shared" si="67"/>
        <v>9.31</v>
      </c>
      <c r="F355" s="91">
        <f t="shared" si="68"/>
        <v>5.32</v>
      </c>
      <c r="G355" s="91">
        <f t="shared" si="69"/>
        <v>3.9899999999999998</v>
      </c>
      <c r="H355" s="91">
        <f t="shared" si="70"/>
        <v>133</v>
      </c>
      <c r="I355" s="91">
        <f>H355*0.5</f>
        <v>66.5</v>
      </c>
      <c r="J355" s="244"/>
      <c r="K355" s="244"/>
      <c r="L355" s="244"/>
      <c r="M355" s="244"/>
      <c r="N355" s="244"/>
      <c r="O355" s="91">
        <v>3734</v>
      </c>
      <c r="P355" s="91">
        <v>3867</v>
      </c>
      <c r="Q355" s="244"/>
      <c r="R355" s="92"/>
      <c r="S355" s="151">
        <v>1</v>
      </c>
      <c r="T355" s="91">
        <f t="shared" si="73"/>
        <v>133</v>
      </c>
      <c r="U355" s="95" t="s">
        <v>441</v>
      </c>
      <c r="V355" s="650" t="s">
        <v>823</v>
      </c>
      <c r="W355" s="14" t="s">
        <v>212</v>
      </c>
      <c r="X355" s="7"/>
      <c r="Y355" s="7"/>
      <c r="Z355" s="7"/>
      <c r="AA355" s="7"/>
      <c r="AB355" s="7"/>
      <c r="AC355" s="7"/>
    </row>
    <row r="356" spans="1:29" ht="69.75">
      <c r="A356" s="19"/>
      <c r="B356" s="587" t="s">
        <v>442</v>
      </c>
      <c r="C356" s="229">
        <f>H356+E356</f>
        <v>288.89999999999998</v>
      </c>
      <c r="D356" s="229"/>
      <c r="E356" s="229">
        <f>G356+F356</f>
        <v>18.899999999999999</v>
      </c>
      <c r="F356" s="229">
        <f t="shared" si="68"/>
        <v>10.8</v>
      </c>
      <c r="G356" s="229">
        <f t="shared" si="69"/>
        <v>8.1</v>
      </c>
      <c r="H356" s="229">
        <f t="shared" si="70"/>
        <v>270</v>
      </c>
      <c r="I356" s="229">
        <f>0.6*C356</f>
        <v>173.33999999999997</v>
      </c>
      <c r="J356" s="634"/>
      <c r="K356" s="634"/>
      <c r="L356" s="634"/>
      <c r="M356" s="634"/>
      <c r="N356" s="634"/>
      <c r="O356" s="229">
        <v>35044</v>
      </c>
      <c r="P356" s="229">
        <v>35314</v>
      </c>
      <c r="Q356" s="635"/>
      <c r="R356" s="636"/>
      <c r="S356" s="637">
        <v>1</v>
      </c>
      <c r="T356" s="229">
        <f t="shared" si="73"/>
        <v>270</v>
      </c>
      <c r="U356" s="95">
        <v>492280</v>
      </c>
      <c r="V356" s="650" t="s">
        <v>443</v>
      </c>
      <c r="W356" s="14" t="s">
        <v>212</v>
      </c>
      <c r="X356" s="7"/>
      <c r="Y356" s="7"/>
      <c r="Z356" s="7"/>
      <c r="AA356" s="7"/>
      <c r="AB356" s="7"/>
      <c r="AC356" s="7"/>
    </row>
    <row r="357" spans="1:29" ht="25.5">
      <c r="A357" s="19"/>
      <c r="B357" s="148" t="s">
        <v>444</v>
      </c>
      <c r="C357" s="91">
        <f>H357+E357</f>
        <v>221.49</v>
      </c>
      <c r="D357" s="91"/>
      <c r="E357" s="91">
        <f>G357+F357</f>
        <v>14.489999999999998</v>
      </c>
      <c r="F357" s="91">
        <f t="shared" si="68"/>
        <v>8.2799999999999994</v>
      </c>
      <c r="G357" s="91">
        <f t="shared" si="69"/>
        <v>6.21</v>
      </c>
      <c r="H357" s="91">
        <f t="shared" si="70"/>
        <v>207</v>
      </c>
      <c r="I357" s="91">
        <f>0.6*C357</f>
        <v>132.89400000000001</v>
      </c>
      <c r="J357" s="22"/>
      <c r="K357" s="22"/>
      <c r="L357" s="22"/>
      <c r="M357" s="22"/>
      <c r="N357" s="22"/>
      <c r="O357" s="91">
        <v>61519</v>
      </c>
      <c r="P357" s="91">
        <v>61726</v>
      </c>
      <c r="Q357" s="149"/>
      <c r="R357" s="161"/>
      <c r="S357" s="151">
        <v>1</v>
      </c>
      <c r="T357" s="91">
        <f t="shared" si="73"/>
        <v>207</v>
      </c>
      <c r="U357" s="95">
        <v>38602</v>
      </c>
      <c r="V357" s="650" t="s">
        <v>445</v>
      </c>
      <c r="W357" s="14" t="s">
        <v>212</v>
      </c>
      <c r="X357" s="7"/>
      <c r="Y357" s="7"/>
      <c r="Z357" s="7"/>
      <c r="AA357" s="7"/>
      <c r="AB357" s="7"/>
      <c r="AC357" s="7"/>
    </row>
    <row r="358" spans="1:29" ht="25.5">
      <c r="A358" s="19"/>
      <c r="B358" s="148" t="s">
        <v>446</v>
      </c>
      <c r="C358" s="91">
        <f>H358+E358</f>
        <v>270.70999999999998</v>
      </c>
      <c r="D358" s="91"/>
      <c r="E358" s="91">
        <f t="shared" ref="E358:E369" si="74">F358+G358</f>
        <v>17.71</v>
      </c>
      <c r="F358" s="91">
        <f t="shared" si="68"/>
        <v>10.120000000000001</v>
      </c>
      <c r="G358" s="91">
        <f t="shared" si="69"/>
        <v>7.59</v>
      </c>
      <c r="H358" s="91">
        <f t="shared" si="70"/>
        <v>253</v>
      </c>
      <c r="I358" s="91">
        <f>0.6*C358</f>
        <v>162.42599999999999</v>
      </c>
      <c r="J358" s="22"/>
      <c r="K358" s="22"/>
      <c r="L358" s="22"/>
      <c r="M358" s="22"/>
      <c r="N358" s="22"/>
      <c r="O358" s="91">
        <v>26372</v>
      </c>
      <c r="P358" s="91">
        <v>26625</v>
      </c>
      <c r="Q358" s="122"/>
      <c r="R358" s="173"/>
      <c r="S358" s="91">
        <v>1</v>
      </c>
      <c r="T358" s="91">
        <f t="shared" si="73"/>
        <v>253</v>
      </c>
      <c r="U358" s="95">
        <v>5978</v>
      </c>
      <c r="V358" s="650" t="s">
        <v>447</v>
      </c>
      <c r="W358" s="14" t="s">
        <v>212</v>
      </c>
      <c r="X358" s="7"/>
      <c r="Y358" s="7"/>
      <c r="Z358" s="7"/>
      <c r="AA358" s="7"/>
      <c r="AB358" s="7"/>
      <c r="AC358" s="7"/>
    </row>
    <row r="359" spans="1:29" ht="25.5">
      <c r="A359" s="19"/>
      <c r="B359" s="148" t="s">
        <v>691</v>
      </c>
      <c r="C359" s="91">
        <f>E359+H359</f>
        <v>544.63</v>
      </c>
      <c r="D359" s="91"/>
      <c r="E359" s="91">
        <f t="shared" si="74"/>
        <v>35.629999999999995</v>
      </c>
      <c r="F359" s="91">
        <f t="shared" si="68"/>
        <v>20.36</v>
      </c>
      <c r="G359" s="91">
        <f t="shared" si="69"/>
        <v>15.27</v>
      </c>
      <c r="H359" s="91">
        <f t="shared" si="70"/>
        <v>509</v>
      </c>
      <c r="I359" s="91">
        <f>H359*0.5</f>
        <v>254.5</v>
      </c>
      <c r="J359" s="244"/>
      <c r="K359" s="244"/>
      <c r="L359" s="244"/>
      <c r="M359" s="244"/>
      <c r="N359" s="244"/>
      <c r="O359" s="91">
        <v>72430</v>
      </c>
      <c r="P359" s="91">
        <v>72939</v>
      </c>
      <c r="Q359" s="244"/>
      <c r="R359" s="92"/>
      <c r="S359" s="151">
        <v>1</v>
      </c>
      <c r="T359" s="91">
        <f t="shared" si="73"/>
        <v>509</v>
      </c>
      <c r="U359" s="95" t="s">
        <v>441</v>
      </c>
      <c r="V359" s="650" t="s">
        <v>448</v>
      </c>
      <c r="W359" s="14" t="s">
        <v>212</v>
      </c>
      <c r="X359" s="7"/>
      <c r="Y359" s="7"/>
      <c r="Z359" s="7"/>
      <c r="AA359" s="7"/>
      <c r="AB359" s="7"/>
      <c r="AC359" s="7"/>
    </row>
    <row r="360" spans="1:29" ht="25.5">
      <c r="A360" s="19"/>
      <c r="B360" s="638" t="s">
        <v>449</v>
      </c>
      <c r="C360" s="91">
        <f t="shared" ref="C360:C366" si="75">H360+E360</f>
        <v>355.24</v>
      </c>
      <c r="D360" s="91"/>
      <c r="E360" s="91">
        <f t="shared" si="74"/>
        <v>23.240000000000002</v>
      </c>
      <c r="F360" s="91">
        <f t="shared" si="68"/>
        <v>13.280000000000001</v>
      </c>
      <c r="G360" s="91">
        <f t="shared" si="69"/>
        <v>9.9599999999999991</v>
      </c>
      <c r="H360" s="91">
        <f t="shared" si="70"/>
        <v>332</v>
      </c>
      <c r="I360" s="91">
        <f t="shared" ref="I360:I367" si="76">0.6*C360</f>
        <v>213.14400000000001</v>
      </c>
      <c r="J360" s="22"/>
      <c r="K360" s="22"/>
      <c r="L360" s="22"/>
      <c r="M360" s="22"/>
      <c r="N360" s="22"/>
      <c r="O360" s="91">
        <v>22392</v>
      </c>
      <c r="P360" s="91">
        <v>22724</v>
      </c>
      <c r="Q360" s="122"/>
      <c r="R360" s="173"/>
      <c r="S360" s="151">
        <v>1</v>
      </c>
      <c r="T360" s="91">
        <f t="shared" si="73"/>
        <v>332</v>
      </c>
      <c r="U360" s="95"/>
      <c r="V360" s="650" t="s">
        <v>450</v>
      </c>
      <c r="W360" s="14" t="s">
        <v>212</v>
      </c>
      <c r="X360" s="7"/>
      <c r="Y360" s="7"/>
      <c r="Z360" s="7"/>
      <c r="AA360" s="7"/>
      <c r="AB360" s="7"/>
      <c r="AC360" s="7"/>
    </row>
    <row r="361" spans="1:29" ht="25.5">
      <c r="A361" s="19"/>
      <c r="B361" s="638" t="s">
        <v>449</v>
      </c>
      <c r="C361" s="91">
        <f t="shared" si="75"/>
        <v>348.82</v>
      </c>
      <c r="D361" s="91"/>
      <c r="E361" s="91">
        <f t="shared" si="74"/>
        <v>22.82</v>
      </c>
      <c r="F361" s="91">
        <f t="shared" si="68"/>
        <v>13.040000000000001</v>
      </c>
      <c r="G361" s="91">
        <f t="shared" si="69"/>
        <v>9.7799999999999994</v>
      </c>
      <c r="H361" s="91">
        <f t="shared" si="70"/>
        <v>326</v>
      </c>
      <c r="I361" s="91">
        <f t="shared" si="76"/>
        <v>209.292</v>
      </c>
      <c r="J361" s="22"/>
      <c r="K361" s="22"/>
      <c r="L361" s="22"/>
      <c r="M361" s="22"/>
      <c r="N361" s="22"/>
      <c r="O361" s="91">
        <v>8731</v>
      </c>
      <c r="P361" s="91">
        <v>9057</v>
      </c>
      <c r="Q361" s="122"/>
      <c r="R361" s="173"/>
      <c r="S361" s="151">
        <v>1</v>
      </c>
      <c r="T361" s="91">
        <f t="shared" si="73"/>
        <v>326</v>
      </c>
      <c r="U361" s="95"/>
      <c r="V361" s="650" t="s">
        <v>690</v>
      </c>
      <c r="W361" s="14"/>
      <c r="X361" s="7"/>
      <c r="Y361" s="7"/>
      <c r="Z361" s="7"/>
      <c r="AA361" s="7"/>
      <c r="AB361" s="7"/>
      <c r="AC361" s="7"/>
    </row>
    <row r="362" spans="1:29" ht="30" customHeight="1">
      <c r="A362" s="19"/>
      <c r="B362" s="639" t="s">
        <v>451</v>
      </c>
      <c r="C362" s="91">
        <f>H362+E362</f>
        <v>2022.3</v>
      </c>
      <c r="D362" s="91"/>
      <c r="E362" s="91">
        <f t="shared" si="74"/>
        <v>132.30000000000001</v>
      </c>
      <c r="F362" s="91">
        <f t="shared" si="68"/>
        <v>75.600000000000009</v>
      </c>
      <c r="G362" s="91">
        <f t="shared" si="69"/>
        <v>56.699999999999996</v>
      </c>
      <c r="H362" s="91">
        <f t="shared" si="70"/>
        <v>1890</v>
      </c>
      <c r="I362" s="91">
        <f>0.6*C362</f>
        <v>1213.3799999999999</v>
      </c>
      <c r="J362" s="22"/>
      <c r="K362" s="22"/>
      <c r="L362" s="22"/>
      <c r="M362" s="22"/>
      <c r="N362" s="22"/>
      <c r="O362" s="91">
        <f>5480+47750+18600</f>
        <v>71830</v>
      </c>
      <c r="P362" s="91">
        <f>5920+48200+19600</f>
        <v>73720</v>
      </c>
      <c r="Q362" s="122"/>
      <c r="R362" s="173"/>
      <c r="S362" s="91">
        <v>1</v>
      </c>
      <c r="T362" s="91">
        <f>(P362-O362)*S362</f>
        <v>1890</v>
      </c>
      <c r="U362" s="95" t="s">
        <v>452</v>
      </c>
      <c r="V362" s="650" t="s">
        <v>886</v>
      </c>
      <c r="W362" s="14" t="s">
        <v>212</v>
      </c>
      <c r="X362" s="7"/>
      <c r="Y362" s="7"/>
      <c r="Z362" s="7"/>
      <c r="AA362" s="7"/>
      <c r="AB362" s="7"/>
      <c r="AC362" s="7"/>
    </row>
    <row r="363" spans="1:29" ht="29.25" customHeight="1">
      <c r="A363" s="19"/>
      <c r="B363" s="148"/>
      <c r="C363" s="91">
        <f t="shared" si="75"/>
        <v>0</v>
      </c>
      <c r="D363" s="91"/>
      <c r="E363" s="91">
        <f t="shared" si="74"/>
        <v>0</v>
      </c>
      <c r="F363" s="91">
        <f t="shared" si="68"/>
        <v>0</v>
      </c>
      <c r="G363" s="91">
        <f t="shared" si="69"/>
        <v>0</v>
      </c>
      <c r="H363" s="91">
        <f t="shared" si="70"/>
        <v>0</v>
      </c>
      <c r="I363" s="91">
        <f>0.6*C363</f>
        <v>0</v>
      </c>
      <c r="J363" s="22"/>
      <c r="K363" s="22"/>
      <c r="L363" s="22"/>
      <c r="M363" s="22"/>
      <c r="N363" s="22"/>
      <c r="O363" s="91">
        <v>18584</v>
      </c>
      <c r="P363" s="91">
        <v>18584</v>
      </c>
      <c r="Q363" s="149"/>
      <c r="R363" s="161"/>
      <c r="S363" s="151">
        <v>1</v>
      </c>
      <c r="T363" s="91">
        <f>(P363-O363)*S363</f>
        <v>0</v>
      </c>
      <c r="U363" s="91">
        <f>560+40550+11760+8365</f>
        <v>61235</v>
      </c>
      <c r="V363" s="650" t="s">
        <v>454</v>
      </c>
      <c r="W363" s="14" t="s">
        <v>212</v>
      </c>
      <c r="X363" s="7"/>
      <c r="Y363" s="7"/>
      <c r="Z363" s="7"/>
      <c r="AA363" s="7"/>
      <c r="AB363" s="7"/>
      <c r="AC363" s="7"/>
    </row>
    <row r="364" spans="1:29" ht="24" customHeight="1">
      <c r="A364" s="19"/>
      <c r="B364" s="148"/>
      <c r="C364" s="91">
        <f t="shared" si="75"/>
        <v>0</v>
      </c>
      <c r="D364" s="91"/>
      <c r="E364" s="91">
        <f t="shared" si="74"/>
        <v>0</v>
      </c>
      <c r="F364" s="91">
        <f t="shared" si="68"/>
        <v>0</v>
      </c>
      <c r="G364" s="91">
        <f t="shared" si="69"/>
        <v>0</v>
      </c>
      <c r="H364" s="91">
        <f t="shared" si="70"/>
        <v>0</v>
      </c>
      <c r="I364" s="91">
        <f t="shared" si="76"/>
        <v>0</v>
      </c>
      <c r="J364" s="22"/>
      <c r="K364" s="22"/>
      <c r="L364" s="22"/>
      <c r="M364" s="22"/>
      <c r="N364" s="22"/>
      <c r="O364" s="91">
        <v>12992</v>
      </c>
      <c r="P364" s="91">
        <v>12992</v>
      </c>
      <c r="Q364" s="22" t="s">
        <v>33</v>
      </c>
      <c r="R364" s="142"/>
      <c r="S364" s="91">
        <v>1</v>
      </c>
      <c r="T364" s="91">
        <f>P364-O364</f>
        <v>0</v>
      </c>
      <c r="U364" s="95">
        <v>1591</v>
      </c>
      <c r="V364" s="650" t="s">
        <v>455</v>
      </c>
      <c r="W364" s="14" t="s">
        <v>212</v>
      </c>
      <c r="X364" s="7"/>
      <c r="Y364" s="7"/>
      <c r="Z364" s="7"/>
      <c r="AA364" s="7"/>
      <c r="AB364" s="7"/>
      <c r="AC364" s="7"/>
    </row>
    <row r="365" spans="1:29" ht="26.25" customHeight="1">
      <c r="A365" s="19"/>
      <c r="B365" s="566" t="s">
        <v>889</v>
      </c>
      <c r="C365" s="91">
        <f t="shared" ref="C365" si="77">H365+E365</f>
        <v>532.86</v>
      </c>
      <c r="D365" s="91"/>
      <c r="E365" s="91">
        <f t="shared" ref="E365" si="78">F365+G365</f>
        <v>34.86</v>
      </c>
      <c r="F365" s="91">
        <f t="shared" ref="F365" si="79">0.04*H365</f>
        <v>19.920000000000002</v>
      </c>
      <c r="G365" s="91">
        <f t="shared" ref="G365" si="80">0.03*H365</f>
        <v>14.94</v>
      </c>
      <c r="H365" s="91">
        <f t="shared" ref="H365" si="81">T365</f>
        <v>498</v>
      </c>
      <c r="I365" s="91">
        <f t="shared" ref="I365" si="82">0.6*C365</f>
        <v>319.71600000000001</v>
      </c>
      <c r="J365" s="22"/>
      <c r="K365" s="22"/>
      <c r="L365" s="22"/>
      <c r="M365" s="22"/>
      <c r="N365" s="22"/>
      <c r="O365" s="91">
        <v>8630</v>
      </c>
      <c r="P365" s="91">
        <v>9128</v>
      </c>
      <c r="Q365" s="22" t="s">
        <v>33</v>
      </c>
      <c r="R365" s="142"/>
      <c r="S365" s="91">
        <v>1</v>
      </c>
      <c r="T365" s="91">
        <f>P365-O365</f>
        <v>498</v>
      </c>
      <c r="U365" s="95"/>
      <c r="V365" s="650" t="s">
        <v>887</v>
      </c>
      <c r="W365" s="14" t="s">
        <v>212</v>
      </c>
      <c r="X365" s="7"/>
      <c r="Y365" s="7"/>
      <c r="Z365" s="7"/>
      <c r="AA365" s="7"/>
      <c r="AB365" s="7"/>
      <c r="AC365" s="7"/>
    </row>
    <row r="366" spans="1:29" ht="25.5">
      <c r="A366" s="19"/>
      <c r="B366" s="660" t="s">
        <v>457</v>
      </c>
      <c r="C366" s="91">
        <f t="shared" si="75"/>
        <v>176.55</v>
      </c>
      <c r="D366" s="91"/>
      <c r="E366" s="91">
        <f t="shared" si="74"/>
        <v>11.55</v>
      </c>
      <c r="F366" s="91">
        <f t="shared" si="68"/>
        <v>6.6000000000000005</v>
      </c>
      <c r="G366" s="91">
        <f t="shared" si="69"/>
        <v>4.95</v>
      </c>
      <c r="H366" s="91">
        <f t="shared" si="70"/>
        <v>165</v>
      </c>
      <c r="I366" s="91">
        <f t="shared" si="76"/>
        <v>105.93</v>
      </c>
      <c r="J366" s="22"/>
      <c r="K366" s="22"/>
      <c r="L366" s="22"/>
      <c r="M366" s="22"/>
      <c r="N366" s="22"/>
      <c r="O366" s="91">
        <v>15386</v>
      </c>
      <c r="P366" s="91">
        <v>15551</v>
      </c>
      <c r="Q366" s="22"/>
      <c r="R366" s="142"/>
      <c r="S366" s="91">
        <v>1</v>
      </c>
      <c r="T366" s="91">
        <f t="shared" ref="T366:T377" si="83">(P366-O366)*S366</f>
        <v>165</v>
      </c>
      <c r="U366" s="95">
        <v>783398</v>
      </c>
      <c r="V366" s="650" t="s">
        <v>458</v>
      </c>
      <c r="W366" s="14" t="s">
        <v>212</v>
      </c>
      <c r="X366" s="7"/>
      <c r="Y366" s="7"/>
      <c r="Z366" s="7"/>
      <c r="AA366" s="7"/>
      <c r="AB366" s="7"/>
      <c r="AC366" s="7"/>
    </row>
    <row r="367" spans="1:29" ht="25.5">
      <c r="A367" s="19"/>
      <c r="B367" s="148" t="s">
        <v>459</v>
      </c>
      <c r="C367" s="91">
        <f>H367+E367</f>
        <v>36.380000000000003</v>
      </c>
      <c r="D367" s="91"/>
      <c r="E367" s="91">
        <f t="shared" si="74"/>
        <v>2.38</v>
      </c>
      <c r="F367" s="91">
        <f t="shared" si="68"/>
        <v>1.36</v>
      </c>
      <c r="G367" s="91">
        <f t="shared" si="69"/>
        <v>1.02</v>
      </c>
      <c r="H367" s="91">
        <f t="shared" si="70"/>
        <v>34</v>
      </c>
      <c r="I367" s="91">
        <f t="shared" si="76"/>
        <v>21.827999999999999</v>
      </c>
      <c r="J367" s="22"/>
      <c r="K367" s="22"/>
      <c r="L367" s="22"/>
      <c r="M367" s="22"/>
      <c r="N367" s="22" t="s">
        <v>460</v>
      </c>
      <c r="O367" s="340">
        <v>27862</v>
      </c>
      <c r="P367" s="340">
        <v>27896</v>
      </c>
      <c r="Q367" s="122"/>
      <c r="R367" s="173"/>
      <c r="S367" s="151">
        <v>1</v>
      </c>
      <c r="T367" s="91">
        <f t="shared" si="83"/>
        <v>34</v>
      </c>
      <c r="U367" s="95">
        <v>540368</v>
      </c>
      <c r="V367" s="650" t="s">
        <v>461</v>
      </c>
      <c r="W367" s="14" t="s">
        <v>212</v>
      </c>
      <c r="X367" s="7"/>
      <c r="Y367" s="7"/>
      <c r="Z367" s="7"/>
      <c r="AA367" s="7"/>
      <c r="AB367" s="7"/>
      <c r="AC367" s="7"/>
    </row>
    <row r="368" spans="1:29" ht="26.25">
      <c r="A368" s="19"/>
      <c r="B368" s="559" t="s">
        <v>462</v>
      </c>
      <c r="C368" s="549">
        <f>H368+E368</f>
        <v>0</v>
      </c>
      <c r="D368" s="549"/>
      <c r="E368" s="549">
        <f t="shared" si="74"/>
        <v>0</v>
      </c>
      <c r="F368" s="549">
        <f t="shared" si="68"/>
        <v>0</v>
      </c>
      <c r="G368" s="549">
        <f t="shared" si="69"/>
        <v>0</v>
      </c>
      <c r="H368" s="549">
        <f>T368</f>
        <v>0</v>
      </c>
      <c r="I368" s="560">
        <f>0.5*C368</f>
        <v>0</v>
      </c>
      <c r="J368" s="550"/>
      <c r="K368" s="550"/>
      <c r="L368" s="550"/>
      <c r="M368" s="550"/>
      <c r="N368" s="550"/>
      <c r="O368" s="549">
        <v>9</v>
      </c>
      <c r="P368" s="549">
        <v>9</v>
      </c>
      <c r="Q368" s="561"/>
      <c r="R368" s="562"/>
      <c r="S368" s="563">
        <v>1</v>
      </c>
      <c r="T368" s="549">
        <f t="shared" si="83"/>
        <v>0</v>
      </c>
      <c r="U368" s="551"/>
      <c r="V368" s="552" t="s">
        <v>463</v>
      </c>
      <c r="W368" s="14" t="s">
        <v>212</v>
      </c>
      <c r="X368" s="7"/>
      <c r="Y368" s="7"/>
      <c r="Z368" s="7"/>
      <c r="AA368" s="7"/>
      <c r="AB368" s="7"/>
      <c r="AC368" s="7"/>
    </row>
    <row r="369" spans="1:29" ht="26.25">
      <c r="A369" s="19"/>
      <c r="B369" s="148" t="s">
        <v>464</v>
      </c>
      <c r="C369" s="91">
        <f t="shared" ref="C369:C376" si="84">H369+E369</f>
        <v>44.94</v>
      </c>
      <c r="D369" s="91"/>
      <c r="E369" s="91">
        <f t="shared" si="74"/>
        <v>2.94</v>
      </c>
      <c r="F369" s="91">
        <f t="shared" si="68"/>
        <v>1.68</v>
      </c>
      <c r="G369" s="91">
        <f t="shared" si="69"/>
        <v>1.26</v>
      </c>
      <c r="H369" s="91">
        <f>T369</f>
        <v>42</v>
      </c>
      <c r="I369" s="91">
        <f>0.5*C369</f>
        <v>22.47</v>
      </c>
      <c r="J369" s="22"/>
      <c r="K369" s="22"/>
      <c r="L369" s="22"/>
      <c r="M369" s="22"/>
      <c r="N369" s="22"/>
      <c r="O369" s="91">
        <v>4802</v>
      </c>
      <c r="P369" s="91">
        <v>4844</v>
      </c>
      <c r="Q369" s="122"/>
      <c r="R369" s="173"/>
      <c r="S369" s="248">
        <v>1</v>
      </c>
      <c r="T369" s="91">
        <f t="shared" si="83"/>
        <v>42</v>
      </c>
      <c r="U369" s="95">
        <v>421550</v>
      </c>
      <c r="V369" s="650" t="s">
        <v>465</v>
      </c>
      <c r="W369" s="14" t="s">
        <v>212</v>
      </c>
      <c r="X369" s="7"/>
      <c r="Y369" s="7"/>
      <c r="Z369" s="7"/>
      <c r="AA369" s="7"/>
      <c r="AB369" s="7"/>
      <c r="AC369" s="7"/>
    </row>
    <row r="370" spans="1:29" s="195" customFormat="1" ht="25.5">
      <c r="A370" s="194"/>
      <c r="B370" s="148" t="s">
        <v>692</v>
      </c>
      <c r="C370" s="91">
        <f t="shared" si="84"/>
        <v>155.15</v>
      </c>
      <c r="D370" s="91"/>
      <c r="E370" s="91">
        <f>G370+F370</f>
        <v>10.149999999999999</v>
      </c>
      <c r="F370" s="91">
        <f t="shared" si="68"/>
        <v>5.8</v>
      </c>
      <c r="G370" s="91">
        <f t="shared" si="69"/>
        <v>4.3499999999999996</v>
      </c>
      <c r="H370" s="91">
        <f>T370</f>
        <v>145</v>
      </c>
      <c r="I370" s="91">
        <f>0.6*C370</f>
        <v>93.09</v>
      </c>
      <c r="J370" s="22"/>
      <c r="K370" s="22"/>
      <c r="L370" s="22"/>
      <c r="M370" s="22"/>
      <c r="N370" s="22"/>
      <c r="O370" s="91">
        <v>33492</v>
      </c>
      <c r="P370" s="91">
        <v>33637</v>
      </c>
      <c r="Q370" s="149"/>
      <c r="R370" s="161"/>
      <c r="S370" s="151">
        <v>1</v>
      </c>
      <c r="T370" s="91">
        <f t="shared" si="83"/>
        <v>145</v>
      </c>
      <c r="U370" s="95">
        <v>78402</v>
      </c>
      <c r="V370" s="650" t="s">
        <v>466</v>
      </c>
      <c r="W370" s="14" t="s">
        <v>212</v>
      </c>
      <c r="X370" s="86"/>
      <c r="Y370" s="86"/>
      <c r="Z370" s="86"/>
      <c r="AA370" s="86"/>
      <c r="AB370" s="86"/>
      <c r="AC370" s="86"/>
    </row>
    <row r="371" spans="1:29" s="195" customFormat="1" ht="25.5">
      <c r="A371" s="194"/>
      <c r="B371" s="148" t="s">
        <v>785</v>
      </c>
      <c r="C371" s="91">
        <f t="shared" si="84"/>
        <v>0</v>
      </c>
      <c r="D371" s="91"/>
      <c r="E371" s="91">
        <f>F371+G371</f>
        <v>0</v>
      </c>
      <c r="F371" s="91">
        <f t="shared" si="68"/>
        <v>0</v>
      </c>
      <c r="G371" s="91">
        <f t="shared" si="69"/>
        <v>0</v>
      </c>
      <c r="H371" s="91">
        <f>T371</f>
        <v>0</v>
      </c>
      <c r="I371" s="91">
        <f>0.4*C371</f>
        <v>0</v>
      </c>
      <c r="J371" s="22"/>
      <c r="K371" s="22"/>
      <c r="L371" s="22"/>
      <c r="M371" s="22"/>
      <c r="N371" s="22" t="s">
        <v>467</v>
      </c>
      <c r="O371" s="91">
        <v>7055</v>
      </c>
      <c r="P371" s="91">
        <v>7055</v>
      </c>
      <c r="Q371" s="22" t="s">
        <v>28</v>
      </c>
      <c r="R371" s="142"/>
      <c r="S371" s="151">
        <v>1</v>
      </c>
      <c r="T371" s="91">
        <f t="shared" si="83"/>
        <v>0</v>
      </c>
      <c r="U371" s="95">
        <v>295380</v>
      </c>
      <c r="V371" s="650" t="s">
        <v>468</v>
      </c>
      <c r="W371" s="191" t="s">
        <v>212</v>
      </c>
      <c r="X371" s="86"/>
      <c r="Y371" s="86"/>
      <c r="Z371" s="86"/>
      <c r="AA371" s="86"/>
      <c r="AB371" s="86"/>
      <c r="AC371" s="86"/>
    </row>
    <row r="372" spans="1:29" ht="25.5">
      <c r="A372" s="19"/>
      <c r="B372" s="148" t="s">
        <v>469</v>
      </c>
      <c r="C372" s="91">
        <f t="shared" si="84"/>
        <v>0</v>
      </c>
      <c r="D372" s="91"/>
      <c r="E372" s="91">
        <f>F372+G372</f>
        <v>0</v>
      </c>
      <c r="F372" s="91">
        <f t="shared" si="68"/>
        <v>0</v>
      </c>
      <c r="G372" s="91">
        <f t="shared" si="69"/>
        <v>0</v>
      </c>
      <c r="H372" s="91">
        <f t="shared" ref="H372:H377" si="85">T372</f>
        <v>0</v>
      </c>
      <c r="I372" s="91">
        <f>0.4*C372</f>
        <v>0</v>
      </c>
      <c r="J372" s="22"/>
      <c r="K372" s="22"/>
      <c r="L372" s="22"/>
      <c r="M372" s="22"/>
      <c r="N372" s="22"/>
      <c r="O372" s="91">
        <v>6962</v>
      </c>
      <c r="P372" s="91">
        <v>6962</v>
      </c>
      <c r="Q372" s="122"/>
      <c r="R372" s="173"/>
      <c r="S372" s="151">
        <v>1</v>
      </c>
      <c r="T372" s="91">
        <f t="shared" si="83"/>
        <v>0</v>
      </c>
      <c r="U372" s="95">
        <v>2302221</v>
      </c>
      <c r="V372" s="650" t="s">
        <v>888</v>
      </c>
      <c r="W372" s="14" t="s">
        <v>212</v>
      </c>
      <c r="X372" s="7"/>
      <c r="Y372" s="7"/>
      <c r="Z372" s="7"/>
      <c r="AA372" s="7"/>
      <c r="AB372" s="7"/>
      <c r="AC372" s="7"/>
    </row>
    <row r="373" spans="1:29" s="195" customFormat="1" ht="29.25" customHeight="1">
      <c r="A373" s="194"/>
      <c r="B373" s="148" t="s">
        <v>471</v>
      </c>
      <c r="C373" s="91">
        <f t="shared" si="84"/>
        <v>188.32</v>
      </c>
      <c r="D373" s="91"/>
      <c r="E373" s="91">
        <f>F373+G373</f>
        <v>12.32</v>
      </c>
      <c r="F373" s="91">
        <f t="shared" si="68"/>
        <v>7.04</v>
      </c>
      <c r="G373" s="91">
        <f t="shared" si="69"/>
        <v>5.2799999999999994</v>
      </c>
      <c r="H373" s="91">
        <f t="shared" si="85"/>
        <v>176</v>
      </c>
      <c r="I373" s="91">
        <f>0.6*C373</f>
        <v>112.99199999999999</v>
      </c>
      <c r="J373" s="22"/>
      <c r="K373" s="22"/>
      <c r="L373" s="22"/>
      <c r="M373" s="22"/>
      <c r="N373" s="22"/>
      <c r="O373" s="91">
        <v>9750</v>
      </c>
      <c r="P373" s="91">
        <v>9926</v>
      </c>
      <c r="Q373" s="149"/>
      <c r="R373" s="161"/>
      <c r="S373" s="91">
        <v>1</v>
      </c>
      <c r="T373" s="91">
        <f t="shared" si="83"/>
        <v>176</v>
      </c>
      <c r="U373" s="95">
        <v>3224</v>
      </c>
      <c r="V373" s="650" t="s">
        <v>472</v>
      </c>
      <c r="W373" s="191" t="s">
        <v>212</v>
      </c>
      <c r="X373" s="30"/>
      <c r="Y373" s="86"/>
      <c r="Z373" s="86"/>
      <c r="AA373" s="86"/>
      <c r="AB373" s="86"/>
      <c r="AC373" s="86"/>
    </row>
    <row r="374" spans="1:29" ht="25.5">
      <c r="A374" s="19"/>
      <c r="B374" s="148" t="s">
        <v>456</v>
      </c>
      <c r="C374" s="91">
        <f>H374+E374+64</f>
        <v>64</v>
      </c>
      <c r="D374" s="91"/>
      <c r="E374" s="91">
        <f>F374+G374</f>
        <v>0</v>
      </c>
      <c r="F374" s="91">
        <f>0.04*H374</f>
        <v>0</v>
      </c>
      <c r="G374" s="91">
        <f>0.03*H374</f>
        <v>0</v>
      </c>
      <c r="H374" s="91">
        <f>T374</f>
        <v>0</v>
      </c>
      <c r="I374" s="91">
        <v>649</v>
      </c>
      <c r="J374" s="22"/>
      <c r="K374" s="22"/>
      <c r="L374" s="22"/>
      <c r="M374" s="22"/>
      <c r="N374" s="22"/>
      <c r="O374" s="91">
        <f>2172+60</f>
        <v>2232</v>
      </c>
      <c r="P374" s="91">
        <f>2172+60</f>
        <v>2232</v>
      </c>
      <c r="Q374" s="149"/>
      <c r="R374" s="161"/>
      <c r="S374" s="91">
        <v>1</v>
      </c>
      <c r="T374" s="91">
        <f t="shared" si="83"/>
        <v>0</v>
      </c>
      <c r="U374" s="95">
        <v>429663</v>
      </c>
      <c r="V374" s="569" t="s">
        <v>824</v>
      </c>
      <c r="W374" s="14" t="s">
        <v>212</v>
      </c>
      <c r="X374" s="7"/>
      <c r="Y374" s="7"/>
      <c r="Z374" s="7"/>
      <c r="AA374" s="7"/>
      <c r="AB374" s="7"/>
      <c r="AC374" s="7"/>
    </row>
    <row r="375" spans="1:29" s="195" customFormat="1" ht="29.25" customHeight="1">
      <c r="A375" s="194"/>
      <c r="B375" s="638" t="s">
        <v>473</v>
      </c>
      <c r="C375" s="91">
        <f t="shared" si="84"/>
        <v>20.329999999999998</v>
      </c>
      <c r="D375" s="91"/>
      <c r="E375" s="91">
        <f>F375+G375</f>
        <v>1.33</v>
      </c>
      <c r="F375" s="91">
        <f t="shared" si="68"/>
        <v>0.76</v>
      </c>
      <c r="G375" s="91">
        <f t="shared" si="69"/>
        <v>0.56999999999999995</v>
      </c>
      <c r="H375" s="91">
        <f t="shared" si="85"/>
        <v>19</v>
      </c>
      <c r="I375" s="91">
        <f>0.6*C375</f>
        <v>12.197999999999999</v>
      </c>
      <c r="J375" s="22"/>
      <c r="K375" s="22"/>
      <c r="L375" s="22"/>
      <c r="M375" s="22"/>
      <c r="N375" s="22"/>
      <c r="O375" s="91">
        <v>16587</v>
      </c>
      <c r="P375" s="91">
        <v>16606</v>
      </c>
      <c r="Q375" s="149"/>
      <c r="R375" s="161"/>
      <c r="S375" s="91">
        <v>1</v>
      </c>
      <c r="T375" s="91">
        <f t="shared" si="83"/>
        <v>19</v>
      </c>
      <c r="U375" s="95"/>
      <c r="V375" s="650" t="s">
        <v>474</v>
      </c>
      <c r="W375" s="14" t="s">
        <v>212</v>
      </c>
      <c r="X375" s="86"/>
      <c r="Y375" s="86"/>
      <c r="Z375" s="86"/>
      <c r="AA375" s="86"/>
      <c r="AB375" s="86"/>
      <c r="AC375" s="86"/>
    </row>
    <row r="376" spans="1:29" s="225" customFormat="1" ht="25.5">
      <c r="A376" s="223"/>
      <c r="B376" s="148" t="s">
        <v>475</v>
      </c>
      <c r="C376" s="91">
        <f t="shared" si="84"/>
        <v>3896.94</v>
      </c>
      <c r="D376" s="91"/>
      <c r="E376" s="91">
        <f>F376++G376</f>
        <v>254.94</v>
      </c>
      <c r="F376" s="91">
        <f t="shared" si="68"/>
        <v>145.68</v>
      </c>
      <c r="G376" s="91">
        <f t="shared" si="69"/>
        <v>109.25999999999999</v>
      </c>
      <c r="H376" s="91">
        <f t="shared" si="85"/>
        <v>3642</v>
      </c>
      <c r="I376" s="91">
        <f>0.6*C376</f>
        <v>2338.1639999999998</v>
      </c>
      <c r="J376" s="22"/>
      <c r="K376" s="22"/>
      <c r="L376" s="22"/>
      <c r="M376" s="22"/>
      <c r="N376" s="22"/>
      <c r="O376" s="91">
        <v>389879</v>
      </c>
      <c r="P376" s="91">
        <v>393521</v>
      </c>
      <c r="Q376" s="122"/>
      <c r="R376" s="173"/>
      <c r="S376" s="151">
        <v>1</v>
      </c>
      <c r="T376" s="91">
        <f t="shared" si="83"/>
        <v>3642</v>
      </c>
      <c r="U376" s="95">
        <v>69776</v>
      </c>
      <c r="V376" s="658" t="s">
        <v>476</v>
      </c>
      <c r="W376" s="14" t="s">
        <v>212</v>
      </c>
      <c r="X376" s="224"/>
      <c r="Y376" s="224"/>
      <c r="Z376" s="224"/>
      <c r="AA376" s="224"/>
      <c r="AB376" s="224"/>
      <c r="AC376" s="224"/>
    </row>
    <row r="377" spans="1:29" ht="25.5">
      <c r="A377" s="19"/>
      <c r="B377" s="148" t="s">
        <v>477</v>
      </c>
      <c r="C377" s="91">
        <f>H377+E377</f>
        <v>1270.0899999999999</v>
      </c>
      <c r="D377" s="91"/>
      <c r="E377" s="91">
        <f>G377+F377</f>
        <v>83.09</v>
      </c>
      <c r="F377" s="91">
        <f>0.04*H377</f>
        <v>47.480000000000004</v>
      </c>
      <c r="G377" s="91">
        <f>0.03*H377</f>
        <v>35.61</v>
      </c>
      <c r="H377" s="91">
        <f t="shared" si="85"/>
        <v>1187</v>
      </c>
      <c r="I377" s="91">
        <f>0.6*C377</f>
        <v>762.05399999999997</v>
      </c>
      <c r="J377" s="22"/>
      <c r="K377" s="22"/>
      <c r="L377" s="22"/>
      <c r="M377" s="22"/>
      <c r="N377" s="22"/>
      <c r="O377" s="91">
        <v>180834</v>
      </c>
      <c r="P377" s="91">
        <v>182021</v>
      </c>
      <c r="Q377" s="149"/>
      <c r="R377" s="161"/>
      <c r="S377" s="151">
        <v>1</v>
      </c>
      <c r="T377" s="91">
        <f t="shared" si="83"/>
        <v>1187</v>
      </c>
      <c r="U377" s="95">
        <v>3868</v>
      </c>
      <c r="V377" s="569" t="s">
        <v>478</v>
      </c>
      <c r="W377" s="14" t="s">
        <v>212</v>
      </c>
      <c r="X377" s="7"/>
      <c r="Y377" s="7"/>
      <c r="Z377" s="7"/>
      <c r="AA377" s="7"/>
      <c r="AB377" s="7"/>
      <c r="AC377" s="7"/>
    </row>
    <row r="378" spans="1:29" ht="25.5">
      <c r="A378" s="19"/>
      <c r="B378" s="27"/>
      <c r="C378" s="28"/>
      <c r="D378" s="28"/>
      <c r="E378" s="28"/>
      <c r="F378" s="28"/>
      <c r="G378" s="28"/>
      <c r="H378" s="28"/>
      <c r="I378" s="28"/>
      <c r="J378" s="29"/>
      <c r="K378" s="29"/>
      <c r="L378" s="29"/>
      <c r="M378" s="29"/>
      <c r="N378" s="29"/>
      <c r="O378" s="28"/>
      <c r="P378" s="28"/>
      <c r="Q378" s="146"/>
      <c r="R378" s="61"/>
      <c r="S378" s="28"/>
      <c r="T378" s="28"/>
      <c r="U378" s="31"/>
      <c r="V378" s="574"/>
      <c r="W378" s="14"/>
      <c r="X378" s="7"/>
      <c r="Y378" s="7"/>
      <c r="Z378" s="7"/>
      <c r="AA378" s="7"/>
      <c r="AB378" s="7"/>
      <c r="AC378" s="7"/>
    </row>
    <row r="379" spans="1:29" ht="26.25">
      <c r="A379" s="19"/>
      <c r="B379" s="226" t="s">
        <v>479</v>
      </c>
      <c r="C379" s="115">
        <f>SUM(C333:C378)</f>
        <v>18141.649999999998</v>
      </c>
      <c r="D379" s="115"/>
      <c r="E379" s="115"/>
      <c r="F379" s="115"/>
      <c r="G379" s="115"/>
      <c r="H379" s="115"/>
      <c r="I379" s="115"/>
      <c r="J379" s="98"/>
      <c r="K379" s="98"/>
      <c r="L379" s="98"/>
      <c r="M379" s="98"/>
      <c r="N379" s="98"/>
      <c r="O379" s="94"/>
      <c r="P379" s="94"/>
      <c r="Q379" s="227"/>
      <c r="R379" s="228"/>
      <c r="S379" s="92"/>
      <c r="T379" s="91"/>
      <c r="U379" s="1"/>
      <c r="V379" s="1"/>
      <c r="W379" s="14"/>
      <c r="X379" s="7"/>
      <c r="Y379" s="7"/>
      <c r="Z379" s="7"/>
      <c r="AA379" s="7"/>
      <c r="AB379" s="7"/>
      <c r="AC379" s="7" t="s">
        <v>15</v>
      </c>
    </row>
    <row r="380" spans="1:29" ht="30" customHeight="1">
      <c r="A380" s="19"/>
      <c r="B380" s="143"/>
      <c r="C380" s="115"/>
      <c r="D380" s="115"/>
      <c r="E380" s="115"/>
      <c r="F380" s="115"/>
      <c r="G380" s="115"/>
      <c r="H380" s="115"/>
      <c r="I380" s="115"/>
      <c r="J380" s="98"/>
      <c r="K380" s="98"/>
      <c r="L380" s="98"/>
      <c r="M380" s="98"/>
      <c r="N380" s="98"/>
      <c r="O380" s="94"/>
      <c r="P380" s="94"/>
      <c r="Q380" s="227"/>
      <c r="R380" s="228"/>
      <c r="S380" s="92"/>
      <c r="T380" s="91"/>
      <c r="U380" s="1"/>
      <c r="V380" s="1"/>
      <c r="W380" s="14"/>
      <c r="X380" s="7"/>
      <c r="Y380" s="7"/>
      <c r="Z380" s="7"/>
      <c r="AA380" s="7"/>
      <c r="AB380" s="7"/>
      <c r="AC380" s="7"/>
    </row>
    <row r="381" spans="1:29" ht="26.25" hidden="1">
      <c r="A381" s="19"/>
      <c r="B381" s="90" t="s">
        <v>480</v>
      </c>
      <c r="C381" s="28"/>
      <c r="D381" s="28"/>
      <c r="E381" s="28"/>
      <c r="F381" s="28"/>
      <c r="G381" s="28"/>
      <c r="H381" s="28"/>
      <c r="I381" s="72"/>
      <c r="J381" s="29"/>
      <c r="K381" s="29"/>
      <c r="L381" s="29"/>
      <c r="M381" s="29"/>
      <c r="N381" s="29"/>
      <c r="O381" s="28"/>
      <c r="P381" s="28"/>
      <c r="Q381" s="146"/>
      <c r="R381" s="61"/>
      <c r="S381" s="54"/>
      <c r="T381" s="28"/>
      <c r="U381" s="31"/>
      <c r="V381" s="574"/>
      <c r="W381" s="14"/>
      <c r="X381" s="7"/>
      <c r="Y381" s="7"/>
      <c r="Z381" s="7"/>
      <c r="AA381" s="7"/>
      <c r="AB381" s="7"/>
      <c r="AC381" s="7"/>
    </row>
    <row r="382" spans="1:29" ht="9.75" hidden="1" customHeight="1">
      <c r="A382" s="19" t="s">
        <v>481</v>
      </c>
      <c r="B382" s="148" t="s">
        <v>482</v>
      </c>
      <c r="C382" s="91">
        <f>H382+E382</f>
        <v>0</v>
      </c>
      <c r="D382" s="115"/>
      <c r="E382" s="91">
        <f>F382+G382</f>
        <v>0</v>
      </c>
      <c r="F382" s="91">
        <f>0.04*H382</f>
        <v>0</v>
      </c>
      <c r="G382" s="91">
        <f>0.03*H382</f>
        <v>0</v>
      </c>
      <c r="H382" s="91">
        <f>T382</f>
        <v>0</v>
      </c>
      <c r="I382" s="91">
        <f>0.5*C382</f>
        <v>0</v>
      </c>
      <c r="J382" s="22"/>
      <c r="K382" s="22"/>
      <c r="L382" s="22"/>
      <c r="M382" s="22"/>
      <c r="N382" s="22"/>
      <c r="O382" s="229">
        <v>10678</v>
      </c>
      <c r="P382" s="229">
        <v>10678</v>
      </c>
      <c r="Q382" s="149"/>
      <c r="R382" s="161"/>
      <c r="S382" s="151">
        <v>1</v>
      </c>
      <c r="T382" s="91">
        <f>(P382-O382)*S382</f>
        <v>0</v>
      </c>
      <c r="U382" s="95">
        <v>2262538</v>
      </c>
      <c r="V382" s="569" t="s">
        <v>483</v>
      </c>
      <c r="W382" s="14"/>
      <c r="X382" s="7"/>
      <c r="Y382" s="7"/>
      <c r="Z382" s="7"/>
      <c r="AA382" s="7"/>
      <c r="AB382" s="7"/>
      <c r="AC382" s="7"/>
    </row>
    <row r="383" spans="1:29" ht="25.5" hidden="1">
      <c r="A383" s="19"/>
      <c r="B383" s="148"/>
      <c r="C383" s="91"/>
      <c r="D383" s="91"/>
      <c r="E383" s="91"/>
      <c r="F383" s="91"/>
      <c r="G383" s="91"/>
      <c r="H383" s="91"/>
      <c r="I383" s="91"/>
      <c r="J383" s="22"/>
      <c r="K383" s="22"/>
      <c r="L383" s="22"/>
      <c r="M383" s="22"/>
      <c r="N383" s="22"/>
      <c r="O383" s="91"/>
      <c r="P383" s="91"/>
      <c r="Q383" s="22"/>
      <c r="R383" s="142"/>
      <c r="S383" s="91"/>
      <c r="T383" s="91"/>
      <c r="U383" s="95"/>
      <c r="V383" s="569"/>
      <c r="W383" s="14"/>
      <c r="X383" s="7"/>
      <c r="Y383" s="7"/>
      <c r="Z383" s="7"/>
      <c r="AA383" s="7"/>
      <c r="AB383" s="7"/>
      <c r="AC383" s="7"/>
    </row>
    <row r="384" spans="1:29" ht="25.5" hidden="1" customHeight="1">
      <c r="A384" s="19">
        <v>35</v>
      </c>
      <c r="B384" s="1"/>
      <c r="U384" s="1"/>
      <c r="V384" s="1"/>
      <c r="W384" s="14"/>
      <c r="X384" s="7"/>
      <c r="Y384" s="7"/>
      <c r="Z384" s="7"/>
      <c r="AA384" s="7"/>
      <c r="AB384" s="7"/>
      <c r="AC384" s="7"/>
    </row>
    <row r="385" spans="1:29" ht="27" hidden="1" customHeight="1">
      <c r="A385" s="19">
        <v>36</v>
      </c>
      <c r="B385" s="148"/>
      <c r="C385" s="91"/>
      <c r="D385" s="91"/>
      <c r="E385" s="91"/>
      <c r="F385" s="91"/>
      <c r="G385" s="91"/>
      <c r="H385" s="91"/>
      <c r="I385" s="91"/>
      <c r="J385" s="22"/>
      <c r="K385" s="22"/>
      <c r="L385" s="22"/>
      <c r="M385" s="22"/>
      <c r="N385" s="22"/>
      <c r="O385" s="91"/>
      <c r="P385" s="91"/>
      <c r="Q385" s="149"/>
      <c r="R385" s="161"/>
      <c r="S385" s="91"/>
      <c r="T385" s="91"/>
      <c r="U385" s="95"/>
      <c r="V385" s="569"/>
      <c r="W385" s="14"/>
      <c r="X385" s="7"/>
      <c r="Y385" s="7"/>
      <c r="Z385" s="7"/>
      <c r="AA385" s="7"/>
      <c r="AB385" s="7"/>
      <c r="AC385" s="7"/>
    </row>
    <row r="386" spans="1:29" ht="25.5" hidden="1">
      <c r="A386" s="19">
        <v>37</v>
      </c>
      <c r="U386" s="95"/>
      <c r="V386" s="569"/>
      <c r="W386" s="14"/>
      <c r="X386" s="7"/>
      <c r="Y386" s="7"/>
      <c r="Z386" s="7"/>
      <c r="AA386" s="7"/>
      <c r="AB386" s="7"/>
      <c r="AC386" s="7"/>
    </row>
    <row r="387" spans="1:29" ht="25.5" hidden="1">
      <c r="A387" s="19">
        <v>38</v>
      </c>
      <c r="B387" s="148"/>
      <c r="C387" s="91"/>
      <c r="D387" s="91"/>
      <c r="E387" s="91"/>
      <c r="F387" s="91"/>
      <c r="G387" s="91"/>
      <c r="H387" s="91"/>
      <c r="I387" s="91"/>
      <c r="J387" s="22"/>
      <c r="K387" s="22"/>
      <c r="L387" s="22"/>
      <c r="M387" s="22"/>
      <c r="N387" s="22"/>
      <c r="O387" s="91"/>
      <c r="P387" s="91"/>
      <c r="Q387" s="149"/>
      <c r="R387" s="161"/>
      <c r="S387" s="91"/>
      <c r="T387" s="91"/>
      <c r="U387" s="95"/>
      <c r="V387" s="569"/>
      <c r="W387" s="14"/>
      <c r="X387" s="7"/>
      <c r="Y387" s="7"/>
      <c r="Z387" s="149"/>
      <c r="AA387" s="149"/>
      <c r="AB387" s="149"/>
      <c r="AC387" s="149"/>
    </row>
    <row r="388" spans="1:29" ht="25.5" hidden="1">
      <c r="A388" s="19">
        <v>40</v>
      </c>
      <c r="B388" s="148"/>
      <c r="C388" s="91"/>
      <c r="D388" s="91"/>
      <c r="E388" s="91"/>
      <c r="F388" s="91"/>
      <c r="G388" s="91"/>
      <c r="H388" s="91"/>
      <c r="I388" s="91"/>
      <c r="J388" s="22"/>
      <c r="K388" s="22"/>
      <c r="L388" s="22"/>
      <c r="M388" s="22"/>
      <c r="N388" s="22"/>
      <c r="O388" s="91"/>
      <c r="P388" s="91"/>
      <c r="Q388" s="22"/>
      <c r="R388" s="142"/>
      <c r="S388" s="91"/>
      <c r="T388" s="91"/>
      <c r="U388" s="95"/>
      <c r="V388" s="569"/>
      <c r="W388" s="14"/>
      <c r="X388" s="7"/>
      <c r="Y388" s="7"/>
      <c r="Z388" s="7"/>
      <c r="AA388" s="7"/>
      <c r="AB388" s="7"/>
      <c r="AC388" s="7"/>
    </row>
    <row r="389" spans="1:29" ht="56.25" hidden="1" customHeight="1">
      <c r="A389" s="19">
        <v>41</v>
      </c>
      <c r="B389" s="1"/>
      <c r="U389" s="95"/>
      <c r="V389" s="569"/>
      <c r="W389" s="14"/>
      <c r="X389" s="7"/>
      <c r="Y389" s="7"/>
      <c r="Z389" s="7"/>
      <c r="AA389" s="7"/>
      <c r="AB389" s="7"/>
      <c r="AC389" s="7"/>
    </row>
    <row r="390" spans="1:29" ht="26.25" hidden="1" customHeight="1">
      <c r="A390" s="19">
        <v>42</v>
      </c>
      <c r="U390" s="95"/>
      <c r="V390" s="569"/>
      <c r="W390" s="14"/>
      <c r="X390" s="7"/>
      <c r="Y390" s="7"/>
      <c r="Z390" s="7"/>
      <c r="AA390" s="7"/>
      <c r="AB390" s="7"/>
      <c r="AC390" s="7"/>
    </row>
    <row r="391" spans="1:29" ht="29.25" hidden="1" customHeight="1">
      <c r="A391" s="19">
        <v>43</v>
      </c>
      <c r="U391" s="95"/>
      <c r="V391" s="569"/>
      <c r="W391" s="14"/>
      <c r="X391" s="7"/>
      <c r="Y391" s="7"/>
      <c r="Z391" s="7"/>
      <c r="AA391" s="7"/>
      <c r="AB391" s="7"/>
      <c r="AC391" s="7"/>
    </row>
    <row r="392" spans="1:29" ht="28.5" hidden="1" customHeight="1">
      <c r="A392" s="230">
        <v>44</v>
      </c>
      <c r="B392" s="158"/>
      <c r="C392" s="124"/>
      <c r="D392" s="124"/>
      <c r="E392" s="124"/>
      <c r="F392" s="124"/>
      <c r="G392" s="124"/>
      <c r="H392" s="124"/>
      <c r="I392" s="124"/>
      <c r="J392" s="126"/>
      <c r="K392" s="126"/>
      <c r="L392" s="126"/>
      <c r="M392" s="126"/>
      <c r="N392" s="126"/>
      <c r="O392" s="124"/>
      <c r="P392" s="124"/>
      <c r="Q392" s="7"/>
      <c r="R392" s="159"/>
      <c r="S392" s="124"/>
      <c r="T392" s="124"/>
      <c r="U392" s="127"/>
      <c r="V392" s="128"/>
      <c r="W392" s="14"/>
      <c r="X392" s="7"/>
      <c r="Y392" s="7"/>
      <c r="Z392" s="7"/>
      <c r="AA392" s="7"/>
      <c r="AB392" s="7"/>
      <c r="AC392" s="7"/>
    </row>
    <row r="393" spans="1:29" ht="26.25" hidden="1" customHeight="1">
      <c r="A393" s="19">
        <v>45</v>
      </c>
      <c r="B393" s="1"/>
      <c r="U393" s="95"/>
      <c r="V393" s="569"/>
      <c r="W393" s="14"/>
      <c r="X393" s="7"/>
      <c r="Y393" s="7"/>
      <c r="Z393" s="7"/>
      <c r="AA393" s="7"/>
      <c r="AB393" s="7"/>
      <c r="AC393" s="7"/>
    </row>
    <row r="394" spans="1:29" ht="24.75" hidden="1" customHeight="1">
      <c r="A394" s="19">
        <v>46</v>
      </c>
      <c r="B394" s="1"/>
      <c r="U394" s="95"/>
      <c r="V394" s="569"/>
      <c r="W394" s="134"/>
      <c r="X394" s="149"/>
      <c r="Y394" s="149"/>
      <c r="Z394" s="7"/>
      <c r="AA394" s="7"/>
      <c r="AB394" s="7"/>
      <c r="AC394" s="7"/>
    </row>
    <row r="395" spans="1:29" ht="23.25" hidden="1" customHeight="1">
      <c r="A395" s="19">
        <v>47</v>
      </c>
      <c r="U395" s="95"/>
      <c r="V395" s="569"/>
      <c r="W395" s="14"/>
      <c r="X395" s="7"/>
      <c r="Y395" s="7"/>
      <c r="Z395" s="7"/>
      <c r="AA395" s="7"/>
      <c r="AB395" s="7"/>
      <c r="AC395" s="7"/>
    </row>
    <row r="396" spans="1:29" ht="28.5" hidden="1" customHeight="1">
      <c r="A396" s="19">
        <v>48</v>
      </c>
      <c r="U396" s="95"/>
      <c r="V396" s="569"/>
      <c r="W396" s="14"/>
      <c r="X396" s="7"/>
      <c r="Y396" s="7"/>
      <c r="Z396" s="7"/>
      <c r="AA396" s="7"/>
      <c r="AB396" s="7"/>
      <c r="AC396" s="7"/>
    </row>
    <row r="397" spans="1:29" ht="31.5" hidden="1" customHeight="1">
      <c r="A397" s="19">
        <v>49</v>
      </c>
      <c r="B397" s="1"/>
      <c r="U397" s="1"/>
      <c r="V397" s="1"/>
      <c r="W397" s="78"/>
      <c r="X397" s="7"/>
      <c r="Y397" s="7"/>
      <c r="Z397" s="7"/>
      <c r="AA397" s="7"/>
      <c r="AB397" s="7"/>
      <c r="AC397" s="7"/>
    </row>
    <row r="398" spans="1:29" ht="25.5" hidden="1">
      <c r="A398" s="19">
        <v>50</v>
      </c>
      <c r="U398" s="95"/>
      <c r="V398" s="569"/>
      <c r="W398" s="14" t="s">
        <v>484</v>
      </c>
      <c r="X398" s="7"/>
      <c r="Y398" s="7"/>
      <c r="Z398" s="7"/>
      <c r="AA398" s="7"/>
      <c r="AB398" s="7"/>
      <c r="AC398" s="7"/>
    </row>
    <row r="399" spans="1:29" ht="25.5" hidden="1">
      <c r="A399" s="19">
        <v>51</v>
      </c>
      <c r="U399" s="95"/>
      <c r="V399" s="569"/>
      <c r="W399" s="14"/>
      <c r="X399" s="7"/>
      <c r="Y399" s="7"/>
      <c r="Z399" s="7"/>
      <c r="AA399" s="7"/>
      <c r="AB399" s="7"/>
      <c r="AC399" s="7"/>
    </row>
    <row r="400" spans="1:29" ht="25.5" hidden="1" customHeight="1">
      <c r="A400" s="231">
        <v>52</v>
      </c>
      <c r="B400" s="1"/>
      <c r="U400" s="1"/>
      <c r="V400" s="1"/>
      <c r="W400" s="14">
        <v>176</v>
      </c>
      <c r="X400" s="7">
        <v>1764.636</v>
      </c>
      <c r="Y400" s="7"/>
      <c r="Z400" s="7"/>
      <c r="AA400" s="7"/>
      <c r="AB400" s="7"/>
      <c r="AC400" s="7"/>
    </row>
    <row r="401" spans="1:29" ht="25.5" hidden="1" customHeight="1">
      <c r="A401" s="19">
        <v>53</v>
      </c>
      <c r="B401" s="1"/>
      <c r="U401" s="1"/>
      <c r="V401" s="1"/>
      <c r="W401" s="14"/>
      <c r="X401" s="7"/>
      <c r="Y401" s="7"/>
      <c r="Z401" s="7"/>
      <c r="AA401" s="7"/>
      <c r="AB401" s="7"/>
      <c r="AC401" s="7"/>
    </row>
    <row r="402" spans="1:29" ht="23.25" hidden="1" customHeight="1">
      <c r="A402" s="19">
        <v>54</v>
      </c>
      <c r="U402" s="95"/>
      <c r="V402" s="569"/>
      <c r="W402" s="14"/>
      <c r="X402" s="7"/>
      <c r="Y402" s="7"/>
      <c r="Z402" s="7"/>
      <c r="AA402" s="7"/>
      <c r="AB402" s="7"/>
      <c r="AC402" s="7"/>
    </row>
    <row r="403" spans="1:29" ht="76.5" hidden="1">
      <c r="A403" s="19" t="s">
        <v>485</v>
      </c>
      <c r="B403" s="1"/>
      <c r="U403" s="1"/>
      <c r="V403" s="1"/>
      <c r="W403" s="14"/>
      <c r="X403" s="7"/>
      <c r="Y403" s="7"/>
      <c r="Z403" s="7"/>
      <c r="AA403" s="7"/>
      <c r="AB403" s="7"/>
      <c r="AC403" s="7"/>
    </row>
    <row r="404" spans="1:29" ht="27" hidden="1" customHeight="1">
      <c r="A404" s="19">
        <v>55</v>
      </c>
      <c r="B404" s="1"/>
      <c r="U404" s="95"/>
      <c r="V404" s="569"/>
      <c r="W404" s="14">
        <v>3160</v>
      </c>
      <c r="X404" s="7"/>
      <c r="Y404" s="7"/>
      <c r="Z404" s="7"/>
      <c r="AA404" s="7"/>
      <c r="AB404" s="7"/>
      <c r="AC404" s="7"/>
    </row>
    <row r="405" spans="1:29" ht="30" hidden="1" customHeight="1">
      <c r="A405" s="19">
        <v>56</v>
      </c>
      <c r="U405" s="95"/>
      <c r="V405" s="569"/>
      <c r="W405" s="14"/>
      <c r="X405" s="7"/>
      <c r="Y405" s="7"/>
      <c r="Z405" s="7"/>
      <c r="AA405" s="7"/>
      <c r="AB405" s="7"/>
      <c r="AC405" s="7"/>
    </row>
    <row r="406" spans="1:29" ht="76.5" hidden="1">
      <c r="A406" s="19" t="s">
        <v>486</v>
      </c>
      <c r="B406" s="148"/>
      <c r="C406" s="91"/>
      <c r="D406" s="91"/>
      <c r="E406" s="91"/>
      <c r="F406" s="91"/>
      <c r="G406" s="91"/>
      <c r="H406" s="91"/>
      <c r="I406" s="91"/>
      <c r="J406" s="22"/>
      <c r="K406" s="22"/>
      <c r="L406" s="22"/>
      <c r="M406" s="22"/>
      <c r="N406" s="22"/>
      <c r="O406" s="91"/>
      <c r="P406" s="91"/>
      <c r="Q406" s="22"/>
      <c r="R406" s="142"/>
      <c r="S406" s="91"/>
      <c r="T406" s="91">
        <f>(P406-O406)*S406</f>
        <v>0</v>
      </c>
      <c r="U406" s="95"/>
      <c r="V406" s="569"/>
      <c r="W406" s="14"/>
      <c r="X406" s="7"/>
      <c r="Y406" s="7"/>
      <c r="Z406" s="7"/>
      <c r="AA406" s="7"/>
      <c r="AB406" s="7"/>
      <c r="AC406" s="7"/>
    </row>
    <row r="407" spans="1:29" ht="23.25" hidden="1" customHeight="1">
      <c r="A407" s="19">
        <v>57</v>
      </c>
      <c r="U407" s="95"/>
      <c r="V407" s="569"/>
      <c r="W407" s="14"/>
      <c r="X407" s="7"/>
      <c r="Y407" s="7"/>
      <c r="Z407" s="7"/>
      <c r="AA407" s="7"/>
      <c r="AB407" s="7"/>
      <c r="AC407" s="7"/>
    </row>
    <row r="408" spans="1:29" ht="25.5" hidden="1">
      <c r="A408" s="19">
        <v>58</v>
      </c>
      <c r="B408" s="1"/>
      <c r="U408" s="1"/>
      <c r="V408" s="1"/>
      <c r="W408" s="14"/>
      <c r="X408" s="7"/>
      <c r="Y408" s="7"/>
      <c r="Z408" s="7"/>
      <c r="AA408" s="7"/>
      <c r="AB408" s="7"/>
      <c r="AC408" s="7"/>
    </row>
    <row r="409" spans="1:29" ht="25.5" hidden="1">
      <c r="A409" s="19"/>
      <c r="B409" s="1"/>
      <c r="U409" s="1"/>
      <c r="V409" s="1"/>
      <c r="W409" s="14"/>
      <c r="X409" s="7"/>
      <c r="Y409" s="7"/>
      <c r="Z409" s="7"/>
      <c r="AA409" s="7"/>
      <c r="AB409" s="7"/>
      <c r="AC409" s="7"/>
    </row>
    <row r="410" spans="1:29" ht="14.25" hidden="1" customHeight="1">
      <c r="A410" s="19"/>
      <c r="B410" s="1"/>
      <c r="U410" s="1"/>
      <c r="V410" s="1"/>
      <c r="W410" s="14"/>
      <c r="X410" s="7"/>
      <c r="Y410" s="7"/>
      <c r="Z410" s="7"/>
      <c r="AA410" s="7"/>
      <c r="AB410" s="7"/>
      <c r="AC410" s="7"/>
    </row>
    <row r="411" spans="1:29" ht="31.5" hidden="1" customHeight="1">
      <c r="A411" s="19"/>
      <c r="B411" s="1"/>
      <c r="U411" s="1"/>
      <c r="V411" s="1"/>
      <c r="W411" s="14"/>
      <c r="X411" s="7"/>
      <c r="Y411" s="7"/>
      <c r="Z411" s="7"/>
      <c r="AA411" s="7"/>
      <c r="AB411" s="7"/>
      <c r="AC411" s="7"/>
    </row>
    <row r="412" spans="1:29" ht="31.5" hidden="1" customHeight="1">
      <c r="A412" s="19"/>
      <c r="B412" s="1"/>
      <c r="U412" s="1"/>
      <c r="V412" s="1"/>
      <c r="W412" s="14"/>
      <c r="X412" s="7"/>
      <c r="Y412" s="7"/>
      <c r="Z412" s="7"/>
      <c r="AA412" s="7"/>
      <c r="AB412" s="7"/>
      <c r="AC412" s="7"/>
    </row>
    <row r="413" spans="1:29" ht="25.5" hidden="1">
      <c r="A413" s="19"/>
      <c r="B413" s="148"/>
      <c r="C413" s="91"/>
      <c r="D413" s="91"/>
      <c r="E413" s="91"/>
      <c r="F413" s="91"/>
      <c r="G413" s="91"/>
      <c r="H413" s="91"/>
      <c r="I413" s="91"/>
      <c r="J413" s="22"/>
      <c r="K413" s="22"/>
      <c r="L413" s="22"/>
      <c r="M413" s="22"/>
      <c r="N413" s="22"/>
      <c r="O413" s="91"/>
      <c r="P413" s="91"/>
      <c r="Q413" s="149"/>
      <c r="R413" s="200"/>
      <c r="S413" s="91"/>
      <c r="T413" s="91">
        <f t="shared" ref="T413:T418" si="86">(P413-O413)*S413</f>
        <v>0</v>
      </c>
      <c r="U413" s="95"/>
      <c r="V413" s="569"/>
      <c r="W413" s="14"/>
      <c r="X413" s="7"/>
      <c r="Y413" s="7"/>
      <c r="Z413" s="7"/>
      <c r="AA413" s="7"/>
      <c r="AB413" s="7"/>
      <c r="AC413" s="7"/>
    </row>
    <row r="414" spans="1:29" ht="25.5" hidden="1">
      <c r="A414" s="19"/>
      <c r="B414" s="148"/>
      <c r="C414" s="91"/>
      <c r="D414" s="91"/>
      <c r="E414" s="91"/>
      <c r="F414" s="91"/>
      <c r="G414" s="91"/>
      <c r="H414" s="91"/>
      <c r="I414" s="91"/>
      <c r="J414" s="22"/>
      <c r="K414" s="22"/>
      <c r="L414" s="22"/>
      <c r="M414" s="22"/>
      <c r="N414" s="22"/>
      <c r="O414" s="91"/>
      <c r="P414" s="91"/>
      <c r="Q414" s="149"/>
      <c r="R414" s="200"/>
      <c r="S414" s="91"/>
      <c r="T414" s="91">
        <f t="shared" si="86"/>
        <v>0</v>
      </c>
      <c r="U414" s="95"/>
      <c r="V414" s="569"/>
      <c r="W414" s="14"/>
      <c r="X414" s="7"/>
      <c r="Y414" s="7"/>
      <c r="Z414" s="7"/>
      <c r="AA414" s="7"/>
      <c r="AB414" s="7"/>
      <c r="AC414" s="7"/>
    </row>
    <row r="415" spans="1:29" ht="25.5" hidden="1">
      <c r="A415" s="19"/>
      <c r="B415" s="148"/>
      <c r="C415" s="91"/>
      <c r="D415" s="91"/>
      <c r="E415" s="91"/>
      <c r="F415" s="91"/>
      <c r="G415" s="91"/>
      <c r="H415" s="91"/>
      <c r="I415" s="91"/>
      <c r="J415" s="22"/>
      <c r="K415" s="22"/>
      <c r="L415" s="22"/>
      <c r="M415" s="22"/>
      <c r="N415" s="22"/>
      <c r="O415" s="91"/>
      <c r="P415" s="91"/>
      <c r="Q415" s="149"/>
      <c r="R415" s="200"/>
      <c r="S415" s="91"/>
      <c r="T415" s="91">
        <f t="shared" si="86"/>
        <v>0</v>
      </c>
      <c r="U415" s="95"/>
      <c r="V415" s="569"/>
      <c r="W415" s="14"/>
      <c r="X415" s="7"/>
      <c r="Y415" s="7"/>
      <c r="Z415" s="7"/>
      <c r="AA415" s="7"/>
      <c r="AB415" s="7"/>
      <c r="AC415" s="7"/>
    </row>
    <row r="416" spans="1:29" ht="25.5" hidden="1">
      <c r="A416" s="19"/>
      <c r="B416" s="148"/>
      <c r="C416" s="91"/>
      <c r="D416" s="91"/>
      <c r="E416" s="91"/>
      <c r="F416" s="91"/>
      <c r="G416" s="91"/>
      <c r="H416" s="91"/>
      <c r="I416" s="91"/>
      <c r="J416" s="22"/>
      <c r="K416" s="22"/>
      <c r="L416" s="22"/>
      <c r="M416" s="22"/>
      <c r="N416" s="22"/>
      <c r="O416" s="91"/>
      <c r="P416" s="91"/>
      <c r="Q416" s="149"/>
      <c r="R416" s="200"/>
      <c r="S416" s="91"/>
      <c r="T416" s="91">
        <f t="shared" si="86"/>
        <v>0</v>
      </c>
      <c r="U416" s="95"/>
      <c r="V416" s="569"/>
      <c r="W416" s="14"/>
      <c r="X416" s="7"/>
      <c r="Y416" s="7"/>
      <c r="Z416" s="7"/>
      <c r="AA416" s="7"/>
      <c r="AB416" s="7"/>
      <c r="AC416" s="7"/>
    </row>
    <row r="417" spans="1:29" ht="25.5" hidden="1">
      <c r="A417" s="19"/>
      <c r="B417" s="148"/>
      <c r="C417" s="91"/>
      <c r="D417" s="91"/>
      <c r="E417" s="91"/>
      <c r="F417" s="91"/>
      <c r="G417" s="91"/>
      <c r="H417" s="91"/>
      <c r="I417" s="91"/>
      <c r="J417" s="22"/>
      <c r="K417" s="22"/>
      <c r="L417" s="22"/>
      <c r="M417" s="22"/>
      <c r="N417" s="22"/>
      <c r="O417" s="91"/>
      <c r="P417" s="91"/>
      <c r="Q417" s="149"/>
      <c r="R417" s="200"/>
      <c r="S417" s="91"/>
      <c r="T417" s="91">
        <f t="shared" si="86"/>
        <v>0</v>
      </c>
      <c r="U417" s="95"/>
      <c r="V417" s="569"/>
      <c r="W417" s="14"/>
      <c r="X417" s="7"/>
      <c r="Y417" s="7"/>
      <c r="Z417" s="7"/>
      <c r="AA417" s="7"/>
      <c r="AB417" s="7"/>
      <c r="AC417" s="7"/>
    </row>
    <row r="418" spans="1:29" ht="25.5" hidden="1">
      <c r="A418" s="19">
        <v>59</v>
      </c>
      <c r="B418" s="148"/>
      <c r="C418" s="91"/>
      <c r="D418" s="91"/>
      <c r="E418" s="91"/>
      <c r="F418" s="91"/>
      <c r="G418" s="91"/>
      <c r="H418" s="91"/>
      <c r="I418" s="91"/>
      <c r="J418" s="22"/>
      <c r="K418" s="22"/>
      <c r="L418" s="22"/>
      <c r="M418" s="22"/>
      <c r="N418" s="22"/>
      <c r="O418" s="91"/>
      <c r="P418" s="91"/>
      <c r="Q418" s="149"/>
      <c r="R418" s="232"/>
      <c r="S418" s="91"/>
      <c r="T418" s="91">
        <f t="shared" si="86"/>
        <v>0</v>
      </c>
      <c r="U418" s="95"/>
      <c r="V418" s="569"/>
      <c r="W418" s="14"/>
      <c r="X418" s="7"/>
      <c r="Y418" s="7"/>
      <c r="Z418" s="7"/>
      <c r="AA418" s="7"/>
      <c r="AB418" s="7"/>
      <c r="AC418" s="7"/>
    </row>
    <row r="419" spans="1:29" ht="25.5" hidden="1">
      <c r="A419" s="19">
        <v>60</v>
      </c>
      <c r="B419" s="148"/>
      <c r="C419" s="91"/>
      <c r="D419" s="91"/>
      <c r="E419" s="91"/>
      <c r="F419" s="91"/>
      <c r="G419" s="91"/>
      <c r="H419" s="91"/>
      <c r="I419" s="91"/>
      <c r="J419" s="22"/>
      <c r="K419" s="22"/>
      <c r="L419" s="22"/>
      <c r="M419" s="22"/>
      <c r="N419" s="22"/>
      <c r="O419" s="91"/>
      <c r="P419" s="91"/>
      <c r="Q419" s="149"/>
      <c r="R419" s="232"/>
      <c r="S419" s="91"/>
      <c r="T419" s="91"/>
      <c r="U419" s="95"/>
      <c r="V419" s="569"/>
      <c r="W419" s="14"/>
      <c r="X419" s="7"/>
      <c r="Y419" s="7"/>
      <c r="Z419" s="7"/>
      <c r="AA419" s="7"/>
      <c r="AB419" s="7"/>
      <c r="AC419" s="7"/>
    </row>
    <row r="420" spans="1:29" ht="25.5" hidden="1">
      <c r="A420" s="19">
        <v>61.1</v>
      </c>
      <c r="B420" s="1"/>
      <c r="U420" s="95"/>
      <c r="V420" s="569"/>
      <c r="W420" s="14"/>
      <c r="X420" s="7"/>
      <c r="Y420" s="7"/>
      <c r="Z420" s="7"/>
      <c r="AA420" s="7"/>
      <c r="AB420" s="7"/>
      <c r="AC420" s="7"/>
    </row>
    <row r="421" spans="1:29" ht="25.5" hidden="1">
      <c r="A421" s="19">
        <v>61.2</v>
      </c>
      <c r="B421" s="1"/>
      <c r="U421" s="95"/>
      <c r="V421" s="569"/>
      <c r="W421" s="14"/>
      <c r="X421" s="7"/>
      <c r="Y421" s="7"/>
      <c r="Z421" s="7"/>
      <c r="AA421" s="7"/>
      <c r="AB421" s="7"/>
      <c r="AC421" s="7"/>
    </row>
    <row r="422" spans="1:29" ht="25.5" hidden="1">
      <c r="A422" s="19">
        <v>61.3</v>
      </c>
      <c r="B422" s="1"/>
      <c r="U422" s="95"/>
      <c r="V422" s="569"/>
      <c r="W422" s="14"/>
      <c r="X422" s="7"/>
      <c r="Y422" s="7"/>
      <c r="Z422" s="7"/>
      <c r="AA422" s="7"/>
      <c r="AB422" s="7"/>
      <c r="AC422" s="7"/>
    </row>
    <row r="423" spans="1:29" ht="25.5" hidden="1">
      <c r="A423" s="19">
        <v>61.4</v>
      </c>
      <c r="B423" s="1"/>
      <c r="U423" s="95"/>
      <c r="V423" s="569"/>
      <c r="W423" s="14"/>
      <c r="X423" s="7"/>
      <c r="Y423" s="7"/>
      <c r="Z423" s="7"/>
      <c r="AA423" s="7"/>
      <c r="AB423" s="7"/>
      <c r="AC423" s="7"/>
    </row>
    <row r="424" spans="1:29" ht="36" hidden="1" customHeight="1">
      <c r="A424" s="19">
        <v>61.5</v>
      </c>
      <c r="B424" s="1"/>
      <c r="U424" s="95"/>
      <c r="V424" s="569"/>
      <c r="W424" s="14"/>
      <c r="X424" s="7"/>
      <c r="Y424" s="7"/>
      <c r="Z424" s="7"/>
      <c r="AA424" s="7"/>
      <c r="AB424" s="7"/>
      <c r="AC424" s="7"/>
    </row>
    <row r="425" spans="1:29" ht="25.5" hidden="1">
      <c r="A425" s="19">
        <v>61.6</v>
      </c>
      <c r="B425" s="1"/>
      <c r="U425" s="95"/>
      <c r="V425" s="569"/>
      <c r="W425" s="14"/>
      <c r="X425" s="7"/>
      <c r="Y425" s="7"/>
      <c r="Z425" s="7"/>
      <c r="AA425" s="7"/>
      <c r="AB425" s="7"/>
      <c r="AC425" s="7"/>
    </row>
    <row r="426" spans="1:29" ht="31.5" hidden="1" customHeight="1">
      <c r="A426" s="19">
        <v>61.7</v>
      </c>
      <c r="B426" s="1"/>
      <c r="U426" s="95"/>
      <c r="V426" s="569"/>
      <c r="W426" s="14"/>
      <c r="X426" s="7"/>
      <c r="Y426" s="7"/>
      <c r="Z426" s="7"/>
      <c r="AA426" s="7"/>
      <c r="AB426" s="7"/>
      <c r="AC426" s="7"/>
    </row>
    <row r="427" spans="1:29" ht="30" hidden="1" customHeight="1">
      <c r="A427" s="19">
        <v>61.8</v>
      </c>
      <c r="B427" s="1"/>
      <c r="U427" s="95"/>
      <c r="V427" s="569"/>
      <c r="W427" s="14"/>
      <c r="X427" s="7"/>
      <c r="Y427" s="7"/>
      <c r="Z427" s="7"/>
      <c r="AA427" s="7"/>
      <c r="AB427" s="7"/>
      <c r="AC427" s="7"/>
    </row>
    <row r="428" spans="1:29" ht="25.5" hidden="1">
      <c r="A428" s="19">
        <v>61.9</v>
      </c>
      <c r="B428" s="1"/>
      <c r="U428" s="95"/>
      <c r="V428" s="569"/>
      <c r="W428" s="14"/>
      <c r="X428" s="7"/>
      <c r="Y428" s="7"/>
      <c r="Z428" s="7"/>
      <c r="AA428" s="7"/>
      <c r="AB428" s="7"/>
      <c r="AC428" s="7"/>
    </row>
    <row r="429" spans="1:29" s="234" customFormat="1" ht="28.5" hidden="1" customHeight="1">
      <c r="A429" s="233">
        <v>61.1</v>
      </c>
      <c r="U429" s="235"/>
      <c r="V429" s="235"/>
      <c r="W429" s="14"/>
      <c r="X429" s="236"/>
      <c r="Y429" s="236"/>
      <c r="Z429" s="236"/>
      <c r="AA429" s="236"/>
      <c r="AB429" s="236"/>
      <c r="AC429" s="236"/>
    </row>
    <row r="430" spans="1:29" ht="28.5" hidden="1" customHeight="1">
      <c r="A430" s="19">
        <v>61.11</v>
      </c>
      <c r="B430" s="1"/>
      <c r="U430" s="95"/>
      <c r="V430" s="569"/>
      <c r="W430" s="14"/>
      <c r="X430" s="7"/>
      <c r="Y430" s="7"/>
      <c r="Z430" s="7"/>
      <c r="AA430" s="7"/>
      <c r="AB430" s="7"/>
      <c r="AC430" s="7"/>
    </row>
    <row r="431" spans="1:29" ht="25.5" hidden="1">
      <c r="A431" s="19">
        <v>61.12</v>
      </c>
      <c r="B431" s="1"/>
      <c r="U431" s="95"/>
      <c r="V431" s="569"/>
      <c r="W431" s="14"/>
      <c r="X431" s="7"/>
      <c r="Y431" s="7"/>
      <c r="Z431" s="7"/>
      <c r="AA431" s="7"/>
      <c r="AB431" s="7"/>
      <c r="AC431" s="7"/>
    </row>
    <row r="432" spans="1:29" ht="30" hidden="1" customHeight="1">
      <c r="A432" s="19">
        <v>61.13</v>
      </c>
      <c r="B432" s="1"/>
      <c r="U432" s="95"/>
      <c r="V432" s="569"/>
      <c r="W432" s="14"/>
      <c r="X432" s="7"/>
      <c r="Y432" s="7"/>
      <c r="Z432" s="7"/>
      <c r="AA432" s="7"/>
      <c r="AB432" s="7"/>
      <c r="AC432" s="7"/>
    </row>
    <row r="433" spans="1:29" ht="28.5" hidden="1" customHeight="1">
      <c r="A433" s="19">
        <v>61.14</v>
      </c>
      <c r="B433" s="1"/>
      <c r="U433" s="95"/>
      <c r="V433" s="569"/>
      <c r="W433" s="14"/>
      <c r="X433" s="7"/>
      <c r="Y433" s="7"/>
      <c r="Z433" s="7"/>
      <c r="AA433" s="7"/>
      <c r="AB433" s="7"/>
      <c r="AC433" s="7"/>
    </row>
    <row r="434" spans="1:29" ht="27" hidden="1" customHeight="1">
      <c r="A434" s="19">
        <v>61.15</v>
      </c>
      <c r="B434" s="1"/>
      <c r="U434" s="95"/>
      <c r="V434" s="569"/>
      <c r="W434" s="14"/>
      <c r="X434" s="7"/>
      <c r="Y434" s="7"/>
      <c r="Z434" s="7"/>
      <c r="AA434" s="7"/>
      <c r="AB434" s="7"/>
      <c r="AC434" s="7"/>
    </row>
    <row r="435" spans="1:29" ht="25.5" hidden="1">
      <c r="A435" s="19">
        <v>61.16</v>
      </c>
      <c r="B435" s="148"/>
      <c r="C435" s="91"/>
      <c r="D435" s="91"/>
      <c r="E435" s="91"/>
      <c r="F435" s="91"/>
      <c r="G435" s="91"/>
      <c r="H435" s="91"/>
      <c r="I435" s="91"/>
      <c r="J435" s="22"/>
      <c r="K435" s="22"/>
      <c r="L435" s="22"/>
      <c r="M435" s="22"/>
      <c r="N435" s="22"/>
      <c r="O435" s="91"/>
      <c r="P435" s="91"/>
      <c r="Q435" s="149"/>
      <c r="R435" s="200"/>
      <c r="S435" s="91"/>
      <c r="T435" s="91">
        <f>P435-O435</f>
        <v>0</v>
      </c>
      <c r="U435" s="95"/>
      <c r="V435" s="569"/>
      <c r="W435" s="14"/>
      <c r="X435" s="7"/>
      <c r="Y435" s="7"/>
      <c r="Z435" s="7"/>
      <c r="AA435" s="7"/>
      <c r="AB435" s="7"/>
      <c r="AC435" s="7"/>
    </row>
    <row r="436" spans="1:29" ht="28.5" hidden="1" customHeight="1">
      <c r="A436" s="19">
        <v>62</v>
      </c>
      <c r="B436" s="1"/>
      <c r="U436" s="95"/>
      <c r="V436" s="569"/>
      <c r="W436" s="14"/>
      <c r="X436" s="7"/>
      <c r="Y436" s="7"/>
      <c r="Z436" s="7"/>
      <c r="AA436" s="7"/>
      <c r="AB436" s="7"/>
      <c r="AC436" s="7"/>
    </row>
    <row r="437" spans="1:29" ht="25.5" hidden="1">
      <c r="A437" s="19">
        <v>63</v>
      </c>
      <c r="B437" s="148"/>
      <c r="C437" s="91"/>
      <c r="D437" s="91"/>
      <c r="E437" s="91"/>
      <c r="F437" s="91"/>
      <c r="G437" s="91"/>
      <c r="H437" s="91"/>
      <c r="I437" s="91"/>
      <c r="J437" s="22"/>
      <c r="K437" s="22"/>
      <c r="L437" s="22"/>
      <c r="M437" s="22"/>
      <c r="N437" s="22"/>
      <c r="O437" s="91"/>
      <c r="P437" s="91"/>
      <c r="Q437" s="22"/>
      <c r="R437" s="142"/>
      <c r="S437" s="91"/>
      <c r="T437" s="91">
        <f>(P437-O437)*S437</f>
        <v>0</v>
      </c>
      <c r="U437" s="95"/>
      <c r="V437" s="569"/>
      <c r="W437" s="14"/>
      <c r="X437" s="7"/>
      <c r="Y437" s="7"/>
      <c r="Z437" s="7"/>
      <c r="AA437" s="7"/>
      <c r="AB437" s="7"/>
      <c r="AC437" s="7"/>
    </row>
    <row r="438" spans="1:29" ht="27.75" hidden="1" customHeight="1">
      <c r="A438" s="19">
        <v>64</v>
      </c>
      <c r="U438" s="95"/>
      <c r="V438" s="569"/>
      <c r="W438" s="14"/>
      <c r="X438" s="7"/>
      <c r="Y438" s="7"/>
      <c r="Z438" s="7"/>
      <c r="AA438" s="7"/>
      <c r="AB438" s="7"/>
      <c r="AC438" s="7"/>
    </row>
    <row r="439" spans="1:29" ht="28.5" hidden="1" customHeight="1">
      <c r="A439" s="19">
        <v>65</v>
      </c>
      <c r="B439" s="148"/>
      <c r="C439" s="91"/>
      <c r="D439" s="91"/>
      <c r="E439" s="91"/>
      <c r="F439" s="91"/>
      <c r="G439" s="91"/>
      <c r="H439" s="91"/>
      <c r="I439" s="91"/>
      <c r="J439" s="22"/>
      <c r="K439" s="22"/>
      <c r="L439" s="22"/>
      <c r="M439" s="22"/>
      <c r="N439" s="22"/>
      <c r="O439" s="91"/>
      <c r="P439" s="91"/>
      <c r="Q439" s="22"/>
      <c r="R439" s="142"/>
      <c r="S439" s="91"/>
      <c r="T439" s="91"/>
      <c r="U439" s="95"/>
      <c r="V439" s="569"/>
      <c r="W439" s="14"/>
      <c r="X439" s="7"/>
      <c r="Y439" s="7"/>
      <c r="Z439" s="7"/>
      <c r="AA439" s="7"/>
      <c r="AB439" s="7"/>
      <c r="AC439" s="7"/>
    </row>
    <row r="440" spans="1:29" ht="31.5" hidden="1" customHeight="1">
      <c r="A440" s="19">
        <v>66</v>
      </c>
      <c r="U440" s="95"/>
      <c r="V440" s="569"/>
      <c r="W440" s="14" t="s">
        <v>487</v>
      </c>
      <c r="X440" s="7"/>
      <c r="Y440" s="7"/>
      <c r="Z440" s="7"/>
      <c r="AA440" s="7"/>
      <c r="AB440" s="7"/>
      <c r="AC440" s="7"/>
    </row>
    <row r="441" spans="1:29" ht="25.5" hidden="1">
      <c r="A441" s="19">
        <v>68</v>
      </c>
      <c r="U441" s="95"/>
      <c r="V441" s="569"/>
      <c r="W441" s="14"/>
      <c r="X441" s="7"/>
      <c r="Y441" s="7"/>
      <c r="Z441" s="149"/>
      <c r="AA441" s="149"/>
      <c r="AB441" s="149"/>
      <c r="AC441" s="149"/>
    </row>
    <row r="442" spans="1:29" ht="27.75" hidden="1" customHeight="1">
      <c r="A442" s="19">
        <v>70</v>
      </c>
      <c r="B442" s="1"/>
      <c r="U442" s="95"/>
      <c r="V442" s="569"/>
      <c r="W442" s="14"/>
      <c r="X442" s="7"/>
      <c r="Y442" s="7"/>
      <c r="Z442" s="149"/>
      <c r="AA442" s="149"/>
      <c r="AB442" s="149"/>
      <c r="AC442" s="149"/>
    </row>
    <row r="443" spans="1:29" ht="25.5" hidden="1">
      <c r="A443" s="19">
        <v>71</v>
      </c>
      <c r="U443" s="95"/>
      <c r="V443" s="569"/>
      <c r="W443" s="14"/>
      <c r="X443" s="7"/>
      <c r="Y443" s="7"/>
      <c r="Z443" s="149"/>
      <c r="AA443" s="149"/>
      <c r="AB443" s="149"/>
      <c r="AC443" s="149"/>
    </row>
    <row r="444" spans="1:29" ht="44.25" hidden="1" customHeight="1">
      <c r="A444" s="19">
        <v>72</v>
      </c>
      <c r="B444" s="1"/>
      <c r="U444" s="1"/>
      <c r="V444" s="1"/>
      <c r="W444" s="14">
        <v>16390</v>
      </c>
      <c r="X444" s="7"/>
      <c r="Y444" s="7"/>
      <c r="Z444" s="7"/>
      <c r="AA444" s="7"/>
      <c r="AB444" s="7"/>
      <c r="AC444" s="7"/>
    </row>
    <row r="445" spans="1:29" ht="25.5" hidden="1">
      <c r="A445" s="19">
        <v>73</v>
      </c>
      <c r="B445" s="1"/>
      <c r="U445" s="1"/>
      <c r="V445" s="1"/>
      <c r="W445" s="14">
        <v>19235</v>
      </c>
      <c r="X445" s="7"/>
      <c r="Y445" s="7"/>
      <c r="Z445" s="7"/>
      <c r="AA445" s="7"/>
      <c r="AB445" s="7"/>
      <c r="AC445" s="7"/>
    </row>
    <row r="446" spans="1:29" ht="25.5" hidden="1">
      <c r="A446" s="19">
        <v>74</v>
      </c>
      <c r="W446" s="14" t="s">
        <v>488</v>
      </c>
      <c r="X446" s="7"/>
      <c r="Y446" s="7"/>
      <c r="Z446" s="7"/>
      <c r="AA446" s="7"/>
      <c r="AB446" s="7"/>
      <c r="AC446" s="7"/>
    </row>
    <row r="447" spans="1:29" ht="28.5" hidden="1" customHeight="1">
      <c r="A447" s="19">
        <v>75</v>
      </c>
      <c r="B447" s="1"/>
      <c r="U447" s="1"/>
      <c r="V447" s="1"/>
      <c r="W447" s="14"/>
      <c r="X447" s="7"/>
      <c r="Y447" s="7"/>
      <c r="Z447" s="7"/>
      <c r="AA447" s="7"/>
      <c r="AB447" s="7"/>
      <c r="AC447" s="7"/>
    </row>
    <row r="448" spans="1:29" ht="22.5" hidden="1" customHeight="1">
      <c r="A448" s="19">
        <v>76</v>
      </c>
      <c r="U448" s="95"/>
      <c r="V448" s="569"/>
      <c r="W448" s="134">
        <v>590000</v>
      </c>
      <c r="X448" s="149"/>
      <c r="Y448" s="149"/>
      <c r="Z448" s="7"/>
      <c r="AA448" s="7"/>
      <c r="AB448" s="7"/>
      <c r="AC448" s="7"/>
    </row>
    <row r="449" spans="1:29" ht="34.5" hidden="1" customHeight="1">
      <c r="A449" s="19">
        <v>77</v>
      </c>
      <c r="U449" s="95"/>
      <c r="V449" s="569"/>
      <c r="W449" s="134"/>
      <c r="X449" s="149"/>
      <c r="Y449" s="149"/>
      <c r="Z449" s="7"/>
      <c r="AA449" s="7"/>
      <c r="AB449" s="7"/>
      <c r="AC449" s="7"/>
    </row>
    <row r="450" spans="1:29" ht="30" hidden="1" customHeight="1">
      <c r="A450" s="19">
        <v>78</v>
      </c>
      <c r="U450" s="95"/>
      <c r="V450" s="569"/>
      <c r="W450" s="134">
        <v>201022</v>
      </c>
      <c r="X450" s="149"/>
      <c r="Y450" s="149"/>
      <c r="Z450" s="7"/>
      <c r="AA450" s="7"/>
      <c r="AB450" s="7"/>
      <c r="AC450" s="7"/>
    </row>
    <row r="451" spans="1:29" ht="25.5" hidden="1" customHeight="1">
      <c r="A451" s="19">
        <v>79</v>
      </c>
      <c r="U451" s="95"/>
      <c r="V451" s="569"/>
      <c r="W451" s="14"/>
      <c r="X451" s="7"/>
      <c r="Y451" s="7"/>
      <c r="Z451" s="7"/>
      <c r="AA451" s="7"/>
      <c r="AB451" s="7"/>
      <c r="AC451" s="7"/>
    </row>
    <row r="452" spans="1:29" ht="33" hidden="1" customHeight="1">
      <c r="A452" s="19">
        <v>80</v>
      </c>
      <c r="B452" s="148"/>
      <c r="C452" s="91"/>
      <c r="D452" s="91"/>
      <c r="E452" s="91"/>
      <c r="F452" s="91"/>
      <c r="G452" s="91"/>
      <c r="H452" s="91"/>
      <c r="I452" s="91"/>
      <c r="J452" s="22"/>
      <c r="K452" s="22"/>
      <c r="L452" s="22"/>
      <c r="M452" s="22"/>
      <c r="N452" s="22"/>
      <c r="O452" s="91"/>
      <c r="P452" s="91"/>
      <c r="Q452" s="22"/>
      <c r="R452" s="142"/>
      <c r="S452" s="91"/>
      <c r="T452" s="91">
        <f>(P452-O452)*S452</f>
        <v>0</v>
      </c>
      <c r="U452" s="95"/>
      <c r="V452" s="569"/>
      <c r="W452" s="14"/>
      <c r="X452" s="7"/>
      <c r="Y452" s="7"/>
      <c r="Z452" s="7"/>
      <c r="AA452" s="7"/>
      <c r="AB452" s="7"/>
      <c r="AC452" s="7"/>
    </row>
    <row r="453" spans="1:29" ht="24.75" hidden="1" customHeight="1">
      <c r="A453" s="19">
        <v>81</v>
      </c>
      <c r="U453" s="95"/>
      <c r="V453" s="569"/>
      <c r="W453" s="14"/>
      <c r="X453" s="7"/>
      <c r="Y453" s="7"/>
      <c r="Z453" s="7"/>
      <c r="AA453" s="7"/>
      <c r="AB453" s="7"/>
      <c r="AC453" s="7"/>
    </row>
    <row r="454" spans="1:29" ht="26.25" hidden="1">
      <c r="A454" s="231">
        <v>82</v>
      </c>
      <c r="U454" s="95"/>
      <c r="V454" s="569"/>
      <c r="W454" s="14" t="s">
        <v>489</v>
      </c>
      <c r="X454" s="7"/>
      <c r="Y454" s="7"/>
      <c r="Z454" s="7"/>
      <c r="AA454" s="7"/>
      <c r="AB454" s="7"/>
      <c r="AC454" s="7"/>
    </row>
    <row r="455" spans="1:29" ht="26.25" hidden="1">
      <c r="A455" s="231"/>
      <c r="U455" s="95"/>
      <c r="V455" s="569"/>
      <c r="W455" s="14"/>
      <c r="X455" s="7"/>
      <c r="Y455" s="7"/>
      <c r="Z455" s="7"/>
      <c r="AA455" s="7"/>
      <c r="AB455" s="7"/>
      <c r="AC455" s="7"/>
    </row>
    <row r="456" spans="1:29" ht="26.25" hidden="1">
      <c r="A456" s="231"/>
      <c r="U456" s="95"/>
      <c r="V456" s="569"/>
      <c r="W456" s="14"/>
      <c r="X456" s="7"/>
      <c r="Y456" s="7"/>
      <c r="Z456" s="7"/>
      <c r="AA456" s="7"/>
      <c r="AB456" s="7"/>
      <c r="AC456" s="7"/>
    </row>
    <row r="457" spans="1:29" ht="26.25" hidden="1">
      <c r="A457" s="237">
        <v>83</v>
      </c>
      <c r="B457" s="1"/>
      <c r="U457" s="1"/>
      <c r="V457" s="1"/>
      <c r="W457" s="14"/>
      <c r="X457" s="7" t="s">
        <v>490</v>
      </c>
      <c r="Y457" s="7"/>
      <c r="Z457" s="7"/>
      <c r="AA457" s="7"/>
      <c r="AB457" s="7"/>
      <c r="AC457" s="7"/>
    </row>
    <row r="458" spans="1:29" ht="26.25" hidden="1">
      <c r="A458" s="231"/>
      <c r="B458" s="1"/>
      <c r="U458" s="1"/>
      <c r="V458" s="1"/>
      <c r="W458" s="14"/>
      <c r="X458" s="7"/>
      <c r="Y458" s="7"/>
      <c r="Z458" s="7"/>
      <c r="AA458" s="7"/>
      <c r="AB458" s="7"/>
      <c r="AC458" s="7"/>
    </row>
    <row r="459" spans="1:29" ht="31.5" hidden="1" customHeight="1">
      <c r="A459" s="19">
        <v>84</v>
      </c>
      <c r="U459" s="95"/>
      <c r="V459" s="569"/>
      <c r="W459" s="14"/>
      <c r="X459" s="7"/>
      <c r="Y459" s="7"/>
      <c r="Z459" s="7"/>
      <c r="AA459" s="7"/>
      <c r="AB459" s="7"/>
      <c r="AC459" s="7"/>
    </row>
    <row r="460" spans="1:29" ht="25.5" hidden="1">
      <c r="A460" s="19">
        <v>85</v>
      </c>
      <c r="B460" s="1"/>
      <c r="U460" s="1"/>
      <c r="V460" s="1"/>
      <c r="W460" s="14" t="s">
        <v>491</v>
      </c>
      <c r="X460" s="7"/>
      <c r="Y460" s="7"/>
      <c r="Z460" s="7"/>
      <c r="AA460" s="7"/>
      <c r="AB460" s="7"/>
      <c r="AC460" s="7"/>
    </row>
    <row r="461" spans="1:29" ht="26.25" hidden="1" customHeight="1">
      <c r="A461" s="19">
        <v>86</v>
      </c>
      <c r="U461" s="95"/>
      <c r="V461" s="569"/>
      <c r="W461" s="14" t="s">
        <v>492</v>
      </c>
      <c r="X461" s="7"/>
      <c r="Y461" s="7"/>
      <c r="Z461" s="7"/>
      <c r="AA461" s="7"/>
      <c r="AB461" s="7"/>
      <c r="AC461" s="7"/>
    </row>
    <row r="462" spans="1:29" ht="30" hidden="1" customHeight="1">
      <c r="A462" s="19">
        <v>87</v>
      </c>
      <c r="U462" s="95"/>
      <c r="V462" s="569"/>
      <c r="W462" s="14" t="s">
        <v>492</v>
      </c>
      <c r="X462" s="7"/>
      <c r="Y462" s="7"/>
      <c r="Z462" s="7"/>
      <c r="AA462" s="7"/>
      <c r="AB462" s="7"/>
      <c r="AC462" s="7"/>
    </row>
    <row r="463" spans="1:29" ht="26.25" hidden="1" customHeight="1">
      <c r="A463" s="19">
        <v>88</v>
      </c>
      <c r="B463" s="1"/>
      <c r="U463" s="1"/>
      <c r="V463" s="1"/>
      <c r="W463" s="14" t="s">
        <v>493</v>
      </c>
      <c r="X463" s="7"/>
      <c r="Y463" s="7"/>
      <c r="Z463" s="7"/>
      <c r="AA463" s="7"/>
      <c r="AB463" s="7"/>
      <c r="AC463" s="7"/>
    </row>
    <row r="464" spans="1:29" ht="26.25" hidden="1">
      <c r="A464" s="135">
        <v>89</v>
      </c>
      <c r="B464" s="1"/>
      <c r="U464" s="1"/>
      <c r="V464" s="1"/>
      <c r="W464" s="14"/>
      <c r="X464" s="7"/>
      <c r="Y464" s="7"/>
      <c r="Z464" s="7"/>
      <c r="AA464" s="7"/>
      <c r="AB464" s="7"/>
      <c r="AC464" s="7"/>
    </row>
    <row r="465" spans="1:29" ht="76.5" hidden="1">
      <c r="A465" s="19" t="s">
        <v>494</v>
      </c>
      <c r="B465" s="1"/>
      <c r="U465" s="1"/>
      <c r="V465" s="1"/>
      <c r="W465" s="14"/>
      <c r="X465" s="7"/>
      <c r="Y465" s="7"/>
      <c r="Z465" s="7"/>
      <c r="AA465" s="7"/>
      <c r="AB465" s="7"/>
      <c r="AC465" s="7"/>
    </row>
    <row r="466" spans="1:29" ht="25.5" hidden="1">
      <c r="A466" s="19">
        <v>90</v>
      </c>
      <c r="B466" s="1"/>
      <c r="U466" s="1"/>
      <c r="V466" s="1"/>
      <c r="W466" s="14"/>
      <c r="X466" s="7"/>
      <c r="Y466" s="7"/>
      <c r="Z466" s="7"/>
      <c r="AA466" s="7"/>
      <c r="AB466" s="7"/>
      <c r="AC466" s="7"/>
    </row>
    <row r="467" spans="1:29" ht="11.25" hidden="1" customHeight="1">
      <c r="A467" s="19">
        <v>91</v>
      </c>
      <c r="U467" s="95"/>
      <c r="V467" s="569"/>
      <c r="W467" s="14"/>
      <c r="X467" s="7"/>
      <c r="Y467" s="7"/>
      <c r="Z467" s="7"/>
      <c r="AA467" s="7"/>
      <c r="AB467" s="7"/>
      <c r="AC467" s="7"/>
    </row>
    <row r="468" spans="1:29" ht="54" hidden="1" customHeight="1">
      <c r="A468" s="19">
        <v>92</v>
      </c>
      <c r="B468" s="1"/>
      <c r="U468" s="95"/>
      <c r="V468" s="569"/>
      <c r="W468" s="14"/>
      <c r="X468" s="7"/>
      <c r="Y468" s="7"/>
      <c r="Z468" s="7"/>
      <c r="AA468" s="7"/>
      <c r="AB468" s="7"/>
      <c r="AC468" s="7"/>
    </row>
    <row r="469" spans="1:29" ht="30.75" hidden="1" customHeight="1">
      <c r="A469" s="19">
        <v>93</v>
      </c>
      <c r="B469" s="1"/>
      <c r="U469" s="95"/>
      <c r="V469" s="569"/>
      <c r="W469" s="14"/>
      <c r="X469" s="7"/>
      <c r="Y469" s="7"/>
      <c r="Z469" s="7"/>
      <c r="AA469" s="7"/>
      <c r="AB469" s="7"/>
      <c r="AC469" s="7"/>
    </row>
    <row r="470" spans="1:29" ht="57" hidden="1" customHeight="1">
      <c r="A470" s="19">
        <v>94</v>
      </c>
      <c r="B470" s="1"/>
      <c r="U470" s="95"/>
      <c r="V470" s="569"/>
      <c r="W470" s="14"/>
      <c r="X470" s="7"/>
      <c r="Y470" s="7"/>
      <c r="Z470" s="7"/>
      <c r="AA470" s="7"/>
      <c r="AB470" s="7"/>
      <c r="AC470" s="7"/>
    </row>
    <row r="471" spans="1:29" ht="28.5" hidden="1" customHeight="1">
      <c r="A471" s="19">
        <v>95</v>
      </c>
      <c r="B471" s="1"/>
      <c r="U471" s="95"/>
      <c r="V471" s="569"/>
      <c r="W471" s="14"/>
      <c r="X471" s="7"/>
      <c r="Y471" s="7"/>
      <c r="Z471" s="7"/>
      <c r="AA471" s="7"/>
      <c r="AB471" s="7"/>
      <c r="AC471" s="7"/>
    </row>
    <row r="472" spans="1:29" ht="30.75" hidden="1" customHeight="1">
      <c r="A472" s="19">
        <v>96</v>
      </c>
      <c r="B472" s="1"/>
      <c r="U472" s="95"/>
      <c r="V472" s="569"/>
      <c r="W472" s="14"/>
      <c r="X472" s="7"/>
      <c r="Y472" s="7"/>
      <c r="Z472" s="7"/>
      <c r="AA472" s="7"/>
      <c r="AB472" s="7"/>
      <c r="AC472" s="7"/>
    </row>
    <row r="473" spans="1:29" ht="30" hidden="1" customHeight="1">
      <c r="A473" s="19">
        <v>97</v>
      </c>
      <c r="B473" s="1"/>
      <c r="U473" s="95"/>
      <c r="V473" s="569"/>
      <c r="W473" s="14"/>
      <c r="X473" s="7"/>
      <c r="Y473" s="7"/>
      <c r="Z473" s="7"/>
      <c r="AA473" s="7"/>
      <c r="AB473" s="7"/>
      <c r="AC473" s="7"/>
    </row>
    <row r="474" spans="1:29" ht="27.75" hidden="1" customHeight="1">
      <c r="A474" s="19">
        <v>98</v>
      </c>
      <c r="U474" s="95"/>
      <c r="V474" s="569"/>
      <c r="W474" s="14"/>
      <c r="X474" s="7"/>
      <c r="Y474" s="7"/>
      <c r="Z474" s="7"/>
      <c r="AA474" s="7"/>
      <c r="AB474" s="7"/>
      <c r="AC474" s="7"/>
    </row>
    <row r="475" spans="1:29" ht="25.5" hidden="1">
      <c r="A475" s="19">
        <v>99</v>
      </c>
      <c r="U475" s="95"/>
      <c r="V475" s="569"/>
      <c r="W475" s="14"/>
      <c r="X475" s="7"/>
      <c r="Y475" s="7"/>
      <c r="Z475" s="7"/>
      <c r="AA475" s="7"/>
      <c r="AB475" s="7"/>
      <c r="AC475" s="7"/>
    </row>
    <row r="476" spans="1:29" ht="25.5" hidden="1">
      <c r="A476" s="19">
        <v>100</v>
      </c>
      <c r="B476" s="148"/>
      <c r="C476" s="91"/>
      <c r="D476" s="91"/>
      <c r="E476" s="91"/>
      <c r="F476" s="91"/>
      <c r="G476" s="91"/>
      <c r="H476" s="91"/>
      <c r="I476" s="91"/>
      <c r="J476" s="22"/>
      <c r="K476" s="22"/>
      <c r="L476" s="22"/>
      <c r="M476" s="22"/>
      <c r="N476" s="22"/>
      <c r="O476" s="91"/>
      <c r="P476" s="91"/>
      <c r="Q476" s="7"/>
      <c r="R476" s="200"/>
      <c r="S476" s="151"/>
      <c r="T476" s="91">
        <f>(P476-O476)*S476</f>
        <v>0</v>
      </c>
      <c r="U476" s="95"/>
      <c r="V476" s="569"/>
      <c r="W476" s="14"/>
      <c r="X476" s="7"/>
      <c r="Y476" s="7"/>
      <c r="Z476" s="7"/>
      <c r="AA476" s="7"/>
      <c r="AB476" s="7"/>
      <c r="AC476" s="7"/>
    </row>
    <row r="477" spans="1:29" ht="28.5" hidden="1" customHeight="1">
      <c r="A477" s="19">
        <v>101</v>
      </c>
      <c r="U477" s="95"/>
      <c r="V477" s="569"/>
      <c r="W477" s="14"/>
      <c r="X477" s="7"/>
      <c r="Y477" s="7"/>
      <c r="Z477" s="7"/>
      <c r="AA477" s="7"/>
      <c r="AB477" s="7"/>
      <c r="AC477" s="7"/>
    </row>
    <row r="478" spans="1:29" ht="26.25" hidden="1" customHeight="1">
      <c r="A478" s="19">
        <v>102</v>
      </c>
      <c r="U478" s="95"/>
      <c r="V478" s="569"/>
      <c r="W478" s="14">
        <v>752.1</v>
      </c>
      <c r="X478" s="238">
        <v>809.71</v>
      </c>
      <c r="Y478" s="7"/>
      <c r="Z478" s="149"/>
      <c r="AA478" s="149"/>
      <c r="AB478" s="149"/>
      <c r="AC478" s="149"/>
    </row>
    <row r="479" spans="1:29" ht="27.75" hidden="1" customHeight="1">
      <c r="A479" s="19" t="s">
        <v>495</v>
      </c>
      <c r="U479" s="95"/>
      <c r="V479" s="569"/>
      <c r="W479" s="14"/>
      <c r="X479" s="7"/>
      <c r="Y479" s="7"/>
      <c r="Z479" s="149"/>
      <c r="AA479" s="149"/>
      <c r="AB479" s="149"/>
      <c r="AC479" s="149"/>
    </row>
    <row r="480" spans="1:29" ht="31.5" hidden="1" customHeight="1">
      <c r="A480" s="19" t="s">
        <v>496</v>
      </c>
      <c r="U480" s="95"/>
      <c r="V480" s="569"/>
      <c r="W480" s="14"/>
      <c r="X480" s="7"/>
      <c r="Y480" s="7"/>
      <c r="Z480" s="7"/>
      <c r="AA480" s="7"/>
      <c r="AB480" s="7"/>
      <c r="AC480" s="7"/>
    </row>
    <row r="481" spans="1:29" ht="27.75" hidden="1" customHeight="1">
      <c r="A481" s="19">
        <v>103</v>
      </c>
      <c r="U481" s="95"/>
      <c r="V481" s="569"/>
      <c r="W481" s="14"/>
      <c r="X481" s="7"/>
      <c r="Y481" s="7"/>
      <c r="Z481" s="7"/>
      <c r="AA481" s="7"/>
      <c r="AB481" s="7"/>
      <c r="AC481" s="7"/>
    </row>
    <row r="482" spans="1:29" ht="30" hidden="1" customHeight="1">
      <c r="A482" s="19">
        <v>104</v>
      </c>
      <c r="U482" s="95"/>
      <c r="V482" s="569"/>
      <c r="W482" s="14"/>
      <c r="X482" s="7"/>
      <c r="Y482" s="7"/>
      <c r="Z482" s="7"/>
      <c r="AA482" s="7"/>
      <c r="AB482" s="7"/>
      <c r="AC482" s="7"/>
    </row>
    <row r="483" spans="1:29" ht="102" hidden="1">
      <c r="A483" s="19" t="s">
        <v>497</v>
      </c>
      <c r="B483" s="148"/>
      <c r="C483" s="199"/>
      <c r="D483" s="91"/>
      <c r="E483" s="91"/>
      <c r="F483" s="91"/>
      <c r="G483" s="91"/>
      <c r="H483" s="91"/>
      <c r="I483" s="91"/>
      <c r="J483" s="22"/>
      <c r="K483" s="22"/>
      <c r="L483" s="22"/>
      <c r="M483" s="22"/>
      <c r="N483" s="22"/>
      <c r="O483" s="91"/>
      <c r="P483" s="91"/>
      <c r="Q483" s="7"/>
      <c r="R483" s="200"/>
      <c r="S483" s="151"/>
      <c r="T483" s="91"/>
      <c r="U483" s="95"/>
      <c r="V483" s="569"/>
      <c r="W483" s="14"/>
      <c r="X483" s="7"/>
      <c r="Y483" s="7"/>
      <c r="Z483" s="7"/>
      <c r="AA483" s="7"/>
      <c r="AB483" s="7"/>
      <c r="AC483" s="7"/>
    </row>
    <row r="484" spans="1:29" ht="26.25" hidden="1">
      <c r="A484" s="231">
        <v>105</v>
      </c>
      <c r="B484" s="1"/>
      <c r="U484" s="1"/>
      <c r="V484" s="1"/>
      <c r="W484" s="14" t="s">
        <v>498</v>
      </c>
      <c r="X484" s="7">
        <v>6652</v>
      </c>
      <c r="Y484" s="7">
        <v>11490</v>
      </c>
      <c r="Z484" s="7"/>
      <c r="AA484" s="7"/>
      <c r="AB484" s="7"/>
      <c r="AC484" s="7"/>
    </row>
    <row r="485" spans="1:29" ht="25.5" hidden="1" customHeight="1">
      <c r="A485" s="19">
        <v>107</v>
      </c>
      <c r="B485" s="1"/>
      <c r="U485" s="1"/>
      <c r="V485" s="1"/>
      <c r="W485" s="134"/>
      <c r="X485" s="149"/>
      <c r="Y485" s="149"/>
      <c r="Z485" s="7"/>
      <c r="AA485" s="7"/>
      <c r="AB485" s="7"/>
      <c r="AC485" s="7"/>
    </row>
    <row r="486" spans="1:29" ht="27" hidden="1" customHeight="1">
      <c r="A486" s="19" t="s">
        <v>499</v>
      </c>
      <c r="B486" s="1"/>
      <c r="U486" s="1"/>
      <c r="V486" s="1"/>
      <c r="W486" s="134"/>
      <c r="X486" s="149"/>
      <c r="Y486" s="149"/>
      <c r="Z486" s="7"/>
      <c r="AA486" s="7"/>
      <c r="AB486" s="7"/>
      <c r="AC486" s="7"/>
    </row>
    <row r="487" spans="1:29" ht="28.5" hidden="1" customHeight="1">
      <c r="A487" s="19">
        <v>108</v>
      </c>
      <c r="B487" s="1"/>
      <c r="U487" s="1"/>
      <c r="V487" s="1"/>
      <c r="W487" s="14"/>
      <c r="X487" s="7"/>
      <c r="Y487" s="7"/>
      <c r="Z487" s="7"/>
      <c r="AA487" s="7"/>
      <c r="AB487" s="7"/>
      <c r="AC487" s="7"/>
    </row>
    <row r="488" spans="1:29" ht="25.5" hidden="1" customHeight="1">
      <c r="A488" s="19">
        <v>109</v>
      </c>
      <c r="B488" s="148"/>
      <c r="C488" s="91"/>
      <c r="D488" s="91"/>
      <c r="E488" s="91"/>
      <c r="F488" s="91"/>
      <c r="G488" s="91"/>
      <c r="H488" s="91"/>
      <c r="I488" s="91"/>
      <c r="J488" s="22"/>
      <c r="K488" s="22"/>
      <c r="L488" s="22"/>
      <c r="M488" s="22"/>
      <c r="N488" s="22"/>
      <c r="O488" s="91"/>
      <c r="P488" s="91"/>
      <c r="Q488" s="7"/>
      <c r="R488" s="94"/>
      <c r="S488" s="151"/>
      <c r="T488" s="91"/>
      <c r="U488" s="95"/>
      <c r="V488" s="569"/>
      <c r="W488" s="14"/>
      <c r="X488" s="7"/>
      <c r="Y488" s="7"/>
      <c r="Z488" s="7"/>
      <c r="AA488" s="7"/>
      <c r="AB488" s="7"/>
      <c r="AC488" s="7"/>
    </row>
    <row r="489" spans="1:29" ht="6.75" hidden="1" customHeight="1">
      <c r="A489" s="19">
        <v>110</v>
      </c>
      <c r="B489" s="1"/>
      <c r="U489" s="1"/>
      <c r="V489" s="1"/>
      <c r="W489" s="14"/>
      <c r="X489" s="7"/>
      <c r="Y489" s="7"/>
      <c r="Z489" s="7"/>
      <c r="AA489" s="7"/>
      <c r="AB489" s="7"/>
      <c r="AC489" s="7"/>
    </row>
    <row r="490" spans="1:29" ht="25.5" hidden="1">
      <c r="A490" s="19"/>
      <c r="B490" s="148"/>
      <c r="C490" s="91"/>
      <c r="D490" s="91"/>
      <c r="E490" s="91"/>
      <c r="F490" s="91"/>
      <c r="G490" s="91"/>
      <c r="H490" s="91"/>
      <c r="I490" s="91"/>
      <c r="J490" s="22"/>
      <c r="K490" s="22"/>
      <c r="L490" s="22"/>
      <c r="M490" s="22"/>
      <c r="N490" s="22"/>
      <c r="O490" s="91"/>
      <c r="P490" s="91"/>
      <c r="Q490" s="22"/>
      <c r="R490" s="142"/>
      <c r="S490" s="151"/>
      <c r="T490" s="91"/>
      <c r="U490" s="95"/>
      <c r="V490" s="569"/>
      <c r="W490" s="14"/>
      <c r="X490" s="7"/>
      <c r="Y490" s="7"/>
      <c r="Z490" s="7"/>
      <c r="AA490" s="7"/>
      <c r="AB490" s="7"/>
      <c r="AC490" s="7"/>
    </row>
    <row r="491" spans="1:29" ht="27" hidden="1" customHeight="1">
      <c r="A491" s="231">
        <v>111</v>
      </c>
      <c r="B491" s="1"/>
      <c r="U491" s="1"/>
      <c r="V491" s="1"/>
      <c r="W491" s="14"/>
      <c r="X491" s="7"/>
      <c r="Y491" s="7"/>
      <c r="Z491" s="7"/>
      <c r="AA491" s="7"/>
      <c r="AB491" s="7"/>
      <c r="AC491" s="7"/>
    </row>
    <row r="492" spans="1:29" ht="26.25" hidden="1">
      <c r="A492" s="231"/>
      <c r="B492" s="90"/>
      <c r="C492" s="91"/>
      <c r="D492" s="115"/>
      <c r="E492" s="115"/>
      <c r="F492" s="115"/>
      <c r="G492" s="115"/>
      <c r="H492" s="115"/>
      <c r="I492" s="115"/>
      <c r="J492" s="164"/>
      <c r="K492" s="164"/>
      <c r="L492" s="164"/>
      <c r="M492" s="164"/>
      <c r="N492" s="164"/>
      <c r="O492" s="91"/>
      <c r="P492" s="91"/>
      <c r="Q492" s="22"/>
      <c r="R492" s="142"/>
      <c r="S492" s="151"/>
      <c r="T492" s="91"/>
      <c r="U492" s="95"/>
      <c r="V492" s="569"/>
      <c r="W492" s="14"/>
      <c r="X492" s="7"/>
      <c r="Y492" s="7"/>
      <c r="Z492" s="7"/>
      <c r="AA492" s="7"/>
      <c r="AB492" s="7"/>
      <c r="AC492" s="7"/>
    </row>
    <row r="493" spans="1:29" ht="25.5" hidden="1">
      <c r="A493" s="19">
        <v>112</v>
      </c>
      <c r="B493" s="148"/>
      <c r="C493" s="91"/>
      <c r="D493" s="91"/>
      <c r="E493" s="91"/>
      <c r="F493" s="91"/>
      <c r="G493" s="91"/>
      <c r="H493" s="91"/>
      <c r="I493" s="91"/>
      <c r="J493" s="22"/>
      <c r="K493" s="22"/>
      <c r="L493" s="22"/>
      <c r="M493" s="22"/>
      <c r="N493" s="22"/>
      <c r="O493" s="91"/>
      <c r="P493" s="91"/>
      <c r="Q493" s="22"/>
      <c r="R493" s="142"/>
      <c r="S493" s="151"/>
      <c r="T493" s="91"/>
      <c r="U493" s="95"/>
      <c r="V493" s="569"/>
      <c r="W493" s="14"/>
      <c r="X493" s="7"/>
      <c r="Y493" s="7"/>
      <c r="Z493" s="7"/>
      <c r="AA493" s="7"/>
      <c r="AB493" s="7"/>
      <c r="AC493" s="7"/>
    </row>
    <row r="494" spans="1:29" ht="25.5" hidden="1">
      <c r="A494" s="19">
        <v>113</v>
      </c>
      <c r="B494" s="148"/>
      <c r="C494" s="91"/>
      <c r="D494" s="91"/>
      <c r="E494" s="91"/>
      <c r="F494" s="91"/>
      <c r="G494" s="91"/>
      <c r="H494" s="91"/>
      <c r="I494" s="91"/>
      <c r="J494" s="22"/>
      <c r="K494" s="22"/>
      <c r="L494" s="22"/>
      <c r="M494" s="22"/>
      <c r="N494" s="22"/>
      <c r="O494" s="91"/>
      <c r="P494" s="91"/>
      <c r="Q494" s="149"/>
      <c r="R494" s="161"/>
      <c r="S494" s="151"/>
      <c r="T494" s="91"/>
      <c r="U494" s="95"/>
      <c r="V494" s="569"/>
      <c r="W494" s="14"/>
      <c r="X494" s="7"/>
      <c r="Y494" s="7"/>
      <c r="Z494" s="7"/>
      <c r="AA494" s="7"/>
      <c r="AB494" s="7"/>
      <c r="AC494" s="7"/>
    </row>
    <row r="495" spans="1:29" ht="25.5" hidden="1">
      <c r="A495" s="19">
        <v>114</v>
      </c>
      <c r="B495" s="148"/>
      <c r="C495" s="91"/>
      <c r="D495" s="91"/>
      <c r="E495" s="91"/>
      <c r="F495" s="91"/>
      <c r="G495" s="91"/>
      <c r="H495" s="91"/>
      <c r="I495" s="91"/>
      <c r="J495" s="22"/>
      <c r="K495" s="22"/>
      <c r="L495" s="22"/>
      <c r="M495" s="22"/>
      <c r="N495" s="22"/>
      <c r="O495" s="91"/>
      <c r="P495" s="91"/>
      <c r="Q495" s="149"/>
      <c r="R495" s="161"/>
      <c r="S495" s="151"/>
      <c r="T495" s="91"/>
      <c r="U495" s="95"/>
      <c r="V495" s="569"/>
      <c r="W495" s="14"/>
      <c r="X495" s="7"/>
      <c r="Y495" s="7"/>
      <c r="Z495" s="7"/>
      <c r="AA495" s="7"/>
      <c r="AB495" s="7"/>
      <c r="AC495" s="7"/>
    </row>
    <row r="496" spans="1:29" ht="34.5" hidden="1" customHeight="1">
      <c r="A496" s="19">
        <v>115</v>
      </c>
      <c r="B496" s="1"/>
      <c r="U496" s="1"/>
      <c r="V496" s="1"/>
      <c r="W496" s="14">
        <f>20035+15857+13968</f>
        <v>49860</v>
      </c>
      <c r="X496" s="239">
        <f>27786+1606</f>
        <v>29392</v>
      </c>
      <c r="Y496" s="7"/>
      <c r="Z496" s="7"/>
      <c r="AA496" s="7"/>
      <c r="AB496" s="7"/>
      <c r="AC496" s="7"/>
    </row>
    <row r="497" spans="1:29" ht="25.5" hidden="1">
      <c r="A497" s="19">
        <v>116</v>
      </c>
      <c r="B497" s="148"/>
      <c r="C497" s="91"/>
      <c r="D497" s="91"/>
      <c r="E497" s="91"/>
      <c r="F497" s="91"/>
      <c r="G497" s="91"/>
      <c r="H497" s="91"/>
      <c r="I497" s="91"/>
      <c r="J497" s="22"/>
      <c r="K497" s="22"/>
      <c r="L497" s="22"/>
      <c r="M497" s="22"/>
      <c r="N497" s="22"/>
      <c r="O497" s="91"/>
      <c r="P497" s="91"/>
      <c r="Q497" s="22"/>
      <c r="R497" s="142"/>
      <c r="S497" s="151"/>
      <c r="T497" s="91"/>
      <c r="U497" s="95"/>
      <c r="V497" s="569"/>
      <c r="W497" s="14"/>
      <c r="X497" s="7"/>
      <c r="Y497" s="7"/>
      <c r="Z497" s="7"/>
      <c r="AA497" s="7"/>
      <c r="AB497" s="7"/>
      <c r="AC497" s="7"/>
    </row>
    <row r="498" spans="1:29" ht="25.5" hidden="1">
      <c r="A498" s="19">
        <v>117</v>
      </c>
      <c r="B498" s="1"/>
      <c r="U498" s="1"/>
      <c r="V498" s="1"/>
      <c r="W498" s="14"/>
      <c r="X498" s="7"/>
      <c r="Y498" s="7"/>
      <c r="Z498" s="7"/>
      <c r="AA498" s="7"/>
      <c r="AB498" s="7"/>
      <c r="AC498" s="7"/>
    </row>
    <row r="499" spans="1:29" ht="30.75" hidden="1" customHeight="1">
      <c r="A499" s="19">
        <v>118</v>
      </c>
      <c r="U499" s="95"/>
      <c r="V499" s="569"/>
      <c r="W499" s="14"/>
      <c r="X499" s="7"/>
      <c r="Y499" s="7"/>
      <c r="Z499" s="7"/>
      <c r="AA499" s="7"/>
      <c r="AB499" s="7"/>
      <c r="AC499" s="7"/>
    </row>
    <row r="500" spans="1:29" ht="25.5" hidden="1">
      <c r="A500" s="19">
        <v>119</v>
      </c>
      <c r="B500" s="1"/>
      <c r="U500" s="95"/>
      <c r="V500" s="569"/>
      <c r="W500" s="14"/>
      <c r="X500" s="7"/>
      <c r="Y500" s="7"/>
      <c r="Z500" s="7"/>
      <c r="AA500" s="7"/>
      <c r="AB500" s="7"/>
      <c r="AC500" s="7"/>
    </row>
    <row r="501" spans="1:29" ht="25.5" hidden="1">
      <c r="A501" s="19">
        <v>120</v>
      </c>
      <c r="B501" s="148"/>
      <c r="C501" s="91"/>
      <c r="D501" s="91"/>
      <c r="E501" s="91"/>
      <c r="F501" s="91"/>
      <c r="G501" s="91"/>
      <c r="H501" s="91"/>
      <c r="I501" s="91"/>
      <c r="J501" s="22"/>
      <c r="K501" s="22"/>
      <c r="L501" s="22"/>
      <c r="M501" s="22"/>
      <c r="N501" s="22"/>
      <c r="O501" s="91"/>
      <c r="P501" s="91"/>
      <c r="Q501" s="7"/>
      <c r="R501" s="200"/>
      <c r="S501" s="151"/>
      <c r="T501" s="91"/>
      <c r="U501" s="95"/>
      <c r="V501" s="569"/>
      <c r="W501" s="14"/>
      <c r="X501" s="7"/>
      <c r="Y501" s="7"/>
      <c r="Z501" s="7"/>
      <c r="AA501" s="7"/>
      <c r="AB501" s="7"/>
      <c r="AC501" s="7"/>
    </row>
    <row r="502" spans="1:29" ht="25.5" hidden="1">
      <c r="A502" s="19"/>
      <c r="B502" s="148"/>
      <c r="C502" s="91"/>
      <c r="D502" s="91"/>
      <c r="E502" s="91"/>
      <c r="F502" s="91"/>
      <c r="G502" s="91"/>
      <c r="H502" s="91"/>
      <c r="I502" s="91"/>
      <c r="J502" s="22"/>
      <c r="K502" s="22"/>
      <c r="L502" s="22"/>
      <c r="M502" s="22"/>
      <c r="N502" s="22"/>
      <c r="O502" s="91"/>
      <c r="P502" s="91"/>
      <c r="Q502" s="7"/>
      <c r="R502" s="200"/>
      <c r="S502" s="151"/>
      <c r="T502" s="91"/>
      <c r="U502" s="95"/>
      <c r="V502" s="569"/>
      <c r="W502" s="14"/>
      <c r="X502" s="7"/>
      <c r="Y502" s="7"/>
      <c r="Z502" s="7"/>
      <c r="AA502" s="7"/>
      <c r="AB502" s="7"/>
      <c r="AC502" s="7"/>
    </row>
    <row r="503" spans="1:29" ht="29.25" hidden="1" customHeight="1">
      <c r="A503" s="19">
        <v>121</v>
      </c>
      <c r="U503" s="95"/>
      <c r="V503" s="569"/>
      <c r="W503" s="14"/>
      <c r="X503" s="7"/>
      <c r="Y503" s="7"/>
      <c r="Z503" s="7"/>
      <c r="AA503" s="7"/>
      <c r="AB503" s="7"/>
      <c r="AC503" s="7"/>
    </row>
    <row r="504" spans="1:29" ht="25.5" hidden="1">
      <c r="A504" s="19">
        <v>122</v>
      </c>
      <c r="B504" s="148"/>
      <c r="C504" s="91"/>
      <c r="D504" s="91"/>
      <c r="E504" s="91"/>
      <c r="F504" s="91"/>
      <c r="G504" s="91"/>
      <c r="H504" s="91"/>
      <c r="I504" s="91"/>
      <c r="J504" s="22"/>
      <c r="K504" s="22"/>
      <c r="L504" s="22"/>
      <c r="M504" s="22"/>
      <c r="N504" s="22"/>
      <c r="O504" s="91"/>
      <c r="P504" s="91"/>
      <c r="Q504" s="122"/>
      <c r="R504" s="173"/>
      <c r="S504" s="151"/>
      <c r="T504" s="91"/>
      <c r="U504" s="95"/>
      <c r="V504" s="569"/>
      <c r="W504" s="14"/>
      <c r="X504" s="7"/>
      <c r="Y504" s="7"/>
      <c r="Z504" s="7"/>
      <c r="AA504" s="7"/>
      <c r="AB504" s="7"/>
      <c r="AC504" s="7"/>
    </row>
    <row r="505" spans="1:29" ht="36" hidden="1" customHeight="1">
      <c r="A505" s="19">
        <v>123</v>
      </c>
      <c r="B505" s="1"/>
      <c r="U505" s="1"/>
      <c r="V505" s="1"/>
      <c r="W505" s="14"/>
      <c r="X505" s="7"/>
      <c r="Y505" s="7"/>
      <c r="Z505" s="7"/>
      <c r="AA505" s="7"/>
      <c r="AB505" s="7"/>
      <c r="AC505" s="7"/>
    </row>
    <row r="506" spans="1:29" ht="25.5" hidden="1">
      <c r="A506" s="19"/>
      <c r="B506" s="1"/>
      <c r="U506" s="1"/>
      <c r="V506" s="1"/>
      <c r="W506" s="14"/>
      <c r="X506" s="7"/>
      <c r="Y506" s="7"/>
      <c r="Z506" s="7"/>
      <c r="AA506" s="7"/>
      <c r="AB506" s="7"/>
      <c r="AC506" s="7"/>
    </row>
    <row r="507" spans="1:29" ht="25.5" hidden="1">
      <c r="A507" s="19">
        <v>124</v>
      </c>
      <c r="B507" s="1"/>
      <c r="U507" s="95"/>
      <c r="V507" s="569"/>
      <c r="W507" s="14"/>
      <c r="X507" s="7"/>
      <c r="Y507" s="7"/>
      <c r="Z507" s="7"/>
      <c r="AA507" s="7"/>
      <c r="AB507" s="7"/>
      <c r="AC507" s="7"/>
    </row>
    <row r="508" spans="1:29" ht="25.5" hidden="1">
      <c r="A508" s="19">
        <v>125</v>
      </c>
      <c r="B508" s="148"/>
      <c r="C508" s="91"/>
      <c r="D508" s="91"/>
      <c r="E508" s="91"/>
      <c r="F508" s="91"/>
      <c r="G508" s="91"/>
      <c r="H508" s="91"/>
      <c r="I508" s="91"/>
      <c r="J508" s="22"/>
      <c r="K508" s="22"/>
      <c r="L508" s="22"/>
      <c r="M508" s="22"/>
      <c r="N508" s="22"/>
      <c r="O508" s="91"/>
      <c r="P508" s="91"/>
      <c r="Q508" s="7"/>
      <c r="R508" s="94"/>
      <c r="S508" s="151"/>
      <c r="T508" s="91"/>
      <c r="U508" s="95"/>
      <c r="V508" s="569"/>
      <c r="W508" s="14"/>
      <c r="X508" s="7"/>
      <c r="Y508" s="7"/>
      <c r="Z508" s="7"/>
      <c r="AA508" s="7"/>
      <c r="AB508" s="7"/>
      <c r="AC508" s="7"/>
    </row>
    <row r="509" spans="1:29" ht="20.25" hidden="1">
      <c r="B509" s="1"/>
      <c r="U509" s="1"/>
      <c r="V509" s="1"/>
      <c r="W509" s="14"/>
      <c r="X509" s="7"/>
      <c r="Y509" s="7"/>
      <c r="Z509" s="7"/>
      <c r="AA509" s="7"/>
      <c r="AB509" s="7"/>
      <c r="AC509" s="7"/>
    </row>
    <row r="510" spans="1:29" ht="30" hidden="1" customHeight="1">
      <c r="A510" s="19">
        <v>127</v>
      </c>
      <c r="B510" s="148"/>
      <c r="C510" s="91"/>
      <c r="D510" s="91"/>
      <c r="E510" s="91"/>
      <c r="F510" s="91"/>
      <c r="G510" s="91"/>
      <c r="H510" s="91"/>
      <c r="I510" s="91"/>
      <c r="J510" s="22"/>
      <c r="K510" s="22"/>
      <c r="L510" s="22"/>
      <c r="M510" s="22"/>
      <c r="N510" s="22"/>
      <c r="O510" s="91"/>
      <c r="P510" s="91"/>
      <c r="Q510" s="7"/>
      <c r="R510" s="94"/>
      <c r="S510" s="151"/>
      <c r="T510" s="91"/>
      <c r="U510" s="95"/>
      <c r="V510" s="569"/>
      <c r="W510" s="14"/>
      <c r="X510" s="7"/>
      <c r="Y510" s="7"/>
      <c r="Z510" s="7"/>
      <c r="AA510" s="7"/>
      <c r="AB510" s="7"/>
      <c r="AC510" s="7"/>
    </row>
    <row r="511" spans="1:29" ht="25.5" hidden="1">
      <c r="A511" s="19"/>
      <c r="B511" s="148"/>
      <c r="C511" s="91"/>
      <c r="D511" s="91"/>
      <c r="E511" s="91"/>
      <c r="F511" s="91"/>
      <c r="G511" s="91"/>
      <c r="H511" s="91"/>
      <c r="I511" s="91"/>
      <c r="J511" s="22"/>
      <c r="K511" s="22"/>
      <c r="L511" s="22"/>
      <c r="M511" s="22"/>
      <c r="N511" s="22"/>
      <c r="O511" s="91"/>
      <c r="P511" s="91"/>
      <c r="Q511" s="22"/>
      <c r="R511" s="142"/>
      <c r="S511" s="151"/>
      <c r="T511" s="91"/>
      <c r="U511" s="95"/>
      <c r="V511" s="569"/>
      <c r="W511" s="14"/>
      <c r="X511" s="7"/>
      <c r="Y511" s="7"/>
      <c r="Z511" s="7"/>
      <c r="AA511" s="7"/>
      <c r="AB511" s="7"/>
      <c r="AC511" s="7"/>
    </row>
    <row r="512" spans="1:29" ht="24.75" hidden="1" customHeight="1">
      <c r="A512" s="19">
        <v>129</v>
      </c>
      <c r="U512" s="95"/>
      <c r="V512" s="569"/>
      <c r="W512" s="14"/>
      <c r="X512" s="7"/>
      <c r="Y512" s="7"/>
      <c r="Z512" s="7"/>
      <c r="AA512" s="7"/>
      <c r="AB512" s="7"/>
      <c r="AC512" s="7"/>
    </row>
    <row r="513" spans="1:29" ht="27.75" hidden="1" customHeight="1">
      <c r="A513" s="19">
        <v>130</v>
      </c>
      <c r="B513" s="1"/>
      <c r="U513" s="95"/>
      <c r="V513" s="569"/>
      <c r="W513" s="14"/>
      <c r="X513" s="7"/>
      <c r="Y513" s="7"/>
      <c r="Z513" s="7"/>
      <c r="AA513" s="7"/>
      <c r="AB513" s="7"/>
      <c r="AC513" s="7"/>
    </row>
    <row r="514" spans="1:29" ht="19.5" hidden="1" customHeight="1">
      <c r="A514" s="19">
        <v>131</v>
      </c>
      <c r="B514" s="1"/>
      <c r="U514" s="1"/>
      <c r="V514" s="1"/>
      <c r="W514" s="14"/>
      <c r="X514" s="7"/>
      <c r="Y514" s="7"/>
      <c r="Z514" s="7"/>
      <c r="AA514" s="7"/>
      <c r="AB514" s="7"/>
      <c r="AC514" s="7"/>
    </row>
    <row r="515" spans="1:29" ht="25.5" hidden="1">
      <c r="A515" s="19"/>
      <c r="B515" s="1"/>
      <c r="U515" s="1"/>
      <c r="V515" s="1"/>
      <c r="W515" s="14"/>
      <c r="X515" s="7"/>
      <c r="Y515" s="7"/>
      <c r="Z515" s="7"/>
      <c r="AA515" s="7"/>
      <c r="AB515" s="7"/>
      <c r="AC515" s="7"/>
    </row>
    <row r="516" spans="1:29" ht="25.5" hidden="1">
      <c r="A516" s="19">
        <v>132</v>
      </c>
      <c r="U516" s="95"/>
      <c r="V516" s="569"/>
      <c r="W516" s="14"/>
      <c r="X516" s="7"/>
      <c r="Y516" s="7"/>
      <c r="Z516" s="7"/>
      <c r="AA516" s="7"/>
      <c r="AB516" s="7"/>
      <c r="AC516" s="7"/>
    </row>
    <row r="517" spans="1:29" ht="102" hidden="1">
      <c r="A517" s="19" t="s">
        <v>500</v>
      </c>
      <c r="U517" s="95"/>
      <c r="V517" s="569"/>
      <c r="W517" s="14"/>
      <c r="X517" s="7"/>
      <c r="Y517" s="7"/>
      <c r="Z517" s="7"/>
      <c r="AA517" s="7"/>
      <c r="AB517" s="7"/>
      <c r="AC517" s="7"/>
    </row>
    <row r="518" spans="1:29" ht="27" hidden="1">
      <c r="A518" s="135">
        <v>133</v>
      </c>
      <c r="B518" s="1"/>
      <c r="U518" s="1"/>
      <c r="V518" s="1"/>
      <c r="W518" s="14">
        <v>144.63999999999999</v>
      </c>
      <c r="X518" s="240">
        <v>166.05</v>
      </c>
      <c r="Y518" s="7"/>
      <c r="Z518" s="7"/>
      <c r="AA518" s="7"/>
      <c r="AB518" s="7"/>
      <c r="AC518" s="7"/>
    </row>
    <row r="519" spans="1:29" ht="25.5" hidden="1">
      <c r="A519" s="19">
        <v>134</v>
      </c>
      <c r="B519" s="1"/>
      <c r="U519" s="1"/>
      <c r="V519" s="1"/>
      <c r="W519" s="14"/>
      <c r="X519" s="7"/>
      <c r="Y519" s="7"/>
      <c r="Z519" s="7"/>
      <c r="AA519" s="7"/>
      <c r="AB519" s="7"/>
      <c r="AC519" s="7"/>
    </row>
    <row r="520" spans="1:29" ht="34.5" hidden="1" customHeight="1">
      <c r="A520" s="19" t="s">
        <v>501</v>
      </c>
      <c r="B520" s="1"/>
      <c r="U520" s="1"/>
      <c r="V520" s="1"/>
      <c r="W520" s="14"/>
      <c r="X520" s="7"/>
      <c r="Y520" s="7"/>
      <c r="Z520" s="7"/>
      <c r="AA520" s="7"/>
      <c r="AB520" s="7"/>
      <c r="AC520" s="7"/>
    </row>
    <row r="521" spans="1:29" ht="25.5" hidden="1" customHeight="1">
      <c r="A521" s="19" t="s">
        <v>502</v>
      </c>
      <c r="B521" s="1"/>
      <c r="U521" s="1"/>
      <c r="V521" s="1"/>
      <c r="W521" s="14"/>
      <c r="X521" s="7"/>
      <c r="Y521" s="7"/>
      <c r="Z521" s="7"/>
      <c r="AA521" s="7"/>
      <c r="AB521" s="7"/>
      <c r="AC521" s="7"/>
    </row>
    <row r="522" spans="1:29" ht="34.5" hidden="1" customHeight="1">
      <c r="A522" s="19" t="s">
        <v>503</v>
      </c>
      <c r="B522" s="148"/>
      <c r="C522" s="124"/>
      <c r="D522" s="124"/>
      <c r="E522" s="124"/>
      <c r="F522" s="124"/>
      <c r="G522" s="124"/>
      <c r="H522" s="124"/>
      <c r="I522" s="124"/>
      <c r="J522" s="126"/>
      <c r="K522" s="126"/>
      <c r="L522" s="126"/>
      <c r="M522" s="126"/>
      <c r="N522" s="126"/>
      <c r="O522" s="241"/>
      <c r="P522" s="241"/>
      <c r="Q522" s="7"/>
      <c r="R522" s="242"/>
      <c r="S522" s="140"/>
      <c r="T522" s="124"/>
      <c r="U522" s="127"/>
      <c r="V522" s="128"/>
      <c r="W522" s="14"/>
      <c r="X522" s="7"/>
      <c r="Y522" s="7"/>
      <c r="Z522" s="7"/>
      <c r="AA522" s="7"/>
      <c r="AB522" s="7"/>
      <c r="AC522" s="7"/>
    </row>
    <row r="523" spans="1:29" ht="102" hidden="1">
      <c r="A523" s="19" t="s">
        <v>504</v>
      </c>
      <c r="B523" s="1"/>
      <c r="U523" s="1"/>
      <c r="V523" s="1"/>
      <c r="W523" s="14"/>
      <c r="X523" s="7"/>
      <c r="Y523" s="7"/>
      <c r="Z523" s="7"/>
      <c r="AA523" s="7"/>
      <c r="AB523" s="7"/>
      <c r="AC523" s="7"/>
    </row>
    <row r="524" spans="1:29" ht="26.25" hidden="1">
      <c r="A524" s="19"/>
      <c r="B524" s="243"/>
      <c r="C524" s="124"/>
      <c r="D524" s="91"/>
      <c r="E524" s="124"/>
      <c r="F524" s="124"/>
      <c r="G524" s="124"/>
      <c r="H524" s="124"/>
      <c r="I524" s="124"/>
      <c r="J524" s="244"/>
      <c r="K524" s="244"/>
      <c r="L524" s="244"/>
      <c r="M524" s="244"/>
      <c r="N524" s="244"/>
      <c r="O524" s="115"/>
      <c r="P524" s="115"/>
      <c r="Q524" s="245"/>
      <c r="R524" s="246"/>
      <c r="S524" s="140"/>
      <c r="T524" s="124"/>
      <c r="U524" s="127"/>
      <c r="V524" s="128"/>
      <c r="W524" s="14"/>
      <c r="X524" s="7"/>
      <c r="Y524" s="7"/>
      <c r="Z524" s="7"/>
      <c r="AA524" s="7"/>
      <c r="AB524" s="7"/>
      <c r="AC524" s="7"/>
    </row>
    <row r="525" spans="1:29" ht="26.25" hidden="1">
      <c r="A525" s="135">
        <v>135</v>
      </c>
      <c r="B525" s="1"/>
      <c r="U525" s="1"/>
      <c r="V525" s="1"/>
      <c r="W525" s="14">
        <v>1687</v>
      </c>
      <c r="X525" s="48">
        <v>1800</v>
      </c>
      <c r="Y525" s="48">
        <v>60</v>
      </c>
      <c r="Z525" s="48">
        <f>(X525-W525)*Y525</f>
        <v>6780</v>
      </c>
      <c r="AA525" s="48"/>
      <c r="AB525" s="7"/>
      <c r="AC525" s="7"/>
    </row>
    <row r="526" spans="1:29" ht="30" hidden="1" customHeight="1">
      <c r="A526" s="19" t="s">
        <v>505</v>
      </c>
      <c r="B526" s="1"/>
      <c r="U526" s="95"/>
      <c r="V526" s="569"/>
      <c r="W526" s="14"/>
      <c r="X526" s="7"/>
      <c r="Y526" s="7"/>
      <c r="Z526" s="7"/>
      <c r="AA526" s="7"/>
      <c r="AB526" s="7"/>
      <c r="AC526" s="7"/>
    </row>
    <row r="527" spans="1:29" ht="30" hidden="1" customHeight="1">
      <c r="A527" s="19" t="s">
        <v>506</v>
      </c>
      <c r="U527" s="95"/>
      <c r="V527" s="569"/>
      <c r="W527" s="14"/>
      <c r="X527" s="7"/>
      <c r="Y527" s="7"/>
      <c r="Z527" s="7"/>
      <c r="AA527" s="7"/>
      <c r="AB527" s="7"/>
      <c r="AC527" s="7"/>
    </row>
    <row r="528" spans="1:29" ht="30" hidden="1" customHeight="1">
      <c r="A528" s="19" t="s">
        <v>507</v>
      </c>
      <c r="U528" s="95"/>
      <c r="V528" s="569"/>
      <c r="W528" s="14"/>
      <c r="X528" s="7"/>
      <c r="Y528" s="7"/>
      <c r="Z528" s="7"/>
      <c r="AA528" s="7"/>
      <c r="AB528" s="7"/>
      <c r="AC528" s="7"/>
    </row>
    <row r="529" spans="1:29" ht="30" hidden="1" customHeight="1">
      <c r="A529" s="19" t="s">
        <v>508</v>
      </c>
      <c r="U529" s="95"/>
      <c r="V529" s="569"/>
      <c r="W529" s="14"/>
      <c r="X529" s="7"/>
      <c r="Y529" s="7"/>
      <c r="Z529" s="7"/>
      <c r="AA529" s="7"/>
      <c r="AB529" s="7"/>
      <c r="AC529" s="7"/>
    </row>
    <row r="530" spans="1:29" ht="30" hidden="1" customHeight="1">
      <c r="A530" s="19" t="s">
        <v>509</v>
      </c>
      <c r="U530" s="95"/>
      <c r="V530" s="569"/>
      <c r="W530" s="14"/>
      <c r="X530" s="7"/>
      <c r="Y530" s="7"/>
      <c r="Z530" s="7"/>
      <c r="AA530" s="7"/>
      <c r="AB530" s="7"/>
      <c r="AC530" s="7"/>
    </row>
    <row r="531" spans="1:29" ht="30" hidden="1" customHeight="1">
      <c r="A531" s="19" t="s">
        <v>510</v>
      </c>
      <c r="U531" s="95"/>
      <c r="V531" s="569"/>
      <c r="W531" s="14"/>
      <c r="X531" s="7"/>
      <c r="Y531" s="7"/>
      <c r="Z531" s="7"/>
      <c r="AA531" s="7"/>
      <c r="AB531" s="7"/>
      <c r="AC531" s="7"/>
    </row>
    <row r="532" spans="1:29" ht="30" hidden="1" customHeight="1">
      <c r="A532" s="19" t="s">
        <v>511</v>
      </c>
      <c r="U532" s="95"/>
      <c r="V532" s="569"/>
      <c r="W532" s="14"/>
      <c r="X532" s="7"/>
      <c r="Y532" s="7"/>
      <c r="Z532" s="7"/>
      <c r="AA532" s="7"/>
      <c r="AB532" s="7"/>
      <c r="AC532" s="7"/>
    </row>
    <row r="533" spans="1:29" ht="30" hidden="1" customHeight="1">
      <c r="A533" s="19" t="s">
        <v>512</v>
      </c>
      <c r="U533" s="95"/>
      <c r="V533" s="569"/>
      <c r="W533" s="14"/>
      <c r="X533" s="7"/>
      <c r="Y533" s="7"/>
      <c r="Z533" s="7"/>
      <c r="AA533" s="7"/>
      <c r="AB533" s="7"/>
      <c r="AC533" s="7"/>
    </row>
    <row r="534" spans="1:29" ht="30" hidden="1" customHeight="1">
      <c r="A534" s="19" t="s">
        <v>513</v>
      </c>
      <c r="U534" s="95"/>
      <c r="V534" s="569"/>
      <c r="W534" s="14"/>
      <c r="X534" s="7"/>
      <c r="Y534" s="7"/>
      <c r="Z534" s="7"/>
      <c r="AA534" s="7"/>
      <c r="AB534" s="7"/>
      <c r="AC534" s="7"/>
    </row>
    <row r="535" spans="1:29" ht="28.5" hidden="1" customHeight="1">
      <c r="A535" s="19" t="s">
        <v>514</v>
      </c>
      <c r="U535" s="95"/>
      <c r="V535" s="569"/>
      <c r="W535" s="14"/>
      <c r="X535" s="7"/>
      <c r="Y535" s="7"/>
      <c r="Z535" s="7"/>
      <c r="AA535" s="7"/>
      <c r="AB535" s="7"/>
      <c r="AC535" s="7"/>
    </row>
    <row r="536" spans="1:29" ht="28.5" hidden="1" customHeight="1">
      <c r="A536" s="19"/>
      <c r="B536" s="148"/>
      <c r="C536" s="91"/>
      <c r="D536" s="91"/>
      <c r="E536" s="91"/>
      <c r="F536" s="91"/>
      <c r="G536" s="91"/>
      <c r="H536" s="91"/>
      <c r="I536" s="91"/>
      <c r="J536" s="22"/>
      <c r="K536" s="22"/>
      <c r="L536" s="22"/>
      <c r="M536" s="22"/>
      <c r="N536" s="22"/>
      <c r="O536" s="91"/>
      <c r="P536" s="91"/>
      <c r="Q536" s="7"/>
      <c r="R536" s="94"/>
      <c r="S536" s="151"/>
      <c r="T536" s="91"/>
      <c r="U536" s="95"/>
      <c r="V536" s="569"/>
      <c r="W536" s="14"/>
      <c r="X536" s="7"/>
      <c r="Y536" s="7"/>
      <c r="Z536" s="7"/>
      <c r="AA536" s="7"/>
      <c r="AB536" s="7"/>
      <c r="AC536" s="7"/>
    </row>
    <row r="537" spans="1:29" ht="25.5" hidden="1">
      <c r="A537" s="19">
        <v>137</v>
      </c>
      <c r="B537" s="1"/>
      <c r="U537" s="1"/>
      <c r="V537" s="1"/>
      <c r="W537" s="14"/>
      <c r="X537" s="7"/>
      <c r="Y537" s="7"/>
      <c r="Z537" s="7"/>
      <c r="AA537" s="7"/>
      <c r="AB537" s="7"/>
      <c r="AC537" s="7"/>
    </row>
    <row r="538" spans="1:29" ht="26.25" hidden="1" customHeight="1">
      <c r="A538" s="19">
        <v>138</v>
      </c>
      <c r="B538" s="1"/>
      <c r="U538" s="95"/>
      <c r="V538" s="569"/>
      <c r="W538" s="14"/>
      <c r="X538" s="7"/>
      <c r="Y538" s="7"/>
      <c r="Z538" s="7"/>
      <c r="AA538" s="7"/>
      <c r="AB538" s="7"/>
      <c r="AC538" s="7"/>
    </row>
    <row r="539" spans="1:29" ht="48" hidden="1" customHeight="1">
      <c r="A539" s="19">
        <v>139</v>
      </c>
      <c r="B539" s="1"/>
      <c r="U539" s="1"/>
      <c r="V539" s="1"/>
      <c r="W539" s="14"/>
      <c r="X539" s="7"/>
      <c r="Y539" s="7"/>
      <c r="Z539" s="7"/>
      <c r="AA539" s="7"/>
      <c r="AB539" s="7"/>
      <c r="AC539" s="7"/>
    </row>
    <row r="540" spans="1:29" ht="30" hidden="1" customHeight="1">
      <c r="A540" s="19" t="s">
        <v>515</v>
      </c>
      <c r="B540" s="1"/>
      <c r="U540" s="1"/>
      <c r="V540" s="1"/>
      <c r="W540" s="14"/>
      <c r="X540" s="7"/>
      <c r="Y540" s="7"/>
      <c r="Z540" s="7"/>
      <c r="AA540" s="7"/>
      <c r="AB540" s="7"/>
      <c r="AC540" s="7"/>
    </row>
    <row r="541" spans="1:29" ht="31.5" hidden="1" customHeight="1">
      <c r="A541" s="19">
        <v>140</v>
      </c>
      <c r="U541" s="95"/>
      <c r="V541" s="569"/>
      <c r="W541" s="14"/>
      <c r="X541" s="7"/>
      <c r="Y541" s="7"/>
      <c r="Z541" s="7"/>
      <c r="AA541" s="7"/>
      <c r="AB541" s="7"/>
      <c r="AC541" s="7"/>
    </row>
    <row r="542" spans="1:29" ht="28.5" hidden="1" customHeight="1">
      <c r="A542" s="19">
        <v>141</v>
      </c>
      <c r="B542" s="1"/>
      <c r="U542" s="1"/>
      <c r="V542" s="1"/>
      <c r="W542" s="14"/>
      <c r="X542" s="7"/>
      <c r="Y542" s="7"/>
      <c r="Z542" s="7"/>
      <c r="AA542" s="7"/>
      <c r="AB542" s="7"/>
      <c r="AC542" s="7"/>
    </row>
    <row r="543" spans="1:29" ht="25.5" hidden="1">
      <c r="A543" s="19">
        <v>142</v>
      </c>
      <c r="B543" s="1"/>
      <c r="U543" s="1"/>
      <c r="V543" s="1"/>
      <c r="W543" s="14"/>
      <c r="X543" s="7"/>
      <c r="Y543" s="7"/>
      <c r="Z543" s="7"/>
      <c r="AA543" s="7"/>
      <c r="AB543" s="7"/>
      <c r="AC543" s="7"/>
    </row>
    <row r="544" spans="1:29" ht="25.5" hidden="1">
      <c r="A544" s="19">
        <v>143</v>
      </c>
      <c r="B544" s="1"/>
      <c r="U544" s="95"/>
      <c r="V544" s="569"/>
      <c r="W544" s="14"/>
      <c r="X544" s="7"/>
      <c r="Y544" s="7"/>
      <c r="Z544" s="105"/>
      <c r="AA544" s="244"/>
      <c r="AB544" s="244"/>
      <c r="AC544" s="7"/>
    </row>
    <row r="545" spans="1:29" ht="30" hidden="1" customHeight="1">
      <c r="A545" s="19">
        <v>144</v>
      </c>
      <c r="B545" s="1"/>
      <c r="U545" s="95"/>
      <c r="V545" s="569"/>
      <c r="W545" s="14"/>
      <c r="X545" s="7"/>
      <c r="Y545" s="7"/>
      <c r="Z545" s="7"/>
      <c r="AA545" s="7"/>
      <c r="AB545" s="7"/>
      <c r="AC545" s="7"/>
    </row>
    <row r="546" spans="1:29" ht="25.5" hidden="1">
      <c r="A546" s="19">
        <v>145</v>
      </c>
      <c r="U546" s="95"/>
      <c r="V546" s="569"/>
      <c r="W546" s="14"/>
      <c r="X546" s="7"/>
      <c r="Y546" s="7"/>
      <c r="Z546" s="7"/>
      <c r="AA546" s="7"/>
      <c r="AB546" s="7"/>
      <c r="AC546" s="7"/>
    </row>
    <row r="547" spans="1:29" ht="25.5" hidden="1">
      <c r="A547" s="19">
        <v>146</v>
      </c>
      <c r="B547" s="148"/>
      <c r="C547" s="91"/>
      <c r="D547" s="91"/>
      <c r="E547" s="91"/>
      <c r="F547" s="91"/>
      <c r="G547" s="91"/>
      <c r="H547" s="91"/>
      <c r="I547" s="91"/>
      <c r="J547" s="22"/>
      <c r="K547" s="22"/>
      <c r="L547" s="22"/>
      <c r="M547" s="22"/>
      <c r="N547" s="22"/>
      <c r="O547" s="91"/>
      <c r="P547" s="91"/>
      <c r="Q547" s="149"/>
      <c r="R547" s="161"/>
      <c r="S547" s="151"/>
      <c r="T547" s="91">
        <f>(P547-O547)*S547</f>
        <v>0</v>
      </c>
      <c r="U547" s="95"/>
      <c r="V547" s="569"/>
      <c r="W547" s="134"/>
      <c r="X547" s="7"/>
      <c r="Y547" s="7"/>
      <c r="Z547" s="7"/>
      <c r="AA547" s="7"/>
      <c r="AB547" s="7"/>
      <c r="AC547" s="7"/>
    </row>
    <row r="548" spans="1:29" ht="25.5" hidden="1">
      <c r="A548" s="19">
        <v>147</v>
      </c>
      <c r="B548" s="1"/>
      <c r="U548" s="95"/>
      <c r="V548" s="569"/>
      <c r="W548" s="14"/>
      <c r="X548" s="7"/>
      <c r="Y548" s="7"/>
      <c r="Z548" s="7"/>
      <c r="AA548" s="7"/>
      <c r="AB548" s="7"/>
      <c r="AC548" s="7"/>
    </row>
    <row r="549" spans="1:29" ht="102" hidden="1">
      <c r="A549" s="19" t="s">
        <v>516</v>
      </c>
      <c r="U549" s="95"/>
      <c r="V549" s="569"/>
      <c r="W549" s="14"/>
      <c r="X549" s="7"/>
      <c r="Y549" s="7"/>
      <c r="Z549" s="7"/>
      <c r="AA549" s="7"/>
      <c r="AB549" s="7"/>
      <c r="AC549" s="7"/>
    </row>
    <row r="550" spans="1:29" ht="25.5" hidden="1">
      <c r="A550" s="19">
        <v>148</v>
      </c>
      <c r="U550" s="95"/>
      <c r="V550" s="569"/>
      <c r="W550" s="14"/>
      <c r="X550" s="7"/>
      <c r="Y550" s="7"/>
      <c r="Z550" s="7"/>
      <c r="AA550" s="7"/>
      <c r="AB550" s="7"/>
      <c r="AC550" s="7"/>
    </row>
    <row r="551" spans="1:29" ht="102" hidden="1">
      <c r="A551" s="19" t="s">
        <v>517</v>
      </c>
      <c r="B551" s="148"/>
      <c r="C551" s="91"/>
      <c r="D551" s="91"/>
      <c r="E551" s="91"/>
      <c r="F551" s="91"/>
      <c r="G551" s="91"/>
      <c r="H551" s="91"/>
      <c r="I551" s="91"/>
      <c r="J551" s="22"/>
      <c r="K551" s="22"/>
      <c r="L551" s="22"/>
      <c r="M551" s="22"/>
      <c r="N551" s="22"/>
      <c r="O551" s="91"/>
      <c r="P551" s="91"/>
      <c r="Q551" s="149"/>
      <c r="R551" s="161"/>
      <c r="S551" s="151"/>
      <c r="T551" s="91">
        <f>(P551-O551)*S551</f>
        <v>0</v>
      </c>
      <c r="U551" s="95"/>
      <c r="V551" s="569"/>
      <c r="W551" s="14"/>
      <c r="X551" s="244"/>
      <c r="Y551" s="244"/>
      <c r="Z551" s="7"/>
      <c r="AA551" s="7"/>
      <c r="AB551" s="7"/>
      <c r="AC551" s="7"/>
    </row>
    <row r="552" spans="1:29" ht="25.5" hidden="1">
      <c r="A552" s="19">
        <v>149</v>
      </c>
      <c r="B552" s="148"/>
      <c r="C552" s="91"/>
      <c r="D552" s="91"/>
      <c r="E552" s="91"/>
      <c r="F552" s="91"/>
      <c r="G552" s="91"/>
      <c r="H552" s="91"/>
      <c r="I552" s="91"/>
      <c r="J552" s="22"/>
      <c r="K552" s="22"/>
      <c r="L552" s="22"/>
      <c r="M552" s="22"/>
      <c r="N552" s="22"/>
      <c r="O552" s="91"/>
      <c r="P552" s="91"/>
      <c r="Q552" s="149"/>
      <c r="R552" s="161"/>
      <c r="S552" s="151"/>
      <c r="T552" s="91">
        <f>(P552-O552)*S552</f>
        <v>0</v>
      </c>
      <c r="U552" s="95"/>
      <c r="V552" s="569"/>
      <c r="W552" s="14"/>
      <c r="X552" s="7"/>
      <c r="Y552" s="7"/>
      <c r="Z552" s="7"/>
      <c r="AA552" s="7"/>
      <c r="AB552" s="7"/>
      <c r="AC552" s="7"/>
    </row>
    <row r="553" spans="1:29" ht="20.25" hidden="1" customHeight="1">
      <c r="A553" s="19">
        <v>150</v>
      </c>
      <c r="B553" s="148"/>
      <c r="C553" s="91"/>
      <c r="D553" s="91"/>
      <c r="E553" s="91"/>
      <c r="F553" s="91"/>
      <c r="G553" s="91"/>
      <c r="H553" s="91"/>
      <c r="I553" s="91"/>
      <c r="J553" s="22"/>
      <c r="K553" s="22"/>
      <c r="L553" s="22"/>
      <c r="M553" s="22"/>
      <c r="N553" s="22"/>
      <c r="O553" s="115"/>
      <c r="P553" s="115"/>
      <c r="Q553" s="149"/>
      <c r="R553" s="247"/>
      <c r="S553" s="248"/>
      <c r="T553" s="91">
        <f>(P553-O553)*S553</f>
        <v>0</v>
      </c>
      <c r="U553" s="95"/>
      <c r="V553" s="569"/>
      <c r="W553" s="134"/>
      <c r="X553" s="7"/>
      <c r="Y553" s="7"/>
      <c r="Z553" s="7"/>
      <c r="AA553" s="7"/>
      <c r="AB553" s="7"/>
      <c r="AC553" s="7"/>
    </row>
    <row r="554" spans="1:29" ht="25.5" hidden="1">
      <c r="A554" s="19">
        <v>151</v>
      </c>
      <c r="U554" s="95"/>
      <c r="V554" s="569"/>
      <c r="W554" s="14"/>
      <c r="X554" s="7"/>
      <c r="Y554" s="7"/>
      <c r="Z554" s="7"/>
      <c r="AA554" s="7"/>
      <c r="AB554" s="7"/>
      <c r="AC554" s="7"/>
    </row>
    <row r="555" spans="1:29" ht="102" hidden="1">
      <c r="A555" s="19" t="s">
        <v>518</v>
      </c>
      <c r="U555" s="95"/>
      <c r="V555" s="569"/>
      <c r="W555" s="134"/>
      <c r="X555" s="7"/>
      <c r="Y555" s="7"/>
      <c r="Z555" s="7"/>
      <c r="AA555" s="7"/>
      <c r="AB555" s="7"/>
      <c r="AC555" s="7"/>
    </row>
    <row r="556" spans="1:29" ht="102" hidden="1">
      <c r="A556" s="19" t="s">
        <v>519</v>
      </c>
      <c r="B556" s="1"/>
      <c r="U556" s="95"/>
      <c r="V556" s="569"/>
      <c r="W556" s="14"/>
      <c r="X556" s="7"/>
      <c r="Y556" s="7"/>
      <c r="Z556" s="7"/>
      <c r="AA556" s="7"/>
      <c r="AB556" s="7"/>
      <c r="AC556" s="7"/>
    </row>
    <row r="557" spans="1:29" ht="26.25" hidden="1">
      <c r="A557" s="231">
        <v>152</v>
      </c>
      <c r="B557" s="1"/>
      <c r="U557" s="1"/>
      <c r="V557" s="1"/>
      <c r="W557" s="14"/>
      <c r="X557" s="7"/>
      <c r="Y557" s="7"/>
      <c r="Z557" s="7"/>
      <c r="AA557" s="7"/>
      <c r="AB557" s="7"/>
      <c r="AC557" s="7"/>
    </row>
    <row r="558" spans="1:29" ht="28.5" hidden="1" customHeight="1">
      <c r="A558" s="19">
        <v>153</v>
      </c>
      <c r="U558" s="95"/>
      <c r="V558" s="569"/>
      <c r="W558" s="14"/>
      <c r="X558" s="7"/>
      <c r="Y558" s="7"/>
      <c r="Z558" s="7"/>
      <c r="AA558" s="7"/>
      <c r="AB558" s="7"/>
      <c r="AC558" s="7"/>
    </row>
    <row r="559" spans="1:29" ht="25.5" hidden="1">
      <c r="A559" s="19">
        <v>154</v>
      </c>
      <c r="B559" s="1"/>
      <c r="U559" s="95"/>
      <c r="V559" s="569"/>
      <c r="W559" s="14"/>
      <c r="X559" s="7"/>
      <c r="Y559" s="7"/>
      <c r="Z559" s="7"/>
      <c r="AA559" s="7"/>
      <c r="AB559" s="7"/>
      <c r="AC559" s="7"/>
    </row>
    <row r="560" spans="1:29" ht="25.5" hidden="1">
      <c r="A560" s="19">
        <v>155</v>
      </c>
      <c r="B560" s="1"/>
      <c r="U560" s="1"/>
      <c r="V560" s="1"/>
      <c r="W560" s="14"/>
      <c r="X560" s="7"/>
      <c r="Y560" s="7"/>
      <c r="Z560" s="7"/>
      <c r="AA560" s="7"/>
      <c r="AB560" s="7"/>
      <c r="AC560" s="7"/>
    </row>
    <row r="561" spans="1:29" ht="25.5" hidden="1">
      <c r="A561" s="19">
        <v>156</v>
      </c>
      <c r="B561" s="1"/>
      <c r="U561" s="1"/>
      <c r="V561" s="1"/>
      <c r="W561" s="14"/>
      <c r="X561" s="7"/>
      <c r="Y561" s="7"/>
      <c r="Z561" s="7"/>
      <c r="AA561" s="7"/>
      <c r="AB561" s="7"/>
      <c r="AC561" s="7"/>
    </row>
    <row r="562" spans="1:29" ht="25.5" hidden="1">
      <c r="A562" s="19"/>
      <c r="B562" s="1"/>
      <c r="U562" s="1"/>
      <c r="V562" s="1"/>
      <c r="W562" s="14"/>
      <c r="X562" s="7"/>
      <c r="Y562" s="7"/>
      <c r="Z562" s="7"/>
      <c r="AA562" s="7"/>
      <c r="AB562" s="7"/>
      <c r="AC562" s="7"/>
    </row>
    <row r="563" spans="1:29" ht="25.5" hidden="1">
      <c r="A563" s="19"/>
      <c r="B563" s="1"/>
      <c r="U563" s="1"/>
      <c r="V563" s="1"/>
      <c r="W563" s="14" t="s">
        <v>520</v>
      </c>
      <c r="X563" s="7"/>
      <c r="Y563" s="7"/>
      <c r="Z563" s="7"/>
      <c r="AA563" s="7"/>
      <c r="AB563" s="7"/>
      <c r="AC563" s="7"/>
    </row>
    <row r="564" spans="1:29" ht="25.5" hidden="1">
      <c r="A564" s="19"/>
      <c r="B564" s="1"/>
      <c r="U564" s="1"/>
      <c r="V564" s="1"/>
      <c r="W564" s="14"/>
      <c r="X564" s="7"/>
      <c r="Y564" s="7"/>
      <c r="Z564" s="7"/>
      <c r="AA564" s="7"/>
      <c r="AB564" s="7"/>
      <c r="AC564" s="7"/>
    </row>
    <row r="565" spans="1:29" ht="25.5" hidden="1">
      <c r="A565" s="19"/>
      <c r="B565" s="1"/>
      <c r="U565" s="1"/>
      <c r="V565" s="1"/>
      <c r="W565" s="14" t="s">
        <v>521</v>
      </c>
      <c r="X565" s="7"/>
      <c r="Y565" s="7"/>
      <c r="Z565" s="7"/>
      <c r="AA565" s="7"/>
      <c r="AB565" s="7"/>
      <c r="AC565" s="7"/>
    </row>
    <row r="566" spans="1:29" ht="25.5" hidden="1">
      <c r="A566" s="19"/>
      <c r="B566" s="1"/>
      <c r="U566" s="1"/>
      <c r="V566" s="1"/>
      <c r="W566" s="14" t="s">
        <v>522</v>
      </c>
      <c r="X566" s="7"/>
      <c r="Y566" s="7"/>
      <c r="Z566" s="7"/>
      <c r="AA566" s="7"/>
      <c r="AB566" s="7"/>
      <c r="AC566" s="7"/>
    </row>
    <row r="567" spans="1:29" ht="25.5" hidden="1">
      <c r="A567" s="19"/>
      <c r="B567" s="1"/>
      <c r="U567" s="1"/>
      <c r="V567" s="1"/>
      <c r="W567" s="14">
        <v>9462</v>
      </c>
      <c r="X567" s="7"/>
      <c r="Y567" s="7"/>
      <c r="Z567" s="7"/>
      <c r="AA567" s="7"/>
      <c r="AB567" s="7"/>
      <c r="AC567" s="7"/>
    </row>
    <row r="568" spans="1:29" ht="25.5" hidden="1">
      <c r="A568" s="19"/>
      <c r="B568" s="1"/>
      <c r="U568" s="1"/>
      <c r="V568" s="1"/>
      <c r="W568" s="14">
        <v>6899</v>
      </c>
      <c r="X568" s="48">
        <v>7486</v>
      </c>
      <c r="Y568" s="7"/>
      <c r="Z568" s="7"/>
      <c r="AA568" s="7"/>
      <c r="AB568" s="7"/>
      <c r="AC568" s="7"/>
    </row>
    <row r="569" spans="1:29" ht="26.25" hidden="1">
      <c r="A569" s="231">
        <v>157</v>
      </c>
      <c r="B569" s="90"/>
      <c r="C569" s="91"/>
      <c r="D569" s="115"/>
      <c r="E569" s="115"/>
      <c r="F569" s="249"/>
      <c r="G569" s="115"/>
      <c r="H569" s="115"/>
      <c r="I569" s="115"/>
      <c r="J569" s="22"/>
      <c r="K569" s="22"/>
      <c r="L569" s="22"/>
      <c r="M569" s="22"/>
      <c r="N569" s="22"/>
      <c r="O569" s="91"/>
      <c r="P569" s="91"/>
      <c r="Q569" s="7"/>
      <c r="R569" s="94"/>
      <c r="S569" s="151"/>
      <c r="T569" s="91"/>
      <c r="U569" s="95"/>
      <c r="V569" s="569"/>
      <c r="W569" s="14"/>
      <c r="X569" s="7"/>
      <c r="Y569" s="7"/>
      <c r="Z569" s="7"/>
      <c r="AA569" s="7"/>
      <c r="AB569" s="7"/>
      <c r="AC569" s="7"/>
    </row>
    <row r="570" spans="1:29" ht="25.5" hidden="1">
      <c r="A570" s="19">
        <v>158</v>
      </c>
      <c r="U570" s="95"/>
      <c r="V570" s="569"/>
      <c r="W570" s="14"/>
      <c r="X570" s="7"/>
      <c r="Y570" s="7"/>
      <c r="Z570" s="7"/>
      <c r="AA570" s="7"/>
      <c r="AB570" s="7"/>
      <c r="AC570" s="7"/>
    </row>
    <row r="571" spans="1:29" ht="26.25" hidden="1">
      <c r="A571" s="19"/>
      <c r="B571" s="148"/>
      <c r="C571" s="91"/>
      <c r="D571" s="91"/>
      <c r="E571" s="91"/>
      <c r="F571" s="91"/>
      <c r="G571" s="91"/>
      <c r="H571" s="91"/>
      <c r="I571" s="115"/>
      <c r="J571" s="22"/>
      <c r="K571" s="22"/>
      <c r="L571" s="22"/>
      <c r="M571" s="22"/>
      <c r="N571" s="22"/>
      <c r="O571" s="91"/>
      <c r="P571" s="91"/>
      <c r="Q571" s="22"/>
      <c r="R571" s="142"/>
      <c r="S571" s="151"/>
      <c r="T571" s="91"/>
      <c r="U571" s="95"/>
      <c r="V571" s="569"/>
      <c r="W571" s="14"/>
      <c r="X571" s="7"/>
      <c r="Y571" s="7"/>
      <c r="Z571" s="7"/>
      <c r="AA571" s="7"/>
      <c r="AB571" s="7"/>
      <c r="AC571" s="7"/>
    </row>
    <row r="572" spans="1:29" ht="25.5" hidden="1">
      <c r="A572" s="19">
        <v>160</v>
      </c>
      <c r="B572" s="1"/>
      <c r="U572" s="95"/>
      <c r="V572" s="569"/>
      <c r="W572" s="14"/>
      <c r="X572" s="7"/>
      <c r="Y572" s="7"/>
      <c r="Z572" s="7"/>
      <c r="AA572" s="7"/>
      <c r="AB572" s="7"/>
      <c r="AC572" s="7"/>
    </row>
    <row r="573" spans="1:29" ht="25.5" hidden="1">
      <c r="A573" s="19">
        <v>161</v>
      </c>
      <c r="B573" s="1"/>
      <c r="U573" s="1"/>
      <c r="V573" s="1"/>
      <c r="W573" s="14"/>
      <c r="X573" s="7"/>
      <c r="Y573" s="7"/>
      <c r="Z573" s="7"/>
      <c r="AA573" s="7"/>
      <c r="AB573" s="7"/>
      <c r="AC573" s="7"/>
    </row>
    <row r="574" spans="1:29" ht="20.25" hidden="1" customHeight="1">
      <c r="A574" s="19">
        <v>163</v>
      </c>
      <c r="B574" s="1"/>
      <c r="U574" s="1"/>
      <c r="V574" s="1"/>
      <c r="W574" s="14" t="s">
        <v>523</v>
      </c>
      <c r="X574" s="7"/>
      <c r="Y574" s="7"/>
      <c r="Z574" s="7"/>
      <c r="AA574" s="7"/>
      <c r="AB574" s="7"/>
      <c r="AC574" s="7"/>
    </row>
    <row r="575" spans="1:29" ht="26.25" hidden="1">
      <c r="A575" s="19"/>
      <c r="B575" s="148"/>
      <c r="C575" s="91"/>
      <c r="D575" s="91"/>
      <c r="E575" s="91"/>
      <c r="F575" s="250"/>
      <c r="G575" s="251"/>
      <c r="H575" s="91"/>
      <c r="I575" s="115"/>
      <c r="J575" s="22"/>
      <c r="K575" s="22"/>
      <c r="L575" s="22"/>
      <c r="M575" s="22"/>
      <c r="N575" s="22"/>
      <c r="O575" s="91"/>
      <c r="P575" s="91"/>
      <c r="Q575" s="22"/>
      <c r="R575" s="142"/>
      <c r="S575" s="151"/>
      <c r="T575" s="91"/>
      <c r="U575" s="95"/>
      <c r="V575" s="569"/>
      <c r="W575" s="14"/>
      <c r="X575" s="7"/>
      <c r="Y575" s="7"/>
      <c r="Z575" s="7"/>
      <c r="AA575" s="7"/>
      <c r="AB575" s="7"/>
      <c r="AC575" s="7"/>
    </row>
    <row r="576" spans="1:29" ht="25.5" hidden="1">
      <c r="A576" s="19">
        <v>164</v>
      </c>
      <c r="U576" s="95"/>
      <c r="V576" s="569"/>
      <c r="W576" s="14"/>
      <c r="X576" s="7"/>
      <c r="Y576" s="7"/>
      <c r="Z576" s="7"/>
      <c r="AA576" s="7"/>
      <c r="AB576" s="7"/>
      <c r="AC576" s="7"/>
    </row>
    <row r="577" spans="1:29" ht="32.25" hidden="1" customHeight="1">
      <c r="A577" s="19">
        <v>165</v>
      </c>
      <c r="U577" s="95"/>
      <c r="V577" s="569"/>
      <c r="W577" s="14"/>
      <c r="X577" s="7"/>
      <c r="Y577" s="7"/>
      <c r="Z577" s="7"/>
      <c r="AA577" s="7"/>
      <c r="AB577" s="7"/>
      <c r="AC577" s="7"/>
    </row>
    <row r="578" spans="1:29" ht="26.25" hidden="1">
      <c r="A578" s="19">
        <v>166</v>
      </c>
      <c r="B578" s="148"/>
      <c r="C578" s="91"/>
      <c r="D578" s="91"/>
      <c r="E578" s="91"/>
      <c r="F578" s="91"/>
      <c r="G578" s="91"/>
      <c r="H578" s="91"/>
      <c r="I578" s="115"/>
      <c r="J578" s="22"/>
      <c r="K578" s="22"/>
      <c r="L578" s="22"/>
      <c r="M578" s="22"/>
      <c r="N578" s="22"/>
      <c r="O578" s="91"/>
      <c r="P578" s="91"/>
      <c r="Q578" s="149"/>
      <c r="R578" s="161"/>
      <c r="S578" s="151"/>
      <c r="T578" s="91">
        <f>(P578-O578)*S578</f>
        <v>0</v>
      </c>
      <c r="U578" s="95"/>
      <c r="V578" s="569"/>
      <c r="W578" s="14"/>
      <c r="X578" s="7"/>
      <c r="Y578" s="7"/>
      <c r="Z578" s="7"/>
      <c r="AA578" s="7"/>
      <c r="AB578" s="7"/>
      <c r="AC578" s="7"/>
    </row>
    <row r="579" spans="1:29" ht="25.5" hidden="1">
      <c r="A579" s="19">
        <v>167</v>
      </c>
      <c r="U579" s="95"/>
      <c r="V579" s="569"/>
      <c r="W579" s="14"/>
      <c r="X579" s="7"/>
      <c r="Y579" s="7"/>
      <c r="Z579" s="7"/>
      <c r="AA579" s="7"/>
      <c r="AB579" s="7"/>
      <c r="AC579" s="7"/>
    </row>
    <row r="580" spans="1:29" ht="25.5" hidden="1">
      <c r="A580" s="19">
        <v>168</v>
      </c>
      <c r="B580" s="1"/>
      <c r="U580" s="1"/>
      <c r="V580" s="1"/>
      <c r="W580" s="14"/>
      <c r="X580" s="7"/>
      <c r="Y580" s="7"/>
      <c r="Z580" s="7"/>
      <c r="AA580" s="7"/>
      <c r="AB580" s="7"/>
      <c r="AC580" s="7"/>
    </row>
    <row r="581" spans="1:29" ht="27.75" hidden="1" customHeight="1">
      <c r="A581" s="19">
        <v>169</v>
      </c>
      <c r="U581" s="95"/>
      <c r="V581" s="569"/>
      <c r="W581" s="14"/>
      <c r="X581" s="7"/>
      <c r="Y581" s="7"/>
      <c r="Z581" s="7"/>
      <c r="AA581" s="7"/>
      <c r="AB581" s="7"/>
      <c r="AC581" s="7"/>
    </row>
    <row r="582" spans="1:29" ht="25.5" hidden="1">
      <c r="A582" s="19">
        <v>170</v>
      </c>
      <c r="B582" s="1"/>
      <c r="U582" s="1"/>
      <c r="V582" s="1"/>
      <c r="W582" s="14"/>
      <c r="X582" s="7"/>
      <c r="Y582" s="7"/>
      <c r="Z582" s="7"/>
      <c r="AA582" s="7"/>
      <c r="AB582" s="7"/>
      <c r="AC582" s="7"/>
    </row>
    <row r="583" spans="1:29" ht="26.25" hidden="1">
      <c r="A583" s="19">
        <v>171</v>
      </c>
      <c r="B583" s="148"/>
      <c r="C583" s="91"/>
      <c r="D583" s="91"/>
      <c r="E583" s="91"/>
      <c r="F583" s="91"/>
      <c r="G583" s="91"/>
      <c r="H583" s="91"/>
      <c r="I583" s="115"/>
      <c r="J583" s="22"/>
      <c r="K583" s="22"/>
      <c r="L583" s="22"/>
      <c r="M583" s="22"/>
      <c r="N583" s="22"/>
      <c r="O583" s="91"/>
      <c r="P583" s="91"/>
      <c r="Q583" s="22"/>
      <c r="R583" s="142"/>
      <c r="S583" s="151"/>
      <c r="T583" s="91">
        <f>(P583-O583)*S583</f>
        <v>0</v>
      </c>
      <c r="U583" s="95"/>
      <c r="V583" s="569"/>
      <c r="W583" s="14"/>
      <c r="X583" s="7"/>
      <c r="Y583" s="7"/>
      <c r="Z583" s="7"/>
      <c r="AA583" s="7"/>
      <c r="AB583" s="7"/>
      <c r="AC583" s="7"/>
    </row>
    <row r="584" spans="1:29" ht="36.75" hidden="1" customHeight="1">
      <c r="A584" s="19" t="s">
        <v>524</v>
      </c>
      <c r="B584" s="1"/>
      <c r="U584" s="1"/>
      <c r="V584" s="1"/>
      <c r="W584" s="14"/>
      <c r="X584" s="7"/>
      <c r="Y584" s="7"/>
      <c r="Z584" s="7"/>
      <c r="AA584" s="7"/>
      <c r="AB584" s="7"/>
      <c r="AC584" s="7"/>
    </row>
    <row r="585" spans="1:29" ht="23.25" hidden="1" customHeight="1">
      <c r="A585" s="19">
        <v>172</v>
      </c>
      <c r="B585" s="1"/>
      <c r="U585" s="1"/>
      <c r="V585" s="1"/>
      <c r="W585" s="14"/>
      <c r="X585" s="7"/>
      <c r="Y585" s="7"/>
      <c r="Z585" s="7"/>
      <c r="AA585" s="7"/>
      <c r="AB585" s="7"/>
      <c r="AC585" s="7"/>
    </row>
    <row r="586" spans="1:29" ht="25.5" hidden="1">
      <c r="A586" s="19"/>
      <c r="B586" s="1"/>
      <c r="U586" s="1"/>
      <c r="V586" s="1"/>
      <c r="W586" s="14" t="s">
        <v>525</v>
      </c>
      <c r="X586" s="7"/>
      <c r="Y586" s="7"/>
      <c r="Z586" s="7"/>
      <c r="AA586" s="7"/>
      <c r="AB586" s="7"/>
      <c r="AC586" s="7"/>
    </row>
    <row r="587" spans="1:29" ht="25.5" hidden="1">
      <c r="A587" s="19"/>
      <c r="B587" s="1"/>
      <c r="U587" s="1"/>
      <c r="V587" s="1"/>
      <c r="W587" s="14"/>
      <c r="X587" s="7"/>
      <c r="Y587" s="7"/>
      <c r="Z587" s="7"/>
      <c r="AA587" s="7"/>
      <c r="AB587" s="7"/>
      <c r="AC587" s="7"/>
    </row>
    <row r="588" spans="1:29" ht="25.5" hidden="1">
      <c r="A588" s="19"/>
      <c r="B588" s="1"/>
      <c r="U588" s="1"/>
      <c r="V588" s="1"/>
      <c r="W588" s="14"/>
      <c r="X588" s="7"/>
      <c r="Y588" s="7"/>
      <c r="Z588" s="7"/>
      <c r="AA588" s="7"/>
      <c r="AB588" s="7"/>
      <c r="AC588" s="7"/>
    </row>
    <row r="589" spans="1:29" ht="12" hidden="1" customHeight="1">
      <c r="A589" s="19"/>
      <c r="B589" s="1"/>
      <c r="U589" s="1"/>
      <c r="V589" s="1"/>
      <c r="W589" s="14" t="s">
        <v>526</v>
      </c>
      <c r="X589" s="7"/>
      <c r="Y589" s="7"/>
      <c r="Z589" s="7"/>
      <c r="AA589" s="7"/>
      <c r="AB589" s="7"/>
      <c r="AC589" s="7"/>
    </row>
    <row r="590" spans="1:29" ht="25.5" hidden="1">
      <c r="A590" s="19">
        <v>173</v>
      </c>
      <c r="B590" s="1"/>
      <c r="U590" s="1"/>
      <c r="V590" s="1"/>
      <c r="W590" s="14" t="s">
        <v>493</v>
      </c>
      <c r="X590" s="7"/>
      <c r="Y590" s="7"/>
      <c r="Z590" s="7"/>
      <c r="AA590" s="7"/>
      <c r="AB590" s="7"/>
      <c r="AC590" s="7"/>
    </row>
    <row r="591" spans="1:29" ht="26.25" hidden="1" customHeight="1">
      <c r="A591" s="19">
        <v>174</v>
      </c>
      <c r="B591" s="1"/>
      <c r="U591" s="1"/>
      <c r="V591" s="1"/>
      <c r="W591" s="14"/>
      <c r="X591" s="7"/>
      <c r="Y591" s="7"/>
      <c r="Z591" s="7"/>
      <c r="AA591" s="7"/>
      <c r="AB591" s="7"/>
      <c r="AC591" s="7"/>
    </row>
    <row r="592" spans="1:29" ht="68.25" hidden="1" customHeight="1">
      <c r="A592" s="19">
        <v>175</v>
      </c>
      <c r="U592" s="95"/>
      <c r="V592" s="569"/>
      <c r="W592" s="14"/>
      <c r="X592" s="7"/>
      <c r="Y592" s="7"/>
      <c r="Z592" s="7"/>
      <c r="AA592" s="7"/>
      <c r="AB592" s="7"/>
      <c r="AC592" s="7"/>
    </row>
    <row r="593" spans="1:29" ht="25.5" hidden="1">
      <c r="A593" s="19">
        <v>177</v>
      </c>
      <c r="U593" s="95"/>
      <c r="V593" s="569"/>
      <c r="W593" s="14">
        <v>126691</v>
      </c>
      <c r="X593" s="7"/>
      <c r="Y593" s="7"/>
      <c r="Z593" s="7"/>
      <c r="AA593" s="7"/>
      <c r="AB593" s="7"/>
      <c r="AC593" s="7"/>
    </row>
    <row r="594" spans="1:29" ht="32.25" hidden="1" customHeight="1">
      <c r="A594" s="19">
        <v>178</v>
      </c>
      <c r="U594" s="95"/>
      <c r="V594" s="569"/>
      <c r="W594" s="14"/>
      <c r="X594" s="7"/>
      <c r="Y594" s="7"/>
      <c r="Z594" s="7"/>
      <c r="AA594" s="7"/>
      <c r="AB594" s="7"/>
      <c r="AC594" s="7"/>
    </row>
    <row r="595" spans="1:29" ht="25.5" hidden="1">
      <c r="A595" s="19">
        <v>179</v>
      </c>
      <c r="B595" s="1"/>
      <c r="U595" s="1"/>
      <c r="V595" s="1"/>
      <c r="W595" s="14"/>
      <c r="X595" s="7"/>
      <c r="Y595" s="7"/>
      <c r="Z595" s="7"/>
      <c r="AA595" s="7"/>
      <c r="AB595" s="7"/>
      <c r="AC595" s="7"/>
    </row>
    <row r="596" spans="1:29" ht="27.75" hidden="1" customHeight="1">
      <c r="A596" s="19">
        <v>180</v>
      </c>
      <c r="B596" s="1"/>
      <c r="U596" s="95"/>
      <c r="V596" s="569"/>
      <c r="W596" s="14"/>
      <c r="X596" s="7"/>
      <c r="Y596" s="7"/>
      <c r="Z596" s="7"/>
      <c r="AA596" s="7"/>
      <c r="AB596" s="7"/>
      <c r="AC596" s="7"/>
    </row>
    <row r="597" spans="1:29" ht="25.5" hidden="1">
      <c r="A597" s="252">
        <v>181</v>
      </c>
      <c r="U597" s="95"/>
      <c r="V597" s="569"/>
      <c r="W597" s="14"/>
      <c r="X597" s="7"/>
      <c r="Y597" s="7"/>
      <c r="Z597" s="7"/>
      <c r="AA597" s="7"/>
      <c r="AB597" s="7"/>
      <c r="AC597" s="7"/>
    </row>
    <row r="598" spans="1:29" ht="25.5" hidden="1">
      <c r="A598" s="19">
        <v>182</v>
      </c>
      <c r="B598" s="1"/>
      <c r="U598" s="1"/>
      <c r="V598" s="1"/>
      <c r="W598" s="14"/>
      <c r="X598" s="7"/>
      <c r="Y598" s="7"/>
      <c r="Z598" s="7"/>
      <c r="AA598" s="7"/>
      <c r="AB598" s="7"/>
      <c r="AC598" s="7"/>
    </row>
    <row r="599" spans="1:29" ht="29.25" hidden="1" customHeight="1">
      <c r="A599" s="19">
        <v>183</v>
      </c>
      <c r="B599" s="1"/>
      <c r="U599" s="95"/>
      <c r="V599" s="569"/>
      <c r="W599" s="14"/>
      <c r="X599" s="7"/>
      <c r="Y599" s="7"/>
      <c r="Z599" s="7"/>
      <c r="AA599" s="7"/>
      <c r="AB599" s="7"/>
      <c r="AC599" s="7"/>
    </row>
    <row r="600" spans="1:29" ht="29.25" hidden="1" customHeight="1">
      <c r="A600" s="19">
        <v>184</v>
      </c>
      <c r="U600" s="95"/>
      <c r="V600" s="569"/>
      <c r="W600" s="14"/>
      <c r="X600" s="7"/>
      <c r="Y600" s="7"/>
      <c r="Z600" s="253"/>
      <c r="AA600" s="253"/>
      <c r="AB600" s="254"/>
      <c r="AC600" s="253"/>
    </row>
    <row r="601" spans="1:29" ht="26.25" hidden="1">
      <c r="A601" s="19">
        <v>185</v>
      </c>
      <c r="B601" s="148"/>
      <c r="C601" s="91"/>
      <c r="D601" s="91"/>
      <c r="E601" s="91"/>
      <c r="F601" s="91"/>
      <c r="G601" s="91"/>
      <c r="H601" s="91"/>
      <c r="I601" s="115"/>
      <c r="J601" s="22"/>
      <c r="K601" s="22"/>
      <c r="L601" s="22"/>
      <c r="M601" s="22"/>
      <c r="N601" s="22"/>
      <c r="O601" s="91"/>
      <c r="P601" s="91"/>
      <c r="Q601" s="122"/>
      <c r="R601" s="173"/>
      <c r="S601" s="151"/>
      <c r="T601" s="91"/>
      <c r="U601" s="95"/>
      <c r="V601" s="569"/>
      <c r="W601" s="14"/>
      <c r="X601" s="7"/>
      <c r="Y601" s="7"/>
      <c r="Z601" s="7"/>
      <c r="AA601" s="7"/>
      <c r="AB601" s="7"/>
      <c r="AC601" s="7"/>
    </row>
    <row r="602" spans="1:29" ht="32.25" hidden="1" customHeight="1">
      <c r="A602" s="19">
        <v>186</v>
      </c>
      <c r="U602" s="95"/>
      <c r="V602" s="569"/>
      <c r="W602" s="14"/>
      <c r="X602" s="7"/>
      <c r="Y602" s="7"/>
      <c r="Z602" s="7"/>
      <c r="AA602" s="7"/>
      <c r="AB602" s="7"/>
      <c r="AC602" s="7"/>
    </row>
    <row r="603" spans="1:29" ht="30" hidden="1" customHeight="1">
      <c r="A603" s="19">
        <v>187</v>
      </c>
      <c r="B603" s="1"/>
      <c r="U603" s="95"/>
      <c r="V603" s="569"/>
      <c r="W603" s="14"/>
      <c r="X603" s="7"/>
      <c r="Y603" s="7"/>
      <c r="Z603" s="7"/>
      <c r="AA603" s="7"/>
      <c r="AB603" s="7"/>
      <c r="AC603" s="7"/>
    </row>
    <row r="604" spans="1:29" ht="26.25" hidden="1">
      <c r="A604" s="19">
        <v>188</v>
      </c>
      <c r="B604" s="148"/>
      <c r="C604" s="91"/>
      <c r="D604" s="91"/>
      <c r="E604" s="91"/>
      <c r="F604" s="91"/>
      <c r="G604" s="91"/>
      <c r="H604" s="91"/>
      <c r="I604" s="115"/>
      <c r="J604" s="22"/>
      <c r="K604" s="22"/>
      <c r="L604" s="22"/>
      <c r="M604" s="22"/>
      <c r="N604" s="22"/>
      <c r="O604" s="91"/>
      <c r="P604" s="91"/>
      <c r="Q604" s="7"/>
      <c r="R604" s="200"/>
      <c r="S604" s="151"/>
      <c r="T604" s="91">
        <f>(P604-O604)*S604</f>
        <v>0</v>
      </c>
      <c r="U604" s="95"/>
      <c r="V604" s="569"/>
      <c r="W604" s="14"/>
      <c r="X604" s="7"/>
      <c r="Y604" s="7"/>
      <c r="Z604" s="7"/>
      <c r="AA604" s="7"/>
      <c r="AB604" s="7"/>
      <c r="AC604" s="7"/>
    </row>
    <row r="605" spans="1:29" ht="25.5" hidden="1">
      <c r="A605" s="19">
        <v>189</v>
      </c>
      <c r="B605" s="1"/>
      <c r="U605" s="95"/>
      <c r="V605" s="569"/>
      <c r="W605" s="14"/>
      <c r="X605" s="7"/>
      <c r="Y605" s="7"/>
      <c r="Z605" s="7"/>
      <c r="AA605" s="7"/>
      <c r="AB605" s="7"/>
      <c r="AC605" s="7"/>
    </row>
    <row r="606" spans="1:29" ht="26.25" hidden="1">
      <c r="A606" s="19">
        <v>190</v>
      </c>
      <c r="B606" s="148"/>
      <c r="C606" s="91"/>
      <c r="D606" s="91"/>
      <c r="E606" s="91"/>
      <c r="F606" s="91"/>
      <c r="G606" s="91"/>
      <c r="H606" s="91"/>
      <c r="I606" s="115"/>
      <c r="J606" s="22"/>
      <c r="K606" s="22"/>
      <c r="L606" s="22"/>
      <c r="M606" s="22"/>
      <c r="N606" s="22"/>
      <c r="O606" s="91"/>
      <c r="P606" s="91"/>
      <c r="Q606" s="7"/>
      <c r="R606" s="142"/>
      <c r="S606" s="151"/>
      <c r="T606" s="91">
        <f>(P606-O606)*S606</f>
        <v>0</v>
      </c>
      <c r="U606" s="95"/>
      <c r="V606" s="569"/>
      <c r="W606" s="14" t="s">
        <v>527</v>
      </c>
      <c r="X606" s="7"/>
      <c r="Y606" s="7"/>
      <c r="Z606" s="7"/>
      <c r="AA606" s="7"/>
      <c r="AB606" s="7"/>
      <c r="AC606" s="7"/>
    </row>
    <row r="607" spans="1:29" ht="26.25" hidden="1" customHeight="1">
      <c r="A607" s="19">
        <v>191</v>
      </c>
      <c r="U607" s="95"/>
      <c r="V607" s="569"/>
      <c r="W607" s="14"/>
      <c r="X607" s="7"/>
      <c r="Y607" s="7"/>
      <c r="Z607" s="7"/>
      <c r="AA607" s="7"/>
      <c r="AB607" s="7"/>
      <c r="AC607" s="7"/>
    </row>
    <row r="608" spans="1:29" ht="25.5" hidden="1">
      <c r="A608" s="19">
        <v>192</v>
      </c>
      <c r="B608" s="1"/>
      <c r="U608" s="1"/>
      <c r="V608" s="1"/>
      <c r="W608" s="14"/>
      <c r="X608" s="7"/>
      <c r="Y608" s="7"/>
      <c r="Z608" s="7"/>
      <c r="AA608" s="7"/>
      <c r="AB608" s="7"/>
      <c r="AC608" s="7"/>
    </row>
    <row r="609" spans="1:29" ht="26.25" hidden="1">
      <c r="A609" s="19">
        <v>193</v>
      </c>
      <c r="B609" s="148"/>
      <c r="C609" s="91"/>
      <c r="D609" s="91"/>
      <c r="E609" s="91"/>
      <c r="F609" s="91"/>
      <c r="G609" s="91"/>
      <c r="H609" s="91"/>
      <c r="I609" s="115"/>
      <c r="J609" s="22"/>
      <c r="K609" s="22"/>
      <c r="L609" s="22"/>
      <c r="M609" s="22"/>
      <c r="N609" s="22"/>
      <c r="O609" s="91"/>
      <c r="P609" s="91"/>
      <c r="Q609" s="22"/>
      <c r="R609" s="142"/>
      <c r="S609" s="151"/>
      <c r="T609" s="91">
        <f>(P609-O609)*S609</f>
        <v>0</v>
      </c>
      <c r="U609" s="95"/>
      <c r="V609" s="569"/>
      <c r="W609" s="14"/>
      <c r="X609" s="7"/>
      <c r="Y609" s="7"/>
      <c r="Z609" s="7"/>
      <c r="AA609" s="7"/>
      <c r="AB609" s="7"/>
      <c r="AC609" s="7"/>
    </row>
    <row r="610" spans="1:29" ht="29.25" hidden="1" customHeight="1">
      <c r="A610" s="19">
        <v>194</v>
      </c>
      <c r="U610" s="95"/>
      <c r="V610" s="569"/>
      <c r="W610" s="14"/>
      <c r="X610" s="7"/>
      <c r="Y610" s="7"/>
      <c r="Z610" s="7"/>
      <c r="AA610" s="7"/>
      <c r="AB610" s="7"/>
      <c r="AC610" s="7"/>
    </row>
    <row r="611" spans="1:29" ht="26.25" hidden="1">
      <c r="A611" s="19">
        <v>195</v>
      </c>
      <c r="B611" s="148"/>
      <c r="C611" s="91"/>
      <c r="D611" s="91"/>
      <c r="E611" s="91"/>
      <c r="F611" s="91"/>
      <c r="G611" s="91"/>
      <c r="H611" s="91"/>
      <c r="I611" s="115"/>
      <c r="J611" s="22"/>
      <c r="K611" s="22"/>
      <c r="L611" s="22"/>
      <c r="M611" s="22"/>
      <c r="N611" s="22"/>
      <c r="O611" s="91"/>
      <c r="P611" s="91"/>
      <c r="Q611" s="149"/>
      <c r="R611" s="161"/>
      <c r="S611" s="151"/>
      <c r="T611" s="91"/>
      <c r="U611" s="95"/>
      <c r="V611" s="569"/>
      <c r="W611" s="14" t="s">
        <v>528</v>
      </c>
      <c r="X611" s="7"/>
      <c r="Y611" s="7"/>
      <c r="Z611" s="7"/>
      <c r="AA611" s="7"/>
      <c r="AB611" s="7"/>
      <c r="AC611" s="7"/>
    </row>
    <row r="612" spans="1:29" ht="30" hidden="1" customHeight="1">
      <c r="A612" s="19">
        <v>196</v>
      </c>
      <c r="U612" s="95"/>
      <c r="V612" s="569"/>
      <c r="W612" s="14"/>
      <c r="X612" s="7"/>
      <c r="Y612" s="7"/>
      <c r="Z612" s="7"/>
      <c r="AA612" s="7"/>
      <c r="AB612" s="7"/>
      <c r="AC612" s="7"/>
    </row>
    <row r="613" spans="1:29" ht="27" hidden="1" customHeight="1">
      <c r="A613" s="19"/>
      <c r="B613" s="90"/>
      <c r="C613" s="115"/>
      <c r="D613" s="115"/>
      <c r="E613" s="115"/>
      <c r="F613" s="91"/>
      <c r="G613" s="91"/>
      <c r="H613" s="115"/>
      <c r="I613" s="115"/>
      <c r="J613" s="22"/>
      <c r="K613" s="22"/>
      <c r="L613" s="22"/>
      <c r="M613" s="22"/>
      <c r="N613" s="22"/>
      <c r="O613" s="91"/>
      <c r="P613" s="91"/>
      <c r="Q613" s="149"/>
      <c r="R613" s="161"/>
      <c r="S613" s="151"/>
      <c r="T613" s="91">
        <f>(P613-O613)*S613</f>
        <v>0</v>
      </c>
      <c r="U613" s="95"/>
      <c r="V613" s="569"/>
      <c r="W613" s="14"/>
      <c r="X613" s="7"/>
      <c r="Y613" s="7"/>
      <c r="Z613" s="7"/>
      <c r="AA613" s="7"/>
      <c r="AB613" s="7"/>
      <c r="AC613" s="7"/>
    </row>
    <row r="614" spans="1:29" ht="29.25" customHeight="1">
      <c r="A614" s="19"/>
      <c r="B614" s="90" t="s">
        <v>480</v>
      </c>
      <c r="C614" s="91"/>
      <c r="D614" s="91"/>
      <c r="E614" s="91"/>
      <c r="F614" s="91"/>
      <c r="G614" s="91"/>
      <c r="H614" s="91"/>
      <c r="I614" s="115"/>
      <c r="J614" s="22"/>
      <c r="K614" s="22"/>
      <c r="L614" s="22"/>
      <c r="M614" s="22"/>
      <c r="N614" s="22"/>
      <c r="O614" s="91"/>
      <c r="P614" s="91"/>
      <c r="Q614" s="149"/>
      <c r="R614" s="161"/>
      <c r="S614" s="151"/>
      <c r="T614" s="91"/>
      <c r="U614" s="95"/>
      <c r="V614" s="569"/>
      <c r="W614" s="14"/>
      <c r="X614" s="7"/>
      <c r="Y614" s="7"/>
      <c r="Z614" s="255"/>
      <c r="AA614" s="255"/>
      <c r="AB614" s="255"/>
      <c r="AC614" s="255"/>
    </row>
    <row r="615" spans="1:29" ht="29.25" customHeight="1">
      <c r="A615" s="19"/>
      <c r="B615" s="148" t="s">
        <v>529</v>
      </c>
      <c r="C615" s="91">
        <f>H615+E615</f>
        <v>162.63999999999999</v>
      </c>
      <c r="D615" s="115"/>
      <c r="E615" s="91">
        <f>F615+G615</f>
        <v>10.64</v>
      </c>
      <c r="F615" s="91">
        <f t="shared" ref="F615:F654" si="87">0.04*H615</f>
        <v>6.08</v>
      </c>
      <c r="G615" s="91">
        <f t="shared" ref="G615:G654" si="88">0.03*H615</f>
        <v>4.5599999999999996</v>
      </c>
      <c r="H615" s="91">
        <f>T615</f>
        <v>152</v>
      </c>
      <c r="I615" s="91">
        <f>0.5*C615</f>
        <v>81.319999999999993</v>
      </c>
      <c r="J615" s="22"/>
      <c r="K615" s="22"/>
      <c r="L615" s="22"/>
      <c r="M615" s="22"/>
      <c r="N615" s="22"/>
      <c r="O615" s="229">
        <v>14514</v>
      </c>
      <c r="P615" s="229">
        <v>14666</v>
      </c>
      <c r="Q615" s="149"/>
      <c r="R615" s="161"/>
      <c r="S615" s="151">
        <v>1</v>
      </c>
      <c r="T615" s="91">
        <f t="shared" ref="T615:T638" si="89">(P615-O615)*S615</f>
        <v>152</v>
      </c>
      <c r="U615" s="95">
        <v>2262538</v>
      </c>
      <c r="V615" s="569" t="s">
        <v>530</v>
      </c>
      <c r="W615" s="14" t="s">
        <v>43</v>
      </c>
      <c r="X615" s="7"/>
      <c r="Y615" s="7"/>
      <c r="Z615" s="7"/>
      <c r="AA615" s="7"/>
      <c r="AB615" s="7"/>
      <c r="AC615" s="7"/>
    </row>
    <row r="616" spans="1:29" ht="30" customHeight="1">
      <c r="A616" s="19"/>
      <c r="B616" s="148" t="s">
        <v>531</v>
      </c>
      <c r="C616" s="91">
        <f t="shared" ref="C616:C646" si="90">H616+E616</f>
        <v>0</v>
      </c>
      <c r="D616" s="91"/>
      <c r="E616" s="91">
        <f t="shared" ref="E616:E654" si="91">F616+G616</f>
        <v>0</v>
      </c>
      <c r="F616" s="91">
        <f t="shared" si="87"/>
        <v>0</v>
      </c>
      <c r="G616" s="91">
        <f t="shared" si="88"/>
        <v>0</v>
      </c>
      <c r="H616" s="91">
        <f>T616</f>
        <v>0</v>
      </c>
      <c r="I616" s="91">
        <f t="shared" ref="I616:I646" si="92">0.5*C616</f>
        <v>0</v>
      </c>
      <c r="J616" s="22"/>
      <c r="K616" s="22"/>
      <c r="L616" s="22"/>
      <c r="M616" s="22"/>
      <c r="N616" s="22"/>
      <c r="O616" s="229">
        <v>45710</v>
      </c>
      <c r="P616" s="229">
        <v>45710</v>
      </c>
      <c r="Q616" s="22"/>
      <c r="R616" s="142"/>
      <c r="S616" s="151">
        <v>1</v>
      </c>
      <c r="T616" s="91">
        <f t="shared" si="89"/>
        <v>0</v>
      </c>
      <c r="U616" s="95">
        <v>5521045</v>
      </c>
      <c r="V616" s="569" t="s">
        <v>532</v>
      </c>
      <c r="W616" s="14" t="s">
        <v>43</v>
      </c>
      <c r="X616" s="7"/>
      <c r="Y616" s="7"/>
      <c r="Z616" s="7"/>
      <c r="AA616" s="7"/>
      <c r="AB616" s="7"/>
      <c r="AC616" s="7"/>
    </row>
    <row r="617" spans="1:29" ht="27" customHeight="1">
      <c r="A617" s="19"/>
      <c r="B617" s="148" t="s">
        <v>533</v>
      </c>
      <c r="C617" s="91">
        <f t="shared" si="90"/>
        <v>260.01</v>
      </c>
      <c r="D617" s="92"/>
      <c r="E617" s="91">
        <f t="shared" si="91"/>
        <v>17.010000000000002</v>
      </c>
      <c r="F617" s="91">
        <f t="shared" si="87"/>
        <v>9.7200000000000006</v>
      </c>
      <c r="G617" s="91">
        <f t="shared" si="88"/>
        <v>7.29</v>
      </c>
      <c r="H617" s="91">
        <f t="shared" ref="H617:H650" si="93">T617</f>
        <v>243</v>
      </c>
      <c r="I617" s="91">
        <f t="shared" si="92"/>
        <v>130.005</v>
      </c>
      <c r="J617" s="22"/>
      <c r="K617" s="22"/>
      <c r="L617" s="22"/>
      <c r="M617" s="22"/>
      <c r="N617" s="22"/>
      <c r="O617" s="229">
        <v>36007</v>
      </c>
      <c r="P617" s="229">
        <v>36250</v>
      </c>
      <c r="Q617" s="122"/>
      <c r="R617" s="338"/>
      <c r="S617" s="151">
        <v>1</v>
      </c>
      <c r="T617" s="91">
        <f t="shared" si="89"/>
        <v>243</v>
      </c>
      <c r="U617" s="95">
        <v>2261340</v>
      </c>
      <c r="V617" s="569" t="s">
        <v>534</v>
      </c>
      <c r="W617" s="14" t="s">
        <v>43</v>
      </c>
      <c r="X617" s="7"/>
      <c r="Y617" s="7"/>
      <c r="Z617" s="7"/>
      <c r="AA617" s="7"/>
      <c r="AB617" s="7"/>
      <c r="AC617" s="7"/>
    </row>
    <row r="618" spans="1:29" ht="30" customHeight="1">
      <c r="A618" s="19"/>
      <c r="B618" s="148" t="s">
        <v>535</v>
      </c>
      <c r="C618" s="91">
        <f t="shared" si="90"/>
        <v>574.59</v>
      </c>
      <c r="D618" s="92"/>
      <c r="E618" s="91">
        <f t="shared" si="91"/>
        <v>37.590000000000003</v>
      </c>
      <c r="F618" s="91">
        <f t="shared" si="87"/>
        <v>21.48</v>
      </c>
      <c r="G618" s="91">
        <f t="shared" si="88"/>
        <v>16.11</v>
      </c>
      <c r="H618" s="91">
        <f t="shared" si="93"/>
        <v>537</v>
      </c>
      <c r="I618" s="91">
        <f t="shared" si="92"/>
        <v>287.29500000000002</v>
      </c>
      <c r="J618" s="22"/>
      <c r="K618" s="22"/>
      <c r="L618" s="22"/>
      <c r="M618" s="22"/>
      <c r="N618" s="22"/>
      <c r="O618" s="229">
        <v>44115</v>
      </c>
      <c r="P618" s="229">
        <v>44652</v>
      </c>
      <c r="Q618" s="122"/>
      <c r="R618" s="338"/>
      <c r="S618" s="151">
        <v>1</v>
      </c>
      <c r="T618" s="91">
        <f t="shared" si="89"/>
        <v>537</v>
      </c>
      <c r="U618" s="95">
        <v>5510929</v>
      </c>
      <c r="V618" s="569" t="s">
        <v>536</v>
      </c>
      <c r="W618" s="14" t="s">
        <v>43</v>
      </c>
      <c r="X618" s="7"/>
      <c r="Y618" s="7"/>
      <c r="Z618" s="7"/>
      <c r="AA618" s="7"/>
      <c r="AB618" s="7"/>
      <c r="AC618" s="7"/>
    </row>
    <row r="619" spans="1:29" ht="27.75" customHeight="1">
      <c r="A619" s="19"/>
      <c r="B619" s="148" t="s">
        <v>537</v>
      </c>
      <c r="C619" s="91">
        <f t="shared" si="90"/>
        <v>299.60000000000002</v>
      </c>
      <c r="D619" s="115"/>
      <c r="E619" s="91">
        <f t="shared" si="91"/>
        <v>19.600000000000001</v>
      </c>
      <c r="F619" s="91">
        <f t="shared" si="87"/>
        <v>11.200000000000001</v>
      </c>
      <c r="G619" s="91">
        <f t="shared" si="88"/>
        <v>8.4</v>
      </c>
      <c r="H619" s="91">
        <f t="shared" si="93"/>
        <v>280</v>
      </c>
      <c r="I619" s="91">
        <f t="shared" si="92"/>
        <v>149.80000000000001</v>
      </c>
      <c r="J619" s="22"/>
      <c r="K619" s="22"/>
      <c r="L619" s="22"/>
      <c r="M619" s="22"/>
      <c r="N619" s="22"/>
      <c r="O619" s="229">
        <v>68041</v>
      </c>
      <c r="P619" s="229">
        <v>68321</v>
      </c>
      <c r="Q619" s="122"/>
      <c r="R619" s="338"/>
      <c r="S619" s="151">
        <v>1</v>
      </c>
      <c r="T619" s="91">
        <f t="shared" si="89"/>
        <v>280</v>
      </c>
      <c r="U619" s="95">
        <v>5511505</v>
      </c>
      <c r="V619" s="569" t="s">
        <v>538</v>
      </c>
      <c r="W619" s="14" t="s">
        <v>43</v>
      </c>
      <c r="X619" s="7"/>
      <c r="Y619" s="7"/>
      <c r="Z619" s="7"/>
      <c r="AA619" s="7"/>
      <c r="AB619" s="7"/>
      <c r="AC619" s="7"/>
    </row>
    <row r="620" spans="1:29" ht="27" customHeight="1">
      <c r="A620" s="19"/>
      <c r="B620" s="148" t="s">
        <v>539</v>
      </c>
      <c r="C620" s="91">
        <f t="shared" si="90"/>
        <v>134.82</v>
      </c>
      <c r="D620" s="92"/>
      <c r="E620" s="91">
        <f t="shared" si="91"/>
        <v>8.82</v>
      </c>
      <c r="F620" s="91">
        <f t="shared" si="87"/>
        <v>5.04</v>
      </c>
      <c r="G620" s="91">
        <f t="shared" si="88"/>
        <v>3.78</v>
      </c>
      <c r="H620" s="91">
        <f t="shared" si="93"/>
        <v>126</v>
      </c>
      <c r="I620" s="91">
        <f t="shared" si="92"/>
        <v>67.41</v>
      </c>
      <c r="J620" s="22"/>
      <c r="K620" s="22"/>
      <c r="L620" s="22"/>
      <c r="M620" s="22"/>
      <c r="N620" s="22"/>
      <c r="O620" s="229">
        <v>38711</v>
      </c>
      <c r="P620" s="229">
        <v>38837</v>
      </c>
      <c r="Q620" s="122"/>
      <c r="R620" s="338"/>
      <c r="S620" s="151">
        <v>1</v>
      </c>
      <c r="T620" s="91">
        <f t="shared" si="89"/>
        <v>126</v>
      </c>
      <c r="U620" s="95">
        <v>5510311</v>
      </c>
      <c r="V620" s="569" t="s">
        <v>540</v>
      </c>
      <c r="W620" s="14" t="s">
        <v>43</v>
      </c>
      <c r="X620" s="7"/>
      <c r="Y620" s="7"/>
      <c r="Z620" s="7"/>
      <c r="AA620" s="7"/>
      <c r="AB620" s="7"/>
      <c r="AC620" s="7"/>
    </row>
    <row r="621" spans="1:29" ht="25.5" customHeight="1">
      <c r="A621" s="19"/>
      <c r="B621" s="148" t="s">
        <v>890</v>
      </c>
      <c r="C621" s="91">
        <f t="shared" si="90"/>
        <v>197.95</v>
      </c>
      <c r="D621" s="92"/>
      <c r="E621" s="91">
        <f t="shared" si="91"/>
        <v>12.95</v>
      </c>
      <c r="F621" s="91">
        <f t="shared" si="87"/>
        <v>7.4</v>
      </c>
      <c r="G621" s="91">
        <f t="shared" si="88"/>
        <v>5.55</v>
      </c>
      <c r="H621" s="91">
        <f t="shared" si="93"/>
        <v>185</v>
      </c>
      <c r="I621" s="91">
        <f t="shared" si="92"/>
        <v>98.974999999999994</v>
      </c>
      <c r="J621" s="22"/>
      <c r="K621" s="22"/>
      <c r="L621" s="22"/>
      <c r="M621" s="22"/>
      <c r="N621" s="22"/>
      <c r="O621" s="229">
        <v>49133</v>
      </c>
      <c r="P621" s="229">
        <v>49318</v>
      </c>
      <c r="Q621" s="122"/>
      <c r="R621" s="338"/>
      <c r="S621" s="151">
        <v>1</v>
      </c>
      <c r="T621" s="91">
        <f t="shared" si="89"/>
        <v>185</v>
      </c>
      <c r="U621" s="95">
        <v>5510177</v>
      </c>
      <c r="V621" s="569" t="s">
        <v>542</v>
      </c>
      <c r="W621" s="14" t="s">
        <v>90</v>
      </c>
      <c r="X621" s="255"/>
      <c r="Y621" s="255"/>
      <c r="Z621" s="7"/>
      <c r="AA621" s="7"/>
      <c r="AB621" s="7"/>
      <c r="AC621" s="7"/>
    </row>
    <row r="622" spans="1:29" ht="31.5" customHeight="1">
      <c r="A622" s="19"/>
      <c r="B622" s="148" t="s">
        <v>880</v>
      </c>
      <c r="C622" s="91">
        <f t="shared" si="90"/>
        <v>250.38</v>
      </c>
      <c r="D622" s="92"/>
      <c r="E622" s="91">
        <f t="shared" si="91"/>
        <v>16.38</v>
      </c>
      <c r="F622" s="91">
        <f t="shared" si="87"/>
        <v>9.36</v>
      </c>
      <c r="G622" s="91">
        <f t="shared" si="88"/>
        <v>7.02</v>
      </c>
      <c r="H622" s="91">
        <f t="shared" si="93"/>
        <v>234</v>
      </c>
      <c r="I622" s="91">
        <f t="shared" si="92"/>
        <v>125.19</v>
      </c>
      <c r="J622" s="22"/>
      <c r="K622" s="22"/>
      <c r="L622" s="22"/>
      <c r="M622" s="22"/>
      <c r="N622" s="22"/>
      <c r="O622" s="229">
        <v>88914</v>
      </c>
      <c r="P622" s="229">
        <v>89148</v>
      </c>
      <c r="Q622" s="122"/>
      <c r="R622" s="338"/>
      <c r="S622" s="151">
        <v>1</v>
      </c>
      <c r="T622" s="91">
        <f t="shared" si="89"/>
        <v>234</v>
      </c>
      <c r="U622" s="95">
        <v>2262535</v>
      </c>
      <c r="V622" s="569" t="s">
        <v>543</v>
      </c>
      <c r="W622" s="14" t="s">
        <v>90</v>
      </c>
      <c r="X622" s="7"/>
      <c r="Y622" s="7"/>
      <c r="Z622" s="7"/>
      <c r="AA622" s="7"/>
      <c r="AB622" s="7"/>
      <c r="AC622" s="7"/>
    </row>
    <row r="623" spans="1:29" ht="25.5">
      <c r="A623" s="19"/>
      <c r="B623" s="148" t="s">
        <v>544</v>
      </c>
      <c r="C623" s="91">
        <f t="shared" si="90"/>
        <v>631.29999999999995</v>
      </c>
      <c r="D623" s="92"/>
      <c r="E623" s="91">
        <f t="shared" si="91"/>
        <v>41.3</v>
      </c>
      <c r="F623" s="91">
        <f t="shared" si="87"/>
        <v>23.6</v>
      </c>
      <c r="G623" s="91">
        <f t="shared" si="88"/>
        <v>17.7</v>
      </c>
      <c r="H623" s="91">
        <f t="shared" si="93"/>
        <v>590</v>
      </c>
      <c r="I623" s="91">
        <f t="shared" si="92"/>
        <v>315.64999999999998</v>
      </c>
      <c r="J623" s="22"/>
      <c r="K623" s="22"/>
      <c r="L623" s="22"/>
      <c r="M623" s="22"/>
      <c r="N623" s="22"/>
      <c r="O623" s="229">
        <v>43350</v>
      </c>
      <c r="P623" s="229">
        <v>43940</v>
      </c>
      <c r="Q623" s="149"/>
      <c r="R623" s="150"/>
      <c r="S623" s="151">
        <v>1</v>
      </c>
      <c r="T623" s="91">
        <f t="shared" si="89"/>
        <v>590</v>
      </c>
      <c r="U623" s="95" t="s">
        <v>545</v>
      </c>
      <c r="V623" s="569" t="s">
        <v>546</v>
      </c>
      <c r="W623" s="14" t="s">
        <v>90</v>
      </c>
      <c r="X623" s="7"/>
      <c r="Y623" s="7"/>
      <c r="Z623" s="7"/>
      <c r="AA623" s="7"/>
      <c r="AB623" s="7"/>
      <c r="AC623" s="7"/>
    </row>
    <row r="624" spans="1:29" ht="27" customHeight="1">
      <c r="A624" s="19"/>
      <c r="B624" s="148" t="s">
        <v>547</v>
      </c>
      <c r="C624" s="91">
        <f t="shared" si="90"/>
        <v>10320.15</v>
      </c>
      <c r="D624" s="92"/>
      <c r="E624" s="91">
        <f t="shared" si="91"/>
        <v>675.15</v>
      </c>
      <c r="F624" s="91">
        <f t="shared" si="87"/>
        <v>385.8</v>
      </c>
      <c r="G624" s="91">
        <f t="shared" si="88"/>
        <v>289.34999999999997</v>
      </c>
      <c r="H624" s="91">
        <f t="shared" si="93"/>
        <v>9645</v>
      </c>
      <c r="I624" s="91">
        <f t="shared" si="92"/>
        <v>5160.0749999999998</v>
      </c>
      <c r="J624" s="22"/>
      <c r="K624" s="22"/>
      <c r="L624" s="22"/>
      <c r="M624" s="22"/>
      <c r="N624" s="22"/>
      <c r="O624" s="229">
        <v>251009</v>
      </c>
      <c r="P624" s="229">
        <v>260654</v>
      </c>
      <c r="Q624" s="149"/>
      <c r="R624" s="150"/>
      <c r="S624" s="151">
        <v>1</v>
      </c>
      <c r="T624" s="91">
        <f t="shared" si="89"/>
        <v>9645</v>
      </c>
      <c r="U624" s="95"/>
      <c r="V624" s="569" t="s">
        <v>548</v>
      </c>
      <c r="W624" s="14" t="s">
        <v>90</v>
      </c>
      <c r="X624" s="7"/>
      <c r="Y624" s="7"/>
      <c r="Z624" s="7"/>
      <c r="AA624" s="7"/>
      <c r="AB624" s="7"/>
      <c r="AC624" s="7"/>
    </row>
    <row r="625" spans="1:29" ht="26.25">
      <c r="A625" s="257"/>
      <c r="B625" s="645" t="s">
        <v>549</v>
      </c>
      <c r="C625" s="91">
        <f t="shared" si="90"/>
        <v>393.76</v>
      </c>
      <c r="D625" s="110"/>
      <c r="E625" s="91">
        <f t="shared" si="91"/>
        <v>25.759999999999998</v>
      </c>
      <c r="F625" s="91">
        <f t="shared" si="87"/>
        <v>14.72</v>
      </c>
      <c r="G625" s="91">
        <f t="shared" si="88"/>
        <v>11.04</v>
      </c>
      <c r="H625" s="91">
        <f t="shared" si="93"/>
        <v>368</v>
      </c>
      <c r="I625" s="91">
        <f t="shared" si="92"/>
        <v>196.88</v>
      </c>
      <c r="J625" s="98"/>
      <c r="K625" s="22"/>
      <c r="L625" s="22"/>
      <c r="M625" s="22"/>
      <c r="N625" s="22"/>
      <c r="O625" s="646">
        <v>48442</v>
      </c>
      <c r="P625" s="646">
        <v>48810</v>
      </c>
      <c r="Q625" s="122"/>
      <c r="R625" s="647"/>
      <c r="S625" s="151">
        <v>1</v>
      </c>
      <c r="T625" s="91">
        <f t="shared" si="89"/>
        <v>368</v>
      </c>
      <c r="U625" s="95">
        <v>2261380</v>
      </c>
      <c r="V625" s="569" t="s">
        <v>550</v>
      </c>
      <c r="W625" s="14" t="s">
        <v>90</v>
      </c>
      <c r="X625" s="7"/>
      <c r="Y625" s="7"/>
      <c r="Z625" s="7"/>
      <c r="AA625" s="7"/>
      <c r="AB625" s="7"/>
      <c r="AC625" s="7"/>
    </row>
    <row r="626" spans="1:29" ht="25.5">
      <c r="A626" s="23"/>
      <c r="B626" s="104" t="s">
        <v>891</v>
      </c>
      <c r="C626" s="91">
        <f t="shared" si="90"/>
        <v>1079.6300000000001</v>
      </c>
      <c r="D626" s="271"/>
      <c r="E626" s="91">
        <f t="shared" si="91"/>
        <v>70.63</v>
      </c>
      <c r="F626" s="91">
        <f t="shared" si="87"/>
        <v>40.36</v>
      </c>
      <c r="G626" s="91">
        <f t="shared" si="88"/>
        <v>30.27</v>
      </c>
      <c r="H626" s="91">
        <f t="shared" si="93"/>
        <v>1009</v>
      </c>
      <c r="I626" s="91">
        <f t="shared" si="92"/>
        <v>539.81500000000005</v>
      </c>
      <c r="J626" s="142"/>
      <c r="K626" s="142"/>
      <c r="L626" s="142"/>
      <c r="M626" s="142"/>
      <c r="N626" s="142"/>
      <c r="O626" s="258">
        <v>65163</v>
      </c>
      <c r="P626" s="258">
        <v>66172</v>
      </c>
      <c r="Q626" s="173"/>
      <c r="R626" s="173"/>
      <c r="S626" s="151">
        <v>1</v>
      </c>
      <c r="T626" s="91">
        <f t="shared" si="89"/>
        <v>1009</v>
      </c>
      <c r="U626" s="95">
        <v>2261167</v>
      </c>
      <c r="V626" s="569" t="s">
        <v>552</v>
      </c>
      <c r="W626" s="14" t="s">
        <v>90</v>
      </c>
      <c r="X626" s="7"/>
      <c r="Y626" s="7"/>
      <c r="Z626" s="7"/>
      <c r="AA626" s="7"/>
      <c r="AB626" s="7"/>
      <c r="AC626" s="7"/>
    </row>
    <row r="627" spans="1:29" ht="25.5">
      <c r="A627" s="23"/>
      <c r="B627" s="104" t="s">
        <v>553</v>
      </c>
      <c r="C627" s="91">
        <f t="shared" si="90"/>
        <v>268.57</v>
      </c>
      <c r="D627" s="92"/>
      <c r="E627" s="91">
        <f t="shared" si="91"/>
        <v>17.57</v>
      </c>
      <c r="F627" s="91">
        <f t="shared" si="87"/>
        <v>10.040000000000001</v>
      </c>
      <c r="G627" s="91">
        <f t="shared" si="88"/>
        <v>7.5299999999999994</v>
      </c>
      <c r="H627" s="91">
        <f t="shared" si="93"/>
        <v>251</v>
      </c>
      <c r="I627" s="91">
        <f t="shared" si="92"/>
        <v>134.285</v>
      </c>
      <c r="J627" s="142"/>
      <c r="K627" s="142"/>
      <c r="L627" s="142"/>
      <c r="M627" s="142"/>
      <c r="N627" s="142"/>
      <c r="O627" s="258">
        <v>26945</v>
      </c>
      <c r="P627" s="258">
        <v>27196</v>
      </c>
      <c r="Q627" s="173"/>
      <c r="R627" s="173"/>
      <c r="S627" s="151">
        <v>1</v>
      </c>
      <c r="T627" s="91">
        <f t="shared" si="89"/>
        <v>251</v>
      </c>
      <c r="U627" s="95">
        <v>5510402</v>
      </c>
      <c r="V627" s="569" t="s">
        <v>554</v>
      </c>
      <c r="W627" s="14" t="s">
        <v>43</v>
      </c>
      <c r="X627" s="7"/>
      <c r="Y627" s="7"/>
      <c r="Z627" s="7"/>
      <c r="AA627" s="7"/>
      <c r="AB627" s="7"/>
      <c r="AC627" s="7"/>
    </row>
    <row r="628" spans="1:29" ht="25.5">
      <c r="A628" s="23"/>
      <c r="B628" s="104" t="s">
        <v>892</v>
      </c>
      <c r="C628" s="91">
        <f t="shared" si="90"/>
        <v>257.87</v>
      </c>
      <c r="D628" s="92"/>
      <c r="E628" s="91">
        <f t="shared" si="91"/>
        <v>16.87</v>
      </c>
      <c r="F628" s="91">
        <f t="shared" si="87"/>
        <v>9.64</v>
      </c>
      <c r="G628" s="91">
        <f t="shared" si="88"/>
        <v>7.2299999999999995</v>
      </c>
      <c r="H628" s="91">
        <f t="shared" si="93"/>
        <v>241</v>
      </c>
      <c r="I628" s="91">
        <f t="shared" si="92"/>
        <v>128.935</v>
      </c>
      <c r="J628" s="142"/>
      <c r="K628" s="142"/>
      <c r="L628" s="142"/>
      <c r="M628" s="142"/>
      <c r="N628" s="142"/>
      <c r="O628" s="258">
        <v>37097</v>
      </c>
      <c r="P628" s="258">
        <v>37338</v>
      </c>
      <c r="Q628" s="173"/>
      <c r="R628" s="173"/>
      <c r="S628" s="151">
        <v>1</v>
      </c>
      <c r="T628" s="91">
        <f t="shared" si="89"/>
        <v>241</v>
      </c>
      <c r="U628" s="95">
        <v>5509256</v>
      </c>
      <c r="V628" s="569" t="s">
        <v>263</v>
      </c>
      <c r="W628" s="14" t="s">
        <v>43</v>
      </c>
      <c r="X628" s="7"/>
      <c r="Y628" s="7"/>
      <c r="Z628" s="7"/>
      <c r="AA628" s="7"/>
      <c r="AB628" s="7"/>
      <c r="AC628" s="7"/>
    </row>
    <row r="629" spans="1:29" ht="25.5">
      <c r="A629" s="23"/>
      <c r="B629" s="104" t="s">
        <v>556</v>
      </c>
      <c r="C629" s="91">
        <f>H629+E629</f>
        <v>409.81</v>
      </c>
      <c r="D629" s="92"/>
      <c r="E629" s="91">
        <f t="shared" si="91"/>
        <v>26.810000000000002</v>
      </c>
      <c r="F629" s="91">
        <f t="shared" si="87"/>
        <v>15.32</v>
      </c>
      <c r="G629" s="91">
        <f t="shared" si="88"/>
        <v>11.49</v>
      </c>
      <c r="H629" s="91">
        <f t="shared" si="93"/>
        <v>383</v>
      </c>
      <c r="I629" s="91">
        <f t="shared" si="92"/>
        <v>204.905</v>
      </c>
      <c r="J629" s="142"/>
      <c r="K629" s="142"/>
      <c r="L629" s="142"/>
      <c r="M629" s="142"/>
      <c r="N629" s="142"/>
      <c r="O629" s="258">
        <v>32093</v>
      </c>
      <c r="P629" s="258">
        <v>32476</v>
      </c>
      <c r="Q629" s="173"/>
      <c r="R629" s="173"/>
      <c r="S629" s="151">
        <v>1</v>
      </c>
      <c r="T629" s="91">
        <f>(P629-O629)*S629</f>
        <v>383</v>
      </c>
      <c r="U629" s="95">
        <v>5509265</v>
      </c>
      <c r="V629" s="569" t="s">
        <v>557</v>
      </c>
      <c r="W629" s="14" t="s">
        <v>43</v>
      </c>
      <c r="X629" s="7"/>
      <c r="Y629" s="7"/>
      <c r="Z629" s="7"/>
      <c r="AA629" s="7"/>
      <c r="AB629" s="7"/>
      <c r="AC629" s="7"/>
    </row>
    <row r="630" spans="1:29" ht="25.5">
      <c r="A630" s="23"/>
      <c r="B630" s="104" t="s">
        <v>558</v>
      </c>
      <c r="C630" s="91">
        <f t="shared" si="90"/>
        <v>176.55</v>
      </c>
      <c r="D630" s="92"/>
      <c r="E630" s="91">
        <f t="shared" si="91"/>
        <v>11.55</v>
      </c>
      <c r="F630" s="91">
        <f t="shared" si="87"/>
        <v>6.6000000000000005</v>
      </c>
      <c r="G630" s="91">
        <f t="shared" si="88"/>
        <v>4.95</v>
      </c>
      <c r="H630" s="91">
        <f t="shared" si="93"/>
        <v>165</v>
      </c>
      <c r="I630" s="91">
        <f t="shared" si="92"/>
        <v>88.275000000000006</v>
      </c>
      <c r="J630" s="142"/>
      <c r="K630" s="142"/>
      <c r="L630" s="142"/>
      <c r="M630" s="142"/>
      <c r="N630" s="142"/>
      <c r="O630" s="258">
        <v>22451</v>
      </c>
      <c r="P630" s="258">
        <v>22616</v>
      </c>
      <c r="Q630" s="173"/>
      <c r="R630" s="173"/>
      <c r="S630" s="151">
        <v>1</v>
      </c>
      <c r="T630" s="91">
        <f t="shared" si="89"/>
        <v>165</v>
      </c>
      <c r="U630" s="95">
        <v>5518342</v>
      </c>
      <c r="V630" s="569" t="s">
        <v>559</v>
      </c>
      <c r="W630" s="14" t="s">
        <v>43</v>
      </c>
      <c r="X630" s="7"/>
      <c r="Y630" s="7"/>
      <c r="Z630" s="7"/>
      <c r="AA630" s="7"/>
      <c r="AB630" s="7"/>
      <c r="AC630" s="7"/>
    </row>
    <row r="631" spans="1:29" ht="25.5">
      <c r="A631" s="23"/>
      <c r="B631" s="104" t="s">
        <v>560</v>
      </c>
      <c r="C631" s="91">
        <f t="shared" si="90"/>
        <v>234.32999999999998</v>
      </c>
      <c r="D631" s="92"/>
      <c r="E631" s="91">
        <f t="shared" si="91"/>
        <v>15.329999999999998</v>
      </c>
      <c r="F631" s="91">
        <f t="shared" si="87"/>
        <v>8.76</v>
      </c>
      <c r="G631" s="91">
        <f t="shared" si="88"/>
        <v>6.5699999999999994</v>
      </c>
      <c r="H631" s="91">
        <f t="shared" si="93"/>
        <v>219</v>
      </c>
      <c r="I631" s="91">
        <f t="shared" si="92"/>
        <v>117.16499999999999</v>
      </c>
      <c r="J631" s="142"/>
      <c r="K631" s="142"/>
      <c r="L631" s="142"/>
      <c r="M631" s="142"/>
      <c r="N631" s="142"/>
      <c r="O631" s="258">
        <v>24842</v>
      </c>
      <c r="P631" s="258">
        <v>25061</v>
      </c>
      <c r="Q631" s="173"/>
      <c r="R631" s="173"/>
      <c r="S631" s="151">
        <v>1</v>
      </c>
      <c r="T631" s="91">
        <f t="shared" si="89"/>
        <v>219</v>
      </c>
      <c r="U631" s="95">
        <v>2262004</v>
      </c>
      <c r="V631" s="569" t="s">
        <v>561</v>
      </c>
      <c r="W631" s="14" t="s">
        <v>43</v>
      </c>
      <c r="X631" s="7"/>
      <c r="Y631" s="7"/>
      <c r="Z631" s="7"/>
      <c r="AA631" s="7"/>
      <c r="AB631" s="7"/>
      <c r="AC631" s="7"/>
    </row>
    <row r="632" spans="1:29" ht="25.5">
      <c r="A632" s="23"/>
      <c r="B632" s="104" t="s">
        <v>893</v>
      </c>
      <c r="C632" s="91">
        <f t="shared" si="90"/>
        <v>242.89</v>
      </c>
      <c r="D632" s="92"/>
      <c r="E632" s="91">
        <f t="shared" si="91"/>
        <v>15.89</v>
      </c>
      <c r="F632" s="91">
        <f t="shared" si="87"/>
        <v>9.08</v>
      </c>
      <c r="G632" s="91">
        <f t="shared" si="88"/>
        <v>6.81</v>
      </c>
      <c r="H632" s="91">
        <f t="shared" si="93"/>
        <v>227</v>
      </c>
      <c r="I632" s="91">
        <f t="shared" si="92"/>
        <v>121.44499999999999</v>
      </c>
      <c r="J632" s="142"/>
      <c r="K632" s="142"/>
      <c r="L632" s="142"/>
      <c r="M632" s="142"/>
      <c r="N632" s="142"/>
      <c r="O632" s="258">
        <v>22095</v>
      </c>
      <c r="P632" s="258">
        <v>22322</v>
      </c>
      <c r="Q632" s="173"/>
      <c r="R632" s="173"/>
      <c r="S632" s="151">
        <v>1</v>
      </c>
      <c r="T632" s="91">
        <f t="shared" si="89"/>
        <v>227</v>
      </c>
      <c r="U632" s="95">
        <v>2262573</v>
      </c>
      <c r="V632" s="569" t="s">
        <v>813</v>
      </c>
      <c r="W632" s="14" t="s">
        <v>43</v>
      </c>
      <c r="X632" s="7"/>
      <c r="Y632" s="7"/>
      <c r="Z632" s="7"/>
      <c r="AA632" s="7"/>
      <c r="AB632" s="7"/>
      <c r="AC632" s="7"/>
    </row>
    <row r="633" spans="1:29" ht="25.5">
      <c r="A633" s="23"/>
      <c r="B633" s="104" t="s">
        <v>894</v>
      </c>
      <c r="C633" s="91">
        <f t="shared" si="90"/>
        <v>343.47</v>
      </c>
      <c r="D633" s="92"/>
      <c r="E633" s="91">
        <f t="shared" si="91"/>
        <v>22.47</v>
      </c>
      <c r="F633" s="91">
        <f t="shared" si="87"/>
        <v>12.84</v>
      </c>
      <c r="G633" s="91">
        <f t="shared" si="88"/>
        <v>9.629999999999999</v>
      </c>
      <c r="H633" s="91">
        <f t="shared" si="93"/>
        <v>321</v>
      </c>
      <c r="I633" s="91">
        <f t="shared" si="92"/>
        <v>171.73500000000001</v>
      </c>
      <c r="J633" s="142"/>
      <c r="K633" s="142"/>
      <c r="L633" s="142"/>
      <c r="M633" s="142"/>
      <c r="N633" s="142"/>
      <c r="O633" s="258">
        <v>61231</v>
      </c>
      <c r="P633" s="258">
        <v>61552</v>
      </c>
      <c r="Q633" s="173"/>
      <c r="R633" s="173"/>
      <c r="S633" s="151">
        <v>1</v>
      </c>
      <c r="T633" s="91">
        <f t="shared" si="89"/>
        <v>321</v>
      </c>
      <c r="U633" s="95">
        <v>2262504</v>
      </c>
      <c r="V633" s="569" t="s">
        <v>385</v>
      </c>
      <c r="W633" s="14" t="s">
        <v>43</v>
      </c>
      <c r="X633" s="7"/>
      <c r="Y633" s="7"/>
      <c r="Z633" s="7"/>
      <c r="AA633" s="7"/>
      <c r="AB633" s="7"/>
      <c r="AC633" s="7"/>
    </row>
    <row r="634" spans="1:29" ht="25.5">
      <c r="A634" s="23"/>
      <c r="B634" s="104" t="s">
        <v>564</v>
      </c>
      <c r="C634" s="91">
        <f t="shared" si="90"/>
        <v>112.35</v>
      </c>
      <c r="D634" s="92"/>
      <c r="E634" s="91">
        <f t="shared" si="91"/>
        <v>7.35</v>
      </c>
      <c r="F634" s="91">
        <f t="shared" si="87"/>
        <v>4.2</v>
      </c>
      <c r="G634" s="91">
        <f t="shared" si="88"/>
        <v>3.15</v>
      </c>
      <c r="H634" s="91">
        <f t="shared" si="93"/>
        <v>105</v>
      </c>
      <c r="I634" s="91">
        <f t="shared" si="92"/>
        <v>56.174999999999997</v>
      </c>
      <c r="J634" s="142"/>
      <c r="K634" s="142"/>
      <c r="L634" s="142"/>
      <c r="M634" s="142"/>
      <c r="N634" s="142"/>
      <c r="O634" s="258">
        <v>14550</v>
      </c>
      <c r="P634" s="258">
        <v>14655</v>
      </c>
      <c r="Q634" s="173"/>
      <c r="R634" s="173"/>
      <c r="S634" s="151">
        <v>1</v>
      </c>
      <c r="T634" s="91">
        <f t="shared" si="89"/>
        <v>105</v>
      </c>
      <c r="U634" s="95">
        <v>282333</v>
      </c>
      <c r="V634" s="569" t="s">
        <v>565</v>
      </c>
      <c r="W634" s="14" t="s">
        <v>43</v>
      </c>
      <c r="X634" s="7"/>
      <c r="Y634" s="7"/>
      <c r="Z634" s="7"/>
      <c r="AA634" s="7"/>
      <c r="AB634" s="7"/>
      <c r="AC634" s="7"/>
    </row>
    <row r="635" spans="1:29" ht="25.5">
      <c r="A635" s="23"/>
      <c r="B635" s="104"/>
      <c r="C635" s="91"/>
      <c r="D635" s="92"/>
      <c r="E635" s="91"/>
      <c r="F635" s="91"/>
      <c r="G635" s="91"/>
      <c r="H635" s="91"/>
      <c r="I635" s="91"/>
      <c r="J635" s="142"/>
      <c r="K635" s="142"/>
      <c r="L635" s="142"/>
      <c r="M635" s="142"/>
      <c r="N635" s="142"/>
      <c r="O635" s="258"/>
      <c r="P635" s="258"/>
      <c r="Q635" s="173"/>
      <c r="R635" s="173"/>
      <c r="S635" s="151"/>
      <c r="T635" s="91"/>
      <c r="U635" s="95"/>
      <c r="V635" s="569"/>
      <c r="W635" s="14" t="s">
        <v>90</v>
      </c>
      <c r="X635" s="7"/>
      <c r="Y635" s="7"/>
      <c r="Z635" s="7"/>
      <c r="AA635" s="7"/>
      <c r="AB635" s="7"/>
      <c r="AC635" s="7"/>
    </row>
    <row r="636" spans="1:29" s="195" customFormat="1" ht="25.5">
      <c r="A636" s="479"/>
      <c r="B636" s="104" t="s">
        <v>566</v>
      </c>
      <c r="C636" s="91">
        <f t="shared" si="90"/>
        <v>0</v>
      </c>
      <c r="D636" s="92"/>
      <c r="E636" s="91">
        <f t="shared" si="91"/>
        <v>0</v>
      </c>
      <c r="F636" s="91">
        <f t="shared" si="87"/>
        <v>0</v>
      </c>
      <c r="G636" s="91">
        <f t="shared" si="88"/>
        <v>0</v>
      </c>
      <c r="H636" s="91">
        <f t="shared" si="93"/>
        <v>0</v>
      </c>
      <c r="I636" s="91">
        <f t="shared" si="92"/>
        <v>0</v>
      </c>
      <c r="J636" s="142"/>
      <c r="K636" s="142"/>
      <c r="L636" s="142"/>
      <c r="M636" s="142"/>
      <c r="N636" s="142"/>
      <c r="O636" s="258">
        <v>42066</v>
      </c>
      <c r="P636" s="258">
        <v>42066</v>
      </c>
      <c r="Q636" s="173"/>
      <c r="R636" s="173"/>
      <c r="S636" s="151">
        <v>1</v>
      </c>
      <c r="T636" s="91">
        <f t="shared" si="89"/>
        <v>0</v>
      </c>
      <c r="U636" s="95">
        <v>3263</v>
      </c>
      <c r="V636" s="569" t="s">
        <v>567</v>
      </c>
      <c r="W636" s="191" t="s">
        <v>43</v>
      </c>
      <c r="X636" s="86"/>
      <c r="Y636" s="86"/>
      <c r="Z636" s="86"/>
      <c r="AA636" s="86"/>
      <c r="AB636" s="86"/>
      <c r="AC636" s="86"/>
    </row>
    <row r="637" spans="1:29" ht="25.5">
      <c r="A637" s="23"/>
      <c r="B637" s="104" t="s">
        <v>568</v>
      </c>
      <c r="C637" s="91">
        <f>H637+E637</f>
        <v>38.520000000000003</v>
      </c>
      <c r="D637" s="92"/>
      <c r="E637" s="91">
        <f t="shared" si="91"/>
        <v>2.52</v>
      </c>
      <c r="F637" s="91">
        <f t="shared" si="87"/>
        <v>1.44</v>
      </c>
      <c r="G637" s="91">
        <f t="shared" si="88"/>
        <v>1.08</v>
      </c>
      <c r="H637" s="91">
        <f t="shared" si="93"/>
        <v>36</v>
      </c>
      <c r="I637" s="91">
        <f t="shared" si="92"/>
        <v>19.260000000000002</v>
      </c>
      <c r="J637" s="142"/>
      <c r="K637" s="142"/>
      <c r="L637" s="142"/>
      <c r="M637" s="142"/>
      <c r="N637" s="142"/>
      <c r="O637" s="258">
        <v>666</v>
      </c>
      <c r="P637" s="258">
        <v>702</v>
      </c>
      <c r="Q637" s="173"/>
      <c r="R637" s="173"/>
      <c r="S637" s="151">
        <v>1</v>
      </c>
      <c r="T637" s="91">
        <f>(P637-O637)*S637</f>
        <v>36</v>
      </c>
      <c r="U637" s="95">
        <v>2568</v>
      </c>
      <c r="V637" s="569" t="s">
        <v>569</v>
      </c>
      <c r="W637" s="14" t="s">
        <v>90</v>
      </c>
      <c r="X637" s="7"/>
      <c r="Y637" s="7"/>
      <c r="Z637" s="7"/>
      <c r="AA637" s="7"/>
      <c r="AB637" s="7"/>
      <c r="AC637" s="7"/>
    </row>
    <row r="638" spans="1:29" ht="25.5">
      <c r="A638" s="23"/>
      <c r="B638" s="104" t="s">
        <v>570</v>
      </c>
      <c r="C638" s="91">
        <f>H638+E638</f>
        <v>332.77</v>
      </c>
      <c r="D638" s="92"/>
      <c r="E638" s="91">
        <f t="shared" si="91"/>
        <v>21.77</v>
      </c>
      <c r="F638" s="91">
        <f t="shared" si="87"/>
        <v>12.44</v>
      </c>
      <c r="G638" s="91">
        <f t="shared" si="88"/>
        <v>9.33</v>
      </c>
      <c r="H638" s="91">
        <f t="shared" si="93"/>
        <v>311</v>
      </c>
      <c r="I638" s="91">
        <f t="shared" si="92"/>
        <v>166.38499999999999</v>
      </c>
      <c r="J638" s="142"/>
      <c r="K638" s="142"/>
      <c r="L638" s="142"/>
      <c r="M638" s="142"/>
      <c r="N638" s="142"/>
      <c r="O638" s="258">
        <v>8892</v>
      </c>
      <c r="P638" s="258">
        <v>9203</v>
      </c>
      <c r="Q638" s="173"/>
      <c r="R638" s="173"/>
      <c r="S638" s="151">
        <v>1</v>
      </c>
      <c r="T638" s="91">
        <f t="shared" si="89"/>
        <v>311</v>
      </c>
      <c r="U638" s="95">
        <v>2643</v>
      </c>
      <c r="V638" s="569" t="s">
        <v>571</v>
      </c>
      <c r="W638" s="14" t="s">
        <v>90</v>
      </c>
      <c r="X638" s="7"/>
      <c r="Y638" s="7"/>
      <c r="Z638" s="7"/>
      <c r="AA638" s="7"/>
      <c r="AB638" s="7"/>
      <c r="AC638" s="7"/>
    </row>
    <row r="639" spans="1:29" ht="25.5">
      <c r="A639" s="23"/>
      <c r="B639" s="104" t="s">
        <v>572</v>
      </c>
      <c r="C639" s="91">
        <f t="shared" si="90"/>
        <v>354.17</v>
      </c>
      <c r="D639" s="92"/>
      <c r="E639" s="91">
        <f t="shared" si="91"/>
        <v>23.17</v>
      </c>
      <c r="F639" s="91">
        <f t="shared" si="87"/>
        <v>13.24</v>
      </c>
      <c r="G639" s="91">
        <f t="shared" si="88"/>
        <v>9.93</v>
      </c>
      <c r="H639" s="91">
        <f t="shared" si="93"/>
        <v>331</v>
      </c>
      <c r="I639" s="91">
        <f t="shared" si="92"/>
        <v>177.08500000000001</v>
      </c>
      <c r="J639" s="142"/>
      <c r="K639" s="142"/>
      <c r="L639" s="142"/>
      <c r="M639" s="142"/>
      <c r="N639" s="142"/>
      <c r="O639" s="258">
        <v>107890</v>
      </c>
      <c r="P639" s="258">
        <v>108221</v>
      </c>
      <c r="Q639" s="173"/>
      <c r="R639" s="173"/>
      <c r="S639" s="151">
        <v>1</v>
      </c>
      <c r="T639" s="91">
        <f>(P639-O639)*S639</f>
        <v>331</v>
      </c>
      <c r="U639" s="95">
        <v>1146</v>
      </c>
      <c r="V639" s="569" t="s">
        <v>573</v>
      </c>
      <c r="W639" s="14" t="s">
        <v>90</v>
      </c>
      <c r="X639" s="7"/>
      <c r="Y639" s="7"/>
      <c r="Z639" s="7"/>
      <c r="AA639" s="7"/>
      <c r="AB639" s="7"/>
      <c r="AC639" s="7"/>
    </row>
    <row r="640" spans="1:29" ht="25.5">
      <c r="A640" s="23"/>
      <c r="B640" s="104" t="s">
        <v>701</v>
      </c>
      <c r="C640" s="91">
        <f t="shared" si="90"/>
        <v>1461.62</v>
      </c>
      <c r="D640" s="92"/>
      <c r="E640" s="91">
        <f t="shared" si="91"/>
        <v>95.62</v>
      </c>
      <c r="F640" s="91">
        <f t="shared" si="87"/>
        <v>54.64</v>
      </c>
      <c r="G640" s="91">
        <f t="shared" si="88"/>
        <v>40.98</v>
      </c>
      <c r="H640" s="91">
        <f t="shared" si="93"/>
        <v>1366</v>
      </c>
      <c r="I640" s="91">
        <f t="shared" si="92"/>
        <v>730.81</v>
      </c>
      <c r="J640" s="142"/>
      <c r="K640" s="142"/>
      <c r="L640" s="142"/>
      <c r="M640" s="142"/>
      <c r="N640" s="142"/>
      <c r="O640" s="258">
        <v>250756</v>
      </c>
      <c r="P640" s="258">
        <v>252122</v>
      </c>
      <c r="Q640" s="173"/>
      <c r="R640" s="173"/>
      <c r="S640" s="151">
        <v>1</v>
      </c>
      <c r="T640" s="91">
        <f>(P640-O640)*S640</f>
        <v>1366</v>
      </c>
      <c r="U640" s="95">
        <v>7883</v>
      </c>
      <c r="V640" s="569" t="s">
        <v>574</v>
      </c>
      <c r="W640" s="14" t="s">
        <v>90</v>
      </c>
      <c r="X640" s="7"/>
      <c r="Y640" s="7"/>
      <c r="Z640" s="7"/>
      <c r="AA640" s="7"/>
      <c r="AB640" s="7"/>
      <c r="AC640" s="7"/>
    </row>
    <row r="641" spans="1:29" ht="25.5">
      <c r="A641" s="23"/>
      <c r="B641" s="104"/>
      <c r="C641" s="91"/>
      <c r="D641" s="92"/>
      <c r="E641" s="91"/>
      <c r="F641" s="91"/>
      <c r="G641" s="91"/>
      <c r="H641" s="91"/>
      <c r="I641" s="91"/>
      <c r="J641" s="142"/>
      <c r="K641" s="142"/>
      <c r="L641" s="142"/>
      <c r="M641" s="142"/>
      <c r="N641" s="142"/>
      <c r="O641" s="258"/>
      <c r="P641" s="258"/>
      <c r="Q641" s="173"/>
      <c r="R641" s="173"/>
      <c r="S641" s="151"/>
      <c r="T641" s="91"/>
      <c r="U641" s="95"/>
      <c r="V641" s="569"/>
      <c r="W641" s="14"/>
      <c r="X641" s="7"/>
      <c r="Y641" s="7"/>
      <c r="Z641" s="7"/>
      <c r="AA641" s="7"/>
      <c r="AB641" s="7"/>
      <c r="AC641" s="7"/>
    </row>
    <row r="642" spans="1:29" ht="26.25">
      <c r="A642" s="23"/>
      <c r="B642" s="104" t="s">
        <v>575</v>
      </c>
      <c r="C642" s="91">
        <f t="shared" ref="C642" si="94">H642+E642</f>
        <v>304.95</v>
      </c>
      <c r="D642" s="115"/>
      <c r="E642" s="91">
        <f t="shared" ref="E642" si="95">F642+G642</f>
        <v>19.95</v>
      </c>
      <c r="F642" s="91">
        <f t="shared" ref="F642" si="96">0.04*H642</f>
        <v>11.4</v>
      </c>
      <c r="G642" s="91">
        <f t="shared" ref="G642" si="97">0.03*H642</f>
        <v>8.5499999999999989</v>
      </c>
      <c r="H642" s="91">
        <f>T642</f>
        <v>285</v>
      </c>
      <c r="I642" s="91">
        <f t="shared" ref="I642" si="98">0.5*C642</f>
        <v>152.47499999999999</v>
      </c>
      <c r="J642" s="142"/>
      <c r="K642" s="142"/>
      <c r="L642" s="142"/>
      <c r="M642" s="142"/>
      <c r="N642" s="142"/>
      <c r="O642" s="258">
        <v>2907</v>
      </c>
      <c r="P642" s="258">
        <v>3192</v>
      </c>
      <c r="Q642" s="173"/>
      <c r="R642" s="173"/>
      <c r="S642" s="92">
        <v>1</v>
      </c>
      <c r="T642" s="91">
        <f>(P642-O642)*S642</f>
        <v>285</v>
      </c>
      <c r="U642" s="95"/>
      <c r="V642" s="569" t="s">
        <v>814</v>
      </c>
      <c r="W642" s="14"/>
      <c r="X642" s="7"/>
      <c r="Y642" s="7"/>
      <c r="Z642" s="7"/>
      <c r="AA642" s="7"/>
      <c r="AB642" s="7"/>
      <c r="AC642" s="7"/>
    </row>
    <row r="643" spans="1:29" ht="26.25">
      <c r="A643" s="23"/>
      <c r="B643" s="104" t="s">
        <v>895</v>
      </c>
      <c r="C643" s="91">
        <f t="shared" si="90"/>
        <v>36.380000000000003</v>
      </c>
      <c r="D643" s="115"/>
      <c r="E643" s="91">
        <f t="shared" si="91"/>
        <v>2.38</v>
      </c>
      <c r="F643" s="91">
        <f t="shared" si="87"/>
        <v>1.36</v>
      </c>
      <c r="G643" s="91">
        <f t="shared" si="88"/>
        <v>1.02</v>
      </c>
      <c r="H643" s="91">
        <f>T643</f>
        <v>34</v>
      </c>
      <c r="I643" s="91">
        <f t="shared" si="92"/>
        <v>18.190000000000001</v>
      </c>
      <c r="J643" s="142"/>
      <c r="K643" s="142"/>
      <c r="L643" s="142"/>
      <c r="M643" s="142"/>
      <c r="N643" s="142"/>
      <c r="O643" s="258">
        <v>13680</v>
      </c>
      <c r="P643" s="258">
        <v>13714</v>
      </c>
      <c r="Q643" s="173"/>
      <c r="R643" s="173"/>
      <c r="S643" s="92">
        <v>1</v>
      </c>
      <c r="T643" s="91">
        <f>(P643-O643)*S643</f>
        <v>34</v>
      </c>
      <c r="U643" s="95">
        <v>370293</v>
      </c>
      <c r="V643" s="569" t="s">
        <v>815</v>
      </c>
      <c r="W643" s="14" t="s">
        <v>90</v>
      </c>
      <c r="X643" s="7"/>
      <c r="Y643" s="7"/>
      <c r="Z643" s="7"/>
      <c r="AA643" s="7"/>
      <c r="AB643" s="7"/>
      <c r="AC643" s="7"/>
    </row>
    <row r="644" spans="1:29" ht="57" customHeight="1">
      <c r="A644" s="252"/>
      <c r="B644" s="259" t="s">
        <v>702</v>
      </c>
      <c r="C644" s="260">
        <f t="shared" si="90"/>
        <v>0</v>
      </c>
      <c r="D644" s="261"/>
      <c r="E644" s="260">
        <f t="shared" si="91"/>
        <v>0</v>
      </c>
      <c r="F644" s="260">
        <f t="shared" si="87"/>
        <v>0</v>
      </c>
      <c r="G644" s="260">
        <f t="shared" si="88"/>
        <v>0</v>
      </c>
      <c r="H644" s="260">
        <f t="shared" si="93"/>
        <v>0</v>
      </c>
      <c r="I644" s="260">
        <f t="shared" si="92"/>
        <v>0</v>
      </c>
      <c r="J644" s="262"/>
      <c r="K644" s="262"/>
      <c r="L644" s="262"/>
      <c r="M644" s="262"/>
      <c r="N644" s="262"/>
      <c r="O644" s="263">
        <v>50</v>
      </c>
      <c r="P644" s="263">
        <v>50</v>
      </c>
      <c r="Q644" s="264"/>
      <c r="R644" s="264"/>
      <c r="S644" s="265">
        <v>1</v>
      </c>
      <c r="T644" s="260">
        <f>(P644-O644)*S644</f>
        <v>0</v>
      </c>
      <c r="U644" s="266" t="s">
        <v>336</v>
      </c>
      <c r="V644" s="267" t="s">
        <v>576</v>
      </c>
      <c r="W644" s="14"/>
      <c r="X644" s="7"/>
      <c r="Y644" s="7"/>
      <c r="Z644" s="7"/>
      <c r="AA644" s="7"/>
      <c r="AB644" s="7"/>
      <c r="AC644" s="7"/>
    </row>
    <row r="645" spans="1:29" ht="26.25">
      <c r="A645" s="252"/>
      <c r="B645" s="104"/>
      <c r="C645" s="91"/>
      <c r="D645" s="115"/>
      <c r="E645" s="91"/>
      <c r="F645" s="91"/>
      <c r="G645" s="91"/>
      <c r="H645" s="91"/>
      <c r="I645" s="91"/>
      <c r="J645" s="142"/>
      <c r="K645" s="142"/>
      <c r="L645" s="142"/>
      <c r="M645" s="142"/>
      <c r="N645" s="142"/>
      <c r="O645" s="258"/>
      <c r="P645" s="258"/>
      <c r="Q645" s="173"/>
      <c r="R645" s="173"/>
      <c r="S645" s="92"/>
      <c r="T645" s="91"/>
      <c r="U645" s="95"/>
      <c r="V645" s="569"/>
      <c r="W645" s="14"/>
      <c r="X645" s="7"/>
      <c r="Y645" s="7"/>
      <c r="Z645" s="7"/>
      <c r="AA645" s="7"/>
      <c r="AB645" s="7"/>
      <c r="AC645" s="7"/>
    </row>
    <row r="646" spans="1:29" ht="26.25">
      <c r="A646" s="252"/>
      <c r="B646" s="104" t="s">
        <v>577</v>
      </c>
      <c r="C646" s="91">
        <f t="shared" si="90"/>
        <v>81.319999999999993</v>
      </c>
      <c r="D646" s="115"/>
      <c r="E646" s="91">
        <f t="shared" si="91"/>
        <v>5.32</v>
      </c>
      <c r="F646" s="91">
        <f t="shared" si="87"/>
        <v>3.04</v>
      </c>
      <c r="G646" s="91">
        <f t="shared" si="88"/>
        <v>2.2799999999999998</v>
      </c>
      <c r="H646" s="91">
        <f t="shared" si="93"/>
        <v>76</v>
      </c>
      <c r="I646" s="91">
        <f t="shared" si="92"/>
        <v>40.659999999999997</v>
      </c>
      <c r="J646" s="142"/>
      <c r="K646" s="142"/>
      <c r="L646" s="142"/>
      <c r="M646" s="142"/>
      <c r="N646" s="142"/>
      <c r="O646" s="258">
        <v>6430</v>
      </c>
      <c r="P646" s="258">
        <v>6506</v>
      </c>
      <c r="Q646" s="173"/>
      <c r="R646" s="173"/>
      <c r="S646" s="92">
        <v>1</v>
      </c>
      <c r="T646" s="91">
        <f>(P646-O646)*S646</f>
        <v>76</v>
      </c>
      <c r="U646" s="95">
        <v>1940</v>
      </c>
      <c r="V646" s="569" t="s">
        <v>816</v>
      </c>
      <c r="W646" s="14" t="s">
        <v>90</v>
      </c>
      <c r="X646" s="7"/>
      <c r="Y646" s="7"/>
      <c r="Z646" s="7"/>
      <c r="AA646" s="7"/>
      <c r="AB646" s="7"/>
      <c r="AC646" s="7"/>
    </row>
    <row r="647" spans="1:29" ht="26.25">
      <c r="A647" s="268"/>
      <c r="B647" s="580" t="s">
        <v>703</v>
      </c>
      <c r="C647" s="91">
        <f>H647+E647</f>
        <v>271.77999999999997</v>
      </c>
      <c r="D647" s="91"/>
      <c r="E647" s="91">
        <f>G647+F647</f>
        <v>17.78</v>
      </c>
      <c r="F647" s="91">
        <f>0.04*H647</f>
        <v>10.16</v>
      </c>
      <c r="G647" s="91">
        <f>0.03*H647</f>
        <v>7.62</v>
      </c>
      <c r="H647" s="91">
        <f>T647</f>
        <v>254</v>
      </c>
      <c r="I647" s="91">
        <f>0.6*C647</f>
        <v>163.06799999999998</v>
      </c>
      <c r="J647" s="22"/>
      <c r="K647" s="22"/>
      <c r="L647" s="22"/>
      <c r="M647" s="22"/>
      <c r="N647" s="22"/>
      <c r="O647" s="91">
        <v>16985</v>
      </c>
      <c r="P647" s="91">
        <v>17239</v>
      </c>
      <c r="Q647" s="122"/>
      <c r="R647" s="232"/>
      <c r="S647" s="151">
        <v>1</v>
      </c>
      <c r="T647" s="91">
        <f>(P647-O647)*S647</f>
        <v>254</v>
      </c>
      <c r="U647" s="95" t="s">
        <v>578</v>
      </c>
      <c r="V647" s="569" t="s">
        <v>751</v>
      </c>
      <c r="W647" s="14" t="s">
        <v>90</v>
      </c>
      <c r="X647" s="7"/>
      <c r="Y647" s="7"/>
      <c r="Z647" s="7"/>
      <c r="AA647" s="7"/>
      <c r="AB647" s="7"/>
      <c r="AC647" s="7"/>
    </row>
    <row r="648" spans="1:29" ht="26.25">
      <c r="A648" s="268"/>
      <c r="B648" s="104"/>
      <c r="C648" s="91"/>
      <c r="D648" s="91"/>
      <c r="E648" s="91"/>
      <c r="F648" s="91"/>
      <c r="G648" s="91"/>
      <c r="H648" s="91"/>
      <c r="I648" s="91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1"/>
      <c r="U648" s="95"/>
      <c r="V648" s="569"/>
      <c r="W648" s="14" t="s">
        <v>43</v>
      </c>
      <c r="X648" s="7"/>
      <c r="Y648" s="7"/>
      <c r="Z648" s="7"/>
      <c r="AA648" s="7"/>
      <c r="AB648" s="7"/>
      <c r="AC648" s="7"/>
    </row>
    <row r="649" spans="1:29" ht="26.25">
      <c r="A649" s="268"/>
      <c r="B649" s="339"/>
      <c r="C649" s="91"/>
      <c r="D649" s="91"/>
      <c r="E649" s="91"/>
      <c r="F649" s="91"/>
      <c r="G649" s="91"/>
      <c r="H649" s="91"/>
      <c r="I649" s="91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1"/>
      <c r="U649" s="95"/>
      <c r="V649" s="569"/>
      <c r="W649" s="14"/>
      <c r="X649" s="7"/>
      <c r="Y649" s="7"/>
      <c r="Z649" s="7"/>
      <c r="AA649" s="7"/>
      <c r="AB649" s="7"/>
      <c r="AC649" s="7"/>
    </row>
    <row r="650" spans="1:29" ht="26.25">
      <c r="A650" s="268"/>
      <c r="B650" s="104" t="s">
        <v>579</v>
      </c>
      <c r="C650" s="91">
        <f>H650+E650</f>
        <v>66.34</v>
      </c>
      <c r="D650" s="91"/>
      <c r="E650" s="91">
        <f t="shared" si="91"/>
        <v>4.34</v>
      </c>
      <c r="F650" s="91">
        <f t="shared" si="87"/>
        <v>2.48</v>
      </c>
      <c r="G650" s="91">
        <f t="shared" si="88"/>
        <v>1.8599999999999999</v>
      </c>
      <c r="H650" s="91">
        <f t="shared" si="93"/>
        <v>62</v>
      </c>
      <c r="I650" s="91"/>
      <c r="J650" s="92"/>
      <c r="K650" s="92"/>
      <c r="L650" s="92"/>
      <c r="M650" s="92"/>
      <c r="N650" s="92"/>
      <c r="O650" s="92">
        <v>4135</v>
      </c>
      <c r="P650" s="92">
        <v>4197</v>
      </c>
      <c r="Q650" s="92"/>
      <c r="R650" s="92"/>
      <c r="S650" s="92">
        <v>1</v>
      </c>
      <c r="T650" s="91">
        <f>(P650-O650)*S650</f>
        <v>62</v>
      </c>
      <c r="U650" s="644" t="s">
        <v>580</v>
      </c>
      <c r="V650" s="569" t="s">
        <v>581</v>
      </c>
      <c r="W650" s="795" t="s">
        <v>90</v>
      </c>
      <c r="X650" s="7"/>
      <c r="Y650" s="7"/>
      <c r="Z650" s="7"/>
      <c r="AA650" s="7"/>
      <c r="AB650" s="7"/>
      <c r="AC650" s="7"/>
    </row>
    <row r="651" spans="1:29" ht="26.25">
      <c r="A651" s="268"/>
      <c r="B651" s="486"/>
      <c r="C651" s="315"/>
      <c r="D651" s="315"/>
      <c r="E651" s="315"/>
      <c r="F651" s="315"/>
      <c r="G651" s="315"/>
      <c r="H651" s="315"/>
      <c r="I651" s="315"/>
      <c r="J651" s="512"/>
      <c r="K651" s="512"/>
      <c r="L651" s="512"/>
      <c r="M651" s="512"/>
      <c r="N651" s="512"/>
      <c r="O651" s="512"/>
      <c r="P651" s="512"/>
      <c r="Q651" s="512"/>
      <c r="R651" s="512"/>
      <c r="S651" s="512"/>
      <c r="T651" s="315"/>
      <c r="U651" s="319"/>
      <c r="V651" s="317"/>
      <c r="W651" s="796"/>
      <c r="X651" s="7"/>
      <c r="Y651" s="7"/>
      <c r="Z651" s="7"/>
      <c r="AA651" s="7"/>
      <c r="AB651" s="7"/>
      <c r="AC651" s="7"/>
    </row>
    <row r="652" spans="1:29" ht="26.25">
      <c r="A652" s="268"/>
      <c r="B652" s="104"/>
      <c r="C652" s="91"/>
      <c r="D652" s="91"/>
      <c r="E652" s="91"/>
      <c r="F652" s="91"/>
      <c r="G652" s="91"/>
      <c r="H652" s="91"/>
      <c r="I652" s="91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1"/>
      <c r="U652" s="95"/>
      <c r="V652" s="569"/>
      <c r="W652" s="797"/>
      <c r="X652" s="7"/>
      <c r="Y652" s="7"/>
      <c r="Z652" s="7"/>
      <c r="AA652" s="7"/>
      <c r="AB652" s="7"/>
      <c r="AC652" s="7"/>
    </row>
    <row r="653" spans="1:29" ht="26.25">
      <c r="A653" s="268"/>
      <c r="B653" s="580" t="s">
        <v>704</v>
      </c>
      <c r="C653" s="91">
        <f>H653+E653</f>
        <v>78.11</v>
      </c>
      <c r="D653" s="91"/>
      <c r="E653" s="91">
        <f>F653+G653</f>
        <v>5.1099999999999994</v>
      </c>
      <c r="F653" s="91">
        <f>0.04*H653</f>
        <v>2.92</v>
      </c>
      <c r="G653" s="91">
        <f>0.03*H653</f>
        <v>2.19</v>
      </c>
      <c r="H653" s="91">
        <f>T653</f>
        <v>73</v>
      </c>
      <c r="I653" s="91">
        <f>0.6*C653</f>
        <v>46.866</v>
      </c>
      <c r="J653" s="22"/>
      <c r="K653" s="22"/>
      <c r="L653" s="22"/>
      <c r="M653" s="22"/>
      <c r="N653" s="22"/>
      <c r="O653" s="91">
        <v>9077</v>
      </c>
      <c r="P653" s="91">
        <v>9150</v>
      </c>
      <c r="Q653" s="22" t="s">
        <v>28</v>
      </c>
      <c r="R653" s="142"/>
      <c r="S653" s="151">
        <v>1</v>
      </c>
      <c r="T653" s="91">
        <f>(P653-O653)*S653</f>
        <v>73</v>
      </c>
      <c r="U653" s="95" t="s">
        <v>582</v>
      </c>
      <c r="V653" s="569" t="s">
        <v>583</v>
      </c>
      <c r="W653" s="14" t="s">
        <v>90</v>
      </c>
      <c r="X653" s="7"/>
      <c r="Y653" s="7"/>
      <c r="Z653" s="7"/>
      <c r="AA653" s="7"/>
      <c r="AB653" s="7"/>
      <c r="AC653" s="7"/>
    </row>
    <row r="654" spans="1:29" ht="26.25">
      <c r="A654" s="271"/>
      <c r="B654" s="143" t="s">
        <v>584</v>
      </c>
      <c r="C654" s="115">
        <f>SUM(C615:C653)</f>
        <v>19376.629999999994</v>
      </c>
      <c r="D654" s="115"/>
      <c r="E654" s="115">
        <f t="shared" si="91"/>
        <v>1224.44</v>
      </c>
      <c r="F654" s="115">
        <f t="shared" si="87"/>
        <v>699.68000000000006</v>
      </c>
      <c r="G654" s="115">
        <f t="shared" si="88"/>
        <v>524.76</v>
      </c>
      <c r="H654" s="115">
        <f>SUM(H616:H645)</f>
        <v>17492</v>
      </c>
      <c r="I654" s="115">
        <f>SUM(I616:I647)</f>
        <v>9561.9479999999967</v>
      </c>
      <c r="J654" s="142"/>
      <c r="K654" s="142"/>
      <c r="L654" s="142"/>
      <c r="M654" s="142"/>
      <c r="N654" s="142"/>
      <c r="O654" s="94"/>
      <c r="P654" s="94"/>
      <c r="Q654" s="94"/>
      <c r="R654" s="94"/>
      <c r="S654" s="92"/>
      <c r="T654" s="91"/>
      <c r="U654" s="95"/>
      <c r="V654" s="569"/>
      <c r="W654" s="14"/>
      <c r="X654" s="7"/>
      <c r="Y654" s="7"/>
      <c r="Z654" s="7"/>
      <c r="AA654" s="7"/>
      <c r="AB654" s="7"/>
      <c r="AC654" s="7"/>
    </row>
    <row r="655" spans="1:29" ht="26.25">
      <c r="A655" s="271"/>
      <c r="B655" s="143"/>
      <c r="C655" s="115"/>
      <c r="D655" s="115"/>
      <c r="E655" s="115"/>
      <c r="F655" s="115"/>
      <c r="G655" s="115"/>
      <c r="H655" s="115"/>
      <c r="I655" s="115"/>
      <c r="J655" s="98"/>
      <c r="K655" s="98"/>
      <c r="L655" s="98"/>
      <c r="M655" s="98"/>
      <c r="N655" s="98"/>
      <c r="O655" s="94"/>
      <c r="P655" s="94"/>
      <c r="Q655" s="227"/>
      <c r="R655" s="228"/>
      <c r="S655" s="92"/>
      <c r="T655" s="91"/>
      <c r="U655" s="95"/>
      <c r="V655" s="569"/>
      <c r="W655" s="14"/>
      <c r="X655" s="7"/>
      <c r="Y655" s="7"/>
      <c r="Z655" s="7"/>
      <c r="AA655" s="7"/>
      <c r="AB655" s="7"/>
      <c r="AC655" s="7"/>
    </row>
    <row r="656" spans="1:29" ht="26.25">
      <c r="A656" s="271"/>
      <c r="B656" s="143" t="s">
        <v>585</v>
      </c>
      <c r="C656" s="91"/>
      <c r="D656" s="92"/>
      <c r="E656" s="91"/>
      <c r="F656" s="91"/>
      <c r="G656" s="91"/>
      <c r="H656" s="92"/>
      <c r="I656" s="92"/>
      <c r="J656" s="98"/>
      <c r="K656" s="98"/>
      <c r="L656" s="98"/>
      <c r="M656" s="98"/>
      <c r="N656" s="98"/>
      <c r="O656" s="92"/>
      <c r="P656" s="92"/>
      <c r="Q656" s="105"/>
      <c r="R656" s="106"/>
      <c r="S656" s="92"/>
      <c r="T656" s="91"/>
      <c r="U656" s="95"/>
      <c r="V656" s="569"/>
      <c r="W656" s="14"/>
      <c r="X656" s="7"/>
      <c r="Y656" s="7"/>
      <c r="Z656" s="7"/>
      <c r="AA656" s="7"/>
      <c r="AB656" s="7"/>
      <c r="AC656" s="7"/>
    </row>
    <row r="657" spans="1:29" ht="25.5">
      <c r="A657" s="252"/>
      <c r="B657" s="104"/>
      <c r="C657" s="91"/>
      <c r="D657" s="92"/>
      <c r="E657" s="91"/>
      <c r="F657" s="91"/>
      <c r="G657" s="91"/>
      <c r="H657" s="91"/>
      <c r="I657" s="92"/>
      <c r="J657" s="98"/>
      <c r="K657" s="98"/>
      <c r="L657" s="98"/>
      <c r="M657" s="98"/>
      <c r="N657" s="98"/>
      <c r="O657" s="92"/>
      <c r="P657" s="92"/>
      <c r="Q657" s="105"/>
      <c r="R657" s="106"/>
      <c r="S657" s="92"/>
      <c r="T657" s="91"/>
      <c r="U657" s="95"/>
      <c r="V657" s="569"/>
      <c r="W657" s="14"/>
      <c r="X657" s="7"/>
      <c r="Y657" s="7"/>
      <c r="Z657" s="7"/>
      <c r="AA657" s="7"/>
      <c r="AB657" s="7"/>
      <c r="AC657" s="7"/>
    </row>
    <row r="658" spans="1:29" ht="25.5">
      <c r="A658" s="252"/>
      <c r="B658" s="104" t="s">
        <v>705</v>
      </c>
      <c r="C658" s="91">
        <f t="shared" ref="C658:C696" si="99">H658+E658</f>
        <v>1660.6399999999999</v>
      </c>
      <c r="D658" s="92"/>
      <c r="E658" s="91">
        <f t="shared" ref="E658:E696" si="100">F658+G658</f>
        <v>108.63999999999999</v>
      </c>
      <c r="F658" s="91">
        <f t="shared" ref="F658:F696" si="101">0.04*T658</f>
        <v>62.08</v>
      </c>
      <c r="G658" s="91">
        <f t="shared" ref="G658:G696" si="102">0.03*T658</f>
        <v>46.559999999999995</v>
      </c>
      <c r="H658" s="91">
        <f t="shared" ref="H658:H696" si="103">T658</f>
        <v>1552</v>
      </c>
      <c r="I658" s="91">
        <f>H658*0.5</f>
        <v>776</v>
      </c>
      <c r="J658" s="98"/>
      <c r="K658" s="98"/>
      <c r="L658" s="98"/>
      <c r="M658" s="98"/>
      <c r="N658" s="98"/>
      <c r="O658" s="92">
        <v>39000</v>
      </c>
      <c r="P658" s="92">
        <v>40552</v>
      </c>
      <c r="Q658" s="105"/>
      <c r="R658" s="106"/>
      <c r="S658" s="92">
        <v>1</v>
      </c>
      <c r="T658" s="91">
        <f t="shared" ref="T658:T694" si="104">(P658-O658)*S658</f>
        <v>1552</v>
      </c>
      <c r="U658" s="95" t="s">
        <v>586</v>
      </c>
      <c r="V658" s="569" t="s">
        <v>587</v>
      </c>
      <c r="W658" s="14" t="s">
        <v>48</v>
      </c>
      <c r="X658" s="7"/>
      <c r="Y658" s="7"/>
      <c r="Z658" s="7"/>
      <c r="AA658" s="7"/>
      <c r="AB658" s="7"/>
      <c r="AC658" s="7"/>
    </row>
    <row r="659" spans="1:29" ht="25.5">
      <c r="A659" s="252"/>
      <c r="B659" s="104" t="s">
        <v>836</v>
      </c>
      <c r="C659" s="91">
        <f t="shared" si="99"/>
        <v>2479.19</v>
      </c>
      <c r="D659" s="92"/>
      <c r="E659" s="91">
        <f t="shared" si="100"/>
        <v>162.19</v>
      </c>
      <c r="F659" s="91">
        <f t="shared" si="101"/>
        <v>92.68</v>
      </c>
      <c r="G659" s="91">
        <f t="shared" si="102"/>
        <v>69.509999999999991</v>
      </c>
      <c r="H659" s="91">
        <f t="shared" si="103"/>
        <v>2317</v>
      </c>
      <c r="I659" s="91">
        <f t="shared" ref="I659:I696" si="105">H659*0.5</f>
        <v>1158.5</v>
      </c>
      <c r="J659" s="98"/>
      <c r="K659" s="98"/>
      <c r="L659" s="98"/>
      <c r="M659" s="98"/>
      <c r="N659" s="98"/>
      <c r="O659" s="92">
        <v>155528</v>
      </c>
      <c r="P659" s="92">
        <v>157845</v>
      </c>
      <c r="Q659" s="105"/>
      <c r="R659" s="106"/>
      <c r="S659" s="92">
        <v>1</v>
      </c>
      <c r="T659" s="91">
        <f t="shared" si="104"/>
        <v>2317</v>
      </c>
      <c r="U659" s="95"/>
      <c r="V659" s="569" t="s">
        <v>753</v>
      </c>
      <c r="W659" s="14" t="s">
        <v>48</v>
      </c>
      <c r="X659" s="7"/>
      <c r="Y659" s="7"/>
      <c r="Z659" s="7"/>
      <c r="AA659" s="7"/>
      <c r="AB659" s="7"/>
      <c r="AC659" s="7"/>
    </row>
    <row r="660" spans="1:29" ht="25.5">
      <c r="A660" s="252"/>
      <c r="B660" s="104" t="s">
        <v>588</v>
      </c>
      <c r="C660" s="91">
        <f t="shared" si="99"/>
        <v>103.78999999999999</v>
      </c>
      <c r="D660" s="92"/>
      <c r="E660" s="91">
        <f t="shared" si="100"/>
        <v>6.7899999999999991</v>
      </c>
      <c r="F660" s="91">
        <f t="shared" si="101"/>
        <v>3.88</v>
      </c>
      <c r="G660" s="91">
        <f t="shared" si="102"/>
        <v>2.9099999999999997</v>
      </c>
      <c r="H660" s="91">
        <f t="shared" si="103"/>
        <v>97</v>
      </c>
      <c r="I660" s="91">
        <f t="shared" si="105"/>
        <v>48.5</v>
      </c>
      <c r="J660" s="98"/>
      <c r="K660" s="98"/>
      <c r="L660" s="98"/>
      <c r="M660" s="98"/>
      <c r="N660" s="98"/>
      <c r="O660" s="92">
        <v>15495</v>
      </c>
      <c r="P660" s="92">
        <v>15592</v>
      </c>
      <c r="Q660" s="105"/>
      <c r="R660" s="106"/>
      <c r="S660" s="92">
        <v>1</v>
      </c>
      <c r="T660" s="91">
        <f t="shared" si="104"/>
        <v>97</v>
      </c>
      <c r="U660" s="95">
        <v>4691</v>
      </c>
      <c r="V660" s="569" t="s">
        <v>589</v>
      </c>
      <c r="W660" s="14" t="s">
        <v>48</v>
      </c>
      <c r="X660" s="7"/>
      <c r="Y660" s="7"/>
      <c r="Z660" s="7"/>
      <c r="AA660" s="7"/>
      <c r="AB660" s="7"/>
      <c r="AC660" s="7"/>
    </row>
    <row r="661" spans="1:29" ht="25.5">
      <c r="A661" s="252"/>
      <c r="B661" s="104" t="s">
        <v>590</v>
      </c>
      <c r="C661" s="91">
        <f t="shared" si="99"/>
        <v>179.76</v>
      </c>
      <c r="D661" s="92"/>
      <c r="E661" s="91">
        <f t="shared" si="100"/>
        <v>11.76</v>
      </c>
      <c r="F661" s="91">
        <f t="shared" si="101"/>
        <v>6.72</v>
      </c>
      <c r="G661" s="91">
        <f t="shared" si="102"/>
        <v>5.04</v>
      </c>
      <c r="H661" s="91">
        <f t="shared" si="103"/>
        <v>168</v>
      </c>
      <c r="I661" s="91">
        <f t="shared" si="105"/>
        <v>84</v>
      </c>
      <c r="J661" s="98"/>
      <c r="K661" s="98"/>
      <c r="L661" s="98"/>
      <c r="M661" s="98"/>
      <c r="N661" s="98"/>
      <c r="O661" s="92">
        <v>17656</v>
      </c>
      <c r="P661" s="92">
        <v>17824</v>
      </c>
      <c r="Q661" s="105"/>
      <c r="R661" s="106"/>
      <c r="S661" s="92">
        <v>1</v>
      </c>
      <c r="T661" s="91">
        <f t="shared" si="104"/>
        <v>168</v>
      </c>
      <c r="U661" s="95">
        <v>1641</v>
      </c>
      <c r="V661" s="569" t="s">
        <v>591</v>
      </c>
      <c r="W661" s="14" t="s">
        <v>48</v>
      </c>
      <c r="X661" s="7"/>
      <c r="Y661" s="7"/>
      <c r="Z661" s="7"/>
      <c r="AA661" s="7"/>
      <c r="AB661" s="7"/>
      <c r="AC661" s="7"/>
    </row>
    <row r="662" spans="1:29" ht="25.5">
      <c r="A662" s="252"/>
      <c r="B662" s="104" t="s">
        <v>592</v>
      </c>
      <c r="C662" s="91">
        <f t="shared" si="99"/>
        <v>169.06</v>
      </c>
      <c r="D662" s="92"/>
      <c r="E662" s="91">
        <f t="shared" si="100"/>
        <v>11.06</v>
      </c>
      <c r="F662" s="91">
        <f t="shared" si="101"/>
        <v>6.32</v>
      </c>
      <c r="G662" s="91">
        <f t="shared" si="102"/>
        <v>4.74</v>
      </c>
      <c r="H662" s="91">
        <f t="shared" si="103"/>
        <v>158</v>
      </c>
      <c r="I662" s="91">
        <f t="shared" si="105"/>
        <v>79</v>
      </c>
      <c r="J662" s="98"/>
      <c r="K662" s="98"/>
      <c r="L662" s="98"/>
      <c r="M662" s="98"/>
      <c r="N662" s="98"/>
      <c r="O662" s="92">
        <v>17566</v>
      </c>
      <c r="P662" s="92">
        <v>17724</v>
      </c>
      <c r="Q662" s="105"/>
      <c r="R662" s="106"/>
      <c r="S662" s="92">
        <v>1</v>
      </c>
      <c r="T662" s="91">
        <f t="shared" si="104"/>
        <v>158</v>
      </c>
      <c r="U662" s="95">
        <v>6943</v>
      </c>
      <c r="V662" s="569" t="s">
        <v>593</v>
      </c>
      <c r="W662" s="14" t="s">
        <v>48</v>
      </c>
      <c r="X662" s="7"/>
      <c r="Y662" s="7"/>
      <c r="Z662" s="7"/>
      <c r="AA662" s="7"/>
      <c r="AB662" s="7"/>
      <c r="AC662" s="7"/>
    </row>
    <row r="663" spans="1:29" ht="25.5">
      <c r="A663" s="252"/>
      <c r="B663" s="104" t="s">
        <v>594</v>
      </c>
      <c r="C663" s="91">
        <f t="shared" si="99"/>
        <v>163.71</v>
      </c>
      <c r="D663" s="92"/>
      <c r="E663" s="91">
        <f t="shared" si="100"/>
        <v>10.71</v>
      </c>
      <c r="F663" s="91">
        <f t="shared" si="101"/>
        <v>6.12</v>
      </c>
      <c r="G663" s="91">
        <f t="shared" si="102"/>
        <v>4.59</v>
      </c>
      <c r="H663" s="91">
        <f t="shared" si="103"/>
        <v>153</v>
      </c>
      <c r="I663" s="91">
        <f t="shared" si="105"/>
        <v>76.5</v>
      </c>
      <c r="J663" s="98"/>
      <c r="K663" s="98"/>
      <c r="L663" s="98"/>
      <c r="M663" s="98"/>
      <c r="N663" s="98"/>
      <c r="O663" s="92">
        <v>20965</v>
      </c>
      <c r="P663" s="92">
        <v>21118</v>
      </c>
      <c r="Q663" s="105"/>
      <c r="R663" s="106"/>
      <c r="S663" s="92">
        <v>1</v>
      </c>
      <c r="T663" s="91">
        <f t="shared" si="104"/>
        <v>153</v>
      </c>
      <c r="U663" s="95">
        <v>9787</v>
      </c>
      <c r="V663" s="569" t="s">
        <v>595</v>
      </c>
      <c r="W663" s="14" t="s">
        <v>48</v>
      </c>
      <c r="X663" s="7"/>
      <c r="Y663" s="7"/>
      <c r="Z663" s="7"/>
      <c r="AA663" s="7"/>
      <c r="AB663" s="7"/>
      <c r="AC663" s="7"/>
    </row>
    <row r="664" spans="1:29" ht="25.5">
      <c r="A664" s="252"/>
      <c r="B664" s="104" t="s">
        <v>596</v>
      </c>
      <c r="C664" s="91">
        <f t="shared" si="99"/>
        <v>128.4</v>
      </c>
      <c r="D664" s="92"/>
      <c r="E664" s="91">
        <f t="shared" si="100"/>
        <v>8.3999999999999986</v>
      </c>
      <c r="F664" s="91">
        <f t="shared" si="101"/>
        <v>4.8</v>
      </c>
      <c r="G664" s="91">
        <f t="shared" si="102"/>
        <v>3.5999999999999996</v>
      </c>
      <c r="H664" s="91">
        <f t="shared" si="103"/>
        <v>120</v>
      </c>
      <c r="I664" s="91">
        <f t="shared" si="105"/>
        <v>60</v>
      </c>
      <c r="J664" s="98"/>
      <c r="K664" s="98"/>
      <c r="L664" s="98"/>
      <c r="M664" s="98"/>
      <c r="N664" s="98"/>
      <c r="O664" s="92">
        <v>20569</v>
      </c>
      <c r="P664" s="92">
        <v>20689</v>
      </c>
      <c r="Q664" s="105"/>
      <c r="R664" s="106"/>
      <c r="S664" s="92">
        <v>1</v>
      </c>
      <c r="T664" s="91">
        <f t="shared" si="104"/>
        <v>120</v>
      </c>
      <c r="U664" s="95" t="s">
        <v>597</v>
      </c>
      <c r="V664" s="569" t="s">
        <v>598</v>
      </c>
      <c r="W664" s="14" t="s">
        <v>48</v>
      </c>
      <c r="X664" s="7"/>
      <c r="Y664" s="7"/>
      <c r="Z664" s="7"/>
      <c r="AA664" s="7"/>
      <c r="AB664" s="7"/>
      <c r="AC664" s="7"/>
    </row>
    <row r="665" spans="1:29" ht="25.5">
      <c r="A665" s="252"/>
      <c r="B665" s="831" t="s">
        <v>599</v>
      </c>
      <c r="C665" s="91">
        <f t="shared" si="99"/>
        <v>419.44</v>
      </c>
      <c r="D665" s="92"/>
      <c r="E665" s="91">
        <f t="shared" si="100"/>
        <v>27.439999999999998</v>
      </c>
      <c r="F665" s="91">
        <f t="shared" si="101"/>
        <v>15.68</v>
      </c>
      <c r="G665" s="91">
        <f t="shared" si="102"/>
        <v>11.76</v>
      </c>
      <c r="H665" s="91">
        <f t="shared" si="103"/>
        <v>392</v>
      </c>
      <c r="I665" s="91">
        <f t="shared" si="105"/>
        <v>196</v>
      </c>
      <c r="J665" s="98"/>
      <c r="K665" s="98"/>
      <c r="L665" s="98"/>
      <c r="M665" s="98"/>
      <c r="N665" s="98"/>
      <c r="O665" s="92">
        <v>34896</v>
      </c>
      <c r="P665" s="92">
        <v>35288</v>
      </c>
      <c r="Q665" s="105"/>
      <c r="R665" s="106"/>
      <c r="S665" s="92">
        <v>1</v>
      </c>
      <c r="T665" s="91">
        <f t="shared" si="104"/>
        <v>392</v>
      </c>
      <c r="U665" s="95">
        <v>9791</v>
      </c>
      <c r="V665" s="569" t="s">
        <v>600</v>
      </c>
      <c r="W665" s="14" t="s">
        <v>48</v>
      </c>
      <c r="X665" s="7"/>
      <c r="Y665" s="7"/>
      <c r="Z665" s="7"/>
      <c r="AA665" s="7"/>
      <c r="AB665" s="7"/>
      <c r="AC665" s="7"/>
    </row>
    <row r="666" spans="1:29" ht="25.5">
      <c r="A666" s="252"/>
      <c r="B666" s="832"/>
      <c r="C666" s="91">
        <f t="shared" si="99"/>
        <v>96.3</v>
      </c>
      <c r="D666" s="92"/>
      <c r="E666" s="91">
        <f t="shared" si="100"/>
        <v>6.3</v>
      </c>
      <c r="F666" s="91">
        <f t="shared" si="101"/>
        <v>3.6</v>
      </c>
      <c r="G666" s="91">
        <f t="shared" si="102"/>
        <v>2.6999999999999997</v>
      </c>
      <c r="H666" s="91">
        <f t="shared" si="103"/>
        <v>90</v>
      </c>
      <c r="I666" s="91">
        <f t="shared" si="105"/>
        <v>45</v>
      </c>
      <c r="J666" s="98"/>
      <c r="K666" s="98"/>
      <c r="L666" s="98"/>
      <c r="M666" s="98"/>
      <c r="N666" s="98"/>
      <c r="O666" s="92">
        <v>9408</v>
      </c>
      <c r="P666" s="92">
        <v>9498</v>
      </c>
      <c r="Q666" s="105"/>
      <c r="R666" s="106"/>
      <c r="S666" s="92">
        <v>1</v>
      </c>
      <c r="T666" s="91">
        <f t="shared" si="104"/>
        <v>90</v>
      </c>
      <c r="U666" s="95">
        <v>1049</v>
      </c>
      <c r="V666" s="569" t="s">
        <v>602</v>
      </c>
      <c r="W666" s="14" t="s">
        <v>48</v>
      </c>
      <c r="X666" s="7"/>
      <c r="Y666" s="7"/>
      <c r="Z666" s="7"/>
      <c r="AA666" s="7"/>
      <c r="AB666" s="7"/>
      <c r="AC666" s="7"/>
    </row>
    <row r="667" spans="1:29" ht="25.5">
      <c r="A667" s="252"/>
      <c r="B667" s="104" t="s">
        <v>706</v>
      </c>
      <c r="C667" s="91">
        <f t="shared" si="99"/>
        <v>806.78</v>
      </c>
      <c r="D667" s="92"/>
      <c r="E667" s="91">
        <f t="shared" si="100"/>
        <v>52.78</v>
      </c>
      <c r="F667" s="91">
        <f t="shared" si="101"/>
        <v>30.16</v>
      </c>
      <c r="G667" s="91">
        <f t="shared" si="102"/>
        <v>22.619999999999997</v>
      </c>
      <c r="H667" s="91">
        <f t="shared" si="103"/>
        <v>754</v>
      </c>
      <c r="I667" s="91">
        <f t="shared" si="105"/>
        <v>377</v>
      </c>
      <c r="J667" s="98"/>
      <c r="K667" s="98"/>
      <c r="L667" s="98"/>
      <c r="M667" s="98"/>
      <c r="N667" s="98"/>
      <c r="O667" s="92">
        <v>87069</v>
      </c>
      <c r="P667" s="92">
        <v>87823</v>
      </c>
      <c r="Q667" s="105"/>
      <c r="R667" s="106"/>
      <c r="S667" s="92">
        <v>1</v>
      </c>
      <c r="T667" s="91">
        <f t="shared" si="104"/>
        <v>754</v>
      </c>
      <c r="U667" s="95">
        <v>4265</v>
      </c>
      <c r="V667" s="569" t="s">
        <v>603</v>
      </c>
      <c r="W667" s="14" t="s">
        <v>48</v>
      </c>
      <c r="X667" s="7"/>
      <c r="Y667" s="7"/>
      <c r="Z667" s="7"/>
      <c r="AA667" s="7"/>
      <c r="AB667" s="7"/>
      <c r="AC667" s="7"/>
    </row>
    <row r="668" spans="1:29" ht="25.5">
      <c r="A668" s="252"/>
      <c r="B668" s="104" t="s">
        <v>604</v>
      </c>
      <c r="C668" s="91">
        <f t="shared" si="99"/>
        <v>346.68</v>
      </c>
      <c r="D668" s="92"/>
      <c r="E668" s="91">
        <f t="shared" si="100"/>
        <v>22.68</v>
      </c>
      <c r="F668" s="91">
        <f t="shared" si="101"/>
        <v>12.96</v>
      </c>
      <c r="G668" s="91">
        <f t="shared" si="102"/>
        <v>9.7199999999999989</v>
      </c>
      <c r="H668" s="91">
        <f t="shared" si="103"/>
        <v>324</v>
      </c>
      <c r="I668" s="91">
        <f t="shared" si="105"/>
        <v>162</v>
      </c>
      <c r="J668" s="98"/>
      <c r="K668" s="98"/>
      <c r="L668" s="98"/>
      <c r="M668" s="98"/>
      <c r="N668" s="98"/>
      <c r="O668" s="92">
        <v>40675</v>
      </c>
      <c r="P668" s="92">
        <v>40999</v>
      </c>
      <c r="Q668" s="105"/>
      <c r="R668" s="106"/>
      <c r="S668" s="92">
        <v>1</v>
      </c>
      <c r="T668" s="91">
        <f t="shared" si="104"/>
        <v>324</v>
      </c>
      <c r="U668" s="95">
        <v>3583</v>
      </c>
      <c r="V668" s="569" t="s">
        <v>605</v>
      </c>
      <c r="W668" s="14" t="s">
        <v>48</v>
      </c>
      <c r="X668" s="7"/>
      <c r="Y668" s="7"/>
      <c r="Z668" s="7"/>
      <c r="AA668" s="7"/>
      <c r="AB668" s="7"/>
      <c r="AC668" s="7"/>
    </row>
    <row r="669" spans="1:29" ht="25.5">
      <c r="A669" s="252"/>
      <c r="B669" s="104" t="s">
        <v>606</v>
      </c>
      <c r="C669" s="91">
        <f t="shared" si="99"/>
        <v>90.95</v>
      </c>
      <c r="D669" s="92"/>
      <c r="E669" s="91">
        <f t="shared" si="100"/>
        <v>5.9499999999999993</v>
      </c>
      <c r="F669" s="91">
        <f t="shared" si="101"/>
        <v>3.4</v>
      </c>
      <c r="G669" s="91">
        <f t="shared" si="102"/>
        <v>2.5499999999999998</v>
      </c>
      <c r="H669" s="91">
        <f t="shared" si="103"/>
        <v>85</v>
      </c>
      <c r="I669" s="91">
        <f t="shared" si="105"/>
        <v>42.5</v>
      </c>
      <c r="J669" s="98"/>
      <c r="K669" s="98"/>
      <c r="L669" s="98"/>
      <c r="M669" s="98"/>
      <c r="N669" s="98"/>
      <c r="O669" s="92">
        <v>9133</v>
      </c>
      <c r="P669" s="92">
        <v>9218</v>
      </c>
      <c r="Q669" s="105"/>
      <c r="R669" s="106"/>
      <c r="S669" s="92">
        <v>1</v>
      </c>
      <c r="T669" s="91">
        <f t="shared" si="104"/>
        <v>85</v>
      </c>
      <c r="U669" s="95">
        <v>4513</v>
      </c>
      <c r="V669" s="569" t="s">
        <v>607</v>
      </c>
      <c r="W669" s="14" t="s">
        <v>48</v>
      </c>
      <c r="X669" s="7"/>
      <c r="Y669" s="7"/>
      <c r="Z669" s="7"/>
      <c r="AA669" s="7"/>
      <c r="AB669" s="7"/>
      <c r="AC669" s="7"/>
    </row>
    <row r="670" spans="1:29" ht="25.5">
      <c r="A670" s="252"/>
      <c r="B670" s="104" t="s">
        <v>608</v>
      </c>
      <c r="C670" s="91">
        <f t="shared" si="99"/>
        <v>0</v>
      </c>
      <c r="D670" s="92"/>
      <c r="E670" s="91">
        <f t="shared" si="100"/>
        <v>0</v>
      </c>
      <c r="F670" s="91">
        <f t="shared" si="101"/>
        <v>0</v>
      </c>
      <c r="G670" s="91">
        <f t="shared" si="102"/>
        <v>0</v>
      </c>
      <c r="H670" s="91">
        <f t="shared" si="103"/>
        <v>0</v>
      </c>
      <c r="I670" s="91">
        <f t="shared" si="105"/>
        <v>0</v>
      </c>
      <c r="J670" s="98"/>
      <c r="K670" s="98"/>
      <c r="L670" s="98"/>
      <c r="M670" s="98"/>
      <c r="N670" s="98"/>
      <c r="O670" s="92">
        <v>15474</v>
      </c>
      <c r="P670" s="92">
        <v>15474</v>
      </c>
      <c r="Q670" s="105"/>
      <c r="R670" s="106"/>
      <c r="S670" s="92">
        <v>1</v>
      </c>
      <c r="T670" s="91">
        <f t="shared" si="104"/>
        <v>0</v>
      </c>
      <c r="U670" s="95">
        <v>3882</v>
      </c>
      <c r="V670" s="569" t="s">
        <v>609</v>
      </c>
      <c r="W670" s="14" t="s">
        <v>48</v>
      </c>
      <c r="X670" s="7"/>
      <c r="Y670" s="7"/>
      <c r="Z670" s="7"/>
      <c r="AA670" s="7"/>
      <c r="AB670" s="7"/>
      <c r="AC670" s="7"/>
    </row>
    <row r="671" spans="1:29" ht="25.5">
      <c r="A671" s="252"/>
      <c r="B671" s="104" t="s">
        <v>707</v>
      </c>
      <c r="C671" s="91">
        <f t="shared" si="99"/>
        <v>364.87</v>
      </c>
      <c r="D671" s="92"/>
      <c r="E671" s="91">
        <f t="shared" si="100"/>
        <v>23.87</v>
      </c>
      <c r="F671" s="91">
        <f t="shared" si="101"/>
        <v>13.64</v>
      </c>
      <c r="G671" s="91">
        <f t="shared" si="102"/>
        <v>10.23</v>
      </c>
      <c r="H671" s="91">
        <f t="shared" si="103"/>
        <v>341</v>
      </c>
      <c r="I671" s="91">
        <f t="shared" si="105"/>
        <v>170.5</v>
      </c>
      <c r="J671" s="98"/>
      <c r="K671" s="98"/>
      <c r="L671" s="98"/>
      <c r="M671" s="98"/>
      <c r="N671" s="98"/>
      <c r="O671" s="92">
        <v>22441</v>
      </c>
      <c r="P671" s="92">
        <v>22782</v>
      </c>
      <c r="Q671" s="105"/>
      <c r="R671" s="106"/>
      <c r="S671" s="92">
        <v>1</v>
      </c>
      <c r="T671" s="91">
        <f t="shared" si="104"/>
        <v>341</v>
      </c>
      <c r="U671" s="95">
        <v>6296</v>
      </c>
      <c r="V671" s="569" t="s">
        <v>687</v>
      </c>
      <c r="W671" s="14" t="s">
        <v>48</v>
      </c>
      <c r="X671" s="7"/>
      <c r="Y671" s="7"/>
      <c r="Z671" s="7"/>
      <c r="AA671" s="7"/>
      <c r="AB671" s="7"/>
      <c r="AC671" s="7"/>
    </row>
    <row r="672" spans="1:29" ht="27" customHeight="1">
      <c r="B672" s="104" t="s">
        <v>840</v>
      </c>
      <c r="C672" s="91">
        <f t="shared" si="99"/>
        <v>578.87</v>
      </c>
      <c r="D672" s="92"/>
      <c r="E672" s="91">
        <f t="shared" si="100"/>
        <v>37.870000000000005</v>
      </c>
      <c r="F672" s="91">
        <f t="shared" si="101"/>
        <v>21.64</v>
      </c>
      <c r="G672" s="91">
        <f t="shared" si="102"/>
        <v>16.23</v>
      </c>
      <c r="H672" s="91">
        <f t="shared" si="103"/>
        <v>541</v>
      </c>
      <c r="I672" s="91">
        <f t="shared" si="105"/>
        <v>270.5</v>
      </c>
      <c r="J672" s="98"/>
      <c r="K672" s="98"/>
      <c r="L672" s="98"/>
      <c r="M672" s="98"/>
      <c r="N672" s="98"/>
      <c r="O672" s="92">
        <v>9045</v>
      </c>
      <c r="P672" s="92">
        <v>9586</v>
      </c>
      <c r="Q672" s="105"/>
      <c r="R672" s="106"/>
      <c r="S672" s="92">
        <v>1</v>
      </c>
      <c r="T672" s="91">
        <f t="shared" si="104"/>
        <v>541</v>
      </c>
      <c r="U672" s="95">
        <v>9873</v>
      </c>
      <c r="V672" s="569" t="s">
        <v>841</v>
      </c>
    </row>
    <row r="673" spans="1:29" ht="25.5">
      <c r="A673" s="252"/>
      <c r="B673" s="104" t="s">
        <v>896</v>
      </c>
      <c r="C673" s="91">
        <f t="shared" si="99"/>
        <v>222.56</v>
      </c>
      <c r="D673" s="92"/>
      <c r="E673" s="91">
        <f t="shared" si="100"/>
        <v>14.56</v>
      </c>
      <c r="F673" s="91">
        <f t="shared" si="101"/>
        <v>8.32</v>
      </c>
      <c r="G673" s="91">
        <f t="shared" si="102"/>
        <v>6.24</v>
      </c>
      <c r="H673" s="91">
        <f t="shared" si="103"/>
        <v>208</v>
      </c>
      <c r="I673" s="91">
        <f t="shared" si="105"/>
        <v>104</v>
      </c>
      <c r="J673" s="98"/>
      <c r="K673" s="98"/>
      <c r="L673" s="98"/>
      <c r="M673" s="98"/>
      <c r="N673" s="98"/>
      <c r="O673" s="92">
        <v>16076</v>
      </c>
      <c r="P673" s="92">
        <v>16284</v>
      </c>
      <c r="Q673" s="105"/>
      <c r="R673" s="106"/>
      <c r="S673" s="92">
        <v>1</v>
      </c>
      <c r="T673" s="91">
        <f t="shared" si="104"/>
        <v>208</v>
      </c>
      <c r="U673" s="95">
        <v>5679</v>
      </c>
      <c r="V673" s="569" t="s">
        <v>289</v>
      </c>
      <c r="W673" s="14" t="s">
        <v>48</v>
      </c>
      <c r="X673" s="7"/>
      <c r="Y673" s="7"/>
      <c r="Z673" s="7"/>
      <c r="AA673" s="7"/>
      <c r="AB673" s="7"/>
      <c r="AC673" s="7"/>
    </row>
    <row r="674" spans="1:29" ht="25.5">
      <c r="A674" s="252"/>
      <c r="B674" s="104" t="s">
        <v>612</v>
      </c>
      <c r="C674" s="91">
        <f t="shared" si="99"/>
        <v>214</v>
      </c>
      <c r="D674" s="92"/>
      <c r="E674" s="91">
        <f t="shared" si="100"/>
        <v>14</v>
      </c>
      <c r="F674" s="91">
        <f t="shared" si="101"/>
        <v>8</v>
      </c>
      <c r="G674" s="91">
        <f t="shared" si="102"/>
        <v>6</v>
      </c>
      <c r="H674" s="91">
        <f t="shared" si="103"/>
        <v>200</v>
      </c>
      <c r="I674" s="91">
        <f t="shared" si="105"/>
        <v>100</v>
      </c>
      <c r="J674" s="98"/>
      <c r="K674" s="98"/>
      <c r="L674" s="98"/>
      <c r="M674" s="98"/>
      <c r="N674" s="98"/>
      <c r="O674" s="92">
        <v>44567</v>
      </c>
      <c r="P674" s="92">
        <v>44767</v>
      </c>
      <c r="Q674" s="105"/>
      <c r="R674" s="106"/>
      <c r="S674" s="92">
        <v>1</v>
      </c>
      <c r="T674" s="91">
        <f t="shared" si="104"/>
        <v>200</v>
      </c>
      <c r="U674" s="95">
        <v>5803</v>
      </c>
      <c r="V674" s="569" t="s">
        <v>613</v>
      </c>
      <c r="W674" s="14" t="s">
        <v>48</v>
      </c>
      <c r="X674" s="7"/>
      <c r="Y674" s="7"/>
      <c r="Z674" s="7"/>
      <c r="AA674" s="7"/>
      <c r="AB674" s="7"/>
      <c r="AC674" s="7"/>
    </row>
    <row r="675" spans="1:29" ht="25.5">
      <c r="A675" s="252"/>
      <c r="B675" s="104" t="s">
        <v>614</v>
      </c>
      <c r="C675" s="91">
        <f t="shared" si="99"/>
        <v>258.94</v>
      </c>
      <c r="D675" s="92"/>
      <c r="E675" s="91">
        <f t="shared" si="100"/>
        <v>16.939999999999998</v>
      </c>
      <c r="F675" s="91">
        <f t="shared" si="101"/>
        <v>9.68</v>
      </c>
      <c r="G675" s="91">
        <f t="shared" si="102"/>
        <v>7.26</v>
      </c>
      <c r="H675" s="91">
        <f t="shared" si="103"/>
        <v>242</v>
      </c>
      <c r="I675" s="91">
        <f t="shared" si="105"/>
        <v>121</v>
      </c>
      <c r="J675" s="98"/>
      <c r="K675" s="98"/>
      <c r="L675" s="98"/>
      <c r="M675" s="98"/>
      <c r="N675" s="98"/>
      <c r="O675" s="92">
        <v>23119</v>
      </c>
      <c r="P675" s="92">
        <v>23361</v>
      </c>
      <c r="Q675" s="105"/>
      <c r="R675" s="106"/>
      <c r="S675" s="92">
        <v>1</v>
      </c>
      <c r="T675" s="91">
        <f t="shared" si="104"/>
        <v>242</v>
      </c>
      <c r="U675" s="95">
        <v>5419</v>
      </c>
      <c r="V675" s="569" t="s">
        <v>615</v>
      </c>
      <c r="W675" s="14" t="s">
        <v>48</v>
      </c>
      <c r="X675" s="7"/>
      <c r="Y675" s="7"/>
      <c r="Z675" s="7"/>
      <c r="AA675" s="7"/>
      <c r="AB675" s="7"/>
      <c r="AC675" s="7"/>
    </row>
    <row r="676" spans="1:29" ht="25.5">
      <c r="A676" s="252"/>
      <c r="B676" s="104" t="s">
        <v>616</v>
      </c>
      <c r="C676" s="91">
        <f t="shared" si="99"/>
        <v>311.37</v>
      </c>
      <c r="D676" s="92"/>
      <c r="E676" s="91">
        <f t="shared" si="100"/>
        <v>20.37</v>
      </c>
      <c r="F676" s="91">
        <f t="shared" si="101"/>
        <v>11.64</v>
      </c>
      <c r="G676" s="91">
        <f t="shared" si="102"/>
        <v>8.73</v>
      </c>
      <c r="H676" s="91">
        <f t="shared" si="103"/>
        <v>291</v>
      </c>
      <c r="I676" s="91">
        <f t="shared" si="105"/>
        <v>145.5</v>
      </c>
      <c r="J676" s="98"/>
      <c r="K676" s="98"/>
      <c r="L676" s="98"/>
      <c r="M676" s="98"/>
      <c r="N676" s="98"/>
      <c r="O676" s="92">
        <v>34275</v>
      </c>
      <c r="P676" s="92">
        <v>34566</v>
      </c>
      <c r="Q676" s="105"/>
      <c r="R676" s="106"/>
      <c r="S676" s="92">
        <v>1</v>
      </c>
      <c r="T676" s="91">
        <f t="shared" si="104"/>
        <v>291</v>
      </c>
      <c r="U676" s="95">
        <v>5691</v>
      </c>
      <c r="V676" s="569" t="s">
        <v>617</v>
      </c>
      <c r="W676" s="14" t="s">
        <v>48</v>
      </c>
      <c r="X676" s="7"/>
      <c r="Y676" s="7"/>
      <c r="Z676" s="7"/>
      <c r="AA676" s="7"/>
      <c r="AB676" s="7"/>
      <c r="AC676" s="7"/>
    </row>
    <row r="677" spans="1:29" ht="25.5">
      <c r="A677" s="252"/>
      <c r="B677" s="104" t="s">
        <v>837</v>
      </c>
      <c r="C677" s="91">
        <f t="shared" si="99"/>
        <v>1196.26</v>
      </c>
      <c r="D677" s="92"/>
      <c r="E677" s="91">
        <f t="shared" si="100"/>
        <v>78.259999999999991</v>
      </c>
      <c r="F677" s="91">
        <f t="shared" si="101"/>
        <v>44.72</v>
      </c>
      <c r="G677" s="91">
        <f t="shared" si="102"/>
        <v>33.54</v>
      </c>
      <c r="H677" s="91">
        <f t="shared" si="103"/>
        <v>1118</v>
      </c>
      <c r="I677" s="91">
        <f t="shared" si="105"/>
        <v>559</v>
      </c>
      <c r="J677" s="98"/>
      <c r="K677" s="98"/>
      <c r="L677" s="98"/>
      <c r="M677" s="98"/>
      <c r="N677" s="98"/>
      <c r="O677" s="648">
        <v>63807</v>
      </c>
      <c r="P677" s="648">
        <v>64925</v>
      </c>
      <c r="Q677" s="105"/>
      <c r="R677" s="106"/>
      <c r="S677" s="92">
        <v>1</v>
      </c>
      <c r="T677" s="91">
        <f t="shared" si="104"/>
        <v>1118</v>
      </c>
      <c r="U677" s="95">
        <v>2169</v>
      </c>
      <c r="V677" s="569" t="s">
        <v>817</v>
      </c>
      <c r="W677" s="14" t="s">
        <v>48</v>
      </c>
      <c r="X677" s="7"/>
      <c r="Y677" s="7"/>
      <c r="Z677" s="7"/>
      <c r="AA677" s="7"/>
      <c r="AB677" s="7"/>
      <c r="AC677" s="7"/>
    </row>
    <row r="678" spans="1:29" ht="25.5">
      <c r="A678" s="252"/>
      <c r="B678" s="104" t="s">
        <v>618</v>
      </c>
      <c r="C678" s="91">
        <f t="shared" si="99"/>
        <v>782.17</v>
      </c>
      <c r="D678" s="92"/>
      <c r="E678" s="91">
        <f t="shared" si="100"/>
        <v>51.17</v>
      </c>
      <c r="F678" s="91">
        <f t="shared" si="101"/>
        <v>29.240000000000002</v>
      </c>
      <c r="G678" s="91">
        <f t="shared" si="102"/>
        <v>21.93</v>
      </c>
      <c r="H678" s="91">
        <f t="shared" si="103"/>
        <v>731</v>
      </c>
      <c r="I678" s="91">
        <f t="shared" si="105"/>
        <v>365.5</v>
      </c>
      <c r="J678" s="98"/>
      <c r="K678" s="98"/>
      <c r="L678" s="98"/>
      <c r="M678" s="98"/>
      <c r="N678" s="98"/>
      <c r="O678" s="92">
        <v>56526</v>
      </c>
      <c r="P678" s="92">
        <v>57257</v>
      </c>
      <c r="Q678" s="105"/>
      <c r="R678" s="106"/>
      <c r="S678" s="92">
        <v>1</v>
      </c>
      <c r="T678" s="91">
        <f t="shared" si="104"/>
        <v>731</v>
      </c>
      <c r="U678" s="95">
        <v>3943</v>
      </c>
      <c r="V678" s="569" t="s">
        <v>838</v>
      </c>
      <c r="W678" s="14" t="s">
        <v>48</v>
      </c>
      <c r="X678" s="7"/>
      <c r="Y678" s="7"/>
      <c r="Z678" s="7"/>
      <c r="AA678" s="7"/>
      <c r="AB678" s="7"/>
      <c r="AC678" s="7"/>
    </row>
    <row r="679" spans="1:29" ht="25.5">
      <c r="A679" s="252"/>
      <c r="B679" s="104" t="s">
        <v>619</v>
      </c>
      <c r="C679" s="91">
        <f>H679+E679</f>
        <v>1032.55</v>
      </c>
      <c r="D679" s="91"/>
      <c r="E679" s="91">
        <f>F679+G679</f>
        <v>67.55</v>
      </c>
      <c r="F679" s="91">
        <f>0.04*H679</f>
        <v>38.6</v>
      </c>
      <c r="G679" s="91">
        <f>0.03*H679</f>
        <v>28.95</v>
      </c>
      <c r="H679" s="91">
        <f>T679</f>
        <v>965</v>
      </c>
      <c r="I679" s="91">
        <f>0.5*C679</f>
        <v>516.27499999999998</v>
      </c>
      <c r="J679" s="22"/>
      <c r="K679" s="22"/>
      <c r="L679" s="22"/>
      <c r="M679" s="22"/>
      <c r="N679" s="22"/>
      <c r="O679" s="91">
        <v>70439</v>
      </c>
      <c r="P679" s="91">
        <v>71404</v>
      </c>
      <c r="Q679" s="122"/>
      <c r="R679" s="649"/>
      <c r="S679" s="91">
        <v>1</v>
      </c>
      <c r="T679" s="91">
        <f t="shared" si="104"/>
        <v>965</v>
      </c>
      <c r="U679" s="95">
        <v>5973</v>
      </c>
      <c r="V679" s="569" t="s">
        <v>839</v>
      </c>
      <c r="W679" s="14" t="s">
        <v>48</v>
      </c>
      <c r="X679" s="7"/>
      <c r="Y679" s="7"/>
      <c r="Z679" s="7"/>
      <c r="AA679" s="7"/>
      <c r="AB679" s="7"/>
      <c r="AC679" s="7"/>
    </row>
    <row r="680" spans="1:29" ht="25.5">
      <c r="A680" s="252"/>
      <c r="B680" s="104" t="s">
        <v>881</v>
      </c>
      <c r="C680" s="91">
        <f t="shared" si="99"/>
        <v>1423.1</v>
      </c>
      <c r="D680" s="92"/>
      <c r="E680" s="91">
        <f t="shared" si="100"/>
        <v>93.1</v>
      </c>
      <c r="F680" s="91">
        <f t="shared" si="101"/>
        <v>53.2</v>
      </c>
      <c r="G680" s="91">
        <f t="shared" si="102"/>
        <v>39.9</v>
      </c>
      <c r="H680" s="91">
        <f t="shared" si="103"/>
        <v>1330</v>
      </c>
      <c r="I680" s="91">
        <f t="shared" si="105"/>
        <v>665</v>
      </c>
      <c r="J680" s="98"/>
      <c r="K680" s="98"/>
      <c r="L680" s="98"/>
      <c r="M680" s="98"/>
      <c r="N680" s="98"/>
      <c r="O680" s="92">
        <v>38670</v>
      </c>
      <c r="P680" s="92">
        <v>40000</v>
      </c>
      <c r="Q680" s="105"/>
      <c r="R680" s="106"/>
      <c r="S680" s="92">
        <v>1</v>
      </c>
      <c r="T680" s="91">
        <f t="shared" si="104"/>
        <v>1330</v>
      </c>
      <c r="U680" s="95">
        <v>9880</v>
      </c>
      <c r="V680" s="569" t="s">
        <v>620</v>
      </c>
      <c r="W680" s="14" t="s">
        <v>48</v>
      </c>
      <c r="X680" s="7"/>
      <c r="Y680" s="7"/>
      <c r="Z680" s="7"/>
      <c r="AA680" s="7"/>
      <c r="AB680" s="7"/>
      <c r="AC680" s="7"/>
    </row>
    <row r="681" spans="1:29" ht="25.5">
      <c r="A681" s="252"/>
      <c r="B681" s="104" t="s">
        <v>621</v>
      </c>
      <c r="C681" s="91">
        <f t="shared" si="99"/>
        <v>447.26</v>
      </c>
      <c r="D681" s="92"/>
      <c r="E681" s="91">
        <f t="shared" si="100"/>
        <v>29.259999999999998</v>
      </c>
      <c r="F681" s="91">
        <f t="shared" si="101"/>
        <v>16.72</v>
      </c>
      <c r="G681" s="91">
        <f t="shared" si="102"/>
        <v>12.54</v>
      </c>
      <c r="H681" s="91">
        <f t="shared" si="103"/>
        <v>418</v>
      </c>
      <c r="I681" s="91">
        <f t="shared" si="105"/>
        <v>209</v>
      </c>
      <c r="J681" s="98"/>
      <c r="K681" s="98"/>
      <c r="L681" s="98"/>
      <c r="M681" s="98"/>
      <c r="N681" s="98"/>
      <c r="O681" s="92">
        <v>54120</v>
      </c>
      <c r="P681" s="92">
        <v>54538</v>
      </c>
      <c r="Q681" s="105"/>
      <c r="R681" s="106"/>
      <c r="S681" s="92">
        <v>1</v>
      </c>
      <c r="T681" s="91">
        <f t="shared" si="104"/>
        <v>418</v>
      </c>
      <c r="U681" s="95">
        <v>9736</v>
      </c>
      <c r="V681" s="569" t="s">
        <v>622</v>
      </c>
      <c r="W681" s="14" t="s">
        <v>48</v>
      </c>
      <c r="X681" s="7"/>
      <c r="Y681" s="7"/>
      <c r="Z681" s="7"/>
      <c r="AA681" s="7"/>
      <c r="AB681" s="7"/>
      <c r="AC681" s="7"/>
    </row>
    <row r="682" spans="1:29" ht="25.5">
      <c r="A682" s="252"/>
      <c r="B682" s="104" t="s">
        <v>623</v>
      </c>
      <c r="C682" s="91">
        <f t="shared" si="99"/>
        <v>1043.25</v>
      </c>
      <c r="D682" s="92"/>
      <c r="E682" s="91">
        <f t="shared" si="100"/>
        <v>68.25</v>
      </c>
      <c r="F682" s="91">
        <f t="shared" si="101"/>
        <v>39</v>
      </c>
      <c r="G682" s="91">
        <f t="shared" si="102"/>
        <v>29.25</v>
      </c>
      <c r="H682" s="91">
        <f t="shared" si="103"/>
        <v>975</v>
      </c>
      <c r="I682" s="91">
        <f t="shared" si="105"/>
        <v>487.5</v>
      </c>
      <c r="J682" s="98"/>
      <c r="K682" s="98"/>
      <c r="L682" s="98"/>
      <c r="M682" s="98"/>
      <c r="N682" s="98"/>
      <c r="O682" s="92">
        <v>174642</v>
      </c>
      <c r="P682" s="92">
        <v>175617</v>
      </c>
      <c r="Q682" s="105"/>
      <c r="R682" s="106"/>
      <c r="S682" s="92">
        <v>1</v>
      </c>
      <c r="T682" s="91">
        <f t="shared" si="104"/>
        <v>975</v>
      </c>
      <c r="U682" s="95">
        <v>2154</v>
      </c>
      <c r="V682" s="569" t="s">
        <v>624</v>
      </c>
      <c r="W682" s="14" t="s">
        <v>48</v>
      </c>
      <c r="X682" s="7"/>
      <c r="Y682" s="7"/>
      <c r="Z682" s="7"/>
      <c r="AA682" s="7"/>
      <c r="AB682" s="7"/>
      <c r="AC682" s="7"/>
    </row>
    <row r="683" spans="1:29" ht="25.5">
      <c r="A683" s="252"/>
      <c r="B683" s="104" t="s">
        <v>625</v>
      </c>
      <c r="C683" s="91">
        <f t="shared" si="99"/>
        <v>614.17999999999995</v>
      </c>
      <c r="D683" s="92"/>
      <c r="E683" s="91">
        <f t="shared" si="100"/>
        <v>40.18</v>
      </c>
      <c r="F683" s="91">
        <f t="shared" si="101"/>
        <v>22.96</v>
      </c>
      <c r="G683" s="91">
        <f t="shared" si="102"/>
        <v>17.22</v>
      </c>
      <c r="H683" s="91">
        <f t="shared" si="103"/>
        <v>574</v>
      </c>
      <c r="I683" s="91">
        <f t="shared" si="105"/>
        <v>287</v>
      </c>
      <c r="J683" s="22"/>
      <c r="K683" s="22"/>
      <c r="L683" s="22"/>
      <c r="M683" s="22"/>
      <c r="N683" s="22"/>
      <c r="O683" s="91">
        <v>55490</v>
      </c>
      <c r="P683" s="91">
        <v>56064</v>
      </c>
      <c r="Q683" s="244"/>
      <c r="R683" s="106"/>
      <c r="S683" s="151">
        <v>1</v>
      </c>
      <c r="T683" s="91">
        <f t="shared" si="104"/>
        <v>574</v>
      </c>
      <c r="U683" s="95">
        <v>9093</v>
      </c>
      <c r="V683" s="569" t="s">
        <v>626</v>
      </c>
      <c r="W683" s="14" t="s">
        <v>48</v>
      </c>
      <c r="X683" s="7"/>
      <c r="Y683" s="7"/>
      <c r="Z683" s="7"/>
      <c r="AA683" s="7"/>
      <c r="AB683" s="7"/>
      <c r="AC683" s="7"/>
    </row>
    <row r="684" spans="1:29" ht="25.5">
      <c r="A684" s="252"/>
      <c r="B684" s="104" t="s">
        <v>627</v>
      </c>
      <c r="C684" s="91">
        <f t="shared" si="99"/>
        <v>269.64</v>
      </c>
      <c r="D684" s="92"/>
      <c r="E684" s="91">
        <f t="shared" si="100"/>
        <v>17.64</v>
      </c>
      <c r="F684" s="91">
        <f t="shared" si="101"/>
        <v>10.08</v>
      </c>
      <c r="G684" s="91">
        <f t="shared" si="102"/>
        <v>7.56</v>
      </c>
      <c r="H684" s="91">
        <f t="shared" si="103"/>
        <v>252</v>
      </c>
      <c r="I684" s="91">
        <f t="shared" si="105"/>
        <v>126</v>
      </c>
      <c r="J684" s="22"/>
      <c r="K684" s="22"/>
      <c r="L684" s="22"/>
      <c r="M684" s="22"/>
      <c r="N684" s="22"/>
      <c r="O684" s="91">
        <v>32357</v>
      </c>
      <c r="P684" s="91">
        <v>32609</v>
      </c>
      <c r="Q684" s="244"/>
      <c r="R684" s="106"/>
      <c r="S684" s="151">
        <v>1</v>
      </c>
      <c r="T684" s="91">
        <f t="shared" si="104"/>
        <v>252</v>
      </c>
      <c r="U684" s="95">
        <v>8650</v>
      </c>
      <c r="V684" s="569" t="s">
        <v>628</v>
      </c>
      <c r="W684" s="14" t="s">
        <v>48</v>
      </c>
      <c r="X684" s="7"/>
      <c r="Y684" s="7"/>
      <c r="Z684" s="7"/>
      <c r="AA684" s="7"/>
      <c r="AB684" s="7"/>
      <c r="AC684" s="7"/>
    </row>
    <row r="685" spans="1:29" ht="25.5">
      <c r="A685" s="252"/>
      <c r="B685" s="104" t="s">
        <v>629</v>
      </c>
      <c r="C685" s="91">
        <f t="shared" si="99"/>
        <v>254.66</v>
      </c>
      <c r="D685" s="92"/>
      <c r="E685" s="91">
        <f t="shared" si="100"/>
        <v>16.66</v>
      </c>
      <c r="F685" s="91">
        <f t="shared" si="101"/>
        <v>9.52</v>
      </c>
      <c r="G685" s="91">
        <f t="shared" si="102"/>
        <v>7.14</v>
      </c>
      <c r="H685" s="91">
        <f t="shared" si="103"/>
        <v>238</v>
      </c>
      <c r="I685" s="91">
        <f t="shared" si="105"/>
        <v>119</v>
      </c>
      <c r="J685" s="22"/>
      <c r="K685" s="22"/>
      <c r="L685" s="22"/>
      <c r="M685" s="22"/>
      <c r="N685" s="22"/>
      <c r="O685" s="91">
        <v>15756</v>
      </c>
      <c r="P685" s="91">
        <v>15994</v>
      </c>
      <c r="Q685" s="244"/>
      <c r="R685" s="106"/>
      <c r="S685" s="151">
        <v>1</v>
      </c>
      <c r="T685" s="91">
        <f t="shared" si="104"/>
        <v>238</v>
      </c>
      <c r="U685" s="95">
        <v>4707</v>
      </c>
      <c r="V685" s="569" t="s">
        <v>630</v>
      </c>
      <c r="W685" s="14" t="s">
        <v>48</v>
      </c>
      <c r="X685" s="7"/>
      <c r="Y685" s="7"/>
      <c r="Z685" s="7"/>
      <c r="AA685" s="7"/>
      <c r="AB685" s="7"/>
      <c r="AC685" s="7"/>
    </row>
    <row r="686" spans="1:29" ht="25.5">
      <c r="A686" s="252"/>
      <c r="B686" s="104"/>
      <c r="C686" s="91">
        <f t="shared" si="99"/>
        <v>0</v>
      </c>
      <c r="D686" s="92"/>
      <c r="E686" s="91">
        <f t="shared" si="100"/>
        <v>0</v>
      </c>
      <c r="F686" s="91">
        <f t="shared" si="101"/>
        <v>0</v>
      </c>
      <c r="G686" s="91">
        <f t="shared" si="102"/>
        <v>0</v>
      </c>
      <c r="H686" s="91">
        <f t="shared" si="103"/>
        <v>0</v>
      </c>
      <c r="I686" s="91">
        <f t="shared" si="105"/>
        <v>0</v>
      </c>
      <c r="J686" s="22"/>
      <c r="K686" s="22"/>
      <c r="L686" s="22"/>
      <c r="M686" s="22"/>
      <c r="N686" s="22"/>
      <c r="O686" s="91">
        <v>239407</v>
      </c>
      <c r="P686" s="91">
        <v>239407</v>
      </c>
      <c r="Q686" s="244"/>
      <c r="R686" s="106"/>
      <c r="S686" s="151">
        <v>1</v>
      </c>
      <c r="T686" s="91">
        <f t="shared" si="104"/>
        <v>0</v>
      </c>
      <c r="U686" s="95">
        <v>2556</v>
      </c>
      <c r="V686" s="569" t="s">
        <v>842</v>
      </c>
      <c r="W686" s="14" t="s">
        <v>48</v>
      </c>
      <c r="X686" s="7"/>
      <c r="Y686" s="7"/>
      <c r="Z686" s="7"/>
      <c r="AA686" s="7"/>
      <c r="AB686" s="7"/>
      <c r="AC686" s="7"/>
    </row>
    <row r="687" spans="1:29" ht="25.5">
      <c r="A687" s="252"/>
      <c r="B687" s="104"/>
      <c r="C687" s="91"/>
      <c r="D687" s="92"/>
      <c r="E687" s="91"/>
      <c r="F687" s="91"/>
      <c r="G687" s="91"/>
      <c r="H687" s="91"/>
      <c r="I687" s="91"/>
      <c r="J687" s="22"/>
      <c r="K687" s="22"/>
      <c r="L687" s="22"/>
      <c r="M687" s="22"/>
      <c r="N687" s="22"/>
      <c r="O687" s="91"/>
      <c r="P687" s="91"/>
      <c r="Q687" s="244"/>
      <c r="R687" s="106"/>
      <c r="S687" s="151"/>
      <c r="T687" s="91"/>
      <c r="U687" s="95"/>
      <c r="V687" s="569"/>
      <c r="W687" s="14" t="s">
        <v>48</v>
      </c>
      <c r="X687" s="7"/>
      <c r="Y687" s="7"/>
      <c r="Z687" s="7"/>
      <c r="AA687" s="7"/>
      <c r="AB687" s="7"/>
      <c r="AC687" s="7"/>
    </row>
    <row r="688" spans="1:29" ht="30.75" customHeight="1">
      <c r="A688" s="252"/>
      <c r="B688" s="104"/>
      <c r="C688" s="91"/>
      <c r="D688" s="92"/>
      <c r="E688" s="91"/>
      <c r="F688" s="91"/>
      <c r="G688" s="91"/>
      <c r="H688" s="91"/>
      <c r="I688" s="91"/>
      <c r="J688" s="22"/>
      <c r="K688" s="22"/>
      <c r="L688" s="22"/>
      <c r="M688" s="22"/>
      <c r="N688" s="22"/>
      <c r="O688" s="91"/>
      <c r="P688" s="91"/>
      <c r="Q688" s="244"/>
      <c r="R688" s="106"/>
      <c r="S688" s="151"/>
      <c r="T688" s="91"/>
      <c r="U688" s="95"/>
      <c r="V688" s="569"/>
      <c r="W688" s="14" t="s">
        <v>48</v>
      </c>
      <c r="X688" s="7"/>
      <c r="Y688" s="7"/>
      <c r="Z688" s="7"/>
      <c r="AA688" s="7"/>
      <c r="AB688" s="7"/>
      <c r="AC688" s="7"/>
    </row>
    <row r="689" spans="1:29" ht="25.5">
      <c r="A689" s="252"/>
      <c r="B689" s="104" t="s">
        <v>631</v>
      </c>
      <c r="C689" s="91">
        <f t="shared" si="99"/>
        <v>447.26</v>
      </c>
      <c r="D689" s="92"/>
      <c r="E689" s="91">
        <f t="shared" si="100"/>
        <v>29.259999999999998</v>
      </c>
      <c r="F689" s="91">
        <f t="shared" si="101"/>
        <v>16.72</v>
      </c>
      <c r="G689" s="91">
        <f t="shared" si="102"/>
        <v>12.54</v>
      </c>
      <c r="H689" s="91">
        <f t="shared" si="103"/>
        <v>418</v>
      </c>
      <c r="I689" s="91">
        <f t="shared" si="105"/>
        <v>209</v>
      </c>
      <c r="J689" s="22"/>
      <c r="K689" s="22"/>
      <c r="L689" s="22"/>
      <c r="M689" s="22"/>
      <c r="N689" s="22"/>
      <c r="O689" s="91">
        <v>41435</v>
      </c>
      <c r="P689" s="91">
        <v>41853</v>
      </c>
      <c r="Q689" s="244"/>
      <c r="R689" s="106"/>
      <c r="S689" s="151">
        <v>1</v>
      </c>
      <c r="T689" s="91">
        <f t="shared" si="104"/>
        <v>418</v>
      </c>
      <c r="U689" s="95" t="s">
        <v>632</v>
      </c>
      <c r="V689" s="569" t="s">
        <v>633</v>
      </c>
      <c r="W689" s="14" t="s">
        <v>48</v>
      </c>
      <c r="X689" s="7"/>
      <c r="Y689" s="7"/>
      <c r="Z689" s="7"/>
      <c r="AA689" s="7"/>
      <c r="AB689" s="7"/>
      <c r="AC689" s="7"/>
    </row>
    <row r="690" spans="1:29" ht="25.5">
      <c r="A690" s="252"/>
      <c r="B690" s="339"/>
      <c r="C690" s="91"/>
      <c r="D690" s="92"/>
      <c r="E690" s="91"/>
      <c r="F690" s="91"/>
      <c r="G690" s="91"/>
      <c r="H690" s="91"/>
      <c r="I690" s="91"/>
      <c r="J690" s="22"/>
      <c r="K690" s="22"/>
      <c r="L690" s="22"/>
      <c r="M690" s="22"/>
      <c r="N690" s="22"/>
      <c r="O690" s="91"/>
      <c r="P690" s="91"/>
      <c r="Q690" s="244"/>
      <c r="R690" s="106"/>
      <c r="S690" s="151"/>
      <c r="T690" s="91"/>
      <c r="U690" s="95"/>
      <c r="V690" s="569"/>
      <c r="W690" s="14" t="s">
        <v>48</v>
      </c>
      <c r="X690" s="7"/>
      <c r="Y690" s="7"/>
      <c r="Z690" s="7"/>
      <c r="AA690" s="7"/>
      <c r="AB690" s="7"/>
      <c r="AC690" s="7"/>
    </row>
    <row r="691" spans="1:29" ht="25.5">
      <c r="A691" s="252"/>
      <c r="B691" s="104"/>
      <c r="C691" s="91"/>
      <c r="D691" s="92"/>
      <c r="E691" s="91"/>
      <c r="F691" s="91"/>
      <c r="G691" s="91"/>
      <c r="H691" s="91"/>
      <c r="I691" s="91"/>
      <c r="J691" s="22"/>
      <c r="K691" s="22"/>
      <c r="L691" s="22"/>
      <c r="M691" s="22"/>
      <c r="N691" s="22"/>
      <c r="O691" s="91"/>
      <c r="P691" s="91"/>
      <c r="Q691" s="244"/>
      <c r="R691" s="106"/>
      <c r="S691" s="151"/>
      <c r="T691" s="91"/>
      <c r="U691" s="95"/>
      <c r="V691" s="569"/>
      <c r="W691" s="14" t="s">
        <v>48</v>
      </c>
      <c r="X691" s="7"/>
      <c r="Y691" s="7"/>
      <c r="Z691" s="7"/>
      <c r="AA691" s="7"/>
      <c r="AB691" s="7"/>
      <c r="AC691" s="7"/>
    </row>
    <row r="692" spans="1:29" ht="25.5">
      <c r="A692" s="252"/>
      <c r="B692" s="104"/>
      <c r="C692" s="91"/>
      <c r="D692" s="92"/>
      <c r="E692" s="91"/>
      <c r="F692" s="91"/>
      <c r="G692" s="91"/>
      <c r="H692" s="91"/>
      <c r="I692" s="91"/>
      <c r="J692" s="22"/>
      <c r="K692" s="22"/>
      <c r="L692" s="22"/>
      <c r="M692" s="22"/>
      <c r="N692" s="22"/>
      <c r="O692" s="91"/>
      <c r="P692" s="91"/>
      <c r="Q692" s="244"/>
      <c r="R692" s="106"/>
      <c r="S692" s="151"/>
      <c r="T692" s="91"/>
      <c r="U692" s="95"/>
      <c r="V692" s="569"/>
      <c r="W692" s="14" t="s">
        <v>48</v>
      </c>
      <c r="X692" s="7"/>
      <c r="Y692" s="7"/>
      <c r="Z692" s="7"/>
      <c r="AA692" s="7"/>
      <c r="AB692" s="7"/>
      <c r="AC692" s="7"/>
    </row>
    <row r="693" spans="1:29" ht="25.5">
      <c r="A693" s="252"/>
      <c r="B693" s="104" t="s">
        <v>634</v>
      </c>
      <c r="C693" s="91">
        <f t="shared" si="99"/>
        <v>2486.6799999999998</v>
      </c>
      <c r="D693" s="92"/>
      <c r="E693" s="91">
        <f t="shared" si="100"/>
        <v>162.68</v>
      </c>
      <c r="F693" s="91">
        <f t="shared" si="101"/>
        <v>92.960000000000008</v>
      </c>
      <c r="G693" s="91">
        <f t="shared" si="102"/>
        <v>69.72</v>
      </c>
      <c r="H693" s="91">
        <f t="shared" si="103"/>
        <v>2324</v>
      </c>
      <c r="I693" s="91">
        <f t="shared" si="105"/>
        <v>1162</v>
      </c>
      <c r="J693" s="22"/>
      <c r="K693" s="22"/>
      <c r="L693" s="22"/>
      <c r="M693" s="22"/>
      <c r="N693" s="22"/>
      <c r="O693" s="91">
        <v>47552</v>
      </c>
      <c r="P693" s="91">
        <v>49876</v>
      </c>
      <c r="Q693" s="244"/>
      <c r="R693" s="106"/>
      <c r="S693" s="151">
        <v>1</v>
      </c>
      <c r="T693" s="91">
        <f t="shared" si="104"/>
        <v>2324</v>
      </c>
      <c r="U693" s="95">
        <v>3299</v>
      </c>
      <c r="V693" s="569" t="s">
        <v>635</v>
      </c>
      <c r="W693" s="14" t="s">
        <v>48</v>
      </c>
      <c r="X693" s="7"/>
      <c r="Y693" s="7"/>
      <c r="Z693" s="7"/>
      <c r="AA693" s="7"/>
      <c r="AB693" s="7"/>
      <c r="AC693" s="7"/>
    </row>
    <row r="694" spans="1:29" ht="25.5">
      <c r="A694" s="252"/>
      <c r="B694" s="104" t="s">
        <v>767</v>
      </c>
      <c r="C694" s="91">
        <f t="shared" si="99"/>
        <v>6339.75</v>
      </c>
      <c r="D694" s="92"/>
      <c r="E694" s="91">
        <f t="shared" si="100"/>
        <v>414.75</v>
      </c>
      <c r="F694" s="91">
        <f t="shared" si="101"/>
        <v>237</v>
      </c>
      <c r="G694" s="91">
        <f t="shared" si="102"/>
        <v>177.75</v>
      </c>
      <c r="H694" s="91">
        <f t="shared" si="103"/>
        <v>5925</v>
      </c>
      <c r="I694" s="91">
        <f t="shared" si="105"/>
        <v>2962.5</v>
      </c>
      <c r="J694" s="22"/>
      <c r="K694" s="22"/>
      <c r="L694" s="22"/>
      <c r="M694" s="22"/>
      <c r="N694" s="22"/>
      <c r="O694" s="91">
        <v>69572</v>
      </c>
      <c r="P694" s="91">
        <v>75497</v>
      </c>
      <c r="Q694" s="244"/>
      <c r="R694" s="106"/>
      <c r="S694" s="151">
        <v>1</v>
      </c>
      <c r="T694" s="91">
        <f t="shared" si="104"/>
        <v>5925</v>
      </c>
      <c r="U694" s="95">
        <v>5770</v>
      </c>
      <c r="V694" s="569" t="s">
        <v>760</v>
      </c>
      <c r="W694" s="14" t="s">
        <v>48</v>
      </c>
      <c r="X694" s="7"/>
      <c r="Y694" s="7"/>
      <c r="Z694" s="7"/>
      <c r="AA694" s="7"/>
      <c r="AB694" s="7"/>
      <c r="AC694" s="7"/>
    </row>
    <row r="695" spans="1:29" ht="25.5">
      <c r="A695" s="252"/>
      <c r="B695" s="104"/>
      <c r="C695" s="91"/>
      <c r="D695" s="92"/>
      <c r="E695" s="91"/>
      <c r="F695" s="91"/>
      <c r="G695" s="91"/>
      <c r="H695" s="91"/>
      <c r="I695" s="91"/>
      <c r="J695" s="22"/>
      <c r="K695" s="22"/>
      <c r="L695" s="22"/>
      <c r="M695" s="22"/>
      <c r="N695" s="22"/>
      <c r="O695" s="91"/>
      <c r="P695" s="91"/>
      <c r="Q695" s="244"/>
      <c r="R695" s="106"/>
      <c r="S695" s="151"/>
      <c r="T695" s="91"/>
      <c r="U695" s="95"/>
      <c r="V695" s="569"/>
      <c r="W695" s="14" t="s">
        <v>48</v>
      </c>
      <c r="X695" s="7"/>
      <c r="Y695" s="7"/>
      <c r="Z695" s="7"/>
      <c r="AA695" s="7"/>
      <c r="AB695" s="7"/>
      <c r="AC695" s="7"/>
    </row>
    <row r="696" spans="1:29" ht="25.5">
      <c r="A696" s="252"/>
      <c r="B696" s="104" t="s">
        <v>636</v>
      </c>
      <c r="C696" s="91">
        <f t="shared" si="99"/>
        <v>16.05</v>
      </c>
      <c r="D696" s="92"/>
      <c r="E696" s="91">
        <f t="shared" si="100"/>
        <v>1.0499999999999998</v>
      </c>
      <c r="F696" s="91">
        <f t="shared" si="101"/>
        <v>0.6</v>
      </c>
      <c r="G696" s="91">
        <f t="shared" si="102"/>
        <v>0.44999999999999996</v>
      </c>
      <c r="H696" s="91">
        <f t="shared" si="103"/>
        <v>15</v>
      </c>
      <c r="I696" s="91">
        <f t="shared" si="105"/>
        <v>7.5</v>
      </c>
      <c r="J696" s="22"/>
      <c r="K696" s="22"/>
      <c r="L696" s="22"/>
      <c r="M696" s="22"/>
      <c r="N696" s="22"/>
      <c r="O696" s="91">
        <v>62091</v>
      </c>
      <c r="P696" s="91">
        <v>62680</v>
      </c>
      <c r="Q696" s="244"/>
      <c r="R696" s="106"/>
      <c r="S696" s="151">
        <v>1</v>
      </c>
      <c r="T696" s="91">
        <f>(P696-O696)*S696-T683</f>
        <v>15</v>
      </c>
      <c r="U696" s="95" t="s">
        <v>637</v>
      </c>
      <c r="V696" s="658" t="s">
        <v>638</v>
      </c>
      <c r="W696" s="14" t="s">
        <v>48</v>
      </c>
      <c r="X696" s="7"/>
      <c r="Y696" s="7"/>
      <c r="Z696" s="7"/>
      <c r="AA696" s="7"/>
      <c r="AB696" s="7"/>
      <c r="AC696" s="7"/>
    </row>
    <row r="697" spans="1:29" ht="25.5">
      <c r="A697" s="252"/>
      <c r="B697" s="430"/>
      <c r="C697" s="34"/>
      <c r="D697" s="370"/>
      <c r="E697" s="34"/>
      <c r="F697" s="34"/>
      <c r="G697" s="34"/>
      <c r="H697" s="34"/>
      <c r="I697" s="34"/>
      <c r="J697" s="36"/>
      <c r="K697" s="36"/>
      <c r="L697" s="36"/>
      <c r="M697" s="36"/>
      <c r="N697" s="36"/>
      <c r="O697" s="34"/>
      <c r="P697" s="34"/>
      <c r="Q697" s="371"/>
      <c r="R697" s="372"/>
      <c r="S697" s="373"/>
      <c r="T697" s="34"/>
      <c r="U697" s="38"/>
      <c r="V697" s="39"/>
      <c r="W697" s="14" t="s">
        <v>48</v>
      </c>
      <c r="X697" s="7"/>
      <c r="Y697" s="7"/>
      <c r="Z697" s="7"/>
      <c r="AA697" s="7"/>
      <c r="AB697" s="7"/>
      <c r="AC697" s="7"/>
    </row>
    <row r="698" spans="1:29" ht="25.5">
      <c r="A698" s="252"/>
      <c r="B698" s="430"/>
      <c r="C698" s="34"/>
      <c r="D698" s="370"/>
      <c r="E698" s="34"/>
      <c r="F698" s="34"/>
      <c r="G698" s="34"/>
      <c r="H698" s="34"/>
      <c r="I698" s="34"/>
      <c r="J698" s="36"/>
      <c r="K698" s="36"/>
      <c r="L698" s="36"/>
      <c r="M698" s="36"/>
      <c r="N698" s="36"/>
      <c r="O698" s="34"/>
      <c r="P698" s="34"/>
      <c r="Q698" s="371"/>
      <c r="R698" s="372"/>
      <c r="S698" s="373"/>
      <c r="T698" s="34"/>
      <c r="U698" s="38"/>
      <c r="V698" s="39"/>
      <c r="W698" s="14" t="s">
        <v>48</v>
      </c>
      <c r="X698" s="7"/>
      <c r="Y698" s="7"/>
      <c r="Z698" s="7"/>
      <c r="AA698" s="7"/>
      <c r="AB698" s="7"/>
      <c r="AC698" s="7"/>
    </row>
    <row r="699" spans="1:29" ht="25.5">
      <c r="A699" s="252"/>
      <c r="B699" s="314"/>
      <c r="C699" s="315"/>
      <c r="D699" s="315"/>
      <c r="E699" s="315"/>
      <c r="F699" s="315"/>
      <c r="G699" s="315"/>
      <c r="H699" s="315"/>
      <c r="I699" s="315"/>
      <c r="J699" s="316"/>
      <c r="K699" s="316"/>
      <c r="L699" s="316"/>
      <c r="M699" s="316"/>
      <c r="N699" s="316"/>
      <c r="O699" s="315"/>
      <c r="P699" s="315"/>
      <c r="Q699" s="344"/>
      <c r="R699" s="318"/>
      <c r="S699" s="315"/>
      <c r="T699" s="315"/>
      <c r="U699" s="319"/>
      <c r="V699" s="317"/>
      <c r="W699" s="14" t="s">
        <v>48</v>
      </c>
      <c r="X699" s="7"/>
      <c r="Y699" s="7"/>
      <c r="Z699" s="7"/>
      <c r="AA699" s="7"/>
      <c r="AB699" s="7"/>
      <c r="AC699" s="7"/>
    </row>
    <row r="700" spans="1:29" ht="25.5">
      <c r="A700" s="252"/>
      <c r="B700" s="459"/>
      <c r="C700" s="315"/>
      <c r="D700" s="315"/>
      <c r="E700" s="315"/>
      <c r="F700" s="315"/>
      <c r="G700" s="315"/>
      <c r="H700" s="315"/>
      <c r="I700" s="315"/>
      <c r="J700" s="316"/>
      <c r="K700" s="316"/>
      <c r="L700" s="316"/>
      <c r="M700" s="316"/>
      <c r="N700" s="316"/>
      <c r="O700" s="315"/>
      <c r="P700" s="315"/>
      <c r="Q700" s="344"/>
      <c r="R700" s="460"/>
      <c r="S700" s="315"/>
      <c r="T700" s="315"/>
      <c r="U700" s="319"/>
      <c r="V700" s="317"/>
      <c r="W700" s="14" t="s">
        <v>48</v>
      </c>
      <c r="X700" s="7"/>
      <c r="Y700" s="7"/>
      <c r="Z700" s="7"/>
      <c r="AA700" s="7"/>
      <c r="AB700" s="7"/>
      <c r="AC700" s="7"/>
    </row>
    <row r="701" spans="1:29" ht="25.5">
      <c r="A701" s="252"/>
      <c r="B701" s="430"/>
      <c r="C701" s="34"/>
      <c r="D701" s="34"/>
      <c r="E701" s="34"/>
      <c r="F701" s="34"/>
      <c r="G701" s="34"/>
      <c r="H701" s="34"/>
      <c r="I701" s="34"/>
      <c r="J701" s="36"/>
      <c r="K701" s="36"/>
      <c r="L701" s="36"/>
      <c r="M701" s="36"/>
      <c r="N701" s="36"/>
      <c r="O701" s="34"/>
      <c r="P701" s="34"/>
      <c r="Q701" s="437"/>
      <c r="R701" s="461"/>
      <c r="S701" s="373"/>
      <c r="T701" s="34"/>
      <c r="U701" s="38"/>
      <c r="V701" s="39"/>
      <c r="W701" s="14" t="s">
        <v>48</v>
      </c>
      <c r="X701" s="7"/>
      <c r="Y701" s="7"/>
      <c r="Z701" s="7"/>
      <c r="AA701" s="7"/>
      <c r="AB701" s="7"/>
      <c r="AC701" s="7"/>
    </row>
    <row r="702" spans="1:29" ht="25.5">
      <c r="A702" s="252"/>
      <c r="B702" s="430"/>
      <c r="C702" s="34"/>
      <c r="D702" s="34"/>
      <c r="E702" s="34"/>
      <c r="F702" s="34"/>
      <c r="G702" s="34"/>
      <c r="H702" s="34"/>
      <c r="I702" s="34"/>
      <c r="J702" s="36"/>
      <c r="K702" s="36"/>
      <c r="L702" s="36"/>
      <c r="M702" s="36"/>
      <c r="N702" s="36"/>
      <c r="O702" s="34"/>
      <c r="P702" s="34"/>
      <c r="Q702" s="437"/>
      <c r="R702" s="461"/>
      <c r="S702" s="373"/>
      <c r="T702" s="34"/>
      <c r="U702" s="38"/>
      <c r="V702" s="39"/>
      <c r="W702" s="14" t="s">
        <v>48</v>
      </c>
      <c r="X702" s="7"/>
      <c r="Y702" s="7"/>
      <c r="Z702" s="7"/>
      <c r="AA702" s="7"/>
      <c r="AB702" s="7"/>
      <c r="AC702" s="7"/>
    </row>
    <row r="703" spans="1:29" ht="25.5">
      <c r="A703" s="252"/>
      <c r="B703" s="430"/>
      <c r="C703" s="34"/>
      <c r="D703" s="34"/>
      <c r="E703" s="34"/>
      <c r="F703" s="34"/>
      <c r="G703" s="34"/>
      <c r="H703" s="34"/>
      <c r="I703" s="34"/>
      <c r="J703" s="36"/>
      <c r="K703" s="36"/>
      <c r="L703" s="36"/>
      <c r="M703" s="36"/>
      <c r="N703" s="36"/>
      <c r="O703" s="34"/>
      <c r="P703" s="34"/>
      <c r="Q703" s="437"/>
      <c r="R703" s="461"/>
      <c r="S703" s="373"/>
      <c r="T703" s="34"/>
      <c r="U703" s="38"/>
      <c r="V703" s="39"/>
      <c r="W703" s="14" t="s">
        <v>48</v>
      </c>
      <c r="X703" s="7"/>
      <c r="Y703" s="7"/>
      <c r="Z703" s="7"/>
      <c r="AA703" s="7"/>
      <c r="AB703" s="7"/>
      <c r="AC703" s="7"/>
    </row>
    <row r="704" spans="1:29" ht="25.5">
      <c r="A704" s="252"/>
      <c r="B704" s="430"/>
      <c r="C704" s="34"/>
      <c r="D704" s="34"/>
      <c r="E704" s="34"/>
      <c r="F704" s="34"/>
      <c r="G704" s="34"/>
      <c r="H704" s="34"/>
      <c r="I704" s="34"/>
      <c r="J704" s="36"/>
      <c r="K704" s="36"/>
      <c r="L704" s="36"/>
      <c r="M704" s="36"/>
      <c r="N704" s="36"/>
      <c r="O704" s="34"/>
      <c r="P704" s="34"/>
      <c r="Q704" s="437"/>
      <c r="R704" s="462"/>
      <c r="S704" s="34"/>
      <c r="T704" s="34"/>
      <c r="U704" s="38"/>
      <c r="V704" s="39"/>
      <c r="W704" s="14" t="s">
        <v>48</v>
      </c>
      <c r="X704" s="7"/>
      <c r="Y704" s="7"/>
      <c r="Z704" s="7"/>
      <c r="AA704" s="7"/>
      <c r="AB704" s="7"/>
      <c r="AC704" s="7"/>
    </row>
    <row r="705" spans="1:29" ht="25.5">
      <c r="A705" s="252"/>
      <c r="B705" s="104"/>
      <c r="C705" s="91"/>
      <c r="D705" s="91"/>
      <c r="E705" s="91"/>
      <c r="F705" s="91"/>
      <c r="G705" s="91"/>
      <c r="H705" s="91"/>
      <c r="I705" s="91"/>
      <c r="J705" s="22"/>
      <c r="K705" s="22"/>
      <c r="L705" s="22"/>
      <c r="M705" s="22"/>
      <c r="N705" s="22"/>
      <c r="O705" s="91"/>
      <c r="P705" s="91"/>
      <c r="Q705" s="7"/>
      <c r="R705" s="272"/>
      <c r="S705" s="151"/>
      <c r="T705" s="91"/>
      <c r="U705" s="95"/>
      <c r="V705" s="569"/>
      <c r="W705" s="14"/>
      <c r="X705" s="7"/>
      <c r="Y705" s="7"/>
      <c r="Z705" s="7"/>
      <c r="AA705" s="7"/>
      <c r="AB705" s="7"/>
      <c r="AC705" s="7"/>
    </row>
    <row r="706" spans="1:29" ht="26.25">
      <c r="A706" s="19"/>
      <c r="B706" s="143" t="s">
        <v>639</v>
      </c>
      <c r="C706" s="115">
        <f>SUM(C657:C705)</f>
        <v>24948.12</v>
      </c>
      <c r="D706" s="246"/>
      <c r="E706" s="115"/>
      <c r="F706" s="115"/>
      <c r="G706" s="115"/>
      <c r="H706" s="115"/>
      <c r="I706" s="115">
        <f>SUM(I657:I691)</f>
        <v>7559.7749999999996</v>
      </c>
      <c r="J706" s="22"/>
      <c r="K706" s="22"/>
      <c r="L706" s="22"/>
      <c r="M706" s="22"/>
      <c r="N706" s="22"/>
      <c r="O706" s="91"/>
      <c r="P706" s="91"/>
      <c r="Q706" s="244"/>
      <c r="R706" s="106"/>
      <c r="S706" s="151"/>
      <c r="T706" s="91"/>
      <c r="U706" s="95"/>
      <c r="V706" s="569"/>
      <c r="W706" s="14"/>
      <c r="X706" s="7"/>
      <c r="Y706" s="7"/>
      <c r="Z706" s="7"/>
      <c r="AA706" s="7"/>
      <c r="AB706" s="7"/>
      <c r="AC706" s="7"/>
    </row>
    <row r="707" spans="1:29" ht="25.5">
      <c r="A707" s="19"/>
      <c r="B707" s="104"/>
      <c r="C707" s="91"/>
      <c r="D707" s="92"/>
      <c r="E707" s="91"/>
      <c r="F707" s="91"/>
      <c r="G707" s="91"/>
      <c r="H707" s="91"/>
      <c r="I707" s="91"/>
      <c r="J707" s="22"/>
      <c r="K707" s="22"/>
      <c r="L707" s="22"/>
      <c r="M707" s="22"/>
      <c r="N707" s="22"/>
      <c r="O707" s="91"/>
      <c r="P707" s="91"/>
      <c r="Q707" s="244"/>
      <c r="R707" s="106"/>
      <c r="S707" s="151"/>
      <c r="T707" s="91"/>
      <c r="U707" s="95"/>
      <c r="V707" s="569"/>
      <c r="W707" s="14"/>
      <c r="X707" s="7"/>
      <c r="Y707" s="7"/>
      <c r="Z707" s="7"/>
      <c r="AA707" s="7"/>
      <c r="AB707" s="7"/>
      <c r="AC707" s="7"/>
    </row>
    <row r="708" spans="1:29" ht="25.5">
      <c r="A708" s="19"/>
      <c r="B708" s="148"/>
      <c r="C708" s="91"/>
      <c r="D708" s="92"/>
      <c r="E708" s="91"/>
      <c r="F708" s="91"/>
      <c r="G708" s="91"/>
      <c r="H708" s="91"/>
      <c r="I708" s="91"/>
      <c r="J708" s="22"/>
      <c r="K708" s="22"/>
      <c r="L708" s="22"/>
      <c r="M708" s="22"/>
      <c r="N708" s="22"/>
      <c r="O708" s="91"/>
      <c r="P708" s="91"/>
      <c r="Q708" s="244"/>
      <c r="R708" s="106"/>
      <c r="S708" s="151"/>
      <c r="T708" s="91"/>
      <c r="U708" s="95"/>
      <c r="V708" s="569"/>
      <c r="W708" s="14"/>
      <c r="X708" s="7"/>
      <c r="Y708" s="7"/>
      <c r="Z708" s="7"/>
      <c r="AA708" s="7"/>
      <c r="AB708" s="7"/>
      <c r="AC708" s="7"/>
    </row>
    <row r="709" spans="1:29" ht="26.25">
      <c r="A709" s="19"/>
      <c r="B709" s="90" t="s">
        <v>640</v>
      </c>
      <c r="C709" s="115">
        <f>C85+C109+C132+C329+C379+C654+C706+C163+D142</f>
        <v>1001491.6912700013</v>
      </c>
      <c r="D709" s="115">
        <f>D109+D86+D613</f>
        <v>0</v>
      </c>
      <c r="E709" s="115" t="e">
        <f>#REF!+E86+E109+E613</f>
        <v>#REF!</v>
      </c>
      <c r="F709" s="115"/>
      <c r="G709" s="115"/>
      <c r="H709" s="115" t="e">
        <f>#REF!+H109+H92+H613+H656+H657+H659+H56+H663</f>
        <v>#REF!</v>
      </c>
      <c r="I709" s="115">
        <f>I654+I85+I109+I613+I706</f>
        <v>125038.92699999985</v>
      </c>
      <c r="J709" s="22"/>
      <c r="K709" s="22"/>
      <c r="L709" s="22"/>
      <c r="M709" s="22"/>
      <c r="N709" s="22"/>
      <c r="O709" s="91"/>
      <c r="P709" s="91"/>
      <c r="Q709" s="7"/>
      <c r="R709" s="228"/>
      <c r="S709" s="151"/>
      <c r="T709" s="91"/>
      <c r="U709" s="95"/>
      <c r="V709" s="569"/>
      <c r="W709" s="14"/>
      <c r="X709" s="7"/>
      <c r="Y709" s="7"/>
      <c r="Z709" s="7"/>
      <c r="AA709" s="7"/>
      <c r="AB709" s="7"/>
      <c r="AC709" s="7"/>
    </row>
    <row r="710" spans="1:29" ht="26.25">
      <c r="A710" s="19"/>
      <c r="B710" s="148"/>
      <c r="C710" s="91"/>
      <c r="D710" s="115"/>
      <c r="E710" s="91"/>
      <c r="F710" s="91"/>
      <c r="G710" s="91"/>
      <c r="H710" s="91"/>
      <c r="I710" s="91"/>
      <c r="J710" s="22"/>
      <c r="K710" s="22"/>
      <c r="L710" s="22"/>
      <c r="M710" s="22"/>
      <c r="N710" s="22"/>
      <c r="O710" s="91"/>
      <c r="P710" s="91"/>
      <c r="Q710" s="7"/>
      <c r="R710" s="228"/>
      <c r="S710" s="248"/>
      <c r="T710" s="91"/>
      <c r="U710" s="95"/>
      <c r="V710" s="569"/>
      <c r="W710" s="14"/>
      <c r="X710" s="7"/>
      <c r="Y710" s="7"/>
      <c r="Z710" s="7"/>
      <c r="AA710" s="7"/>
      <c r="AB710" s="7"/>
      <c r="AC710" s="7"/>
    </row>
    <row r="711" spans="1:29" ht="26.25">
      <c r="A711" s="19"/>
      <c r="B711" s="148"/>
      <c r="C711" s="115"/>
      <c r="D711" s="92"/>
      <c r="E711" s="91"/>
      <c r="F711" s="91"/>
      <c r="G711" s="91"/>
      <c r="H711" s="91"/>
      <c r="I711" s="91"/>
      <c r="J711" s="22"/>
      <c r="K711" s="22"/>
      <c r="L711" s="22"/>
      <c r="M711" s="22"/>
      <c r="N711" s="22"/>
      <c r="O711" s="91"/>
      <c r="P711" s="91"/>
      <c r="Q711" s="7"/>
      <c r="R711" s="228"/>
      <c r="S711" s="248"/>
      <c r="T711" s="91"/>
      <c r="U711" s="95"/>
      <c r="V711" s="569"/>
      <c r="W711" s="14"/>
      <c r="X711" s="7"/>
      <c r="Y711" s="7"/>
      <c r="Z711" s="7"/>
      <c r="AA711" s="7"/>
      <c r="AB711" s="7"/>
      <c r="AC711" s="7"/>
    </row>
    <row r="712" spans="1:29" ht="25.5">
      <c r="A712" s="19"/>
      <c r="B712" s="148"/>
      <c r="C712" s="91"/>
      <c r="D712" s="92"/>
      <c r="E712" s="91"/>
      <c r="F712" s="91"/>
      <c r="G712" s="91"/>
      <c r="H712" s="91"/>
      <c r="I712" s="91"/>
      <c r="J712" s="22"/>
      <c r="K712" s="22"/>
      <c r="L712" s="22"/>
      <c r="M712" s="22"/>
      <c r="N712" s="22"/>
      <c r="O712" s="91"/>
      <c r="P712" s="91"/>
      <c r="Q712" s="7"/>
      <c r="R712" s="228"/>
      <c r="S712" s="151"/>
      <c r="T712" s="91"/>
      <c r="U712" s="95"/>
      <c r="V712" s="569"/>
      <c r="W712" s="14"/>
      <c r="X712" s="7"/>
      <c r="Y712" s="7"/>
      <c r="Z712" s="7"/>
      <c r="AA712" s="7"/>
      <c r="AB712" s="7"/>
      <c r="AC712" s="7"/>
    </row>
    <row r="713" spans="1:29" ht="25.5">
      <c r="A713" s="19"/>
      <c r="B713" s="148"/>
      <c r="C713" s="28"/>
      <c r="D713" s="77"/>
      <c r="E713" s="28"/>
      <c r="F713" s="28"/>
      <c r="G713" s="28"/>
      <c r="H713" s="28"/>
      <c r="I713" s="28"/>
      <c r="J713" s="29"/>
      <c r="K713" s="29"/>
      <c r="L713" s="29"/>
      <c r="M713" s="29"/>
      <c r="N713" s="29"/>
      <c r="O713" s="91"/>
      <c r="P713" s="91"/>
      <c r="Q713" s="30"/>
      <c r="R713" s="256"/>
      <c r="S713" s="54"/>
      <c r="T713" s="28"/>
      <c r="U713" s="95"/>
      <c r="V713" s="569"/>
      <c r="W713" s="14"/>
      <c r="X713" s="7"/>
      <c r="Y713" s="7"/>
      <c r="Z713" s="7"/>
      <c r="AA713" s="7"/>
      <c r="AB713" s="7"/>
      <c r="AC713" s="7"/>
    </row>
    <row r="714" spans="1:29" ht="25.5">
      <c r="A714" s="19"/>
      <c r="B714" s="148"/>
      <c r="C714" s="28"/>
      <c r="D714" s="77"/>
      <c r="E714" s="28"/>
      <c r="F714" s="28"/>
      <c r="G714" s="28"/>
      <c r="H714" s="28"/>
      <c r="I714" s="28"/>
      <c r="J714" s="29"/>
      <c r="K714" s="29"/>
      <c r="L714" s="29"/>
      <c r="M714" s="29"/>
      <c r="N714" s="29"/>
      <c r="O714" s="28"/>
      <c r="P714" s="28"/>
      <c r="Q714" s="30"/>
      <c r="R714" s="256"/>
      <c r="S714" s="54"/>
      <c r="T714" s="28"/>
      <c r="U714" s="95"/>
      <c r="V714" s="569"/>
      <c r="W714" s="14"/>
      <c r="X714" s="7"/>
      <c r="Y714" s="7"/>
      <c r="Z714" s="7"/>
      <c r="AA714" s="7"/>
      <c r="AB714" s="7"/>
      <c r="AC714" s="7"/>
    </row>
    <row r="715" spans="1:29" ht="26.25">
      <c r="A715" s="19"/>
      <c r="B715" s="148"/>
      <c r="C715" s="115"/>
      <c r="D715" s="92"/>
      <c r="E715" s="91"/>
      <c r="F715" s="91"/>
      <c r="G715" s="91"/>
      <c r="H715" s="91"/>
      <c r="I715" s="91"/>
      <c r="J715" s="22"/>
      <c r="K715" s="22"/>
      <c r="L715" s="22"/>
      <c r="M715" s="22"/>
      <c r="N715" s="22"/>
      <c r="O715" s="91"/>
      <c r="P715" s="91"/>
      <c r="Q715" s="149"/>
      <c r="R715" s="150"/>
      <c r="S715" s="151"/>
      <c r="T715" s="91"/>
      <c r="U715" s="95"/>
      <c r="V715" s="569"/>
      <c r="W715" s="14"/>
      <c r="X715" s="7"/>
      <c r="Y715" s="7"/>
      <c r="Z715" s="7"/>
      <c r="AA715" s="7"/>
      <c r="AB715" s="7"/>
      <c r="AC715" s="7"/>
    </row>
    <row r="716" spans="1:29" ht="26.25">
      <c r="A716" s="19"/>
      <c r="B716" s="148"/>
      <c r="C716" s="115"/>
      <c r="D716" s="91"/>
      <c r="E716" s="91"/>
      <c r="F716" s="91"/>
      <c r="G716" s="91"/>
      <c r="H716" s="91"/>
      <c r="I716" s="91"/>
      <c r="J716" s="22"/>
      <c r="K716" s="22"/>
      <c r="L716" s="22"/>
      <c r="M716" s="22"/>
      <c r="N716" s="22"/>
      <c r="O716" s="91"/>
      <c r="P716" s="91"/>
      <c r="Q716" s="149"/>
      <c r="R716" s="150"/>
      <c r="S716" s="151"/>
      <c r="T716" s="91"/>
      <c r="U716" s="95"/>
      <c r="V716" s="569"/>
      <c r="W716" s="14"/>
      <c r="X716" s="7"/>
      <c r="Y716" s="7"/>
      <c r="Z716" s="7"/>
      <c r="AA716" s="7"/>
      <c r="AB716" s="7"/>
      <c r="AC716" s="7"/>
    </row>
    <row r="717" spans="1:29" ht="25.5">
      <c r="A717" s="19"/>
      <c r="B717" s="104"/>
      <c r="C717" s="92"/>
      <c r="D717" s="92"/>
      <c r="E717" s="92"/>
      <c r="F717" s="92"/>
      <c r="G717" s="92"/>
      <c r="H717" s="92"/>
      <c r="I717" s="92"/>
      <c r="J717" s="142"/>
      <c r="K717" s="142"/>
      <c r="L717" s="142"/>
      <c r="M717" s="142"/>
      <c r="N717" s="142"/>
      <c r="O717" s="94"/>
      <c r="P717" s="94"/>
      <c r="Q717" s="94"/>
      <c r="R717" s="94"/>
      <c r="S717" s="94"/>
      <c r="T717" s="94"/>
      <c r="U717" s="273"/>
      <c r="V717" s="274"/>
      <c r="W717" s="14"/>
      <c r="X717" s="7"/>
      <c r="Y717" s="7"/>
      <c r="Z717" s="7"/>
      <c r="AA717" s="7"/>
      <c r="AB717" s="7"/>
      <c r="AC717" s="7"/>
    </row>
    <row r="718" spans="1:29" ht="26.25">
      <c r="A718" s="19"/>
      <c r="B718" s="123" t="s">
        <v>641</v>
      </c>
      <c r="C718" s="115"/>
      <c r="D718" s="92"/>
      <c r="E718" s="91">
        <f>F718+G718</f>
        <v>0</v>
      </c>
      <c r="F718" s="91"/>
      <c r="G718" s="91"/>
      <c r="H718" s="91"/>
      <c r="I718" s="91"/>
      <c r="J718" s="22"/>
      <c r="K718" s="22"/>
      <c r="L718" s="22"/>
      <c r="M718" s="22"/>
      <c r="N718" s="22"/>
      <c r="O718" s="91"/>
      <c r="P718" s="91"/>
      <c r="Q718" s="7"/>
      <c r="R718" s="228"/>
      <c r="S718" s="151"/>
      <c r="T718" s="91"/>
      <c r="U718" s="95"/>
      <c r="V718" s="569"/>
      <c r="W718" s="14"/>
      <c r="X718" s="7"/>
      <c r="Y718" s="7"/>
      <c r="Z718" s="7"/>
      <c r="AA718" s="7"/>
      <c r="AB718" s="7"/>
      <c r="AC718" s="7"/>
    </row>
    <row r="719" spans="1:29" ht="26.25">
      <c r="A719" s="19"/>
      <c r="B719" s="148" t="s">
        <v>642</v>
      </c>
      <c r="C719" s="115">
        <f>T719</f>
        <v>45</v>
      </c>
      <c r="D719" s="92"/>
      <c r="E719" s="91"/>
      <c r="F719" s="91"/>
      <c r="G719" s="91"/>
      <c r="H719" s="91"/>
      <c r="I719" s="91"/>
      <c r="J719" s="22"/>
      <c r="K719" s="22"/>
      <c r="L719" s="22"/>
      <c r="M719" s="22"/>
      <c r="N719" s="22"/>
      <c r="O719" s="91">
        <v>7980</v>
      </c>
      <c r="P719" s="91">
        <v>8025</v>
      </c>
      <c r="Q719" s="122"/>
      <c r="R719" s="338"/>
      <c r="S719" s="151">
        <v>1</v>
      </c>
      <c r="T719" s="91">
        <f>(P719-O719)*S719</f>
        <v>45</v>
      </c>
      <c r="U719" s="95"/>
      <c r="V719" s="569"/>
      <c r="W719" s="14"/>
      <c r="X719" s="7"/>
      <c r="Y719" s="7"/>
      <c r="Z719" s="7"/>
      <c r="AA719" s="7"/>
      <c r="AB719" s="7"/>
      <c r="AC719" s="7"/>
    </row>
    <row r="720" spans="1:29" ht="26.25">
      <c r="A720" s="19"/>
      <c r="B720" s="148" t="s">
        <v>643</v>
      </c>
      <c r="C720" s="91"/>
      <c r="D720" s="115">
        <f>P720-O720</f>
        <v>678</v>
      </c>
      <c r="E720" s="91"/>
      <c r="F720" s="91"/>
      <c r="G720" s="91"/>
      <c r="H720" s="91"/>
      <c r="I720" s="91"/>
      <c r="J720" s="22"/>
      <c r="K720" s="22"/>
      <c r="L720" s="22"/>
      <c r="M720" s="22"/>
      <c r="N720" s="22"/>
      <c r="O720" s="91">
        <v>122002</v>
      </c>
      <c r="P720" s="91">
        <v>122680</v>
      </c>
      <c r="Q720" s="122"/>
      <c r="R720" s="338"/>
      <c r="S720" s="248">
        <v>1</v>
      </c>
      <c r="T720" s="91">
        <f>(P720-O720)*S720</f>
        <v>678</v>
      </c>
      <c r="U720" s="95"/>
      <c r="V720" s="569"/>
      <c r="W720" s="14"/>
      <c r="X720" s="7"/>
      <c r="Y720" s="7"/>
      <c r="Z720" s="7"/>
      <c r="AA720" s="7"/>
      <c r="AB720" s="7"/>
      <c r="AC720" s="7"/>
    </row>
    <row r="721" spans="1:29" ht="26.25">
      <c r="A721" s="19"/>
      <c r="B721" s="148" t="s">
        <v>644</v>
      </c>
      <c r="C721" s="115">
        <f>P721-O721</f>
        <v>38</v>
      </c>
      <c r="D721" s="92"/>
      <c r="E721" s="91"/>
      <c r="F721" s="91"/>
      <c r="G721" s="91"/>
      <c r="H721" s="91"/>
      <c r="I721" s="91"/>
      <c r="J721" s="22"/>
      <c r="K721" s="22"/>
      <c r="L721" s="22"/>
      <c r="M721" s="22"/>
      <c r="N721" s="22"/>
      <c r="O721" s="91">
        <v>14836</v>
      </c>
      <c r="P721" s="91">
        <v>14874</v>
      </c>
      <c r="Q721" s="122"/>
      <c r="R721" s="338"/>
      <c r="S721" s="248">
        <v>1</v>
      </c>
      <c r="T721" s="91">
        <f>(P721-O721)*S721</f>
        <v>38</v>
      </c>
      <c r="U721" s="95"/>
      <c r="V721" s="569"/>
      <c r="W721" s="14"/>
      <c r="X721" s="7"/>
      <c r="Y721" s="7"/>
      <c r="Z721" s="7"/>
      <c r="AA721" s="7"/>
      <c r="AB721" s="7"/>
      <c r="AC721" s="7"/>
    </row>
    <row r="722" spans="1:29" ht="26.25">
      <c r="A722" s="19"/>
      <c r="B722" s="148" t="s">
        <v>645</v>
      </c>
      <c r="C722" s="115">
        <f>P722-O722</f>
        <v>1985</v>
      </c>
      <c r="D722" s="92"/>
      <c r="E722" s="91"/>
      <c r="F722" s="91"/>
      <c r="G722" s="91"/>
      <c r="H722" s="91"/>
      <c r="I722" s="91"/>
      <c r="J722" s="22"/>
      <c r="K722" s="22"/>
      <c r="L722" s="22"/>
      <c r="M722" s="22"/>
      <c r="N722" s="22"/>
      <c r="O722" s="340">
        <v>86354</v>
      </c>
      <c r="P722" s="340">
        <v>88339</v>
      </c>
      <c r="Q722" s="122"/>
      <c r="R722" s="338"/>
      <c r="S722" s="248">
        <v>1</v>
      </c>
      <c r="T722" s="91">
        <f>(P722-O722)*S722</f>
        <v>1985</v>
      </c>
      <c r="U722" s="95"/>
      <c r="V722" s="569"/>
      <c r="W722" s="14"/>
      <c r="X722" s="7"/>
      <c r="Y722" s="7"/>
      <c r="Z722" s="7"/>
      <c r="AA722" s="7"/>
      <c r="AB722" s="7"/>
      <c r="AC722" s="7"/>
    </row>
    <row r="723" spans="1:29" ht="25.5">
      <c r="A723" s="19"/>
      <c r="B723" s="148" t="s">
        <v>646</v>
      </c>
      <c r="C723" s="91">
        <f>T723</f>
        <v>163</v>
      </c>
      <c r="D723" s="92"/>
      <c r="E723" s="91"/>
      <c r="F723" s="91"/>
      <c r="G723" s="91"/>
      <c r="H723" s="91"/>
      <c r="I723" s="91"/>
      <c r="J723" s="22"/>
      <c r="K723" s="22"/>
      <c r="L723" s="22"/>
      <c r="M723" s="22"/>
      <c r="N723" s="22"/>
      <c r="O723" s="91">
        <v>50727</v>
      </c>
      <c r="P723" s="91">
        <v>50890</v>
      </c>
      <c r="Q723" s="122"/>
      <c r="R723" s="338"/>
      <c r="S723" s="151">
        <v>1</v>
      </c>
      <c r="T723" s="91">
        <f>(P723-O723)*S723</f>
        <v>163</v>
      </c>
      <c r="U723" s="95"/>
      <c r="V723" s="569"/>
      <c r="W723" s="14"/>
      <c r="X723" s="7"/>
      <c r="Y723" s="7"/>
      <c r="Z723" s="7"/>
      <c r="AA723" s="7"/>
      <c r="AB723" s="7"/>
      <c r="AC723" s="7"/>
    </row>
    <row r="724" spans="1:29" ht="26.25">
      <c r="A724" s="19"/>
      <c r="B724" s="148" t="s">
        <v>647</v>
      </c>
      <c r="C724" s="115">
        <f>T724</f>
        <v>952</v>
      </c>
      <c r="D724" s="92">
        <v>0</v>
      </c>
      <c r="E724" s="91"/>
      <c r="F724" s="91"/>
      <c r="G724" s="91"/>
      <c r="H724" s="91"/>
      <c r="I724" s="91"/>
      <c r="J724" s="22"/>
      <c r="K724" s="22"/>
      <c r="L724" s="22"/>
      <c r="M724" s="22"/>
      <c r="N724" s="22"/>
      <c r="O724" s="91">
        <v>6160</v>
      </c>
      <c r="P724" s="91">
        <v>7112</v>
      </c>
      <c r="Q724" s="149"/>
      <c r="R724" s="150"/>
      <c r="S724" s="151">
        <v>1</v>
      </c>
      <c r="T724" s="91">
        <f>P724-O724</f>
        <v>952</v>
      </c>
      <c r="U724" s="95"/>
      <c r="V724" s="569"/>
      <c r="W724" s="14"/>
      <c r="X724" s="7"/>
      <c r="Y724" s="7"/>
      <c r="Z724" s="7"/>
      <c r="AA724" s="7"/>
      <c r="AB724" s="7"/>
      <c r="AC724" s="7"/>
    </row>
    <row r="725" spans="1:29" ht="26.25">
      <c r="A725" s="19"/>
      <c r="B725" s="218"/>
      <c r="C725" s="72"/>
      <c r="D725" s="77"/>
      <c r="E725" s="28"/>
      <c r="F725" s="28"/>
      <c r="G725" s="28"/>
      <c r="H725" s="28"/>
      <c r="I725" s="28"/>
      <c r="J725" s="29"/>
      <c r="K725" s="29"/>
      <c r="L725" s="29"/>
      <c r="M725" s="29"/>
      <c r="N725" s="29"/>
      <c r="O725" s="28"/>
      <c r="P725" s="28"/>
      <c r="Q725" s="146"/>
      <c r="R725" s="147"/>
      <c r="S725" s="54"/>
      <c r="T725" s="28"/>
      <c r="U725" s="95"/>
      <c r="V725" s="569"/>
      <c r="W725" s="14"/>
      <c r="X725" s="7"/>
      <c r="Y725" s="7"/>
      <c r="Z725" s="7"/>
      <c r="AA725" s="7"/>
      <c r="AB725" s="7"/>
      <c r="AC725" s="7"/>
    </row>
    <row r="726" spans="1:29" ht="26.25">
      <c r="A726" s="19"/>
      <c r="B726" s="148" t="s">
        <v>86</v>
      </c>
      <c r="C726" s="115">
        <f>C719+C721+C723+C722+C724</f>
        <v>3183</v>
      </c>
      <c r="D726" s="91">
        <f>D720+D724</f>
        <v>678</v>
      </c>
      <c r="E726" s="28"/>
      <c r="F726" s="28"/>
      <c r="G726" s="28"/>
      <c r="H726" s="28"/>
      <c r="I726" s="28"/>
      <c r="J726" s="29"/>
      <c r="K726" s="29"/>
      <c r="L726" s="29"/>
      <c r="M726" s="29"/>
      <c r="N726" s="29"/>
      <c r="O726" s="28"/>
      <c r="P726" s="28"/>
      <c r="Q726" s="146"/>
      <c r="R726" s="147"/>
      <c r="S726" s="54"/>
      <c r="T726" s="28"/>
      <c r="U726" s="95"/>
      <c r="V726" s="569"/>
      <c r="W726" s="14"/>
      <c r="X726" s="7"/>
      <c r="Y726" s="7"/>
      <c r="Z726" s="7"/>
      <c r="AA726" s="7"/>
      <c r="AB726" s="7"/>
      <c r="AC726" s="7"/>
    </row>
    <row r="727" spans="1:29" ht="25.5">
      <c r="A727" s="19"/>
      <c r="B727" s="104"/>
      <c r="C727" s="92"/>
      <c r="D727" s="92"/>
      <c r="E727" s="92"/>
      <c r="F727" s="92"/>
      <c r="G727" s="92"/>
      <c r="H727" s="92"/>
      <c r="I727" s="92"/>
      <c r="J727" s="142"/>
      <c r="K727" s="142"/>
      <c r="L727" s="142"/>
      <c r="M727" s="142"/>
      <c r="N727" s="142"/>
      <c r="O727" s="94"/>
      <c r="P727" s="91"/>
      <c r="Q727" s="94"/>
      <c r="R727" s="94"/>
      <c r="S727" s="94"/>
      <c r="T727" s="94"/>
      <c r="U727" s="273"/>
      <c r="V727" s="274"/>
      <c r="W727" s="14"/>
      <c r="X727" s="7"/>
      <c r="Y727" s="7"/>
      <c r="Z727" s="7"/>
      <c r="AA727" s="7"/>
      <c r="AB727" s="7"/>
      <c r="AC727" s="7"/>
    </row>
    <row r="728" spans="1:29" ht="26.25">
      <c r="A728" s="19"/>
      <c r="B728" s="143"/>
      <c r="C728" s="92"/>
      <c r="D728" s="92"/>
      <c r="E728" s="246"/>
      <c r="F728" s="246"/>
      <c r="G728" s="92"/>
      <c r="H728" s="92"/>
      <c r="I728" s="92"/>
      <c r="J728" s="142"/>
      <c r="K728" s="142"/>
      <c r="L728" s="142"/>
      <c r="M728" s="142"/>
      <c r="N728" s="142"/>
      <c r="O728" s="94"/>
      <c r="P728" s="94"/>
      <c r="Q728" s="94"/>
      <c r="R728" s="94"/>
      <c r="S728" s="94"/>
      <c r="T728" s="94"/>
      <c r="U728" s="273"/>
      <c r="V728" s="274"/>
      <c r="W728" s="14"/>
      <c r="X728" s="7"/>
      <c r="Y728" s="7"/>
      <c r="Z728" s="7"/>
      <c r="AA728" s="7"/>
      <c r="AB728" s="7"/>
      <c r="AC728" s="7"/>
    </row>
    <row r="729" spans="1:29" ht="26.25">
      <c r="A729" s="271"/>
      <c r="B729" s="143" t="s">
        <v>648</v>
      </c>
      <c r="C729" s="115">
        <f>C709+C92</f>
        <v>1035369.0512700013</v>
      </c>
      <c r="D729" s="115">
        <f>D709+D726</f>
        <v>678</v>
      </c>
      <c r="E729" s="115" t="e">
        <f>E709</f>
        <v>#REF!</v>
      </c>
      <c r="F729" s="91"/>
      <c r="G729" s="91"/>
      <c r="H729" s="248" t="e">
        <f>H709</f>
        <v>#REF!</v>
      </c>
      <c r="I729" s="115">
        <f>I709</f>
        <v>125038.92699999985</v>
      </c>
      <c r="J729" s="142"/>
      <c r="K729" s="142"/>
      <c r="L729" s="142"/>
      <c r="M729" s="142"/>
      <c r="N729" s="142"/>
      <c r="O729" s="94"/>
      <c r="P729" s="94"/>
      <c r="Q729" s="94"/>
      <c r="R729" s="94"/>
      <c r="S729" s="94"/>
      <c r="T729" s="94"/>
      <c r="U729" s="273"/>
      <c r="V729" s="274"/>
      <c r="W729" s="14"/>
      <c r="X729" s="7"/>
      <c r="Y729" s="7"/>
      <c r="Z729" s="7"/>
      <c r="AA729" s="7"/>
      <c r="AB729" s="7"/>
      <c r="AC729" s="7"/>
    </row>
    <row r="730" spans="1:29" ht="26.25">
      <c r="A730" s="271"/>
      <c r="B730" s="143"/>
      <c r="C730" s="246"/>
      <c r="D730" s="246"/>
      <c r="E730" s="246"/>
      <c r="F730" s="92"/>
      <c r="G730" s="92"/>
      <c r="H730" s="92"/>
      <c r="I730" s="92"/>
      <c r="J730" s="142"/>
      <c r="K730" s="142"/>
      <c r="L730" s="142"/>
      <c r="M730" s="142"/>
      <c r="N730" s="142"/>
      <c r="O730" s="94"/>
      <c r="P730" s="94"/>
      <c r="Q730" s="94"/>
      <c r="R730" s="94"/>
      <c r="S730" s="94"/>
      <c r="T730" s="94"/>
      <c r="U730" s="273"/>
      <c r="V730" s="274"/>
      <c r="W730" s="14"/>
      <c r="X730" s="7"/>
      <c r="Y730" s="7"/>
      <c r="Z730" s="7"/>
      <c r="AA730" s="7"/>
      <c r="AB730" s="7"/>
      <c r="AC730" s="7"/>
    </row>
    <row r="731" spans="1:29" ht="25.5">
      <c r="A731" s="271"/>
      <c r="B731" s="104"/>
      <c r="C731" s="92"/>
      <c r="D731" s="92"/>
      <c r="E731" s="92"/>
      <c r="F731" s="92"/>
      <c r="G731" s="92"/>
      <c r="H731" s="92"/>
      <c r="I731" s="92"/>
      <c r="J731" s="142"/>
      <c r="K731" s="142"/>
      <c r="L731" s="142"/>
      <c r="M731" s="142"/>
      <c r="N731" s="142"/>
      <c r="O731" s="94"/>
      <c r="P731" s="94"/>
      <c r="Q731" s="94"/>
      <c r="R731" s="94"/>
      <c r="S731" s="94"/>
      <c r="T731" s="94"/>
      <c r="U731" s="273"/>
      <c r="V731" s="274"/>
      <c r="W731" s="14"/>
      <c r="X731" s="7"/>
      <c r="Y731" s="7"/>
      <c r="Z731" s="7"/>
      <c r="AA731" s="7"/>
      <c r="AB731" s="7"/>
      <c r="AC731" s="7"/>
    </row>
    <row r="732" spans="1:29" ht="26.25">
      <c r="A732" s="271"/>
      <c r="B732" s="143" t="s">
        <v>649</v>
      </c>
      <c r="C732" s="246"/>
      <c r="D732" s="246"/>
      <c r="E732" s="246"/>
      <c r="F732" s="92"/>
      <c r="G732" s="275"/>
      <c r="H732" s="92"/>
      <c r="I732" s="92"/>
      <c r="J732" s="142"/>
      <c r="K732" s="142"/>
      <c r="L732" s="142"/>
      <c r="M732" s="142"/>
      <c r="N732" s="142"/>
      <c r="O732" s="94"/>
      <c r="P732" s="94"/>
      <c r="Q732" s="94"/>
      <c r="R732" s="94"/>
      <c r="S732" s="94"/>
      <c r="T732" s="94"/>
      <c r="U732" s="273"/>
      <c r="V732" s="274"/>
      <c r="W732" s="14"/>
      <c r="X732" s="7"/>
      <c r="Y732" s="7"/>
      <c r="Z732" s="7"/>
      <c r="AA732" s="7"/>
      <c r="AB732" s="7"/>
      <c r="AC732" s="7"/>
    </row>
    <row r="733" spans="1:29" ht="25.5">
      <c r="A733" s="271"/>
      <c r="B733" s="104"/>
      <c r="C733" s="92"/>
      <c r="D733" s="92"/>
      <c r="E733" s="92"/>
      <c r="F733" s="92"/>
      <c r="G733" s="275"/>
      <c r="H733" s="92"/>
      <c r="I733" s="92"/>
      <c r="J733" s="142"/>
      <c r="K733" s="142"/>
      <c r="L733" s="142"/>
      <c r="M733" s="142"/>
      <c r="N733" s="142"/>
      <c r="O733" s="94"/>
      <c r="P733" s="94"/>
      <c r="Q733" s="94"/>
      <c r="R733" s="94"/>
      <c r="S733" s="94"/>
      <c r="T733" s="94"/>
      <c r="U733" s="273"/>
      <c r="V733" s="274"/>
      <c r="W733" s="14"/>
      <c r="X733" s="7"/>
      <c r="Y733" s="7"/>
      <c r="Z733" s="7"/>
      <c r="AA733" s="7"/>
      <c r="AB733" s="7"/>
      <c r="AC733" s="7"/>
    </row>
    <row r="734" spans="1:29" ht="25.5">
      <c r="A734" s="276"/>
      <c r="B734" s="277"/>
      <c r="C734" s="105"/>
      <c r="D734" s="105"/>
      <c r="E734" s="105"/>
      <c r="F734" s="105"/>
      <c r="G734" s="105"/>
      <c r="H734" s="105"/>
      <c r="I734" s="105"/>
      <c r="J734" s="98"/>
      <c r="K734" s="98"/>
      <c r="L734" s="98"/>
      <c r="M734" s="98"/>
      <c r="N734" s="98"/>
      <c r="O734" s="227"/>
      <c r="P734" s="227"/>
      <c r="Q734" s="227"/>
      <c r="R734" s="227"/>
      <c r="S734" s="227"/>
      <c r="T734" s="227"/>
      <c r="U734" s="273"/>
      <c r="V734" s="274"/>
      <c r="W734" s="7"/>
      <c r="X734" s="7"/>
      <c r="Y734" s="7"/>
      <c r="Z734" s="7"/>
      <c r="AA734" s="7"/>
      <c r="AB734" s="7"/>
      <c r="AC734" s="7"/>
    </row>
    <row r="735" spans="1:29" ht="25.5">
      <c r="A735" s="276"/>
      <c r="B735" s="277"/>
      <c r="C735" s="105"/>
      <c r="D735" s="105"/>
      <c r="E735" s="105"/>
      <c r="F735" s="105"/>
      <c r="G735" s="105"/>
      <c r="H735" s="105"/>
      <c r="I735" s="105"/>
      <c r="J735" s="98"/>
      <c r="K735" s="98"/>
      <c r="L735" s="98"/>
      <c r="M735" s="98"/>
      <c r="N735" s="98"/>
      <c r="O735" s="227"/>
      <c r="P735" s="227"/>
      <c r="Q735" s="227"/>
      <c r="R735" s="227"/>
      <c r="S735" s="227"/>
      <c r="T735" s="227"/>
      <c r="U735" s="273"/>
      <c r="V735" s="274"/>
      <c r="W735" s="7"/>
      <c r="X735" s="7"/>
      <c r="Y735" s="7"/>
      <c r="Z735" s="7"/>
      <c r="AA735" s="7"/>
      <c r="AB735" s="7"/>
      <c r="AC735" s="7"/>
    </row>
    <row r="736" spans="1:29" ht="25.5">
      <c r="A736" s="276"/>
      <c r="B736" s="277"/>
      <c r="C736" s="105"/>
      <c r="D736" s="105"/>
      <c r="E736" s="105"/>
      <c r="F736" s="105"/>
      <c r="G736" s="105"/>
      <c r="H736" s="105"/>
      <c r="I736" s="105"/>
      <c r="J736" s="98"/>
      <c r="K736" s="98"/>
      <c r="L736" s="98"/>
      <c r="M736" s="98"/>
      <c r="N736" s="98"/>
      <c r="O736" s="227"/>
      <c r="P736" s="227"/>
      <c r="Q736" s="227"/>
      <c r="R736" s="227"/>
      <c r="S736" s="227"/>
      <c r="T736" s="227"/>
      <c r="U736" s="273"/>
      <c r="V736" s="274"/>
      <c r="W736" s="7"/>
      <c r="X736" s="7"/>
      <c r="Y736" s="7"/>
      <c r="Z736" s="7"/>
      <c r="AA736" s="7"/>
      <c r="AB736" s="7"/>
      <c r="AC736" s="7"/>
    </row>
    <row r="737" spans="1:29" ht="25.5">
      <c r="A737" s="276"/>
      <c r="B737" s="277"/>
      <c r="C737" s="105"/>
      <c r="D737" s="105"/>
      <c r="E737" s="105"/>
      <c r="F737" s="105"/>
      <c r="G737" s="105"/>
      <c r="H737" s="105"/>
      <c r="I737" s="105"/>
      <c r="J737" s="98"/>
      <c r="K737" s="98"/>
      <c r="L737" s="98"/>
      <c r="M737" s="98"/>
      <c r="N737" s="98"/>
      <c r="O737" s="227"/>
      <c r="P737" s="227"/>
      <c r="Q737" s="227"/>
      <c r="R737" s="227"/>
      <c r="S737" s="227"/>
      <c r="T737" s="227"/>
      <c r="U737" s="273"/>
      <c r="V737" s="274"/>
      <c r="W737" s="7"/>
      <c r="X737" s="7"/>
      <c r="Y737" s="7"/>
      <c r="Z737" s="7"/>
      <c r="AA737" s="7"/>
      <c r="AB737" s="7"/>
      <c r="AC737" s="7"/>
    </row>
    <row r="738" spans="1:29" ht="25.5">
      <c r="A738" s="276"/>
      <c r="B738" s="277"/>
      <c r="C738" s="105"/>
      <c r="D738" s="105"/>
      <c r="E738" s="105"/>
      <c r="F738" s="105"/>
      <c r="G738" s="105"/>
      <c r="H738" s="105"/>
      <c r="I738" s="105"/>
      <c r="J738" s="98"/>
      <c r="K738" s="98"/>
      <c r="L738" s="98"/>
      <c r="M738" s="98"/>
      <c r="N738" s="98"/>
      <c r="O738" s="227"/>
      <c r="P738" s="227"/>
      <c r="Q738" s="227"/>
      <c r="R738" s="227"/>
      <c r="S738" s="227"/>
      <c r="T738" s="227"/>
      <c r="U738" s="273"/>
      <c r="V738" s="274"/>
      <c r="W738" s="7"/>
      <c r="X738" s="7"/>
      <c r="Y738" s="7"/>
      <c r="Z738" s="7"/>
      <c r="AA738" s="7"/>
      <c r="AB738" s="7"/>
      <c r="AC738" s="7"/>
    </row>
    <row r="739" spans="1:29" ht="25.5">
      <c r="A739" s="276"/>
      <c r="B739" s="277"/>
      <c r="C739" s="105"/>
      <c r="D739" s="105"/>
      <c r="E739" s="105"/>
      <c r="F739" s="105"/>
      <c r="G739" s="105"/>
      <c r="H739" s="105"/>
      <c r="I739" s="105"/>
      <c r="J739" s="98"/>
      <c r="K739" s="98"/>
      <c r="L739" s="98"/>
      <c r="M739" s="98"/>
      <c r="N739" s="98"/>
      <c r="O739" s="227"/>
      <c r="P739" s="227"/>
      <c r="Q739" s="227"/>
      <c r="R739" s="227"/>
      <c r="S739" s="227"/>
      <c r="T739" s="227"/>
      <c r="U739" s="273"/>
      <c r="V739" s="274"/>
      <c r="W739" s="7"/>
      <c r="X739" s="7"/>
      <c r="Y739" s="7"/>
      <c r="Z739" s="7"/>
      <c r="AA739" s="7"/>
      <c r="AB739" s="7"/>
      <c r="AC739" s="7"/>
    </row>
    <row r="740" spans="1:29" ht="25.5">
      <c r="A740" s="276"/>
      <c r="B740" s="277"/>
      <c r="C740" s="105"/>
      <c r="D740" s="105"/>
      <c r="E740" s="105"/>
      <c r="F740" s="105"/>
      <c r="G740" s="105"/>
      <c r="H740" s="105"/>
      <c r="I740" s="105"/>
      <c r="J740" s="98"/>
      <c r="K740" s="98"/>
      <c r="L740" s="98"/>
      <c r="M740" s="98"/>
      <c r="N740" s="98"/>
      <c r="O740" s="227"/>
      <c r="P740" s="227"/>
      <c r="Q740" s="227"/>
      <c r="R740" s="227"/>
      <c r="S740" s="227"/>
      <c r="T740" s="227"/>
      <c r="U740" s="273"/>
      <c r="V740" s="274"/>
      <c r="W740" s="7"/>
      <c r="X740" s="7"/>
      <c r="Y740" s="7"/>
      <c r="Z740" s="7"/>
      <c r="AA740" s="7"/>
      <c r="AB740" s="7"/>
      <c r="AC740" s="7"/>
    </row>
    <row r="741" spans="1:29" ht="25.5">
      <c r="A741" s="276"/>
      <c r="B741" s="277"/>
      <c r="C741" s="105"/>
      <c r="D741" s="105"/>
      <c r="E741" s="105"/>
      <c r="F741" s="105"/>
      <c r="G741" s="105"/>
      <c r="H741" s="105"/>
      <c r="I741" s="105"/>
      <c r="J741" s="98"/>
      <c r="K741" s="98"/>
      <c r="L741" s="98"/>
      <c r="M741" s="98"/>
      <c r="N741" s="98"/>
      <c r="O741" s="227"/>
      <c r="P741" s="227"/>
      <c r="Q741" s="227"/>
      <c r="R741" s="227"/>
      <c r="S741" s="227"/>
      <c r="T741" s="227"/>
      <c r="U741" s="273"/>
      <c r="V741" s="274"/>
      <c r="W741" s="7"/>
      <c r="X741" s="7"/>
      <c r="Y741" s="7"/>
      <c r="Z741" s="7"/>
      <c r="AA741" s="7"/>
      <c r="AB741" s="7"/>
      <c r="AC741" s="7"/>
    </row>
    <row r="742" spans="1:29" ht="25.5">
      <c r="A742" s="276"/>
      <c r="B742" s="277"/>
      <c r="C742" s="105"/>
      <c r="D742" s="105"/>
      <c r="E742" s="105"/>
      <c r="F742" s="105"/>
      <c r="G742" s="105"/>
      <c r="H742" s="105"/>
      <c r="I742" s="105"/>
      <c r="J742" s="98"/>
      <c r="K742" s="98"/>
      <c r="L742" s="98"/>
      <c r="M742" s="98"/>
      <c r="N742" s="98"/>
      <c r="O742" s="227"/>
      <c r="P742" s="227"/>
      <c r="Q742" s="227"/>
      <c r="R742" s="227"/>
      <c r="S742" s="227"/>
      <c r="T742" s="227"/>
      <c r="U742" s="273"/>
      <c r="V742" s="274"/>
      <c r="W742" s="7"/>
      <c r="X742" s="7"/>
      <c r="Y742" s="7"/>
      <c r="Z742" s="7"/>
      <c r="AA742" s="7"/>
      <c r="AB742" s="7"/>
      <c r="AC742" s="7"/>
    </row>
    <row r="743" spans="1:29" ht="25.5">
      <c r="A743" s="276"/>
      <c r="B743" s="277"/>
      <c r="C743" s="105"/>
      <c r="D743" s="105"/>
      <c r="E743" s="105"/>
      <c r="F743" s="105"/>
      <c r="G743" s="105"/>
      <c r="H743" s="105"/>
      <c r="I743" s="105"/>
      <c r="J743" s="98"/>
      <c r="K743" s="98"/>
      <c r="L743" s="98"/>
      <c r="M743" s="98"/>
      <c r="N743" s="98"/>
      <c r="O743" s="227"/>
      <c r="P743" s="227"/>
      <c r="Q743" s="227"/>
      <c r="R743" s="227"/>
      <c r="S743" s="227"/>
      <c r="T743" s="227"/>
      <c r="U743" s="273"/>
      <c r="V743" s="274"/>
      <c r="W743" s="7"/>
      <c r="X743" s="7"/>
      <c r="Y743" s="7"/>
      <c r="Z743" s="7"/>
      <c r="AA743" s="7"/>
      <c r="AB743" s="7"/>
      <c r="AC743" s="7"/>
    </row>
    <row r="744" spans="1:29" ht="25.5">
      <c r="A744" s="276"/>
      <c r="B744" s="277"/>
      <c r="C744" s="105"/>
      <c r="D744" s="105"/>
      <c r="E744" s="105"/>
      <c r="F744" s="105"/>
      <c r="G744" s="105"/>
      <c r="H744" s="105"/>
      <c r="I744" s="105"/>
      <c r="J744" s="98"/>
      <c r="K744" s="98"/>
      <c r="L744" s="98"/>
      <c r="M744" s="98"/>
      <c r="N744" s="98"/>
      <c r="O744" s="227"/>
      <c r="P744" s="227"/>
      <c r="Q744" s="227"/>
      <c r="R744" s="227"/>
      <c r="S744" s="227"/>
      <c r="T744" s="227"/>
      <c r="U744" s="273"/>
      <c r="V744" s="274"/>
      <c r="W744" s="7"/>
      <c r="X744" s="7"/>
      <c r="Y744" s="7"/>
      <c r="Z744" s="7"/>
      <c r="AA744" s="7"/>
      <c r="AB744" s="7"/>
      <c r="AC744" s="7"/>
    </row>
    <row r="745" spans="1:29" ht="25.5">
      <c r="A745" s="276"/>
      <c r="B745" s="277"/>
      <c r="C745" s="105"/>
      <c r="D745" s="105"/>
      <c r="E745" s="105"/>
      <c r="F745" s="105"/>
      <c r="G745" s="105"/>
      <c r="H745" s="105"/>
      <c r="I745" s="105"/>
      <c r="J745" s="98"/>
      <c r="K745" s="98"/>
      <c r="L745" s="98"/>
      <c r="M745" s="98"/>
      <c r="N745" s="98"/>
      <c r="O745" s="227"/>
      <c r="P745" s="227"/>
      <c r="Q745" s="227"/>
      <c r="R745" s="227"/>
      <c r="S745" s="227"/>
      <c r="T745" s="227"/>
      <c r="U745" s="273"/>
      <c r="V745" s="274"/>
      <c r="W745" s="7"/>
      <c r="X745" s="7"/>
      <c r="Y745" s="7"/>
      <c r="Z745" s="7"/>
      <c r="AA745" s="7"/>
      <c r="AB745" s="7"/>
      <c r="AC745" s="7"/>
    </row>
    <row r="746" spans="1:29" ht="25.5">
      <c r="A746" s="276"/>
      <c r="B746" s="277"/>
      <c r="C746" s="105"/>
      <c r="D746" s="105"/>
      <c r="E746" s="105"/>
      <c r="F746" s="105"/>
      <c r="G746" s="105"/>
      <c r="H746" s="105"/>
      <c r="I746" s="105"/>
      <c r="J746" s="98"/>
      <c r="K746" s="98"/>
      <c r="L746" s="98"/>
      <c r="M746" s="98"/>
      <c r="N746" s="98"/>
      <c r="O746" s="227"/>
      <c r="P746" s="227"/>
      <c r="Q746" s="227"/>
      <c r="R746" s="227"/>
      <c r="S746" s="227"/>
      <c r="T746" s="227"/>
      <c r="U746" s="273"/>
      <c r="V746" s="274"/>
      <c r="W746" s="7"/>
      <c r="X746" s="7"/>
      <c r="Y746" s="7"/>
      <c r="Z746" s="7"/>
      <c r="AA746" s="7"/>
      <c r="AB746" s="7"/>
      <c r="AC746" s="7"/>
    </row>
    <row r="747" spans="1:29" ht="25.5">
      <c r="A747" s="276"/>
      <c r="B747" s="277"/>
      <c r="C747" s="105"/>
      <c r="D747" s="105"/>
      <c r="E747" s="105"/>
      <c r="F747" s="105"/>
      <c r="G747" s="105"/>
      <c r="H747" s="105"/>
      <c r="I747" s="105"/>
      <c r="J747" s="98"/>
      <c r="K747" s="98"/>
      <c r="L747" s="98"/>
      <c r="M747" s="98"/>
      <c r="N747" s="98"/>
      <c r="O747" s="227"/>
      <c r="P747" s="227"/>
      <c r="Q747" s="227"/>
      <c r="R747" s="227"/>
      <c r="S747" s="227"/>
      <c r="T747" s="227"/>
      <c r="U747" s="273"/>
      <c r="V747" s="274"/>
      <c r="W747" s="7"/>
      <c r="X747" s="7"/>
      <c r="Y747" s="7"/>
      <c r="Z747" s="7"/>
      <c r="AA747" s="7"/>
      <c r="AB747" s="7"/>
      <c r="AC747" s="7"/>
    </row>
  </sheetData>
  <mergeCells count="25">
    <mergeCell ref="B665:B666"/>
    <mergeCell ref="W650:W652"/>
    <mergeCell ref="B98:B99"/>
    <mergeCell ref="B176:B177"/>
    <mergeCell ref="B187:B188"/>
    <mergeCell ref="V200:V201"/>
    <mergeCell ref="V211:V212"/>
    <mergeCell ref="B247:B248"/>
    <mergeCell ref="V247:V248"/>
    <mergeCell ref="A94:B94"/>
    <mergeCell ref="AQ1:BJ1"/>
    <mergeCell ref="A3:T3"/>
    <mergeCell ref="A4:A5"/>
    <mergeCell ref="B4:B5"/>
    <mergeCell ref="C4:C5"/>
    <mergeCell ref="D4:D5"/>
    <mergeCell ref="E4:G4"/>
    <mergeCell ref="H4:H5"/>
    <mergeCell ref="I4:I5"/>
    <mergeCell ref="O4:O5"/>
    <mergeCell ref="P4:P5"/>
    <mergeCell ref="S4:S5"/>
    <mergeCell ref="T4:T5"/>
    <mergeCell ref="V61:V62"/>
    <mergeCell ref="A87:B87"/>
  </mergeCells>
  <pageMargins left="0.27559055118110237" right="0" top="0.39370078740157483" bottom="0.39370078740157483" header="0.31496062992125984" footer="0.31496062992125984"/>
  <pageSetup paperSize="9" scale="43" orientation="landscape" r:id="rId1"/>
  <colBreaks count="1" manualBreakCount="1">
    <brk id="22" max="63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topLeftCell="A40" zoomScale="55" zoomScaleNormal="55" workbookViewId="0">
      <selection activeCell="E70" sqref="E70"/>
    </sheetView>
  </sheetViews>
  <sheetFormatPr defaultRowHeight="26.25"/>
  <cols>
    <col min="1" max="1" width="84.85546875" style="282" customWidth="1"/>
    <col min="2" max="2" width="27.28515625" style="282" customWidth="1"/>
    <col min="3" max="3" width="0.140625" style="282" customWidth="1"/>
    <col min="4" max="4" width="24.42578125" style="282" bestFit="1" customWidth="1"/>
    <col min="5" max="5" width="23.42578125" style="282" customWidth="1"/>
    <col min="6" max="6" width="23.28515625" style="282" customWidth="1"/>
    <col min="7" max="7" width="21.5703125" style="282" customWidth="1"/>
    <col min="8" max="8" width="19.5703125" style="282" customWidth="1"/>
    <col min="9" max="12" width="9.140625" style="282" hidden="1" customWidth="1"/>
    <col min="13" max="13" width="21.7109375" style="282" hidden="1" customWidth="1"/>
    <col min="14" max="14" width="25.85546875" style="282" customWidth="1"/>
    <col min="15" max="15" width="36" style="282" customWidth="1"/>
    <col min="16" max="16" width="9.140625" style="282" hidden="1" customWidth="1"/>
    <col min="17" max="17" width="14.85546875" style="282" hidden="1" customWidth="1"/>
    <col min="18" max="18" width="11.7109375" style="282" customWidth="1"/>
    <col min="19" max="19" width="25.7109375" style="282" customWidth="1"/>
    <col min="20" max="20" width="17.42578125" style="282" customWidth="1"/>
    <col min="21" max="16384" width="9.140625" style="282"/>
  </cols>
  <sheetData>
    <row r="1" spans="1:21">
      <c r="A1" s="278"/>
      <c r="B1" s="279"/>
      <c r="C1" s="279"/>
      <c r="D1" s="279"/>
      <c r="E1" s="279"/>
      <c r="F1" s="279"/>
      <c r="G1" s="279"/>
      <c r="H1" s="279"/>
      <c r="I1" s="280"/>
      <c r="J1" s="280"/>
      <c r="K1" s="280"/>
      <c r="L1" s="280"/>
      <c r="M1" s="280"/>
      <c r="N1" s="279"/>
      <c r="O1" s="279"/>
      <c r="P1" s="280"/>
      <c r="Q1" s="280"/>
      <c r="R1" s="279"/>
      <c r="S1" s="279"/>
      <c r="T1" s="281"/>
      <c r="U1" s="281"/>
    </row>
    <row r="2" spans="1:21">
      <c r="A2" s="278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</row>
    <row r="3" spans="1:21">
      <c r="A3" s="278"/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</row>
    <row r="4" spans="1:21">
      <c r="A4" s="278"/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</row>
    <row r="5" spans="1:21">
      <c r="A5" s="278"/>
      <c r="B5" s="281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</row>
    <row r="6" spans="1:21">
      <c r="A6" s="278"/>
      <c r="B6" s="281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</row>
    <row r="7" spans="1:21">
      <c r="A7" s="278"/>
      <c r="B7" s="281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</row>
    <row r="8" spans="1:21">
      <c r="A8" s="278"/>
      <c r="B8" s="281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</row>
    <row r="9" spans="1:21">
      <c r="A9" s="278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</row>
    <row r="10" spans="1:21">
      <c r="A10" s="278"/>
      <c r="B10" s="281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</row>
    <row r="11" spans="1:21">
      <c r="A11" s="278"/>
      <c r="B11" s="281"/>
      <c r="C11" s="279"/>
      <c r="D11" s="279"/>
      <c r="E11" s="279"/>
      <c r="F11" s="279"/>
      <c r="G11" s="279"/>
      <c r="H11" s="279"/>
      <c r="I11" s="279"/>
      <c r="J11" s="280"/>
      <c r="K11" s="280"/>
      <c r="L11" s="280"/>
      <c r="M11" s="280"/>
      <c r="N11" s="280"/>
      <c r="O11" s="279"/>
      <c r="P11" s="279"/>
      <c r="Q11" s="280"/>
      <c r="R11" s="280"/>
      <c r="S11" s="279"/>
      <c r="T11" s="279"/>
      <c r="U11" s="281"/>
    </row>
    <row r="12" spans="1:21">
      <c r="A12" s="278"/>
      <c r="B12" s="281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</row>
    <row r="13" spans="1:21">
      <c r="A13" s="278"/>
    </row>
    <row r="14" spans="1:21">
      <c r="A14" s="278"/>
    </row>
    <row r="15" spans="1:21">
      <c r="A15" s="278"/>
    </row>
    <row r="16" spans="1:21">
      <c r="A16" s="278"/>
    </row>
    <row r="17" spans="1:30">
      <c r="A17" s="278"/>
    </row>
    <row r="18" spans="1:30">
      <c r="A18" s="278"/>
    </row>
    <row r="19" spans="1:30">
      <c r="A19" s="278"/>
    </row>
    <row r="20" spans="1:30">
      <c r="A20" s="278"/>
    </row>
    <row r="21" spans="1:30">
      <c r="A21" s="278"/>
    </row>
    <row r="22" spans="1:30">
      <c r="A22" s="278"/>
    </row>
    <row r="23" spans="1:30">
      <c r="A23" s="278"/>
    </row>
    <row r="24" spans="1:30">
      <c r="A24" s="283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</row>
    <row r="25" spans="1:30">
      <c r="A25" s="284"/>
      <c r="B25" s="279"/>
      <c r="C25" s="279"/>
      <c r="D25" s="279"/>
      <c r="E25" s="279"/>
      <c r="F25" s="279"/>
      <c r="G25" s="279"/>
      <c r="H25" s="279"/>
      <c r="I25" s="280"/>
      <c r="J25" s="280"/>
      <c r="K25" s="280"/>
      <c r="L25" s="280"/>
      <c r="M25" s="280"/>
      <c r="N25" s="279"/>
      <c r="O25" s="279"/>
      <c r="P25" s="280"/>
      <c r="Q25" s="280"/>
      <c r="R25" s="279"/>
      <c r="S25" s="279"/>
    </row>
    <row r="26" spans="1:30">
      <c r="A26" s="283"/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</row>
    <row r="27" spans="1:30">
      <c r="A27" s="281"/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</row>
    <row r="28" spans="1:30">
      <c r="A28" s="281"/>
      <c r="B28" s="281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</row>
    <row r="29" spans="1:30">
      <c r="A29" s="285"/>
      <c r="B29" s="285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5"/>
      <c r="N29" s="285"/>
      <c r="O29" s="285"/>
      <c r="P29" s="285"/>
      <c r="Q29" s="285"/>
      <c r="R29" s="285"/>
      <c r="S29" s="285"/>
      <c r="T29" s="286"/>
      <c r="U29" s="286"/>
      <c r="V29" s="286"/>
      <c r="W29" s="286"/>
      <c r="X29" s="286"/>
      <c r="Y29" s="286"/>
      <c r="Z29" s="286"/>
      <c r="AA29" s="286"/>
      <c r="AB29" s="286"/>
      <c r="AC29" s="286"/>
      <c r="AD29" s="286"/>
    </row>
    <row r="30" spans="1:30" ht="9.75" customHeight="1">
      <c r="A30" s="285"/>
      <c r="B30" s="285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5"/>
      <c r="N30" s="285"/>
      <c r="O30" s="285"/>
      <c r="P30" s="285"/>
      <c r="Q30" s="285"/>
      <c r="R30" s="285"/>
      <c r="S30" s="285"/>
      <c r="T30" s="286"/>
      <c r="U30" s="286"/>
      <c r="V30" s="286"/>
      <c r="W30" s="286"/>
      <c r="X30" s="286"/>
      <c r="Y30" s="286"/>
      <c r="Z30" s="286"/>
      <c r="AA30" s="286"/>
      <c r="AB30" s="286"/>
      <c r="AC30" s="286"/>
      <c r="AD30" s="286"/>
    </row>
    <row r="31" spans="1:30" ht="33.75" customHeight="1">
      <c r="A31" s="829" t="s">
        <v>1</v>
      </c>
      <c r="B31" s="826" t="s">
        <v>2</v>
      </c>
      <c r="C31" s="826" t="s">
        <v>3</v>
      </c>
      <c r="D31" s="826" t="s">
        <v>4</v>
      </c>
      <c r="E31" s="826"/>
      <c r="F31" s="826"/>
      <c r="G31" s="826" t="s">
        <v>5</v>
      </c>
      <c r="H31" s="826" t="s">
        <v>6</v>
      </c>
      <c r="I31" s="206"/>
      <c r="J31" s="287"/>
      <c r="K31" s="287"/>
      <c r="L31" s="287"/>
      <c r="M31" s="287"/>
      <c r="N31" s="824" t="s">
        <v>7</v>
      </c>
      <c r="O31" s="826" t="s">
        <v>8</v>
      </c>
      <c r="P31" s="287"/>
      <c r="Q31" s="287"/>
      <c r="R31" s="826" t="s">
        <v>9</v>
      </c>
      <c r="S31" s="826" t="s">
        <v>2</v>
      </c>
      <c r="T31" s="286"/>
      <c r="U31" s="286"/>
      <c r="V31" s="286"/>
      <c r="W31" s="286"/>
      <c r="X31" s="286"/>
      <c r="Y31" s="286"/>
      <c r="Z31" s="286"/>
      <c r="AA31" s="286"/>
      <c r="AB31" s="286"/>
      <c r="AC31" s="286"/>
      <c r="AD31" s="286"/>
    </row>
    <row r="32" spans="1:30" ht="51" customHeight="1">
      <c r="A32" s="829"/>
      <c r="B32" s="826"/>
      <c r="C32" s="826"/>
      <c r="D32" s="573" t="s">
        <v>10</v>
      </c>
      <c r="E32" s="573" t="s">
        <v>11</v>
      </c>
      <c r="F32" s="573" t="s">
        <v>12</v>
      </c>
      <c r="G32" s="826"/>
      <c r="H32" s="826"/>
      <c r="I32" s="206"/>
      <c r="J32" s="287"/>
      <c r="K32" s="287"/>
      <c r="L32" s="287"/>
      <c r="M32" s="287"/>
      <c r="N32" s="825"/>
      <c r="O32" s="826"/>
      <c r="P32" s="287"/>
      <c r="Q32" s="288"/>
      <c r="R32" s="826"/>
      <c r="S32" s="826"/>
      <c r="T32" s="286"/>
      <c r="U32" s="286"/>
      <c r="V32" s="286"/>
      <c r="W32" s="286"/>
      <c r="X32" s="286"/>
      <c r="Y32" s="286"/>
      <c r="Z32" s="286"/>
      <c r="AA32" s="286"/>
      <c r="AB32" s="286"/>
      <c r="AC32" s="286"/>
      <c r="AD32" s="286"/>
    </row>
    <row r="33" spans="1:30">
      <c r="A33" s="289" t="s">
        <v>650</v>
      </c>
      <c r="B33" s="206">
        <f t="shared" ref="B33:B60" si="0">G33+D33</f>
        <v>1669.2</v>
      </c>
      <c r="C33" s="206"/>
      <c r="D33" s="206">
        <f t="shared" ref="D33:D56" si="1">E33+F33</f>
        <v>109.19999999999999</v>
      </c>
      <c r="E33" s="206">
        <f t="shared" ref="E33:E56" si="2">0.04*G33</f>
        <v>62.4</v>
      </c>
      <c r="F33" s="206">
        <f t="shared" ref="F33:F56" si="3">0.03*G33</f>
        <v>46.8</v>
      </c>
      <c r="G33" s="206">
        <f t="shared" ref="G33:G56" si="4">S33</f>
        <v>1560</v>
      </c>
      <c r="H33" s="206">
        <f t="shared" ref="H33:H60" si="5">0.6*B33</f>
        <v>1001.52</v>
      </c>
      <c r="I33" s="290"/>
      <c r="J33" s="290"/>
      <c r="K33" s="290"/>
      <c r="L33" s="290"/>
      <c r="M33" s="290"/>
      <c r="N33" s="206">
        <v>4585</v>
      </c>
      <c r="O33" s="206">
        <v>4624</v>
      </c>
      <c r="P33" s="203"/>
      <c r="Q33" s="205"/>
      <c r="R33" s="291">
        <v>40</v>
      </c>
      <c r="S33" s="206">
        <f t="shared" ref="S33:S47" si="6">(O33-N33)*R33</f>
        <v>1560</v>
      </c>
      <c r="T33" s="286"/>
      <c r="U33" s="286"/>
      <c r="V33" s="286"/>
      <c r="W33" s="286"/>
      <c r="X33" s="286"/>
      <c r="Y33" s="286"/>
      <c r="Z33" s="286"/>
      <c r="AA33" s="286"/>
      <c r="AB33" s="286"/>
      <c r="AC33" s="286"/>
      <c r="AD33" s="286"/>
    </row>
    <row r="34" spans="1:30">
      <c r="A34" s="289" t="s">
        <v>651</v>
      </c>
      <c r="B34" s="206">
        <f t="shared" si="0"/>
        <v>2011.6</v>
      </c>
      <c r="C34" s="206"/>
      <c r="D34" s="206">
        <f t="shared" si="1"/>
        <v>131.6</v>
      </c>
      <c r="E34" s="206">
        <f t="shared" si="2"/>
        <v>75.2</v>
      </c>
      <c r="F34" s="206">
        <f t="shared" si="3"/>
        <v>56.4</v>
      </c>
      <c r="G34" s="206">
        <f t="shared" si="4"/>
        <v>1880</v>
      </c>
      <c r="H34" s="206">
        <f t="shared" si="5"/>
        <v>1206.9599999999998</v>
      </c>
      <c r="I34" s="290"/>
      <c r="J34" s="290"/>
      <c r="K34" s="290"/>
      <c r="L34" s="290"/>
      <c r="M34" s="290"/>
      <c r="N34" s="206">
        <v>4136</v>
      </c>
      <c r="O34" s="206">
        <v>4183</v>
      </c>
      <c r="P34" s="203"/>
      <c r="Q34" s="205"/>
      <c r="R34" s="291">
        <v>40</v>
      </c>
      <c r="S34" s="206">
        <f t="shared" si="6"/>
        <v>1880</v>
      </c>
      <c r="T34" s="286"/>
      <c r="U34" s="286"/>
      <c r="V34" s="286"/>
      <c r="W34" s="286"/>
      <c r="X34" s="286"/>
      <c r="Y34" s="286"/>
      <c r="Z34" s="286"/>
      <c r="AA34" s="286"/>
      <c r="AB34" s="286"/>
      <c r="AC34" s="286"/>
      <c r="AD34" s="286"/>
    </row>
    <row r="35" spans="1:30">
      <c r="A35" s="289" t="s">
        <v>652</v>
      </c>
      <c r="B35" s="206">
        <f t="shared" si="0"/>
        <v>2354</v>
      </c>
      <c r="C35" s="206"/>
      <c r="D35" s="206">
        <f t="shared" si="1"/>
        <v>154</v>
      </c>
      <c r="E35" s="206">
        <f t="shared" si="2"/>
        <v>88</v>
      </c>
      <c r="F35" s="206">
        <f t="shared" si="3"/>
        <v>66</v>
      </c>
      <c r="G35" s="206">
        <f t="shared" si="4"/>
        <v>2200</v>
      </c>
      <c r="H35" s="206">
        <f t="shared" si="5"/>
        <v>1412.3999999999999</v>
      </c>
      <c r="I35" s="290"/>
      <c r="J35" s="290"/>
      <c r="K35" s="290"/>
      <c r="L35" s="290"/>
      <c r="M35" s="290"/>
      <c r="N35" s="206">
        <v>4585</v>
      </c>
      <c r="O35" s="206">
        <v>4640</v>
      </c>
      <c r="P35" s="203"/>
      <c r="Q35" s="205"/>
      <c r="R35" s="291">
        <v>40</v>
      </c>
      <c r="S35" s="206">
        <f t="shared" si="6"/>
        <v>2200</v>
      </c>
      <c r="T35" s="286"/>
      <c r="U35" s="286"/>
      <c r="V35" s="286"/>
      <c r="W35" s="286"/>
      <c r="X35" s="286"/>
      <c r="Y35" s="286"/>
      <c r="Z35" s="286"/>
      <c r="AA35" s="286"/>
      <c r="AB35" s="286"/>
      <c r="AC35" s="286"/>
      <c r="AD35" s="286"/>
    </row>
    <row r="36" spans="1:30">
      <c r="A36" s="289" t="s">
        <v>653</v>
      </c>
      <c r="B36" s="206">
        <f t="shared" si="0"/>
        <v>13952.8</v>
      </c>
      <c r="C36" s="206"/>
      <c r="D36" s="206">
        <f t="shared" si="1"/>
        <v>912.8</v>
      </c>
      <c r="E36" s="206">
        <f t="shared" si="2"/>
        <v>521.6</v>
      </c>
      <c r="F36" s="206">
        <f t="shared" si="3"/>
        <v>391.2</v>
      </c>
      <c r="G36" s="206">
        <f t="shared" si="4"/>
        <v>13040</v>
      </c>
      <c r="H36" s="206">
        <f t="shared" si="5"/>
        <v>8371.6799999999985</v>
      </c>
      <c r="I36" s="290"/>
      <c r="J36" s="290"/>
      <c r="K36" s="290"/>
      <c r="L36" s="290"/>
      <c r="M36" s="290"/>
      <c r="N36" s="206">
        <v>14923</v>
      </c>
      <c r="O36" s="206">
        <v>15249</v>
      </c>
      <c r="P36" s="203"/>
      <c r="Q36" s="205"/>
      <c r="R36" s="291">
        <v>40</v>
      </c>
      <c r="S36" s="206">
        <f t="shared" si="6"/>
        <v>13040</v>
      </c>
      <c r="T36" s="286"/>
      <c r="U36" s="286"/>
      <c r="V36" s="286"/>
      <c r="W36" s="286"/>
      <c r="X36" s="286"/>
      <c r="Y36" s="286"/>
      <c r="Z36" s="286"/>
      <c r="AA36" s="286"/>
      <c r="AB36" s="286"/>
      <c r="AC36" s="286"/>
      <c r="AD36" s="286"/>
    </row>
    <row r="37" spans="1:30">
      <c r="A37" s="289" t="s">
        <v>654</v>
      </c>
      <c r="B37" s="206">
        <f t="shared" si="0"/>
        <v>1412.4</v>
      </c>
      <c r="C37" s="206"/>
      <c r="D37" s="206">
        <f t="shared" si="1"/>
        <v>92.4</v>
      </c>
      <c r="E37" s="206">
        <f t="shared" si="2"/>
        <v>52.800000000000004</v>
      </c>
      <c r="F37" s="206">
        <f t="shared" si="3"/>
        <v>39.6</v>
      </c>
      <c r="G37" s="206">
        <f t="shared" si="4"/>
        <v>1320</v>
      </c>
      <c r="H37" s="206">
        <f t="shared" si="5"/>
        <v>847.44</v>
      </c>
      <c r="I37" s="290"/>
      <c r="J37" s="290"/>
      <c r="K37" s="290"/>
      <c r="L37" s="290"/>
      <c r="M37" s="290"/>
      <c r="N37" s="206">
        <v>6396</v>
      </c>
      <c r="O37" s="206">
        <v>6429</v>
      </c>
      <c r="P37" s="203"/>
      <c r="Q37" s="205"/>
      <c r="R37" s="291">
        <v>40</v>
      </c>
      <c r="S37" s="206">
        <f t="shared" si="6"/>
        <v>1320</v>
      </c>
      <c r="T37" s="286"/>
      <c r="U37" s="286"/>
      <c r="V37" s="286"/>
      <c r="W37" s="286"/>
      <c r="X37" s="286"/>
      <c r="Y37" s="286"/>
      <c r="Z37" s="286"/>
      <c r="AA37" s="286"/>
      <c r="AB37" s="286"/>
      <c r="AC37" s="286"/>
      <c r="AD37" s="286"/>
    </row>
    <row r="38" spans="1:30">
      <c r="A38" s="289" t="s">
        <v>764</v>
      </c>
      <c r="B38" s="206">
        <f t="shared" si="0"/>
        <v>353.1</v>
      </c>
      <c r="C38" s="206"/>
      <c r="D38" s="206">
        <f t="shared" si="1"/>
        <v>23.1</v>
      </c>
      <c r="E38" s="206">
        <f t="shared" si="2"/>
        <v>13.200000000000001</v>
      </c>
      <c r="F38" s="206">
        <f t="shared" si="3"/>
        <v>9.9</v>
      </c>
      <c r="G38" s="206">
        <f t="shared" si="4"/>
        <v>330</v>
      </c>
      <c r="H38" s="206">
        <f t="shared" si="5"/>
        <v>211.86</v>
      </c>
      <c r="I38" s="290"/>
      <c r="J38" s="290"/>
      <c r="K38" s="290"/>
      <c r="L38" s="290"/>
      <c r="M38" s="290"/>
      <c r="N38" s="206">
        <v>681</v>
      </c>
      <c r="O38" s="206">
        <v>692</v>
      </c>
      <c r="P38" s="203"/>
      <c r="Q38" s="205"/>
      <c r="R38" s="291">
        <v>30</v>
      </c>
      <c r="S38" s="206">
        <f t="shared" si="6"/>
        <v>330</v>
      </c>
      <c r="T38" s="286"/>
      <c r="U38" s="286"/>
      <c r="V38" s="286"/>
      <c r="W38" s="286"/>
      <c r="X38" s="286"/>
      <c r="Y38" s="286"/>
      <c r="Z38" s="286"/>
      <c r="AA38" s="286"/>
      <c r="AB38" s="286"/>
      <c r="AC38" s="286"/>
      <c r="AD38" s="286"/>
    </row>
    <row r="39" spans="1:30">
      <c r="A39" s="289" t="s">
        <v>655</v>
      </c>
      <c r="B39" s="206">
        <f t="shared" si="0"/>
        <v>1669.2</v>
      </c>
      <c r="C39" s="206"/>
      <c r="D39" s="206">
        <f t="shared" si="1"/>
        <v>109.19999999999999</v>
      </c>
      <c r="E39" s="206">
        <f t="shared" si="2"/>
        <v>62.4</v>
      </c>
      <c r="F39" s="206">
        <f t="shared" si="3"/>
        <v>46.8</v>
      </c>
      <c r="G39" s="206">
        <f t="shared" si="4"/>
        <v>1560</v>
      </c>
      <c r="H39" s="206">
        <f t="shared" si="5"/>
        <v>1001.52</v>
      </c>
      <c r="I39" s="290"/>
      <c r="J39" s="290"/>
      <c r="K39" s="290"/>
      <c r="L39" s="290"/>
      <c r="M39" s="290"/>
      <c r="N39" s="206">
        <v>4064</v>
      </c>
      <c r="O39" s="206">
        <v>4103</v>
      </c>
      <c r="P39" s="203"/>
      <c r="Q39" s="205"/>
      <c r="R39" s="291">
        <v>40</v>
      </c>
      <c r="S39" s="206">
        <f t="shared" si="6"/>
        <v>1560</v>
      </c>
      <c r="T39" s="286"/>
      <c r="U39" s="286"/>
      <c r="V39" s="286"/>
      <c r="W39" s="286"/>
      <c r="X39" s="286"/>
      <c r="Y39" s="286"/>
      <c r="Z39" s="286"/>
      <c r="AA39" s="286"/>
      <c r="AB39" s="286"/>
      <c r="AC39" s="286"/>
      <c r="AD39" s="286"/>
    </row>
    <row r="40" spans="1:30">
      <c r="A40" s="289" t="s">
        <v>765</v>
      </c>
      <c r="B40" s="206">
        <f t="shared" si="0"/>
        <v>2568</v>
      </c>
      <c r="C40" s="206"/>
      <c r="D40" s="206">
        <f t="shared" si="1"/>
        <v>168</v>
      </c>
      <c r="E40" s="206">
        <f t="shared" si="2"/>
        <v>96</v>
      </c>
      <c r="F40" s="206">
        <f t="shared" si="3"/>
        <v>72</v>
      </c>
      <c r="G40" s="206">
        <f t="shared" si="4"/>
        <v>2400</v>
      </c>
      <c r="H40" s="206">
        <f t="shared" si="5"/>
        <v>1540.8</v>
      </c>
      <c r="I40" s="290"/>
      <c r="J40" s="290"/>
      <c r="K40" s="290"/>
      <c r="L40" s="290"/>
      <c r="M40" s="290"/>
      <c r="N40" s="206">
        <v>4886</v>
      </c>
      <c r="O40" s="206">
        <v>4946</v>
      </c>
      <c r="P40" s="203"/>
      <c r="Q40" s="205"/>
      <c r="R40" s="291">
        <v>40</v>
      </c>
      <c r="S40" s="206">
        <f t="shared" si="6"/>
        <v>2400</v>
      </c>
      <c r="T40" s="286"/>
      <c r="U40" s="286"/>
      <c r="V40" s="286"/>
      <c r="W40" s="286"/>
      <c r="X40" s="286"/>
      <c r="Y40" s="286"/>
      <c r="Z40" s="286"/>
      <c r="AA40" s="286"/>
      <c r="AB40" s="286"/>
      <c r="AC40" s="286"/>
      <c r="AD40" s="286"/>
    </row>
    <row r="41" spans="1:30">
      <c r="A41" s="289" t="s">
        <v>656</v>
      </c>
      <c r="B41" s="206">
        <f t="shared" si="0"/>
        <v>2867.6</v>
      </c>
      <c r="C41" s="206"/>
      <c r="D41" s="206">
        <f t="shared" si="1"/>
        <v>187.6</v>
      </c>
      <c r="E41" s="206">
        <f t="shared" si="2"/>
        <v>107.2</v>
      </c>
      <c r="F41" s="206">
        <f t="shared" si="3"/>
        <v>80.399999999999991</v>
      </c>
      <c r="G41" s="206">
        <f t="shared" si="4"/>
        <v>2680</v>
      </c>
      <c r="H41" s="206">
        <f t="shared" si="5"/>
        <v>1720.56</v>
      </c>
      <c r="I41" s="290"/>
      <c r="J41" s="290"/>
      <c r="K41" s="290"/>
      <c r="L41" s="290"/>
      <c r="M41" s="290"/>
      <c r="N41" s="206">
        <v>8468</v>
      </c>
      <c r="O41" s="206">
        <v>8535</v>
      </c>
      <c r="P41" s="203"/>
      <c r="Q41" s="205"/>
      <c r="R41" s="291">
        <v>40</v>
      </c>
      <c r="S41" s="206">
        <f t="shared" si="6"/>
        <v>2680</v>
      </c>
      <c r="T41" s="286"/>
      <c r="U41" s="286"/>
      <c r="V41" s="286"/>
      <c r="W41" s="286"/>
      <c r="X41" s="286"/>
      <c r="Y41" s="286"/>
      <c r="Z41" s="286"/>
      <c r="AA41" s="286"/>
      <c r="AB41" s="286"/>
      <c r="AC41" s="286"/>
      <c r="AD41" s="286"/>
    </row>
    <row r="42" spans="1:30">
      <c r="A42" s="289" t="s">
        <v>657</v>
      </c>
      <c r="B42" s="206">
        <f t="shared" si="0"/>
        <v>1155.5999999999999</v>
      </c>
      <c r="C42" s="206"/>
      <c r="D42" s="206">
        <f t="shared" si="1"/>
        <v>75.599999999999994</v>
      </c>
      <c r="E42" s="206">
        <f t="shared" si="2"/>
        <v>43.2</v>
      </c>
      <c r="F42" s="206">
        <f t="shared" si="3"/>
        <v>32.4</v>
      </c>
      <c r="G42" s="206">
        <f t="shared" si="4"/>
        <v>1080</v>
      </c>
      <c r="H42" s="206">
        <f t="shared" si="5"/>
        <v>693.3599999999999</v>
      </c>
      <c r="I42" s="290"/>
      <c r="J42" s="290"/>
      <c r="K42" s="290"/>
      <c r="L42" s="290"/>
      <c r="M42" s="290"/>
      <c r="N42" s="206">
        <v>1937</v>
      </c>
      <c r="O42" s="206">
        <v>1964</v>
      </c>
      <c r="P42" s="203"/>
      <c r="Q42" s="205"/>
      <c r="R42" s="291">
        <v>40</v>
      </c>
      <c r="S42" s="206">
        <f t="shared" si="6"/>
        <v>1080</v>
      </c>
      <c r="T42" s="286"/>
      <c r="U42" s="286"/>
      <c r="V42" s="286"/>
      <c r="W42" s="286"/>
      <c r="X42" s="286"/>
      <c r="Y42" s="286"/>
      <c r="Z42" s="286"/>
      <c r="AA42" s="286"/>
      <c r="AB42" s="286"/>
      <c r="AC42" s="286"/>
      <c r="AD42" s="286"/>
    </row>
    <row r="43" spans="1:30">
      <c r="A43" s="289" t="s">
        <v>658</v>
      </c>
      <c r="B43" s="206">
        <f t="shared" si="0"/>
        <v>984.4</v>
      </c>
      <c r="C43" s="206"/>
      <c r="D43" s="206">
        <f t="shared" si="1"/>
        <v>64.400000000000006</v>
      </c>
      <c r="E43" s="206">
        <f t="shared" si="2"/>
        <v>36.800000000000004</v>
      </c>
      <c r="F43" s="206">
        <f t="shared" si="3"/>
        <v>27.599999999999998</v>
      </c>
      <c r="G43" s="206">
        <f t="shared" si="4"/>
        <v>920</v>
      </c>
      <c r="H43" s="206">
        <f t="shared" si="5"/>
        <v>590.64</v>
      </c>
      <c r="I43" s="290"/>
      <c r="J43" s="290"/>
      <c r="K43" s="290"/>
      <c r="L43" s="290"/>
      <c r="M43" s="290"/>
      <c r="N43" s="206">
        <v>1448</v>
      </c>
      <c r="O43" s="206">
        <v>1471</v>
      </c>
      <c r="P43" s="203"/>
      <c r="Q43" s="205"/>
      <c r="R43" s="291">
        <v>40</v>
      </c>
      <c r="S43" s="206">
        <f t="shared" si="6"/>
        <v>920</v>
      </c>
      <c r="T43" s="286"/>
      <c r="U43" s="286"/>
      <c r="V43" s="286"/>
      <c r="W43" s="286"/>
      <c r="X43" s="286"/>
      <c r="Y43" s="286"/>
      <c r="Z43" s="286"/>
      <c r="AA43" s="286"/>
      <c r="AB43" s="286"/>
      <c r="AC43" s="286"/>
      <c r="AD43" s="286"/>
    </row>
    <row r="44" spans="1:30" ht="27" customHeight="1">
      <c r="A44" s="292" t="s">
        <v>659</v>
      </c>
      <c r="B44" s="293">
        <f>G44+D44</f>
        <v>7190.4</v>
      </c>
      <c r="C44" s="293"/>
      <c r="D44" s="293">
        <f>E44+F44</f>
        <v>470.4</v>
      </c>
      <c r="E44" s="293">
        <f>0.04*G44</f>
        <v>268.8</v>
      </c>
      <c r="F44" s="293">
        <f>0.03*G44</f>
        <v>201.6</v>
      </c>
      <c r="G44" s="293">
        <f>S44</f>
        <v>6720</v>
      </c>
      <c r="H44" s="293">
        <f>0.6*B44</f>
        <v>4314.24</v>
      </c>
      <c r="I44" s="294"/>
      <c r="J44" s="294"/>
      <c r="K44" s="294"/>
      <c r="L44" s="294"/>
      <c r="M44" s="294"/>
      <c r="N44" s="293">
        <v>27678</v>
      </c>
      <c r="O44" s="293">
        <v>27846</v>
      </c>
      <c r="P44" s="295"/>
      <c r="Q44" s="296"/>
      <c r="R44" s="297">
        <v>40</v>
      </c>
      <c r="S44" s="293">
        <f>(O44-N44)*R44</f>
        <v>6720</v>
      </c>
      <c r="T44" s="286"/>
      <c r="U44" s="286"/>
      <c r="V44" s="286"/>
      <c r="W44" s="286"/>
      <c r="X44" s="286"/>
      <c r="Y44" s="286"/>
      <c r="Z44" s="286"/>
      <c r="AA44" s="286"/>
      <c r="AB44" s="286"/>
      <c r="AC44" s="286"/>
      <c r="AD44" s="286"/>
    </row>
    <row r="45" spans="1:30">
      <c r="A45" s="289" t="s">
        <v>660</v>
      </c>
      <c r="B45" s="206">
        <f t="shared" si="0"/>
        <v>11941.2</v>
      </c>
      <c r="C45" s="206"/>
      <c r="D45" s="206">
        <f t="shared" si="1"/>
        <v>781.2</v>
      </c>
      <c r="E45" s="206">
        <f t="shared" si="2"/>
        <v>446.40000000000003</v>
      </c>
      <c r="F45" s="206">
        <f t="shared" si="3"/>
        <v>334.8</v>
      </c>
      <c r="G45" s="206">
        <f t="shared" si="4"/>
        <v>11160</v>
      </c>
      <c r="H45" s="206">
        <f t="shared" si="5"/>
        <v>7164.72</v>
      </c>
      <c r="I45" s="290"/>
      <c r="J45" s="290"/>
      <c r="K45" s="290"/>
      <c r="L45" s="290"/>
      <c r="M45" s="290"/>
      <c r="N45" s="206">
        <v>22856</v>
      </c>
      <c r="O45" s="206">
        <v>23135</v>
      </c>
      <c r="P45" s="203"/>
      <c r="Q45" s="205"/>
      <c r="R45" s="291">
        <v>40</v>
      </c>
      <c r="S45" s="206">
        <f t="shared" si="6"/>
        <v>11160</v>
      </c>
      <c r="T45" s="286"/>
      <c r="U45" s="286"/>
      <c r="V45" s="286"/>
      <c r="W45" s="286"/>
      <c r="X45" s="286"/>
      <c r="Y45" s="286"/>
      <c r="Z45" s="286"/>
      <c r="AA45" s="286"/>
      <c r="AB45" s="286"/>
      <c r="AC45" s="286"/>
      <c r="AD45" s="286"/>
    </row>
    <row r="46" spans="1:30">
      <c r="A46" s="289" t="s">
        <v>661</v>
      </c>
      <c r="B46" s="206">
        <f t="shared" si="0"/>
        <v>8474.4</v>
      </c>
      <c r="C46" s="206"/>
      <c r="D46" s="206">
        <f t="shared" si="1"/>
        <v>554.4</v>
      </c>
      <c r="E46" s="206">
        <f t="shared" si="2"/>
        <v>316.8</v>
      </c>
      <c r="F46" s="206">
        <f t="shared" si="3"/>
        <v>237.6</v>
      </c>
      <c r="G46" s="206">
        <f t="shared" si="4"/>
        <v>7920</v>
      </c>
      <c r="H46" s="206">
        <f t="shared" si="5"/>
        <v>5084.6399999999994</v>
      </c>
      <c r="I46" s="290"/>
      <c r="J46" s="290"/>
      <c r="K46" s="290"/>
      <c r="L46" s="290"/>
      <c r="M46" s="290"/>
      <c r="N46" s="206">
        <v>17340</v>
      </c>
      <c r="O46" s="206">
        <v>17538</v>
      </c>
      <c r="P46" s="203"/>
      <c r="Q46" s="205"/>
      <c r="R46" s="291">
        <v>40</v>
      </c>
      <c r="S46" s="206">
        <f t="shared" si="6"/>
        <v>7920</v>
      </c>
      <c r="T46" s="286"/>
      <c r="U46" s="286"/>
      <c r="V46" s="286"/>
      <c r="W46" s="286"/>
      <c r="X46" s="286"/>
      <c r="Y46" s="286"/>
      <c r="Z46" s="286"/>
      <c r="AA46" s="286"/>
      <c r="AB46" s="286"/>
      <c r="AC46" s="286"/>
      <c r="AD46" s="286"/>
    </row>
    <row r="47" spans="1:30">
      <c r="A47" s="289" t="s">
        <v>662</v>
      </c>
      <c r="B47" s="206">
        <f t="shared" si="0"/>
        <v>984.4</v>
      </c>
      <c r="C47" s="206"/>
      <c r="D47" s="206">
        <f t="shared" si="1"/>
        <v>64.400000000000006</v>
      </c>
      <c r="E47" s="206">
        <f t="shared" si="2"/>
        <v>36.800000000000004</v>
      </c>
      <c r="F47" s="206">
        <f t="shared" si="3"/>
        <v>27.599999999999998</v>
      </c>
      <c r="G47" s="206">
        <f t="shared" si="4"/>
        <v>920</v>
      </c>
      <c r="H47" s="206">
        <f t="shared" si="5"/>
        <v>590.64</v>
      </c>
      <c r="I47" s="290"/>
      <c r="J47" s="290"/>
      <c r="K47" s="290"/>
      <c r="L47" s="290"/>
      <c r="M47" s="290"/>
      <c r="N47" s="206">
        <v>2606</v>
      </c>
      <c r="O47" s="206">
        <v>2629</v>
      </c>
      <c r="P47" s="203"/>
      <c r="Q47" s="205"/>
      <c r="R47" s="291">
        <v>40</v>
      </c>
      <c r="S47" s="206">
        <f t="shared" si="6"/>
        <v>920</v>
      </c>
      <c r="T47" s="286"/>
      <c r="U47" s="286"/>
      <c r="V47" s="286"/>
      <c r="W47" s="286"/>
      <c r="X47" s="286"/>
      <c r="Y47" s="286"/>
      <c r="Z47" s="286"/>
      <c r="AA47" s="286"/>
      <c r="AB47" s="286"/>
      <c r="AC47" s="286"/>
      <c r="AD47" s="286"/>
    </row>
    <row r="48" spans="1:30">
      <c r="A48" s="289"/>
      <c r="B48" s="206"/>
      <c r="C48" s="206"/>
      <c r="D48" s="206"/>
      <c r="E48" s="206"/>
      <c r="F48" s="206"/>
      <c r="G48" s="206"/>
      <c r="H48" s="206"/>
      <c r="I48" s="290"/>
      <c r="J48" s="290"/>
      <c r="K48" s="290"/>
      <c r="L48" s="290"/>
      <c r="M48" s="290"/>
      <c r="N48" s="206"/>
      <c r="O48" s="206"/>
      <c r="P48" s="203"/>
      <c r="Q48" s="205"/>
      <c r="R48" s="291"/>
      <c r="S48" s="206"/>
      <c r="T48" s="286"/>
      <c r="U48" s="286"/>
      <c r="V48" s="286"/>
      <c r="W48" s="286"/>
      <c r="X48" s="286"/>
      <c r="Y48" s="286"/>
      <c r="Z48" s="286"/>
      <c r="AA48" s="286"/>
      <c r="AB48" s="286"/>
      <c r="AC48" s="286"/>
      <c r="AD48" s="286"/>
    </row>
    <row r="49" spans="1:30">
      <c r="A49" s="289" t="s">
        <v>663</v>
      </c>
      <c r="B49" s="206">
        <f t="shared" si="0"/>
        <v>18361.2</v>
      </c>
      <c r="C49" s="206"/>
      <c r="D49" s="206">
        <f t="shared" si="1"/>
        <v>1201.1999999999998</v>
      </c>
      <c r="E49" s="206">
        <f t="shared" si="2"/>
        <v>686.4</v>
      </c>
      <c r="F49" s="206">
        <f t="shared" si="3"/>
        <v>514.79999999999995</v>
      </c>
      <c r="G49" s="206">
        <f t="shared" si="4"/>
        <v>17160</v>
      </c>
      <c r="H49" s="206">
        <f t="shared" si="5"/>
        <v>11016.72</v>
      </c>
      <c r="I49" s="290"/>
      <c r="J49" s="290"/>
      <c r="K49" s="290"/>
      <c r="L49" s="290"/>
      <c r="M49" s="290"/>
      <c r="N49" s="206">
        <v>24502</v>
      </c>
      <c r="O49" s="206">
        <v>24788</v>
      </c>
      <c r="P49" s="203"/>
      <c r="Q49" s="205"/>
      <c r="R49" s="291">
        <v>60</v>
      </c>
      <c r="S49" s="206">
        <f t="shared" ref="S49:S61" si="7">(O49-N49)*R49</f>
        <v>17160</v>
      </c>
      <c r="T49" s="286"/>
      <c r="U49" s="286"/>
      <c r="V49" s="286"/>
      <c r="W49" s="286"/>
      <c r="X49" s="286"/>
      <c r="Y49" s="286"/>
      <c r="Z49" s="286"/>
      <c r="AA49" s="286"/>
      <c r="AB49" s="286"/>
      <c r="AC49" s="286"/>
      <c r="AD49" s="286"/>
    </row>
    <row r="50" spans="1:30">
      <c r="A50" s="289" t="s">
        <v>664</v>
      </c>
      <c r="B50" s="206">
        <f t="shared" si="0"/>
        <v>2568</v>
      </c>
      <c r="C50" s="206"/>
      <c r="D50" s="206">
        <f t="shared" si="1"/>
        <v>168</v>
      </c>
      <c r="E50" s="206">
        <f t="shared" si="2"/>
        <v>96</v>
      </c>
      <c r="F50" s="206">
        <f t="shared" si="3"/>
        <v>72</v>
      </c>
      <c r="G50" s="206">
        <f t="shared" si="4"/>
        <v>2400</v>
      </c>
      <c r="H50" s="206">
        <f t="shared" si="5"/>
        <v>1540.8</v>
      </c>
      <c r="I50" s="290"/>
      <c r="J50" s="290"/>
      <c r="K50" s="290"/>
      <c r="L50" s="290"/>
      <c r="M50" s="290"/>
      <c r="N50" s="206">
        <v>3094</v>
      </c>
      <c r="O50" s="206">
        <v>3154</v>
      </c>
      <c r="P50" s="203"/>
      <c r="Q50" s="205"/>
      <c r="R50" s="291">
        <v>40</v>
      </c>
      <c r="S50" s="206">
        <f t="shared" si="7"/>
        <v>2400</v>
      </c>
      <c r="T50" s="286"/>
      <c r="U50" s="286"/>
      <c r="V50" s="286"/>
      <c r="W50" s="286"/>
      <c r="X50" s="286"/>
      <c r="Y50" s="286"/>
      <c r="Z50" s="286"/>
      <c r="AA50" s="286"/>
      <c r="AB50" s="286"/>
      <c r="AC50" s="286"/>
      <c r="AD50" s="286"/>
    </row>
    <row r="51" spans="1:30">
      <c r="A51" s="289" t="s">
        <v>665</v>
      </c>
      <c r="B51" s="206">
        <f t="shared" si="0"/>
        <v>1369.6</v>
      </c>
      <c r="C51" s="206"/>
      <c r="D51" s="206">
        <f t="shared" si="1"/>
        <v>89.6</v>
      </c>
      <c r="E51" s="206">
        <f t="shared" si="2"/>
        <v>51.2</v>
      </c>
      <c r="F51" s="206">
        <f t="shared" si="3"/>
        <v>38.4</v>
      </c>
      <c r="G51" s="206">
        <f t="shared" si="4"/>
        <v>1280</v>
      </c>
      <c r="H51" s="206">
        <f t="shared" si="5"/>
        <v>821.75999999999988</v>
      </c>
      <c r="I51" s="290"/>
      <c r="J51" s="290"/>
      <c r="K51" s="290"/>
      <c r="L51" s="290"/>
      <c r="M51" s="290"/>
      <c r="N51" s="206">
        <v>2483</v>
      </c>
      <c r="O51" s="206">
        <v>2515</v>
      </c>
      <c r="P51" s="203"/>
      <c r="Q51" s="205"/>
      <c r="R51" s="291">
        <v>40</v>
      </c>
      <c r="S51" s="206">
        <f t="shared" si="7"/>
        <v>1280</v>
      </c>
      <c r="T51" s="286"/>
      <c r="U51" s="286"/>
      <c r="V51" s="286"/>
      <c r="W51" s="286"/>
      <c r="X51" s="286"/>
      <c r="Y51" s="286"/>
      <c r="Z51" s="286"/>
      <c r="AA51" s="286"/>
      <c r="AB51" s="286"/>
      <c r="AC51" s="286"/>
      <c r="AD51" s="286"/>
    </row>
    <row r="52" spans="1:30">
      <c r="A52" s="289" t="s">
        <v>666</v>
      </c>
      <c r="B52" s="206">
        <f t="shared" si="0"/>
        <v>1840.4</v>
      </c>
      <c r="C52" s="206"/>
      <c r="D52" s="206">
        <f t="shared" si="1"/>
        <v>120.4</v>
      </c>
      <c r="E52" s="206">
        <f t="shared" si="2"/>
        <v>68.8</v>
      </c>
      <c r="F52" s="206">
        <f t="shared" si="3"/>
        <v>51.6</v>
      </c>
      <c r="G52" s="206">
        <f t="shared" si="4"/>
        <v>1720</v>
      </c>
      <c r="H52" s="206">
        <f t="shared" si="5"/>
        <v>1104.24</v>
      </c>
      <c r="I52" s="290"/>
      <c r="J52" s="290"/>
      <c r="K52" s="290"/>
      <c r="L52" s="290"/>
      <c r="M52" s="290"/>
      <c r="N52" s="206">
        <v>5157</v>
      </c>
      <c r="O52" s="206">
        <v>5200</v>
      </c>
      <c r="P52" s="203"/>
      <c r="Q52" s="205"/>
      <c r="R52" s="291">
        <v>40</v>
      </c>
      <c r="S52" s="206">
        <f t="shared" si="7"/>
        <v>1720</v>
      </c>
      <c r="T52" s="286"/>
      <c r="U52" s="286"/>
      <c r="V52" s="286"/>
      <c r="W52" s="286"/>
      <c r="X52" s="286"/>
      <c r="Y52" s="286"/>
      <c r="Z52" s="286"/>
      <c r="AA52" s="286"/>
      <c r="AB52" s="286"/>
      <c r="AC52" s="286"/>
      <c r="AD52" s="286"/>
    </row>
    <row r="53" spans="1:30">
      <c r="A53" s="289" t="s">
        <v>667</v>
      </c>
      <c r="B53" s="206">
        <f t="shared" si="0"/>
        <v>7875.2</v>
      </c>
      <c r="C53" s="206"/>
      <c r="D53" s="206">
        <f t="shared" si="1"/>
        <v>515.20000000000005</v>
      </c>
      <c r="E53" s="206">
        <f t="shared" si="2"/>
        <v>294.40000000000003</v>
      </c>
      <c r="F53" s="206">
        <f t="shared" si="3"/>
        <v>220.79999999999998</v>
      </c>
      <c r="G53" s="206">
        <f t="shared" si="4"/>
        <v>7360</v>
      </c>
      <c r="H53" s="206">
        <f t="shared" si="5"/>
        <v>4725.12</v>
      </c>
      <c r="I53" s="290"/>
      <c r="J53" s="290"/>
      <c r="K53" s="290"/>
      <c r="L53" s="290"/>
      <c r="M53" s="290"/>
      <c r="N53" s="206">
        <v>29572</v>
      </c>
      <c r="O53" s="206">
        <v>29756</v>
      </c>
      <c r="P53" s="203"/>
      <c r="Q53" s="205"/>
      <c r="R53" s="291">
        <v>40</v>
      </c>
      <c r="S53" s="206">
        <f t="shared" si="7"/>
        <v>7360</v>
      </c>
      <c r="T53" s="286"/>
      <c r="U53" s="286"/>
      <c r="V53" s="286"/>
      <c r="W53" s="286"/>
      <c r="X53" s="286"/>
      <c r="Y53" s="286"/>
      <c r="Z53" s="286"/>
      <c r="AA53" s="286"/>
      <c r="AB53" s="286"/>
      <c r="AC53" s="286"/>
      <c r="AD53" s="286"/>
    </row>
    <row r="54" spans="1:30">
      <c r="A54" s="289" t="s">
        <v>668</v>
      </c>
      <c r="B54" s="206">
        <f t="shared" si="0"/>
        <v>4494</v>
      </c>
      <c r="C54" s="206"/>
      <c r="D54" s="206">
        <f t="shared" si="1"/>
        <v>294</v>
      </c>
      <c r="E54" s="206">
        <f t="shared" si="2"/>
        <v>168</v>
      </c>
      <c r="F54" s="206">
        <f t="shared" si="3"/>
        <v>126</v>
      </c>
      <c r="G54" s="206">
        <f t="shared" si="4"/>
        <v>4200</v>
      </c>
      <c r="H54" s="206">
        <f t="shared" si="5"/>
        <v>2696.4</v>
      </c>
      <c r="I54" s="290"/>
      <c r="J54" s="290"/>
      <c r="K54" s="290"/>
      <c r="L54" s="290"/>
      <c r="M54" s="290"/>
      <c r="N54" s="206">
        <v>9159</v>
      </c>
      <c r="O54" s="206">
        <v>9264</v>
      </c>
      <c r="P54" s="203"/>
      <c r="Q54" s="205"/>
      <c r="R54" s="291">
        <v>40</v>
      </c>
      <c r="S54" s="206">
        <f t="shared" si="7"/>
        <v>4200</v>
      </c>
      <c r="T54" s="286"/>
      <c r="U54" s="286"/>
      <c r="V54" s="286"/>
      <c r="W54" s="286"/>
      <c r="X54" s="286"/>
      <c r="Y54" s="286"/>
      <c r="Z54" s="286"/>
      <c r="AA54" s="286"/>
      <c r="AB54" s="286"/>
      <c r="AC54" s="286"/>
      <c r="AD54" s="286"/>
    </row>
    <row r="55" spans="1:30">
      <c r="A55" s="289" t="s">
        <v>669</v>
      </c>
      <c r="B55" s="206">
        <f t="shared" si="0"/>
        <v>1112.8</v>
      </c>
      <c r="C55" s="206"/>
      <c r="D55" s="206">
        <f t="shared" si="1"/>
        <v>72.8</v>
      </c>
      <c r="E55" s="206">
        <f t="shared" si="2"/>
        <v>41.6</v>
      </c>
      <c r="F55" s="206">
        <f t="shared" si="3"/>
        <v>31.2</v>
      </c>
      <c r="G55" s="206">
        <f t="shared" si="4"/>
        <v>1040</v>
      </c>
      <c r="H55" s="206">
        <f t="shared" si="5"/>
        <v>667.68</v>
      </c>
      <c r="I55" s="290"/>
      <c r="J55" s="290"/>
      <c r="K55" s="290"/>
      <c r="L55" s="290"/>
      <c r="M55" s="290"/>
      <c r="N55" s="206">
        <v>2019</v>
      </c>
      <c r="O55" s="206">
        <v>2045</v>
      </c>
      <c r="P55" s="203"/>
      <c r="Q55" s="205"/>
      <c r="R55" s="291">
        <v>40</v>
      </c>
      <c r="S55" s="206">
        <f t="shared" si="7"/>
        <v>1040</v>
      </c>
      <c r="T55" s="286"/>
      <c r="U55" s="286"/>
      <c r="V55" s="286"/>
      <c r="W55" s="286"/>
      <c r="X55" s="286"/>
      <c r="Y55" s="286"/>
      <c r="Z55" s="286"/>
      <c r="AA55" s="286"/>
      <c r="AB55" s="286"/>
      <c r="AC55" s="286"/>
      <c r="AD55" s="286"/>
    </row>
    <row r="56" spans="1:30">
      <c r="A56" s="289" t="s">
        <v>670</v>
      </c>
      <c r="B56" s="206">
        <f t="shared" si="0"/>
        <v>13867.2</v>
      </c>
      <c r="C56" s="206"/>
      <c r="D56" s="206">
        <f t="shared" si="1"/>
        <v>907.2</v>
      </c>
      <c r="E56" s="206">
        <f t="shared" si="2"/>
        <v>518.4</v>
      </c>
      <c r="F56" s="206">
        <f t="shared" si="3"/>
        <v>388.8</v>
      </c>
      <c r="G56" s="206">
        <f t="shared" si="4"/>
        <v>12960</v>
      </c>
      <c r="H56" s="206">
        <f t="shared" si="5"/>
        <v>8320.32</v>
      </c>
      <c r="I56" s="290"/>
      <c r="J56" s="290"/>
      <c r="K56" s="290"/>
      <c r="L56" s="290"/>
      <c r="M56" s="290"/>
      <c r="N56" s="206">
        <v>41743</v>
      </c>
      <c r="O56" s="206">
        <v>42067</v>
      </c>
      <c r="P56" s="203"/>
      <c r="Q56" s="205"/>
      <c r="R56" s="291">
        <v>40</v>
      </c>
      <c r="S56" s="206">
        <f t="shared" si="7"/>
        <v>12960</v>
      </c>
      <c r="T56" s="286"/>
      <c r="U56" s="286"/>
      <c r="V56" s="286"/>
      <c r="W56" s="286"/>
      <c r="X56" s="286"/>
      <c r="Y56" s="286"/>
      <c r="Z56" s="286"/>
      <c r="AA56" s="286"/>
      <c r="AB56" s="286"/>
      <c r="AC56" s="286"/>
      <c r="AD56" s="286"/>
    </row>
    <row r="57" spans="1:30">
      <c r="A57" s="289" t="s">
        <v>671</v>
      </c>
      <c r="B57" s="206">
        <f t="shared" si="0"/>
        <v>6676.8</v>
      </c>
      <c r="C57" s="206"/>
      <c r="D57" s="206">
        <f>E57+F57</f>
        <v>436.79999999999995</v>
      </c>
      <c r="E57" s="206">
        <f>0.04*G57</f>
        <v>249.6</v>
      </c>
      <c r="F57" s="206">
        <f>0.03*G57</f>
        <v>187.2</v>
      </c>
      <c r="G57" s="206">
        <f>S57</f>
        <v>6240</v>
      </c>
      <c r="H57" s="206">
        <f t="shared" si="5"/>
        <v>4006.08</v>
      </c>
      <c r="I57" s="290"/>
      <c r="J57" s="290"/>
      <c r="K57" s="290"/>
      <c r="L57" s="290"/>
      <c r="M57" s="290"/>
      <c r="N57" s="206">
        <v>11462</v>
      </c>
      <c r="O57" s="206">
        <v>11618</v>
      </c>
      <c r="P57" s="203"/>
      <c r="Q57" s="205"/>
      <c r="R57" s="291">
        <v>40</v>
      </c>
      <c r="S57" s="206">
        <f t="shared" si="7"/>
        <v>6240</v>
      </c>
      <c r="T57" s="286"/>
      <c r="U57" s="286"/>
      <c r="V57" s="286"/>
      <c r="W57" s="286"/>
      <c r="X57" s="286"/>
      <c r="Y57" s="286"/>
      <c r="Z57" s="286"/>
      <c r="AA57" s="286"/>
      <c r="AB57" s="286"/>
      <c r="AC57" s="286"/>
      <c r="AD57" s="286"/>
    </row>
    <row r="58" spans="1:30">
      <c r="A58" s="289" t="s">
        <v>672</v>
      </c>
      <c r="B58" s="206">
        <f t="shared" si="0"/>
        <v>0</v>
      </c>
      <c r="C58" s="206"/>
      <c r="D58" s="206">
        <f>E58+F58</f>
        <v>0</v>
      </c>
      <c r="E58" s="206">
        <f>0.04*G58</f>
        <v>0</v>
      </c>
      <c r="F58" s="206">
        <f>0.03*G58</f>
        <v>0</v>
      </c>
      <c r="G58" s="206">
        <f>S58</f>
        <v>0</v>
      </c>
      <c r="H58" s="206">
        <f t="shared" si="5"/>
        <v>0</v>
      </c>
      <c r="I58" s="290"/>
      <c r="J58" s="290"/>
      <c r="K58" s="290"/>
      <c r="L58" s="290"/>
      <c r="M58" s="290"/>
      <c r="N58" s="487">
        <v>7</v>
      </c>
      <c r="O58" s="487">
        <v>7</v>
      </c>
      <c r="P58" s="203"/>
      <c r="Q58" s="205"/>
      <c r="R58" s="291">
        <v>40</v>
      </c>
      <c r="S58" s="206">
        <f t="shared" si="7"/>
        <v>0</v>
      </c>
      <c r="T58" s="286"/>
      <c r="U58" s="286"/>
      <c r="V58" s="286"/>
      <c r="W58" s="286"/>
      <c r="X58" s="286"/>
      <c r="Y58" s="286"/>
      <c r="Z58" s="286"/>
      <c r="AA58" s="286"/>
      <c r="AB58" s="286"/>
      <c r="AC58" s="286"/>
      <c r="AD58" s="286"/>
    </row>
    <row r="59" spans="1:30">
      <c r="A59" s="289" t="s">
        <v>761</v>
      </c>
      <c r="B59" s="487">
        <f t="shared" si="0"/>
        <v>3509.6</v>
      </c>
      <c r="C59" s="487"/>
      <c r="D59" s="487">
        <f t="shared" ref="D59:D60" si="8">E59+F59</f>
        <v>229.59999999999997</v>
      </c>
      <c r="E59" s="487">
        <f t="shared" ref="E59:E60" si="9">0.04*G59</f>
        <v>131.19999999999999</v>
      </c>
      <c r="F59" s="487">
        <f t="shared" ref="F59:F60" si="10">0.03*G59</f>
        <v>98.399999999999991</v>
      </c>
      <c r="G59" s="487">
        <f t="shared" ref="G59:G61" si="11">S59</f>
        <v>3280</v>
      </c>
      <c r="H59" s="487">
        <f t="shared" si="5"/>
        <v>2105.7599999999998</v>
      </c>
      <c r="I59" s="290"/>
      <c r="J59" s="290"/>
      <c r="K59" s="290"/>
      <c r="L59" s="290"/>
      <c r="M59" s="290"/>
      <c r="N59" s="487">
        <v>1106</v>
      </c>
      <c r="O59" s="487">
        <v>1188</v>
      </c>
      <c r="P59" s="203"/>
      <c r="Q59" s="489"/>
      <c r="R59" s="490">
        <v>40</v>
      </c>
      <c r="S59" s="487">
        <f t="shared" si="7"/>
        <v>3280</v>
      </c>
      <c r="T59" s="286"/>
      <c r="U59" s="286"/>
      <c r="V59" s="286"/>
      <c r="W59" s="286"/>
      <c r="X59" s="286"/>
      <c r="Y59" s="286"/>
      <c r="Z59" s="286"/>
      <c r="AA59" s="286"/>
      <c r="AB59" s="286"/>
      <c r="AC59" s="286"/>
      <c r="AD59" s="286"/>
    </row>
    <row r="60" spans="1:30">
      <c r="A60" s="289" t="s">
        <v>762</v>
      </c>
      <c r="B60" s="206">
        <f t="shared" si="0"/>
        <v>3787.8</v>
      </c>
      <c r="C60" s="206"/>
      <c r="D60" s="206">
        <f t="shared" si="8"/>
        <v>247.8</v>
      </c>
      <c r="E60" s="206">
        <f t="shared" si="9"/>
        <v>141.6</v>
      </c>
      <c r="F60" s="206">
        <f t="shared" si="10"/>
        <v>106.2</v>
      </c>
      <c r="G60" s="206">
        <f t="shared" si="11"/>
        <v>3540</v>
      </c>
      <c r="H60" s="206">
        <f t="shared" si="5"/>
        <v>2272.6799999999998</v>
      </c>
      <c r="I60" s="491"/>
      <c r="J60" s="491"/>
      <c r="K60" s="491"/>
      <c r="L60" s="491"/>
      <c r="M60" s="491"/>
      <c r="N60" s="206">
        <v>1447</v>
      </c>
      <c r="O60" s="206">
        <v>1565</v>
      </c>
      <c r="P60" s="492"/>
      <c r="Q60" s="205"/>
      <c r="R60" s="291">
        <v>30</v>
      </c>
      <c r="S60" s="206">
        <f t="shared" si="7"/>
        <v>3540</v>
      </c>
      <c r="T60" s="286"/>
      <c r="U60" s="286"/>
      <c r="V60" s="286"/>
      <c r="W60" s="286"/>
      <c r="X60" s="286"/>
      <c r="Y60" s="286"/>
      <c r="Z60" s="286"/>
      <c r="AA60" s="286"/>
      <c r="AB60" s="286"/>
      <c r="AC60" s="286"/>
      <c r="AD60" s="286"/>
    </row>
    <row r="61" spans="1:30">
      <c r="A61" s="300" t="s">
        <v>801</v>
      </c>
      <c r="B61" s="124">
        <f>G61</f>
        <v>1387</v>
      </c>
      <c r="C61" s="125"/>
      <c r="D61" s="124">
        <f>E61+F61</f>
        <v>97.09</v>
      </c>
      <c r="E61" s="124">
        <f>0.04*G61</f>
        <v>55.480000000000004</v>
      </c>
      <c r="F61" s="124">
        <f>0.03*G61</f>
        <v>41.61</v>
      </c>
      <c r="G61" s="125">
        <f t="shared" si="11"/>
        <v>1387</v>
      </c>
      <c r="H61" s="345">
        <f>B61*0.4</f>
        <v>554.80000000000007</v>
      </c>
      <c r="I61" s="133"/>
      <c r="J61" s="133"/>
      <c r="K61" s="133"/>
      <c r="L61" s="133"/>
      <c r="M61" s="133"/>
      <c r="N61" s="125">
        <v>3751</v>
      </c>
      <c r="O61" s="125">
        <v>5138</v>
      </c>
      <c r="P61" s="546"/>
      <c r="Q61" s="547"/>
      <c r="R61" s="547">
        <v>1</v>
      </c>
      <c r="S61" s="125">
        <f t="shared" si="7"/>
        <v>1387</v>
      </c>
      <c r="T61" s="286"/>
      <c r="U61" s="286"/>
      <c r="V61" s="286"/>
      <c r="W61" s="286"/>
      <c r="X61" s="286"/>
      <c r="Y61" s="286"/>
      <c r="Z61" s="286"/>
      <c r="AA61" s="286"/>
      <c r="AB61" s="286"/>
      <c r="AC61" s="286"/>
      <c r="AD61" s="286"/>
    </row>
    <row r="62" spans="1:30">
      <c r="A62" s="548" t="s">
        <v>673</v>
      </c>
      <c r="B62" s="208">
        <f>SUM(B33:B61)-B44-12839</f>
        <v>106408.50000000001</v>
      </c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6"/>
      <c r="N62" s="488"/>
      <c r="O62" s="488"/>
      <c r="P62" s="286"/>
      <c r="Q62" s="286"/>
      <c r="R62" s="286"/>
      <c r="S62" s="286"/>
      <c r="T62" s="651" t="s">
        <v>883</v>
      </c>
      <c r="U62" s="286"/>
      <c r="V62" s="286"/>
      <c r="W62" s="286"/>
      <c r="X62" s="286"/>
      <c r="Y62" s="286"/>
      <c r="Z62" s="286"/>
      <c r="AA62" s="286"/>
      <c r="AB62" s="286"/>
      <c r="AC62" s="286"/>
      <c r="AD62" s="286"/>
    </row>
    <row r="63" spans="1:30">
      <c r="A63" s="286"/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6"/>
      <c r="P63" s="286"/>
      <c r="Q63" s="286"/>
      <c r="R63" s="286"/>
      <c r="S63" s="286"/>
      <c r="T63" s="286"/>
      <c r="U63" s="286"/>
      <c r="V63" s="286"/>
      <c r="W63" s="286"/>
      <c r="X63" s="286"/>
      <c r="Y63" s="286"/>
      <c r="Z63" s="286"/>
      <c r="AA63" s="286"/>
      <c r="AB63" s="286"/>
      <c r="AC63" s="286"/>
      <c r="AD63" s="286"/>
    </row>
    <row r="64" spans="1:30">
      <c r="A64" s="286"/>
      <c r="B64" s="124">
        <f>G64</f>
        <v>895</v>
      </c>
      <c r="C64" s="125"/>
      <c r="D64" s="124">
        <f>E64+F64</f>
        <v>62.650000000000006</v>
      </c>
      <c r="E64" s="124">
        <f>0.04*G64</f>
        <v>35.800000000000004</v>
      </c>
      <c r="F64" s="124">
        <f>0.03*G64</f>
        <v>26.849999999999998</v>
      </c>
      <c r="G64" s="125">
        <f t="shared" ref="G64" si="12">S64</f>
        <v>895</v>
      </c>
      <c r="H64" s="345">
        <f>B64*0.4</f>
        <v>358</v>
      </c>
      <c r="I64" s="133"/>
      <c r="J64" s="133"/>
      <c r="K64" s="133"/>
      <c r="L64" s="133"/>
      <c r="M64" s="133"/>
      <c r="N64" s="125">
        <v>19593</v>
      </c>
      <c r="O64" s="125">
        <v>20488</v>
      </c>
      <c r="P64" s="546"/>
      <c r="Q64" s="547"/>
      <c r="R64" s="547">
        <v>1</v>
      </c>
      <c r="S64" s="125">
        <f t="shared" ref="S64" si="13">(O64-N64)*R64</f>
        <v>895</v>
      </c>
      <c r="T64" s="286"/>
      <c r="U64" s="286"/>
      <c r="V64" s="286"/>
      <c r="W64" s="286"/>
      <c r="X64" s="286"/>
      <c r="Y64" s="286"/>
      <c r="Z64" s="286"/>
      <c r="AA64" s="286"/>
      <c r="AB64" s="286"/>
      <c r="AC64" s="286"/>
      <c r="AD64" s="286"/>
    </row>
    <row r="65" spans="1:30" ht="25.5" customHeight="1">
      <c r="A65" s="298" t="s">
        <v>674</v>
      </c>
      <c r="B65" s="202">
        <f>(G65+D65)</f>
        <v>327105.42000000132</v>
      </c>
      <c r="C65" s="202"/>
      <c r="D65" s="202">
        <f>E65+F65</f>
        <v>21399.420000000086</v>
      </c>
      <c r="E65" s="202">
        <f>0.04*G65</f>
        <v>12228.240000000049</v>
      </c>
      <c r="F65" s="202">
        <f>0.03*G65</f>
        <v>9171.1800000000367</v>
      </c>
      <c r="G65" s="202">
        <f>(S65+S66)</f>
        <v>305706.00000000122</v>
      </c>
      <c r="H65" s="202">
        <f>S67</f>
        <v>0</v>
      </c>
      <c r="I65" s="203"/>
      <c r="J65" s="203"/>
      <c r="K65" s="203"/>
      <c r="L65" s="203"/>
      <c r="M65" s="203" t="s">
        <v>675</v>
      </c>
      <c r="N65" s="204">
        <v>77889.320000000007</v>
      </c>
      <c r="O65" s="204">
        <v>78385.070000000007</v>
      </c>
      <c r="P65" s="203"/>
      <c r="Q65" s="205" t="s">
        <v>676</v>
      </c>
      <c r="R65" s="202">
        <v>300</v>
      </c>
      <c r="S65" s="206">
        <f>(O65-N65)*R65</f>
        <v>148725</v>
      </c>
      <c r="T65" s="827"/>
      <c r="U65" s="828"/>
      <c r="V65" s="828"/>
      <c r="W65" s="828"/>
      <c r="X65" s="828"/>
      <c r="Y65" s="828"/>
      <c r="Z65" s="828"/>
      <c r="AA65" s="828"/>
      <c r="AB65" s="828"/>
      <c r="AC65" s="828"/>
      <c r="AD65" s="828"/>
    </row>
    <row r="66" spans="1:30">
      <c r="A66" s="299" t="s">
        <v>677</v>
      </c>
      <c r="B66" s="202"/>
      <c r="C66" s="202"/>
      <c r="D66" s="208"/>
      <c r="E66" s="202"/>
      <c r="F66" s="202"/>
      <c r="G66" s="202"/>
      <c r="H66" s="202"/>
      <c r="I66" s="203"/>
      <c r="J66" s="203"/>
      <c r="K66" s="203"/>
      <c r="L66" s="203"/>
      <c r="M66" s="203"/>
      <c r="N66" s="204">
        <v>72003.399999999994</v>
      </c>
      <c r="O66" s="204">
        <v>72526.67</v>
      </c>
      <c r="P66" s="203"/>
      <c r="Q66" s="205" t="s">
        <v>676</v>
      </c>
      <c r="R66" s="202">
        <v>300</v>
      </c>
      <c r="S66" s="206">
        <f>(O66-N66)*R66</f>
        <v>156981.00000000122</v>
      </c>
      <c r="T66" s="286"/>
      <c r="U66" s="286"/>
      <c r="V66" s="286"/>
      <c r="W66" s="286"/>
      <c r="X66" s="286"/>
      <c r="Y66" s="286"/>
      <c r="Z66" s="286"/>
      <c r="AA66" s="286"/>
      <c r="AB66" s="286"/>
      <c r="AC66" s="286"/>
      <c r="AD66" s="286"/>
    </row>
    <row r="67" spans="1:30">
      <c r="A67" s="286"/>
      <c r="B67" s="286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6"/>
      <c r="N67" s="286"/>
      <c r="O67" s="286"/>
      <c r="P67" s="286"/>
      <c r="Q67" s="286"/>
      <c r="R67" s="286"/>
      <c r="S67" s="286"/>
      <c r="T67" s="286"/>
      <c r="U67" s="286"/>
      <c r="V67" s="286"/>
      <c r="W67" s="286"/>
      <c r="X67" s="286"/>
      <c r="Y67" s="286"/>
      <c r="Z67" s="286"/>
      <c r="AA67" s="286"/>
      <c r="AB67" s="286"/>
      <c r="AC67" s="286"/>
      <c r="AD67" s="286"/>
    </row>
    <row r="68" spans="1:30">
      <c r="A68" s="286"/>
      <c r="B68" s="286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6"/>
      <c r="N68" s="286"/>
      <c r="O68" s="286"/>
      <c r="P68" s="286"/>
      <c r="Q68" s="286"/>
      <c r="R68" s="286"/>
      <c r="S68" s="286"/>
      <c r="T68" s="286"/>
      <c r="U68" s="286"/>
      <c r="V68" s="286"/>
      <c r="W68" s="286"/>
      <c r="X68" s="286"/>
      <c r="Y68" s="286"/>
      <c r="Z68" s="286"/>
      <c r="AA68" s="286"/>
      <c r="AB68" s="286"/>
      <c r="AC68" s="286"/>
      <c r="AD68" s="286"/>
    </row>
    <row r="69" spans="1:30">
      <c r="A69" s="286" t="s">
        <v>678</v>
      </c>
      <c r="B69" s="300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6"/>
      <c r="P69" s="286"/>
      <c r="Q69" s="286"/>
      <c r="R69" s="286"/>
      <c r="S69" s="286"/>
      <c r="T69" s="286"/>
      <c r="U69" s="286"/>
      <c r="V69" s="286"/>
      <c r="W69" s="286"/>
      <c r="X69" s="286"/>
      <c r="Y69" s="286"/>
      <c r="Z69" s="286"/>
      <c r="AA69" s="286"/>
      <c r="AB69" s="286"/>
      <c r="AC69" s="286"/>
      <c r="AD69" s="286"/>
    </row>
    <row r="70" spans="1:30">
      <c r="A70" s="286"/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6"/>
      <c r="P70" s="286"/>
      <c r="Q70" s="286"/>
      <c r="R70" s="286"/>
      <c r="S70" s="286"/>
      <c r="T70" s="286"/>
      <c r="U70" s="286"/>
      <c r="V70" s="286"/>
      <c r="W70" s="286"/>
      <c r="X70" s="286"/>
      <c r="Y70" s="286"/>
      <c r="Z70" s="286"/>
      <c r="AA70" s="286"/>
      <c r="AB70" s="286"/>
      <c r="AC70" s="286"/>
      <c r="AD70" s="286"/>
    </row>
    <row r="71" spans="1:30">
      <c r="A71" s="286"/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86"/>
      <c r="AB71" s="286"/>
      <c r="AC71" s="286"/>
      <c r="AD71" s="286"/>
    </row>
    <row r="72" spans="1:30">
      <c r="A72" s="286"/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86"/>
      <c r="AB72" s="286"/>
      <c r="AC72" s="286"/>
      <c r="AD72" s="286"/>
    </row>
    <row r="73" spans="1:30">
      <c r="A73" s="301" t="s">
        <v>338</v>
      </c>
      <c r="B73" s="302">
        <f>B65-(B62+B44+B86+'Январь 2021  '!C328)</f>
        <v>96581.370000001334</v>
      </c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  <c r="N73" s="286"/>
      <c r="O73" s="286"/>
      <c r="P73" s="286"/>
      <c r="Q73" s="286"/>
      <c r="R73" s="286"/>
      <c r="S73" s="286"/>
      <c r="T73" s="286"/>
      <c r="U73" s="286"/>
      <c r="V73" s="286"/>
      <c r="W73" s="286"/>
      <c r="X73" s="286"/>
      <c r="Y73" s="286"/>
      <c r="Z73" s="286"/>
      <c r="AA73" s="286"/>
      <c r="AB73" s="286"/>
      <c r="AC73" s="286"/>
      <c r="AD73" s="286"/>
    </row>
    <row r="74" spans="1:30">
      <c r="A74" s="303"/>
      <c r="B74" s="303"/>
      <c r="C74" s="303"/>
      <c r="D74" s="303"/>
      <c r="E74" s="303"/>
      <c r="F74" s="303"/>
      <c r="G74" s="303"/>
      <c r="H74" s="303"/>
      <c r="I74" s="303"/>
      <c r="J74" s="303"/>
      <c r="K74" s="303"/>
      <c r="L74" s="303"/>
      <c r="M74" s="303"/>
      <c r="N74" s="303"/>
      <c r="O74" s="303"/>
      <c r="P74" s="303"/>
      <c r="Q74" s="303"/>
      <c r="R74" s="303"/>
      <c r="S74" s="303"/>
      <c r="T74" s="303"/>
      <c r="U74" s="303"/>
      <c r="V74" s="286"/>
      <c r="W74" s="286"/>
      <c r="X74" s="286"/>
      <c r="Y74" s="286"/>
      <c r="Z74" s="286"/>
      <c r="AA74" s="286"/>
      <c r="AB74" s="286"/>
      <c r="AC74" s="286"/>
      <c r="AD74" s="286"/>
    </row>
    <row r="75" spans="1:30">
      <c r="A75" s="304"/>
      <c r="B75" s="91">
        <v>500</v>
      </c>
      <c r="C75" s="91"/>
      <c r="D75" s="91"/>
      <c r="E75" s="91"/>
      <c r="F75" s="91"/>
      <c r="G75" s="91"/>
      <c r="H75" s="91"/>
      <c r="I75" s="22"/>
      <c r="J75" s="22"/>
      <c r="K75" s="22"/>
      <c r="L75" s="22"/>
      <c r="M75" s="22"/>
      <c r="N75" s="206"/>
      <c r="O75" s="206"/>
      <c r="P75" s="22"/>
      <c r="Q75" s="142"/>
      <c r="R75" s="151"/>
      <c r="S75" s="91"/>
      <c r="T75" s="305" t="s">
        <v>679</v>
      </c>
      <c r="U75" s="306"/>
      <c r="V75" s="303"/>
      <c r="W75" s="303"/>
      <c r="X75" s="303"/>
      <c r="Y75" s="286"/>
      <c r="Z75" s="286"/>
      <c r="AA75" s="286"/>
      <c r="AB75" s="286"/>
      <c r="AC75" s="286"/>
      <c r="AD75" s="286"/>
    </row>
    <row r="76" spans="1:30">
      <c r="A76" s="304"/>
      <c r="B76" s="91"/>
      <c r="C76" s="91"/>
      <c r="D76" s="91"/>
      <c r="E76" s="91"/>
      <c r="F76" s="91"/>
      <c r="G76" s="91"/>
      <c r="H76" s="91"/>
      <c r="I76" s="22"/>
      <c r="J76" s="22"/>
      <c r="K76" s="22"/>
      <c r="L76" s="22"/>
      <c r="M76" s="22"/>
      <c r="N76" s="206"/>
      <c r="O76" s="206"/>
      <c r="P76" s="22"/>
      <c r="Q76" s="142"/>
      <c r="R76" s="151"/>
      <c r="S76" s="91"/>
      <c r="T76" s="305"/>
      <c r="U76" s="306"/>
      <c r="V76" s="303"/>
      <c r="W76" s="303"/>
      <c r="X76" s="303"/>
      <c r="Y76" s="286"/>
      <c r="Z76" s="286"/>
      <c r="AA76" s="286"/>
      <c r="AB76" s="286"/>
      <c r="AC76" s="286"/>
      <c r="AD76" s="286"/>
    </row>
    <row r="77" spans="1:30">
      <c r="A77" s="304"/>
      <c r="B77" s="124"/>
      <c r="C77" s="125"/>
      <c r="D77" s="124"/>
      <c r="E77" s="124"/>
      <c r="F77" s="124"/>
      <c r="G77" s="125"/>
      <c r="H77" s="345"/>
      <c r="I77" s="133"/>
      <c r="J77" s="133"/>
      <c r="K77" s="133"/>
      <c r="L77" s="133"/>
      <c r="M77" s="133"/>
      <c r="N77" s="125"/>
      <c r="O77" s="125"/>
      <c r="P77" s="544"/>
      <c r="Q77" s="545"/>
      <c r="R77" s="545"/>
      <c r="S77" s="85"/>
      <c r="T77" s="127"/>
      <c r="U77" s="128"/>
      <c r="V77" s="303"/>
      <c r="W77" s="303"/>
      <c r="X77" s="303"/>
      <c r="Y77" s="286"/>
      <c r="Z77" s="286"/>
      <c r="AA77" s="286"/>
      <c r="AB77" s="286"/>
      <c r="AC77" s="286"/>
      <c r="AD77" s="286"/>
    </row>
    <row r="78" spans="1:30">
      <c r="A78" s="304"/>
      <c r="B78" s="124">
        <f>G78</f>
        <v>6038</v>
      </c>
      <c r="C78" s="125"/>
      <c r="D78" s="124">
        <f>E78+F78</f>
        <v>422.65999999999997</v>
      </c>
      <c r="E78" s="124">
        <f>0.04*G78</f>
        <v>241.52</v>
      </c>
      <c r="F78" s="124">
        <f>0.03*G78</f>
        <v>181.14</v>
      </c>
      <c r="G78" s="125">
        <f t="shared" ref="G78" si="14">S78</f>
        <v>6038</v>
      </c>
      <c r="H78" s="345">
        <f>B78*0.4</f>
        <v>2415.2000000000003</v>
      </c>
      <c r="I78" s="133"/>
      <c r="J78" s="133"/>
      <c r="K78" s="133"/>
      <c r="L78" s="133"/>
      <c r="M78" s="133"/>
      <c r="N78" s="124">
        <v>90074</v>
      </c>
      <c r="O78" s="91">
        <v>96112</v>
      </c>
      <c r="P78" s="105"/>
      <c r="Q78" s="106"/>
      <c r="R78" s="106">
        <v>1</v>
      </c>
      <c r="S78" s="92">
        <f t="shared" ref="S78" si="15">(O78-N78)*R78</f>
        <v>6038</v>
      </c>
      <c r="T78" s="127">
        <v>5732</v>
      </c>
      <c r="U78" s="307" t="s">
        <v>688</v>
      </c>
      <c r="V78" s="303"/>
      <c r="W78" s="303"/>
      <c r="X78" s="303"/>
      <c r="Y78" s="286"/>
      <c r="Z78" s="286"/>
      <c r="AA78" s="286"/>
      <c r="AB78" s="286"/>
      <c r="AC78" s="286"/>
      <c r="AD78" s="286"/>
    </row>
    <row r="79" spans="1:30">
      <c r="A79" s="308"/>
      <c r="B79" s="124">
        <f>G79+D79</f>
        <v>1282.93</v>
      </c>
      <c r="C79" s="124"/>
      <c r="D79" s="124">
        <f t="shared" ref="D79:D85" si="16">E79+F79</f>
        <v>83.93</v>
      </c>
      <c r="E79" s="124">
        <f t="shared" ref="E79:E85" si="17">0.04*G79</f>
        <v>47.96</v>
      </c>
      <c r="F79" s="124">
        <f t="shared" ref="F79:F85" si="18">0.03*G79</f>
        <v>35.97</v>
      </c>
      <c r="G79" s="124">
        <f>S79</f>
        <v>1199</v>
      </c>
      <c r="H79" s="124">
        <f>0.6*B79</f>
        <v>769.75800000000004</v>
      </c>
      <c r="I79" s="126"/>
      <c r="J79" s="126"/>
      <c r="K79" s="126"/>
      <c r="L79" s="126"/>
      <c r="M79" s="126" t="s">
        <v>146</v>
      </c>
      <c r="N79" s="124">
        <v>35288</v>
      </c>
      <c r="O79" s="91">
        <v>36487</v>
      </c>
      <c r="P79" s="122"/>
      <c r="Q79" s="173"/>
      <c r="R79" s="151">
        <v>1</v>
      </c>
      <c r="S79" s="91">
        <f>(O79-N79)*R79</f>
        <v>1199</v>
      </c>
      <c r="T79" s="95">
        <v>3275</v>
      </c>
      <c r="U79" s="569" t="s">
        <v>680</v>
      </c>
      <c r="V79" s="303"/>
      <c r="W79" s="303"/>
      <c r="X79" s="303"/>
      <c r="Y79" s="286"/>
      <c r="Z79" s="286"/>
      <c r="AA79" s="286"/>
      <c r="AB79" s="286"/>
      <c r="AC79" s="286"/>
      <c r="AD79" s="286"/>
    </row>
    <row r="80" spans="1:30">
      <c r="A80" s="304"/>
      <c r="B80" s="509">
        <f t="shared" ref="B80:B84" si="19">G80+D80</f>
        <v>1201.6099999999999</v>
      </c>
      <c r="C80" s="509"/>
      <c r="D80" s="509">
        <f t="shared" si="16"/>
        <v>78.61</v>
      </c>
      <c r="E80" s="509">
        <f t="shared" si="17"/>
        <v>44.92</v>
      </c>
      <c r="F80" s="509">
        <f t="shared" si="18"/>
        <v>33.69</v>
      </c>
      <c r="G80" s="509">
        <f t="shared" ref="G80:G85" si="20">S80</f>
        <v>1123</v>
      </c>
      <c r="H80" s="509"/>
      <c r="I80" s="126"/>
      <c r="J80" s="126"/>
      <c r="K80" s="126"/>
      <c r="L80" s="126"/>
      <c r="M80" s="126" t="s">
        <v>271</v>
      </c>
      <c r="N80" s="509">
        <v>27977</v>
      </c>
      <c r="O80" s="117">
        <v>29100</v>
      </c>
      <c r="P80" s="149"/>
      <c r="Q80" s="309"/>
      <c r="R80" s="117">
        <v>1</v>
      </c>
      <c r="S80" s="91">
        <f>(O80-N80)*R80</f>
        <v>1123</v>
      </c>
      <c r="T80" s="3"/>
      <c r="U80" s="569" t="s">
        <v>272</v>
      </c>
      <c r="V80" s="303"/>
      <c r="W80" s="303"/>
      <c r="X80" s="303"/>
      <c r="Y80" s="286"/>
      <c r="Z80" s="286"/>
      <c r="AA80" s="286"/>
      <c r="AB80" s="286"/>
      <c r="AC80" s="286"/>
      <c r="AD80" s="286"/>
    </row>
    <row r="81" spans="1:30">
      <c r="A81" s="104"/>
      <c r="B81" s="124"/>
      <c r="C81" s="124"/>
      <c r="D81" s="124"/>
      <c r="E81" s="124"/>
      <c r="F81" s="124"/>
      <c r="G81" s="124"/>
      <c r="H81" s="124"/>
      <c r="I81" s="126"/>
      <c r="J81" s="126"/>
      <c r="K81" s="126"/>
      <c r="L81" s="126"/>
      <c r="M81" s="126"/>
      <c r="N81" s="124"/>
      <c r="O81" s="124"/>
      <c r="P81" s="122"/>
      <c r="Q81" s="310"/>
      <c r="R81" s="151"/>
      <c r="S81" s="91"/>
      <c r="T81" s="305"/>
      <c r="U81" s="306"/>
      <c r="V81" s="303"/>
      <c r="W81" s="303"/>
      <c r="X81" s="303"/>
      <c r="Y81" s="286"/>
      <c r="Z81" s="286"/>
      <c r="AA81" s="286"/>
      <c r="AB81" s="286"/>
      <c r="AC81" s="286"/>
      <c r="AD81" s="286"/>
    </row>
    <row r="82" spans="1:30">
      <c r="A82" s="308"/>
      <c r="B82" s="509">
        <f t="shared" si="19"/>
        <v>162.63999999999999</v>
      </c>
      <c r="C82" s="509"/>
      <c r="D82" s="509">
        <f t="shared" si="16"/>
        <v>10.64</v>
      </c>
      <c r="E82" s="509">
        <f t="shared" si="17"/>
        <v>6.08</v>
      </c>
      <c r="F82" s="509">
        <f t="shared" si="18"/>
        <v>4.5599999999999996</v>
      </c>
      <c r="G82" s="509">
        <f t="shared" si="20"/>
        <v>152</v>
      </c>
      <c r="H82" s="509"/>
      <c r="I82" s="126"/>
      <c r="J82" s="126"/>
      <c r="K82" s="126"/>
      <c r="L82" s="126"/>
      <c r="M82" s="126" t="s">
        <v>271</v>
      </c>
      <c r="N82" s="509">
        <v>4764</v>
      </c>
      <c r="O82" s="117">
        <v>4916</v>
      </c>
      <c r="P82" s="149"/>
      <c r="Q82" s="309"/>
      <c r="R82" s="117">
        <v>1</v>
      </c>
      <c r="S82" s="117">
        <f>O82-N82</f>
        <v>152</v>
      </c>
      <c r="T82" s="95"/>
      <c r="U82" s="569" t="s">
        <v>309</v>
      </c>
      <c r="V82" s="303"/>
      <c r="W82" s="303"/>
      <c r="X82" s="303"/>
      <c r="Y82" s="286"/>
      <c r="Z82" s="286"/>
      <c r="AA82" s="286"/>
      <c r="AB82" s="286"/>
      <c r="AC82" s="286"/>
      <c r="AD82" s="286"/>
    </row>
    <row r="83" spans="1:30">
      <c r="A83" s="132" t="s">
        <v>209</v>
      </c>
      <c r="B83" s="124">
        <f t="shared" si="19"/>
        <v>740.44</v>
      </c>
      <c r="C83" s="124"/>
      <c r="D83" s="124">
        <f t="shared" si="16"/>
        <v>48.44</v>
      </c>
      <c r="E83" s="124">
        <f t="shared" si="17"/>
        <v>27.68</v>
      </c>
      <c r="F83" s="124">
        <f t="shared" si="18"/>
        <v>20.759999999999998</v>
      </c>
      <c r="G83" s="124">
        <f>S83</f>
        <v>692</v>
      </c>
      <c r="H83" s="124">
        <f t="shared" ref="H83" si="21">0.6*B83</f>
        <v>444.26400000000001</v>
      </c>
      <c r="I83" s="126"/>
      <c r="J83" s="126"/>
      <c r="K83" s="126"/>
      <c r="L83" s="126"/>
      <c r="M83" s="126"/>
      <c r="N83" s="124">
        <v>24162</v>
      </c>
      <c r="O83" s="124">
        <v>24854</v>
      </c>
      <c r="P83" s="7"/>
      <c r="Q83" s="94"/>
      <c r="R83" s="124">
        <v>1</v>
      </c>
      <c r="S83" s="124">
        <f t="shared" ref="S83" si="22">(O83-N83)*R83</f>
        <v>692</v>
      </c>
      <c r="T83" s="127">
        <v>179316</v>
      </c>
      <c r="U83" s="128" t="s">
        <v>210</v>
      </c>
      <c r="V83" s="303"/>
      <c r="W83" s="303"/>
      <c r="X83" s="303"/>
      <c r="Y83" s="286"/>
      <c r="Z83" s="286"/>
      <c r="AA83" s="286"/>
      <c r="AB83" s="286"/>
      <c r="AC83" s="286"/>
      <c r="AD83" s="286"/>
    </row>
    <row r="84" spans="1:30" ht="27">
      <c r="A84" s="304"/>
      <c r="B84" s="509">
        <f t="shared" si="19"/>
        <v>225.77</v>
      </c>
      <c r="C84" s="509"/>
      <c r="D84" s="509">
        <f t="shared" si="16"/>
        <v>14.77</v>
      </c>
      <c r="E84" s="509">
        <f t="shared" si="17"/>
        <v>8.44</v>
      </c>
      <c r="F84" s="509">
        <f t="shared" si="18"/>
        <v>6.33</v>
      </c>
      <c r="G84" s="509">
        <f t="shared" si="20"/>
        <v>211</v>
      </c>
      <c r="H84" s="509"/>
      <c r="I84" s="126"/>
      <c r="J84" s="126"/>
      <c r="K84" s="126"/>
      <c r="L84" s="126"/>
      <c r="M84" s="126" t="s">
        <v>271</v>
      </c>
      <c r="N84" s="509">
        <v>12796</v>
      </c>
      <c r="O84" s="117">
        <v>13007</v>
      </c>
      <c r="P84" s="149"/>
      <c r="Q84" s="309"/>
      <c r="R84" s="117">
        <v>1</v>
      </c>
      <c r="S84" s="117">
        <f>O84-N84</f>
        <v>211</v>
      </c>
      <c r="T84" s="311">
        <v>6292</v>
      </c>
      <c r="U84" s="569" t="s">
        <v>311</v>
      </c>
      <c r="V84" s="303"/>
      <c r="W84" s="303"/>
      <c r="X84" s="303"/>
      <c r="Y84" s="286"/>
      <c r="Z84" s="286"/>
      <c r="AA84" s="286"/>
      <c r="AB84" s="286"/>
      <c r="AC84" s="286"/>
      <c r="AD84" s="286"/>
    </row>
    <row r="85" spans="1:30">
      <c r="A85" s="312" t="s">
        <v>80</v>
      </c>
      <c r="B85" s="124">
        <f>G85</f>
        <v>4889</v>
      </c>
      <c r="C85" s="125"/>
      <c r="D85" s="124">
        <f t="shared" si="16"/>
        <v>342.23</v>
      </c>
      <c r="E85" s="124">
        <f t="shared" si="17"/>
        <v>195.56</v>
      </c>
      <c r="F85" s="124">
        <f t="shared" si="18"/>
        <v>146.66999999999999</v>
      </c>
      <c r="G85" s="125">
        <f t="shared" si="20"/>
        <v>4889</v>
      </c>
      <c r="H85" s="345">
        <f>B85*0.4</f>
        <v>1955.6000000000001</v>
      </c>
      <c r="I85" s="133"/>
      <c r="J85" s="133"/>
      <c r="K85" s="133"/>
      <c r="L85" s="133"/>
      <c r="M85" s="133"/>
      <c r="N85" s="125">
        <v>106255</v>
      </c>
      <c r="O85" s="92">
        <v>111144</v>
      </c>
      <c r="P85" s="105"/>
      <c r="Q85" s="106"/>
      <c r="R85" s="106">
        <v>1</v>
      </c>
      <c r="S85" s="92">
        <f>(O85-N85)*R85</f>
        <v>4889</v>
      </c>
      <c r="T85" s="95">
        <v>9148</v>
      </c>
      <c r="U85" s="569" t="s">
        <v>81</v>
      </c>
      <c r="V85" s="286"/>
      <c r="W85" s="286"/>
      <c r="X85" s="286"/>
      <c r="Y85" s="286"/>
      <c r="Z85" s="286"/>
      <c r="AA85" s="286"/>
      <c r="AB85" s="286"/>
      <c r="AC85" s="286"/>
      <c r="AD85" s="286"/>
    </row>
    <row r="86" spans="1:30" ht="24.75" customHeight="1">
      <c r="A86" s="313" t="s">
        <v>681</v>
      </c>
      <c r="B86" s="302">
        <f>SUM(B75:B85)+B64</f>
        <v>15935.390000000001</v>
      </c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06"/>
      <c r="P86" s="286"/>
      <c r="Q86" s="286"/>
      <c r="R86" s="286"/>
      <c r="S86" s="286"/>
      <c r="T86" s="286"/>
      <c r="U86" s="286"/>
      <c r="V86" s="286"/>
      <c r="W86" s="286"/>
      <c r="X86" s="286"/>
      <c r="Y86" s="286"/>
      <c r="Z86" s="286"/>
      <c r="AA86" s="286"/>
      <c r="AB86" s="286"/>
      <c r="AC86" s="286"/>
      <c r="AD86" s="286"/>
    </row>
    <row r="87" spans="1:30">
      <c r="A87" s="286"/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6"/>
      <c r="P87" s="286"/>
      <c r="Q87" s="286"/>
      <c r="R87" s="286"/>
      <c r="S87" s="286"/>
      <c r="T87" s="286"/>
      <c r="U87" s="286"/>
      <c r="V87" s="286"/>
      <c r="W87" s="286"/>
      <c r="X87" s="286"/>
      <c r="Y87" s="286"/>
      <c r="Z87" s="286"/>
      <c r="AA87" s="286"/>
      <c r="AB87" s="286"/>
      <c r="AC87" s="286"/>
      <c r="AD87" s="286"/>
    </row>
  </sheetData>
  <mergeCells count="11">
    <mergeCell ref="N31:N32"/>
    <mergeCell ref="O31:O32"/>
    <mergeCell ref="R31:R32"/>
    <mergeCell ref="S31:S32"/>
    <mergeCell ref="T65:AD65"/>
    <mergeCell ref="H31:H32"/>
    <mergeCell ref="A31:A32"/>
    <mergeCell ref="B31:B32"/>
    <mergeCell ref="C31:C32"/>
    <mergeCell ref="D31:F31"/>
    <mergeCell ref="G31:G32"/>
  </mergeCells>
  <pageMargins left="0.51181102362204722" right="0.51181102362204722" top="0.55118110236220474" bottom="0.74803149606299213" header="0.31496062992125984" footer="0.31496062992125984"/>
  <pageSetup paperSize="9" scale="4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747"/>
  <sheetViews>
    <sheetView zoomScale="55" zoomScaleNormal="55" workbookViewId="0">
      <pane xSplit="1" ySplit="6" topLeftCell="B299" activePane="bottomRight" state="frozen"/>
      <selection pane="topRight" activeCell="B1" sqref="B1"/>
      <selection pane="bottomLeft" activeCell="A7" sqref="A7"/>
      <selection pane="bottomRight" activeCell="R342" sqref="R342"/>
    </sheetView>
  </sheetViews>
  <sheetFormatPr defaultRowHeight="15"/>
  <cols>
    <col min="1" max="1" width="0.28515625" style="1" customWidth="1"/>
    <col min="2" max="2" width="75.85546875" style="2" customWidth="1"/>
    <col min="3" max="3" width="26.28515625" style="1" customWidth="1"/>
    <col min="4" max="4" width="23.42578125" style="1" customWidth="1"/>
    <col min="5" max="5" width="28.140625" style="1" customWidth="1"/>
    <col min="6" max="6" width="20.28515625" style="1" customWidth="1"/>
    <col min="7" max="7" width="19.42578125" style="1" customWidth="1"/>
    <col min="8" max="8" width="31.140625" style="1" customWidth="1"/>
    <col min="9" max="9" width="16.140625" style="1" customWidth="1"/>
    <col min="10" max="10" width="0.28515625" style="1" hidden="1" customWidth="1"/>
    <col min="11" max="11" width="28.85546875" style="1" hidden="1" customWidth="1"/>
    <col min="12" max="12" width="29.5703125" style="1" hidden="1" customWidth="1"/>
    <col min="13" max="13" width="27.85546875" style="1" hidden="1" customWidth="1"/>
    <col min="14" max="14" width="28" style="1" hidden="1" customWidth="1"/>
    <col min="15" max="15" width="27.5703125" style="1" customWidth="1"/>
    <col min="16" max="16" width="28.5703125" style="1" customWidth="1"/>
    <col min="17" max="17" width="0.140625" style="1" customWidth="1"/>
    <col min="18" max="18" width="37.140625" style="1" customWidth="1"/>
    <col min="19" max="19" width="11.42578125" style="1" customWidth="1"/>
    <col min="20" max="20" width="25.28515625" style="1" customWidth="1"/>
    <col min="21" max="21" width="27.85546875" style="3" customWidth="1"/>
    <col min="22" max="22" width="138" style="4" customWidth="1"/>
    <col min="23" max="23" width="26" style="1" customWidth="1"/>
    <col min="24" max="24" width="16.7109375" style="1" customWidth="1"/>
    <col min="25" max="25" width="15.42578125" style="1" customWidth="1"/>
    <col min="26" max="26" width="10.5703125" style="1" bestFit="1" customWidth="1"/>
    <col min="27" max="16384" width="9.140625" style="1"/>
  </cols>
  <sheetData>
    <row r="1" spans="1:62" ht="25.5" customHeight="1"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810"/>
      <c r="AR1" s="810"/>
      <c r="AS1" s="810"/>
      <c r="AT1" s="810"/>
      <c r="AU1" s="810"/>
      <c r="AV1" s="810"/>
      <c r="AW1" s="810"/>
      <c r="AX1" s="810"/>
      <c r="AY1" s="810"/>
      <c r="AZ1" s="810"/>
      <c r="BA1" s="810"/>
      <c r="BB1" s="810"/>
      <c r="BC1" s="810"/>
      <c r="BD1" s="810"/>
      <c r="BE1" s="810"/>
      <c r="BF1" s="810"/>
      <c r="BG1" s="810"/>
      <c r="BH1" s="810"/>
      <c r="BI1" s="810"/>
      <c r="BJ1" s="810"/>
    </row>
    <row r="2" spans="1:62" ht="25.5">
      <c r="B2" s="5" t="s">
        <v>0</v>
      </c>
    </row>
    <row r="3" spans="1:62" ht="25.5" customHeight="1">
      <c r="A3" s="811" t="s">
        <v>919</v>
      </c>
      <c r="B3" s="811"/>
      <c r="C3" s="811"/>
      <c r="D3" s="811"/>
      <c r="E3" s="811"/>
      <c r="F3" s="811"/>
      <c r="G3" s="811"/>
      <c r="H3" s="811"/>
      <c r="I3" s="811"/>
      <c r="J3" s="811"/>
      <c r="K3" s="811"/>
      <c r="L3" s="811"/>
      <c r="M3" s="811"/>
      <c r="N3" s="811"/>
      <c r="O3" s="811"/>
      <c r="P3" s="811"/>
      <c r="Q3" s="811"/>
      <c r="R3" s="811"/>
      <c r="S3" s="811"/>
      <c r="T3" s="811"/>
      <c r="U3" s="670"/>
      <c r="V3" s="6"/>
      <c r="W3" s="7"/>
      <c r="X3" s="7"/>
      <c r="Y3" s="7"/>
      <c r="Z3" s="7"/>
      <c r="AA3" s="7"/>
      <c r="AB3" s="7"/>
      <c r="AC3" s="7"/>
    </row>
    <row r="4" spans="1:62" ht="25.5" customHeight="1">
      <c r="A4" s="812"/>
      <c r="B4" s="814" t="s">
        <v>1</v>
      </c>
      <c r="C4" s="816" t="s">
        <v>2</v>
      </c>
      <c r="D4" s="816" t="s">
        <v>3</v>
      </c>
      <c r="E4" s="818" t="s">
        <v>4</v>
      </c>
      <c r="F4" s="819"/>
      <c r="G4" s="820"/>
      <c r="H4" s="816" t="s">
        <v>5</v>
      </c>
      <c r="I4" s="816" t="s">
        <v>6</v>
      </c>
      <c r="J4" s="8"/>
      <c r="K4" s="9"/>
      <c r="L4" s="9"/>
      <c r="M4" s="9"/>
      <c r="N4" s="9"/>
      <c r="O4" s="816" t="s">
        <v>7</v>
      </c>
      <c r="P4" s="816" t="s">
        <v>8</v>
      </c>
      <c r="Q4" s="10"/>
      <c r="R4" s="11"/>
      <c r="S4" s="816" t="s">
        <v>9</v>
      </c>
      <c r="T4" s="816" t="s">
        <v>2</v>
      </c>
      <c r="U4" s="12"/>
      <c r="V4" s="13"/>
      <c r="W4" s="14"/>
      <c r="X4" s="7"/>
      <c r="Y4" s="7"/>
      <c r="Z4" s="7"/>
      <c r="AA4" s="7"/>
      <c r="AB4" s="7"/>
      <c r="AC4" s="7"/>
      <c r="AD4" s="7"/>
    </row>
    <row r="5" spans="1:62" ht="76.5" customHeight="1">
      <c r="A5" s="813"/>
      <c r="B5" s="815"/>
      <c r="C5" s="817"/>
      <c r="D5" s="817"/>
      <c r="E5" s="15" t="s">
        <v>10</v>
      </c>
      <c r="F5" s="15" t="s">
        <v>11</v>
      </c>
      <c r="G5" s="15" t="s">
        <v>12</v>
      </c>
      <c r="H5" s="817"/>
      <c r="I5" s="817"/>
      <c r="J5" s="8"/>
      <c r="K5" s="9"/>
      <c r="L5" s="9"/>
      <c r="M5" s="9"/>
      <c r="N5" s="9"/>
      <c r="O5" s="817"/>
      <c r="P5" s="817"/>
      <c r="Q5" s="10"/>
      <c r="R5" s="16"/>
      <c r="S5" s="817"/>
      <c r="T5" s="817"/>
      <c r="U5" s="17" t="s">
        <v>13</v>
      </c>
      <c r="V5" s="18" t="s">
        <v>14</v>
      </c>
      <c r="W5" s="14"/>
      <c r="X5" s="7"/>
      <c r="Y5" s="7"/>
      <c r="Z5" s="7"/>
      <c r="AA5" s="7"/>
      <c r="AB5" s="7"/>
      <c r="AC5" s="7"/>
    </row>
    <row r="6" spans="1:62" ht="25.5">
      <c r="A6" s="19" t="s">
        <v>15</v>
      </c>
      <c r="B6" s="20">
        <v>2</v>
      </c>
      <c r="C6" s="19">
        <v>3</v>
      </c>
      <c r="D6" s="19">
        <v>4</v>
      </c>
      <c r="E6" s="19">
        <v>5</v>
      </c>
      <c r="F6" s="19">
        <v>6</v>
      </c>
      <c r="G6" s="19">
        <v>7</v>
      </c>
      <c r="H6" s="19">
        <v>8</v>
      </c>
      <c r="I6" s="19">
        <v>9</v>
      </c>
      <c r="J6" s="21"/>
      <c r="K6" s="22"/>
      <c r="L6" s="22"/>
      <c r="M6" s="22"/>
      <c r="N6" s="22"/>
      <c r="O6" s="19">
        <v>10</v>
      </c>
      <c r="P6" s="19">
        <v>11</v>
      </c>
      <c r="Q6" s="7"/>
      <c r="R6" s="23">
        <v>12</v>
      </c>
      <c r="S6" s="19">
        <v>13</v>
      </c>
      <c r="T6" s="19">
        <v>14</v>
      </c>
      <c r="U6" s="24"/>
      <c r="V6" s="25"/>
      <c r="W6" s="14"/>
      <c r="X6" s="7"/>
      <c r="Y6" s="7"/>
      <c r="Z6" s="7"/>
      <c r="AA6" s="7"/>
      <c r="AB6" s="7"/>
      <c r="AC6" s="7"/>
    </row>
    <row r="7" spans="1:62" ht="26.25">
      <c r="A7" s="19"/>
      <c r="B7" s="26" t="s">
        <v>933</v>
      </c>
      <c r="C7" s="19"/>
      <c r="D7" s="672"/>
      <c r="E7" s="19"/>
      <c r="F7" s="19"/>
      <c r="G7" s="19"/>
      <c r="H7" s="19"/>
      <c r="I7" s="19"/>
      <c r="J7" s="21"/>
      <c r="K7" s="22"/>
      <c r="L7" s="22"/>
      <c r="M7" s="22"/>
      <c r="N7" s="22"/>
      <c r="O7" s="19"/>
      <c r="P7" s="19"/>
      <c r="Q7" s="7"/>
      <c r="R7" s="23"/>
      <c r="S7" s="19"/>
      <c r="T7" s="19"/>
      <c r="U7" s="24"/>
      <c r="V7" s="25"/>
      <c r="W7" s="14"/>
      <c r="X7" s="7"/>
      <c r="Y7" s="7"/>
      <c r="Z7" s="7"/>
      <c r="AA7" s="7"/>
      <c r="AB7" s="7"/>
      <c r="AC7" s="7"/>
    </row>
    <row r="8" spans="1:62" ht="25.5">
      <c r="A8" s="19"/>
      <c r="B8" s="27" t="s">
        <v>17</v>
      </c>
      <c r="C8" s="28">
        <f>H8+E8</f>
        <v>3768</v>
      </c>
      <c r="D8" s="28"/>
      <c r="E8" s="28">
        <v>0</v>
      </c>
      <c r="F8" s="28">
        <v>0</v>
      </c>
      <c r="G8" s="28">
        <v>0</v>
      </c>
      <c r="H8" s="28">
        <f>T8+T9</f>
        <v>3768</v>
      </c>
      <c r="I8" s="28">
        <f>0.4*C8</f>
        <v>1507.2</v>
      </c>
      <c r="J8" s="346"/>
      <c r="K8" s="346"/>
      <c r="L8" s="346"/>
      <c r="M8" s="347"/>
      <c r="N8" s="29"/>
      <c r="O8" s="28">
        <v>598630</v>
      </c>
      <c r="P8" s="28">
        <v>601438</v>
      </c>
      <c r="Q8" s="30"/>
      <c r="R8" s="348"/>
      <c r="S8" s="28">
        <v>1</v>
      </c>
      <c r="T8" s="28">
        <f>(P8-O8)*S8</f>
        <v>2808</v>
      </c>
      <c r="U8" s="31">
        <v>108076</v>
      </c>
      <c r="V8" s="676" t="s">
        <v>18</v>
      </c>
      <c r="W8" s="14" t="s">
        <v>19</v>
      </c>
      <c r="X8" s="7"/>
      <c r="Y8" s="7"/>
      <c r="Z8" s="7"/>
      <c r="AA8" s="7"/>
      <c r="AB8" s="7"/>
      <c r="AC8" s="7"/>
    </row>
    <row r="9" spans="1:62" ht="25.5">
      <c r="A9" s="19"/>
      <c r="B9" s="27"/>
      <c r="C9" s="28"/>
      <c r="D9" s="28"/>
      <c r="E9" s="28"/>
      <c r="F9" s="28"/>
      <c r="G9" s="28"/>
      <c r="H9" s="28"/>
      <c r="I9" s="28"/>
      <c r="J9" s="346"/>
      <c r="K9" s="346"/>
      <c r="L9" s="346"/>
      <c r="M9" s="346"/>
      <c r="N9" s="29"/>
      <c r="O9" s="349">
        <v>274892</v>
      </c>
      <c r="P9" s="349">
        <v>275852</v>
      </c>
      <c r="Q9" s="30"/>
      <c r="R9" s="350"/>
      <c r="S9" s="349">
        <v>1</v>
      </c>
      <c r="T9" s="28">
        <f>(P9-O9)*S9</f>
        <v>960</v>
      </c>
      <c r="U9" s="31">
        <v>108093</v>
      </c>
      <c r="V9" s="676"/>
      <c r="W9" s="14" t="s">
        <v>19</v>
      </c>
      <c r="X9" s="7"/>
      <c r="Y9" s="7"/>
      <c r="Z9" s="7"/>
      <c r="AA9" s="7"/>
      <c r="AB9" s="7"/>
      <c r="AC9" s="7"/>
    </row>
    <row r="10" spans="1:62" ht="25.5">
      <c r="A10" s="19"/>
      <c r="B10" s="27" t="s">
        <v>20</v>
      </c>
      <c r="C10" s="28">
        <f>H10+E10</f>
        <v>15368.000000000007</v>
      </c>
      <c r="D10" s="28"/>
      <c r="E10" s="28">
        <f>F10+G10</f>
        <v>0</v>
      </c>
      <c r="F10" s="28">
        <v>0</v>
      </c>
      <c r="G10" s="28">
        <v>0</v>
      </c>
      <c r="H10" s="28">
        <f>T10+T11</f>
        <v>15368.000000000007</v>
      </c>
      <c r="I10" s="28">
        <f>0.4*C10</f>
        <v>6147.2000000000035</v>
      </c>
      <c r="J10" s="346"/>
      <c r="K10" s="346"/>
      <c r="L10" s="346"/>
      <c r="M10" s="346"/>
      <c r="N10" s="29"/>
      <c r="O10" s="349">
        <v>6132.2</v>
      </c>
      <c r="P10" s="349">
        <v>6852.6</v>
      </c>
      <c r="Q10" s="30"/>
      <c r="R10" s="351"/>
      <c r="S10" s="349">
        <v>15</v>
      </c>
      <c r="T10" s="28">
        <f>(P10-O10)*S10</f>
        <v>10806.000000000007</v>
      </c>
      <c r="U10" s="31">
        <v>798111</v>
      </c>
      <c r="V10" s="676" t="s">
        <v>21</v>
      </c>
      <c r="W10" s="14" t="s">
        <v>22</v>
      </c>
      <c r="X10" s="7"/>
      <c r="Y10" s="7"/>
      <c r="Z10" s="7"/>
      <c r="AA10" s="7"/>
      <c r="AB10" s="7"/>
      <c r="AC10" s="7"/>
    </row>
    <row r="11" spans="1:62" ht="25.5">
      <c r="A11" s="19"/>
      <c r="B11" s="27" t="s">
        <v>23</v>
      </c>
      <c r="C11" s="28"/>
      <c r="D11" s="28"/>
      <c r="E11" s="28"/>
      <c r="F11" s="28"/>
      <c r="G11" s="28"/>
      <c r="H11" s="28"/>
      <c r="I11" s="28"/>
      <c r="J11" s="346"/>
      <c r="K11" s="346"/>
      <c r="L11" s="346"/>
      <c r="M11" s="346"/>
      <c r="N11" s="29"/>
      <c r="O11" s="349">
        <v>53221</v>
      </c>
      <c r="P11" s="349">
        <v>57783</v>
      </c>
      <c r="Q11" s="30"/>
      <c r="R11" s="351"/>
      <c r="S11" s="349">
        <v>1</v>
      </c>
      <c r="T11" s="28">
        <f>(P11-O11)*S11</f>
        <v>4562</v>
      </c>
      <c r="U11" s="31">
        <v>16029</v>
      </c>
      <c r="V11" s="676" t="s">
        <v>24</v>
      </c>
      <c r="W11" s="14" t="s">
        <v>22</v>
      </c>
      <c r="X11" s="7"/>
      <c r="Y11" s="7"/>
      <c r="Z11" s="7"/>
      <c r="AA11" s="7"/>
      <c r="AB11" s="7"/>
      <c r="AC11" s="7"/>
    </row>
    <row r="12" spans="1:62" s="42" customFormat="1" ht="25.5">
      <c r="A12" s="32"/>
      <c r="B12" s="352"/>
      <c r="C12" s="43"/>
      <c r="D12" s="43"/>
      <c r="E12" s="43"/>
      <c r="F12" s="43"/>
      <c r="G12" s="43"/>
      <c r="H12" s="43"/>
      <c r="I12" s="43"/>
      <c r="J12" s="353"/>
      <c r="K12" s="354"/>
      <c r="L12" s="354"/>
      <c r="M12" s="355"/>
      <c r="N12" s="355"/>
      <c r="O12" s="43"/>
      <c r="P12" s="43"/>
      <c r="Q12" s="356"/>
      <c r="R12" s="356"/>
      <c r="S12" s="43"/>
      <c r="T12" s="43"/>
      <c r="U12" s="55"/>
      <c r="V12" s="44"/>
      <c r="W12" s="40"/>
      <c r="X12" s="41"/>
      <c r="Y12" s="41"/>
      <c r="Z12" s="41"/>
      <c r="AA12" s="41"/>
      <c r="AB12" s="41"/>
      <c r="AC12" s="41"/>
    </row>
    <row r="13" spans="1:62" s="42" customFormat="1" ht="25.5" customHeight="1">
      <c r="A13" s="32"/>
      <c r="B13" s="352" t="s">
        <v>25</v>
      </c>
      <c r="C13" s="43">
        <f>(C98-C46-C14-C95-C96)</f>
        <v>18043.799999999945</v>
      </c>
      <c r="D13" s="43"/>
      <c r="E13" s="43"/>
      <c r="F13" s="43"/>
      <c r="G13" s="43"/>
      <c r="H13" s="43"/>
      <c r="I13" s="43"/>
      <c r="J13" s="353"/>
      <c r="K13" s="354"/>
      <c r="L13" s="354"/>
      <c r="M13" s="355"/>
      <c r="N13" s="355"/>
      <c r="O13" s="43"/>
      <c r="P13" s="43"/>
      <c r="Q13" s="356"/>
      <c r="R13" s="356"/>
      <c r="S13" s="43"/>
      <c r="T13" s="43"/>
      <c r="U13" s="44" t="s">
        <v>773</v>
      </c>
      <c r="V13" s="44"/>
      <c r="W13" s="40"/>
      <c r="X13" s="45"/>
      <c r="Y13" s="45"/>
      <c r="Z13" s="45"/>
      <c r="AA13" s="45"/>
      <c r="AB13" s="45"/>
      <c r="AC13" s="41"/>
    </row>
    <row r="14" spans="1:62" ht="25.5">
      <c r="A14" s="19"/>
      <c r="B14" s="357" t="s">
        <v>791</v>
      </c>
      <c r="C14" s="28">
        <f>H14</f>
        <v>12291.999999999998</v>
      </c>
      <c r="D14" s="28"/>
      <c r="E14" s="28">
        <v>0</v>
      </c>
      <c r="F14" s="28">
        <v>0</v>
      </c>
      <c r="G14" s="28">
        <v>0</v>
      </c>
      <c r="H14" s="28">
        <f>T14</f>
        <v>12291.999999999998</v>
      </c>
      <c r="I14" s="28">
        <f>0.4*C14</f>
        <v>4916.7999999999993</v>
      </c>
      <c r="J14" s="46" t="s">
        <v>15</v>
      </c>
      <c r="K14" s="46"/>
      <c r="L14" s="46"/>
      <c r="M14" s="29"/>
      <c r="N14" s="29"/>
      <c r="O14" s="28">
        <v>2945.1</v>
      </c>
      <c r="P14" s="28">
        <v>3559.7</v>
      </c>
      <c r="Q14" s="348" t="s">
        <v>26</v>
      </c>
      <c r="R14" s="348"/>
      <c r="S14" s="28">
        <v>20</v>
      </c>
      <c r="T14" s="28">
        <f>(P14-O14)*S14</f>
        <v>12291.999999999998</v>
      </c>
      <c r="U14" s="31">
        <v>182341</v>
      </c>
      <c r="V14" s="676" t="s">
        <v>27</v>
      </c>
      <c r="W14" s="47" t="s">
        <v>27</v>
      </c>
      <c r="X14" s="48"/>
      <c r="Y14" s="48"/>
      <c r="Z14" s="48"/>
      <c r="AA14" s="48"/>
      <c r="AB14" s="48"/>
      <c r="AC14" s="7"/>
    </row>
    <row r="15" spans="1:62" s="42" customFormat="1" ht="28.5" customHeight="1">
      <c r="A15" s="32"/>
      <c r="B15" s="357" t="s">
        <v>921</v>
      </c>
      <c r="C15" s="43">
        <f t="shared" ref="C15" si="0">H15+E15</f>
        <v>654</v>
      </c>
      <c r="D15" s="43"/>
      <c r="E15" s="43"/>
      <c r="F15" s="43"/>
      <c r="G15" s="43"/>
      <c r="H15" s="43">
        <f>T15</f>
        <v>654</v>
      </c>
      <c r="I15" s="43">
        <f>0.2*C15</f>
        <v>130.80000000000001</v>
      </c>
      <c r="J15" s="354"/>
      <c r="K15" s="354"/>
      <c r="L15" s="354"/>
      <c r="M15" s="355"/>
      <c r="N15" s="355"/>
      <c r="O15" s="43">
        <v>0</v>
      </c>
      <c r="P15" s="43">
        <v>654</v>
      </c>
      <c r="Q15" s="359" t="s">
        <v>33</v>
      </c>
      <c r="R15" s="359"/>
      <c r="S15" s="43">
        <v>1</v>
      </c>
      <c r="T15" s="43">
        <f>P15-O15</f>
        <v>654</v>
      </c>
      <c r="U15" s="55">
        <v>1152</v>
      </c>
      <c r="V15" s="357" t="s">
        <v>921</v>
      </c>
      <c r="W15" s="40"/>
      <c r="X15" s="45"/>
      <c r="Y15" s="45"/>
      <c r="Z15" s="45"/>
      <c r="AA15" s="45"/>
      <c r="AB15" s="45"/>
      <c r="AC15" s="41"/>
    </row>
    <row r="16" spans="1:62" ht="33" customHeight="1">
      <c r="A16" s="19"/>
      <c r="B16" s="27" t="s">
        <v>792</v>
      </c>
      <c r="C16" s="28">
        <f>H16</f>
        <v>1300</v>
      </c>
      <c r="D16" s="28"/>
      <c r="E16" s="28">
        <f>F16+G16</f>
        <v>91</v>
      </c>
      <c r="F16" s="28">
        <f>0.04*H16</f>
        <v>52</v>
      </c>
      <c r="G16" s="28">
        <f>0.03*H16</f>
        <v>39</v>
      </c>
      <c r="H16" s="28">
        <f>T16</f>
        <v>1300</v>
      </c>
      <c r="I16" s="28">
        <f>0.6*C16</f>
        <v>780</v>
      </c>
      <c r="J16" s="29"/>
      <c r="K16" s="29"/>
      <c r="L16" s="29"/>
      <c r="M16" s="29"/>
      <c r="N16" s="29"/>
      <c r="O16" s="28">
        <v>50750</v>
      </c>
      <c r="P16" s="28">
        <v>52050</v>
      </c>
      <c r="Q16" s="30"/>
      <c r="R16" s="358"/>
      <c r="S16" s="54">
        <v>1</v>
      </c>
      <c r="T16" s="28">
        <f>(P16-O16)*S16</f>
        <v>1300</v>
      </c>
      <c r="U16" s="31">
        <v>84036</v>
      </c>
      <c r="V16" s="676" t="s">
        <v>30</v>
      </c>
      <c r="W16" s="14" t="s">
        <v>31</v>
      </c>
      <c r="X16" s="48"/>
      <c r="Y16" s="48"/>
      <c r="Z16" s="48"/>
      <c r="AA16" s="48"/>
      <c r="AB16" s="48"/>
      <c r="AC16" s="7"/>
    </row>
    <row r="17" spans="1:29" ht="30" customHeight="1">
      <c r="A17" s="19"/>
      <c r="B17" s="352" t="s">
        <v>32</v>
      </c>
      <c r="C17" s="43">
        <f t="shared" ref="C17:C22" si="1">H17+E17</f>
        <v>9338</v>
      </c>
      <c r="D17" s="43"/>
      <c r="E17" s="43"/>
      <c r="F17" s="43"/>
      <c r="G17" s="43"/>
      <c r="H17" s="43">
        <f>T17</f>
        <v>9338</v>
      </c>
      <c r="I17" s="43">
        <f>0.2*C17</f>
        <v>1867.6000000000001</v>
      </c>
      <c r="J17" s="354"/>
      <c r="K17" s="354"/>
      <c r="L17" s="354"/>
      <c r="M17" s="355"/>
      <c r="N17" s="355"/>
      <c r="O17" s="43">
        <v>589705</v>
      </c>
      <c r="P17" s="43">
        <v>599043</v>
      </c>
      <c r="Q17" s="359" t="s">
        <v>33</v>
      </c>
      <c r="R17" s="359"/>
      <c r="S17" s="43">
        <v>1</v>
      </c>
      <c r="T17" s="43">
        <f>P17-O17</f>
        <v>9338</v>
      </c>
      <c r="U17" s="55">
        <v>2648</v>
      </c>
      <c r="V17" s="44" t="s">
        <v>34</v>
      </c>
      <c r="W17" s="14" t="s">
        <v>35</v>
      </c>
      <c r="X17" s="48"/>
      <c r="Y17" s="48"/>
      <c r="Z17" s="48"/>
      <c r="AA17" s="48"/>
      <c r="AB17" s="48"/>
      <c r="AC17" s="7"/>
    </row>
    <row r="18" spans="1:29" ht="28.5" customHeight="1">
      <c r="A18" s="19"/>
      <c r="B18" s="27" t="s">
        <v>36</v>
      </c>
      <c r="C18" s="28">
        <f t="shared" si="1"/>
        <v>1084.9800000000005</v>
      </c>
      <c r="D18" s="28"/>
      <c r="E18" s="28">
        <f>F18+G18</f>
        <v>0</v>
      </c>
      <c r="F18" s="28">
        <v>0</v>
      </c>
      <c r="G18" s="28">
        <v>0</v>
      </c>
      <c r="H18" s="28">
        <f>T18</f>
        <v>1084.9800000000005</v>
      </c>
      <c r="I18" s="28">
        <f>T20</f>
        <v>0</v>
      </c>
      <c r="J18" s="29"/>
      <c r="K18" s="46"/>
      <c r="L18" s="46"/>
      <c r="M18" s="29"/>
      <c r="N18" s="29"/>
      <c r="O18" s="360">
        <v>864.79449999999997</v>
      </c>
      <c r="P18" s="360">
        <v>891.91899999999998</v>
      </c>
      <c r="Q18" s="348" t="s">
        <v>37</v>
      </c>
      <c r="R18" s="348"/>
      <c r="S18" s="28">
        <v>40</v>
      </c>
      <c r="T18" s="28">
        <f>(P18-O18)*S18</f>
        <v>1084.9800000000005</v>
      </c>
      <c r="U18" s="31">
        <v>28377662</v>
      </c>
      <c r="V18" s="676" t="s">
        <v>38</v>
      </c>
      <c r="W18" s="14"/>
      <c r="X18" s="48"/>
      <c r="Y18" s="48"/>
      <c r="Z18" s="48"/>
      <c r="AA18" s="48"/>
      <c r="AB18" s="48"/>
      <c r="AC18" s="7"/>
    </row>
    <row r="19" spans="1:29" ht="28.5" customHeight="1">
      <c r="A19" s="19"/>
      <c r="B19" s="63" t="s">
        <v>36</v>
      </c>
      <c r="C19" s="49">
        <f t="shared" si="1"/>
        <v>0</v>
      </c>
      <c r="D19" s="49"/>
      <c r="E19" s="49">
        <f>F19+G19</f>
        <v>0</v>
      </c>
      <c r="F19" s="49"/>
      <c r="G19" s="49"/>
      <c r="H19" s="49"/>
      <c r="I19" s="49"/>
      <c r="J19" s="51"/>
      <c r="K19" s="50"/>
      <c r="L19" s="50"/>
      <c r="M19" s="51"/>
      <c r="N19" s="51"/>
      <c r="O19" s="49">
        <v>0.95</v>
      </c>
      <c r="P19" s="49">
        <v>0.95</v>
      </c>
      <c r="Q19" s="52"/>
      <c r="R19" s="52"/>
      <c r="S19" s="49">
        <v>40</v>
      </c>
      <c r="T19" s="49">
        <f>(P19-O19)*S19</f>
        <v>0</v>
      </c>
      <c r="U19" s="53">
        <v>28392412</v>
      </c>
      <c r="V19" s="64" t="s">
        <v>39</v>
      </c>
      <c r="W19" s="14"/>
      <c r="X19" s="48"/>
      <c r="Y19" s="48"/>
      <c r="Z19" s="48"/>
      <c r="AA19" s="48"/>
      <c r="AB19" s="48"/>
      <c r="AC19" s="7"/>
    </row>
    <row r="20" spans="1:29" ht="31.5" customHeight="1">
      <c r="A20" s="19"/>
      <c r="B20" s="27" t="s">
        <v>40</v>
      </c>
      <c r="C20" s="28">
        <f t="shared" si="1"/>
        <v>0</v>
      </c>
      <c r="D20" s="28"/>
      <c r="E20" s="28">
        <f>F20+G20</f>
        <v>0</v>
      </c>
      <c r="F20" s="28">
        <f>0.04*H20</f>
        <v>0</v>
      </c>
      <c r="G20" s="28">
        <f>0.03*H20</f>
        <v>0</v>
      </c>
      <c r="H20" s="28">
        <f>T20</f>
        <v>0</v>
      </c>
      <c r="I20" s="28">
        <f>0.6*C20</f>
        <v>0</v>
      </c>
      <c r="J20" s="29"/>
      <c r="K20" s="29"/>
      <c r="L20" s="29"/>
      <c r="M20" s="29"/>
      <c r="N20" s="29"/>
      <c r="O20" s="28">
        <f>13159+2088+1399</f>
        <v>16646</v>
      </c>
      <c r="P20" s="28">
        <f>13159+2088+1399</f>
        <v>16646</v>
      </c>
      <c r="Q20" s="30"/>
      <c r="R20" s="358"/>
      <c r="S20" s="54">
        <v>1</v>
      </c>
      <c r="T20" s="28">
        <f>(P20-O20)*S20</f>
        <v>0</v>
      </c>
      <c r="U20" s="31" t="s">
        <v>41</v>
      </c>
      <c r="V20" s="676" t="s">
        <v>42</v>
      </c>
      <c r="W20" s="14" t="s">
        <v>43</v>
      </c>
      <c r="X20" s="48"/>
      <c r="Y20" s="48"/>
      <c r="Z20" s="48"/>
      <c r="AA20" s="48"/>
      <c r="AB20" s="48"/>
      <c r="AC20" s="7"/>
    </row>
    <row r="21" spans="1:29" ht="31.5" customHeight="1">
      <c r="A21" s="19"/>
      <c r="B21" s="27" t="s">
        <v>44</v>
      </c>
      <c r="C21" s="28">
        <f t="shared" si="1"/>
        <v>16313.999999999996</v>
      </c>
      <c r="D21" s="28"/>
      <c r="E21" s="28">
        <v>0</v>
      </c>
      <c r="F21" s="28">
        <v>0</v>
      </c>
      <c r="G21" s="28">
        <v>0</v>
      </c>
      <c r="H21" s="28">
        <f>T21</f>
        <v>16313.999999999996</v>
      </c>
      <c r="I21" s="28">
        <f t="shared" ref="I21:I28" si="2">0.4*C21</f>
        <v>6525.5999999999985</v>
      </c>
      <c r="J21" s="29"/>
      <c r="K21" s="46"/>
      <c r="L21" s="46"/>
      <c r="M21" s="29"/>
      <c r="N21" s="29"/>
      <c r="O21" s="28">
        <v>2782.3</v>
      </c>
      <c r="P21" s="28">
        <v>3598</v>
      </c>
      <c r="Q21" s="61"/>
      <c r="R21" s="61"/>
      <c r="S21" s="28">
        <v>20</v>
      </c>
      <c r="T21" s="28">
        <f>(P21-O21)*S21</f>
        <v>16313.999999999996</v>
      </c>
      <c r="U21" s="31">
        <v>88154</v>
      </c>
      <c r="V21" s="676" t="s">
        <v>45</v>
      </c>
      <c r="W21" s="14" t="s">
        <v>31</v>
      </c>
      <c r="X21" s="48"/>
      <c r="Y21" s="48"/>
      <c r="Z21" s="48"/>
      <c r="AA21" s="48"/>
      <c r="AB21" s="48"/>
      <c r="AC21" s="7"/>
    </row>
    <row r="22" spans="1:29" s="42" customFormat="1" ht="24" customHeight="1">
      <c r="A22" s="32"/>
      <c r="B22" s="62" t="s">
        <v>46</v>
      </c>
      <c r="C22" s="28">
        <f t="shared" si="1"/>
        <v>153.01</v>
      </c>
      <c r="D22" s="28"/>
      <c r="E22" s="28">
        <f>F22+G22</f>
        <v>10.01</v>
      </c>
      <c r="F22" s="28">
        <f>0.04*H22</f>
        <v>5.72</v>
      </c>
      <c r="G22" s="28">
        <f>0.03*H22</f>
        <v>4.29</v>
      </c>
      <c r="H22" s="28">
        <f>T22</f>
        <v>143</v>
      </c>
      <c r="I22" s="28">
        <f>0.6*C22</f>
        <v>91.805999999999997</v>
      </c>
      <c r="J22" s="29"/>
      <c r="K22" s="29"/>
      <c r="L22" s="29"/>
      <c r="M22" s="29"/>
      <c r="N22" s="29"/>
      <c r="O22" s="28">
        <v>26532</v>
      </c>
      <c r="P22" s="28">
        <v>26675</v>
      </c>
      <c r="Q22" s="30"/>
      <c r="R22" s="358"/>
      <c r="S22" s="54">
        <v>1</v>
      </c>
      <c r="T22" s="28">
        <f>(P22-O22)*S22</f>
        <v>143</v>
      </c>
      <c r="U22" s="31">
        <v>7862</v>
      </c>
      <c r="V22" s="676" t="s">
        <v>47</v>
      </c>
      <c r="W22" s="40" t="s">
        <v>48</v>
      </c>
      <c r="X22" s="45"/>
      <c r="Y22" s="45"/>
      <c r="Z22" s="45"/>
      <c r="AA22" s="45"/>
      <c r="AB22" s="45"/>
      <c r="AC22" s="41"/>
    </row>
    <row r="23" spans="1:29" s="42" customFormat="1" ht="24.75" customHeight="1">
      <c r="A23" s="32"/>
      <c r="B23" s="352"/>
      <c r="C23" s="521"/>
      <c r="D23" s="43"/>
      <c r="E23" s="43"/>
      <c r="F23" s="43"/>
      <c r="G23" s="43"/>
      <c r="H23" s="43"/>
      <c r="I23" s="521"/>
      <c r="J23" s="354"/>
      <c r="K23" s="354"/>
      <c r="L23" s="354"/>
      <c r="M23" s="355"/>
      <c r="N23" s="355"/>
      <c r="O23" s="43"/>
      <c r="P23" s="43"/>
      <c r="Q23" s="522"/>
      <c r="R23" s="522"/>
      <c r="S23" s="43"/>
      <c r="T23" s="43"/>
      <c r="U23" s="513"/>
      <c r="V23" s="44" t="s">
        <v>15</v>
      </c>
      <c r="W23" s="40"/>
      <c r="X23" s="41"/>
      <c r="Y23" s="41"/>
      <c r="Z23" s="41"/>
      <c r="AA23" s="41"/>
      <c r="AB23" s="41"/>
      <c r="AC23" s="41"/>
    </row>
    <row r="24" spans="1:29" s="42" customFormat="1" ht="26.25" customHeight="1">
      <c r="A24" s="32"/>
      <c r="B24" s="352"/>
      <c r="C24" s="521"/>
      <c r="D24" s="43"/>
      <c r="E24" s="43"/>
      <c r="F24" s="43"/>
      <c r="G24" s="43"/>
      <c r="H24" s="43"/>
      <c r="I24" s="521"/>
      <c r="J24" s="354"/>
      <c r="K24" s="354"/>
      <c r="L24" s="354"/>
      <c r="M24" s="355"/>
      <c r="N24" s="355"/>
      <c r="O24" s="43"/>
      <c r="P24" s="43"/>
      <c r="Q24" s="522"/>
      <c r="R24" s="522"/>
      <c r="S24" s="43"/>
      <c r="T24" s="43"/>
      <c r="U24" s="513"/>
      <c r="V24" s="44"/>
      <c r="W24" s="40"/>
      <c r="X24" s="41"/>
      <c r="Y24" s="41"/>
      <c r="Z24" s="41"/>
      <c r="AA24" s="41"/>
      <c r="AB24" s="41"/>
      <c r="AC24" s="41"/>
    </row>
    <row r="25" spans="1:29" ht="25.5">
      <c r="A25" s="19"/>
      <c r="B25" s="27" t="s">
        <v>49</v>
      </c>
      <c r="C25" s="28">
        <f t="shared" ref="C25:C30" si="3">H25+E25</f>
        <v>30480.000000001746</v>
      </c>
      <c r="D25" s="28"/>
      <c r="E25" s="28">
        <v>0</v>
      </c>
      <c r="F25" s="28">
        <v>0</v>
      </c>
      <c r="G25" s="28">
        <v>0</v>
      </c>
      <c r="H25" s="28">
        <f>T25</f>
        <v>30480.000000001746</v>
      </c>
      <c r="I25" s="28">
        <f t="shared" si="2"/>
        <v>12192.000000000698</v>
      </c>
      <c r="J25" s="46"/>
      <c r="K25" s="46"/>
      <c r="L25" s="46"/>
      <c r="M25" s="29"/>
      <c r="N25" s="29"/>
      <c r="O25" s="28">
        <v>47402.2</v>
      </c>
      <c r="P25" s="28">
        <v>47503.8</v>
      </c>
      <c r="Q25" s="348" t="s">
        <v>50</v>
      </c>
      <c r="R25" s="348"/>
      <c r="S25" s="28">
        <v>300</v>
      </c>
      <c r="T25" s="28">
        <f>(P25-O25)*S25</f>
        <v>30480.000000001746</v>
      </c>
      <c r="U25" s="31" t="s">
        <v>51</v>
      </c>
      <c r="V25" s="676" t="s">
        <v>52</v>
      </c>
      <c r="W25" s="14" t="s">
        <v>53</v>
      </c>
      <c r="X25" s="7"/>
      <c r="Y25" s="7"/>
      <c r="Z25" s="7"/>
      <c r="AA25" s="7"/>
      <c r="AB25" s="7"/>
      <c r="AC25" s="7"/>
    </row>
    <row r="26" spans="1:29" s="42" customFormat="1" ht="24" customHeight="1">
      <c r="A26" s="32"/>
      <c r="B26" s="352"/>
      <c r="C26" s="43"/>
      <c r="D26" s="43"/>
      <c r="E26" s="43"/>
      <c r="F26" s="43"/>
      <c r="G26" s="43"/>
      <c r="H26" s="43"/>
      <c r="I26" s="43"/>
      <c r="J26" s="354"/>
      <c r="K26" s="354"/>
      <c r="L26" s="354"/>
      <c r="M26" s="355"/>
      <c r="N26" s="355"/>
      <c r="O26" s="435"/>
      <c r="P26" s="435"/>
      <c r="Q26" s="436"/>
      <c r="R26" s="356"/>
      <c r="S26" s="435"/>
      <c r="T26" s="435"/>
      <c r="U26" s="55"/>
      <c r="V26" s="44"/>
      <c r="W26" s="40"/>
      <c r="X26" s="41"/>
      <c r="Y26" s="41"/>
      <c r="Z26" s="41"/>
      <c r="AA26" s="41"/>
      <c r="AB26" s="41"/>
      <c r="AC26" s="41"/>
    </row>
    <row r="27" spans="1:29" s="68" customFormat="1" ht="55.5" customHeight="1">
      <c r="A27" s="65"/>
      <c r="B27" s="352" t="s">
        <v>54</v>
      </c>
      <c r="C27" s="28">
        <f t="shared" si="3"/>
        <v>6023.9999999999782</v>
      </c>
      <c r="D27" s="28"/>
      <c r="E27" s="28">
        <v>0</v>
      </c>
      <c r="F27" s="28">
        <v>0</v>
      </c>
      <c r="G27" s="28">
        <v>0</v>
      </c>
      <c r="H27" s="28">
        <f t="shared" ref="H27:H33" si="4">T27</f>
        <v>6023.9999999999782</v>
      </c>
      <c r="I27" s="28">
        <f t="shared" si="2"/>
        <v>2409.5999999999913</v>
      </c>
      <c r="J27" s="46"/>
      <c r="K27" s="46"/>
      <c r="L27" s="46"/>
      <c r="M27" s="29"/>
      <c r="N27" s="29"/>
      <c r="O27" s="28">
        <v>3268</v>
      </c>
      <c r="P27" s="28">
        <v>3318.2</v>
      </c>
      <c r="Q27" s="30"/>
      <c r="R27" s="361"/>
      <c r="S27" s="28">
        <v>120</v>
      </c>
      <c r="T27" s="28">
        <f>(P27-O27)*S27</f>
        <v>6023.9999999999782</v>
      </c>
      <c r="U27" s="362">
        <v>470</v>
      </c>
      <c r="V27" s="676" t="s">
        <v>52</v>
      </c>
      <c r="W27" s="66" t="s">
        <v>48</v>
      </c>
      <c r="X27" s="67"/>
      <c r="Y27" s="67"/>
      <c r="Z27" s="67"/>
      <c r="AA27" s="67"/>
      <c r="AB27" s="67"/>
      <c r="AC27" s="67"/>
    </row>
    <row r="28" spans="1:29" ht="50.25" customHeight="1">
      <c r="A28" s="19"/>
      <c r="B28" s="357" t="s">
        <v>55</v>
      </c>
      <c r="C28" s="28">
        <f t="shared" si="3"/>
        <v>660.00000000024011</v>
      </c>
      <c r="D28" s="28"/>
      <c r="E28" s="28">
        <v>0</v>
      </c>
      <c r="F28" s="28">
        <v>0</v>
      </c>
      <c r="G28" s="28">
        <v>0</v>
      </c>
      <c r="H28" s="28">
        <f t="shared" si="4"/>
        <v>660.00000000024011</v>
      </c>
      <c r="I28" s="28">
        <f t="shared" si="2"/>
        <v>264.00000000009607</v>
      </c>
      <c r="J28" s="46"/>
      <c r="K28" s="46"/>
      <c r="L28" s="46"/>
      <c r="M28" s="29"/>
      <c r="N28" s="29"/>
      <c r="O28" s="28">
        <v>14875.8</v>
      </c>
      <c r="P28" s="28">
        <v>14965.5</v>
      </c>
      <c r="Q28" s="30"/>
      <c r="R28" s="361"/>
      <c r="S28" s="28">
        <v>300</v>
      </c>
      <c r="T28" s="28">
        <f>(P28-O28)*S28-T32-T27</f>
        <v>660.00000000024011</v>
      </c>
      <c r="U28" s="31" t="s">
        <v>56</v>
      </c>
      <c r="V28" s="676" t="s">
        <v>52</v>
      </c>
      <c r="W28" s="14" t="s">
        <v>57</v>
      </c>
      <c r="X28" s="7"/>
      <c r="Y28" s="7"/>
      <c r="Z28" s="7"/>
      <c r="AA28" s="7"/>
      <c r="AB28" s="7"/>
      <c r="AC28" s="7"/>
    </row>
    <row r="29" spans="1:29" s="42" customFormat="1" ht="24" customHeight="1">
      <c r="A29" s="32"/>
      <c r="B29" s="523" t="s">
        <v>58</v>
      </c>
      <c r="C29" s="524">
        <f t="shared" si="3"/>
        <v>0</v>
      </c>
      <c r="D29" s="524"/>
      <c r="E29" s="524">
        <v>0</v>
      </c>
      <c r="F29" s="524">
        <v>0</v>
      </c>
      <c r="G29" s="524">
        <v>0</v>
      </c>
      <c r="H29" s="524">
        <f t="shared" si="4"/>
        <v>0</v>
      </c>
      <c r="I29" s="524">
        <f>0.4*C29</f>
        <v>0</v>
      </c>
      <c r="J29" s="525"/>
      <c r="K29" s="525"/>
      <c r="L29" s="525"/>
      <c r="M29" s="526"/>
      <c r="N29" s="526"/>
      <c r="O29" s="524">
        <v>2357</v>
      </c>
      <c r="P29" s="524">
        <v>2357</v>
      </c>
      <c r="Q29" s="527"/>
      <c r="R29" s="528"/>
      <c r="S29" s="524">
        <v>300</v>
      </c>
      <c r="T29" s="524">
        <f>(P29-O29)*S29</f>
        <v>0</v>
      </c>
      <c r="U29" s="529" t="s">
        <v>59</v>
      </c>
      <c r="V29" s="530" t="s">
        <v>52</v>
      </c>
      <c r="W29" s="40"/>
      <c r="X29" s="41"/>
      <c r="Y29" s="41"/>
      <c r="Z29" s="41"/>
      <c r="AA29" s="41"/>
      <c r="AB29" s="41"/>
      <c r="AC29" s="41"/>
    </row>
    <row r="30" spans="1:29" ht="30" customHeight="1">
      <c r="A30" s="19"/>
      <c r="B30" s="27" t="s">
        <v>793</v>
      </c>
      <c r="C30" s="28">
        <f t="shared" si="3"/>
        <v>21982.336799999677</v>
      </c>
      <c r="D30" s="28"/>
      <c r="E30" s="28">
        <f>F30+G30</f>
        <v>1438.0967999999789</v>
      </c>
      <c r="F30" s="28">
        <f>0.04*H30</f>
        <v>821.76959999998803</v>
      </c>
      <c r="G30" s="28">
        <f>0.03*H30</f>
        <v>616.32719999999097</v>
      </c>
      <c r="H30" s="28">
        <f t="shared" si="4"/>
        <v>20544.2399999997</v>
      </c>
      <c r="I30" s="28">
        <f>T31</f>
        <v>54752.000000000116</v>
      </c>
      <c r="J30" s="46"/>
      <c r="K30" s="46"/>
      <c r="L30" s="46"/>
      <c r="M30" s="29"/>
      <c r="N30" s="29"/>
      <c r="O30" s="28">
        <v>40890.427000000003</v>
      </c>
      <c r="P30" s="28">
        <v>41232.830999999998</v>
      </c>
      <c r="Q30" s="30"/>
      <c r="R30" s="71"/>
      <c r="S30" s="28">
        <v>60</v>
      </c>
      <c r="T30" s="28">
        <f>(P30-O30)*S30</f>
        <v>20544.2399999997</v>
      </c>
      <c r="U30" s="31" t="s">
        <v>60</v>
      </c>
      <c r="V30" s="676" t="s">
        <v>61</v>
      </c>
      <c r="W30" s="14" t="s">
        <v>57</v>
      </c>
      <c r="X30" s="7"/>
      <c r="Y30" s="7"/>
      <c r="Z30" s="7"/>
      <c r="AA30" s="7"/>
      <c r="AB30" s="7"/>
      <c r="AC30" s="7"/>
    </row>
    <row r="31" spans="1:29" ht="25.5">
      <c r="A31" s="19"/>
      <c r="B31" s="27" t="s">
        <v>62</v>
      </c>
      <c r="C31" s="28">
        <f>T31</f>
        <v>54752.000000000116</v>
      </c>
      <c r="D31" s="28"/>
      <c r="E31" s="28">
        <f>F31+G31</f>
        <v>3832.6400000000085</v>
      </c>
      <c r="F31" s="28">
        <f>0.04*H31</f>
        <v>2190.0800000000049</v>
      </c>
      <c r="G31" s="28">
        <f>0.03*H31</f>
        <v>1642.5600000000034</v>
      </c>
      <c r="H31" s="28">
        <f t="shared" si="4"/>
        <v>54752.000000000116</v>
      </c>
      <c r="I31" s="28">
        <f>0.6*C31</f>
        <v>32851.20000000007</v>
      </c>
      <c r="J31" s="29"/>
      <c r="K31" s="29"/>
      <c r="L31" s="29"/>
      <c r="M31" s="29"/>
      <c r="N31" s="29"/>
      <c r="O31" s="28">
        <v>8393.9</v>
      </c>
      <c r="P31" s="28">
        <v>8736.1</v>
      </c>
      <c r="Q31" s="30"/>
      <c r="R31" s="358"/>
      <c r="S31" s="54">
        <v>160</v>
      </c>
      <c r="T31" s="28">
        <f>(P31-O31)*S31</f>
        <v>54752.000000000116</v>
      </c>
      <c r="U31" s="31">
        <v>4435</v>
      </c>
      <c r="V31" s="676" t="s">
        <v>63</v>
      </c>
      <c r="W31" s="14" t="s">
        <v>53</v>
      </c>
      <c r="X31" s="7"/>
      <c r="Y31" s="7"/>
      <c r="Z31" s="7"/>
      <c r="AA31" s="7"/>
      <c r="AB31" s="7"/>
      <c r="AC31" s="7"/>
    </row>
    <row r="32" spans="1:29" ht="51" customHeight="1">
      <c r="A32" s="19"/>
      <c r="B32" s="363" t="s">
        <v>794</v>
      </c>
      <c r="C32" s="28">
        <f>H32+E32</f>
        <v>21641.82</v>
      </c>
      <c r="D32" s="28"/>
      <c r="E32" s="28">
        <f>F32+G32</f>
        <v>1415.82</v>
      </c>
      <c r="F32" s="28">
        <f>0.04*H32</f>
        <v>809.04</v>
      </c>
      <c r="G32" s="28">
        <f>0.03*H32</f>
        <v>606.78</v>
      </c>
      <c r="H32" s="28">
        <f t="shared" si="4"/>
        <v>20226</v>
      </c>
      <c r="I32" s="72">
        <f>T33-I34</f>
        <v>1575</v>
      </c>
      <c r="J32" s="46"/>
      <c r="K32" s="46"/>
      <c r="L32" s="46"/>
      <c r="M32" s="29"/>
      <c r="N32" s="29"/>
      <c r="O32" s="28">
        <v>16.2</v>
      </c>
      <c r="P32" s="28">
        <v>353.3</v>
      </c>
      <c r="Q32" s="30"/>
      <c r="R32" s="71"/>
      <c r="S32" s="28">
        <v>60</v>
      </c>
      <c r="T32" s="28">
        <f>(P32-O32)*S32</f>
        <v>20226</v>
      </c>
      <c r="U32" s="31">
        <v>18628</v>
      </c>
      <c r="V32" s="676" t="s">
        <v>795</v>
      </c>
      <c r="W32" s="73" t="s">
        <v>57</v>
      </c>
      <c r="X32" s="74"/>
      <c r="Y32" s="74"/>
      <c r="Z32" s="74"/>
      <c r="AA32" s="75"/>
      <c r="AB32" s="7"/>
      <c r="AC32" s="7"/>
    </row>
    <row r="33" spans="1:29" ht="25.5">
      <c r="A33" s="19"/>
      <c r="B33" s="62" t="s">
        <v>64</v>
      </c>
      <c r="C33" s="28">
        <f>H33+E33</f>
        <v>1685.25</v>
      </c>
      <c r="D33" s="28"/>
      <c r="E33" s="28">
        <f>F33+G33</f>
        <v>110.25</v>
      </c>
      <c r="F33" s="28">
        <f>0.04*H33</f>
        <v>63</v>
      </c>
      <c r="G33" s="28">
        <f>0.03*H33</f>
        <v>47.25</v>
      </c>
      <c r="H33" s="28">
        <f t="shared" si="4"/>
        <v>1575</v>
      </c>
      <c r="I33" s="28">
        <f>0.6*C33</f>
        <v>1011.15</v>
      </c>
      <c r="J33" s="29"/>
      <c r="K33" s="29"/>
      <c r="L33" s="29"/>
      <c r="M33" s="29"/>
      <c r="N33" s="29"/>
      <c r="O33" s="28">
        <v>26120</v>
      </c>
      <c r="P33" s="28">
        <v>27695</v>
      </c>
      <c r="Q33" s="30"/>
      <c r="R33" s="358"/>
      <c r="S33" s="54">
        <v>1</v>
      </c>
      <c r="T33" s="28">
        <f>(P33-O33)*S33</f>
        <v>1575</v>
      </c>
      <c r="U33" s="31"/>
      <c r="V33" s="676" t="s">
        <v>65</v>
      </c>
      <c r="W33" s="14" t="s">
        <v>48</v>
      </c>
      <c r="X33" s="7"/>
      <c r="Y33" s="7"/>
      <c r="Z33" s="7"/>
      <c r="AA33" s="7"/>
      <c r="AB33" s="7"/>
      <c r="AC33" s="7"/>
    </row>
    <row r="34" spans="1:29" s="42" customFormat="1" ht="31.5" customHeight="1">
      <c r="A34" s="32"/>
      <c r="B34" s="33"/>
      <c r="C34" s="34"/>
      <c r="D34" s="34"/>
      <c r="E34" s="34"/>
      <c r="F34" s="34"/>
      <c r="G34" s="34"/>
      <c r="H34" s="34"/>
      <c r="I34" s="34"/>
      <c r="J34" s="35"/>
      <c r="K34" s="35"/>
      <c r="L34" s="35"/>
      <c r="M34" s="36"/>
      <c r="N34" s="36"/>
      <c r="O34" s="34"/>
      <c r="P34" s="34"/>
      <c r="Q34" s="437"/>
      <c r="R34" s="37"/>
      <c r="S34" s="34"/>
      <c r="T34" s="34"/>
      <c r="U34" s="38"/>
      <c r="V34" s="39"/>
      <c r="W34" s="40"/>
      <c r="X34" s="41"/>
      <c r="Y34" s="41"/>
      <c r="Z34" s="41"/>
      <c r="AA34" s="41"/>
      <c r="AB34" s="41"/>
      <c r="AC34" s="41"/>
    </row>
    <row r="35" spans="1:29" s="68" customFormat="1" ht="31.5" customHeight="1">
      <c r="A35" s="65"/>
      <c r="B35" s="352" t="s">
        <v>682</v>
      </c>
      <c r="C35" s="28">
        <f t="shared" ref="C35:C40" si="5">H35+E35</f>
        <v>410</v>
      </c>
      <c r="D35" s="28"/>
      <c r="E35" s="28">
        <v>0</v>
      </c>
      <c r="F35" s="28">
        <v>0</v>
      </c>
      <c r="G35" s="28">
        <v>0</v>
      </c>
      <c r="H35" s="28">
        <f>T35</f>
        <v>410</v>
      </c>
      <c r="I35" s="28">
        <f t="shared" ref="I35:I43" si="6">0.4*C35</f>
        <v>164</v>
      </c>
      <c r="J35" s="46"/>
      <c r="K35" s="46"/>
      <c r="L35" s="46"/>
      <c r="M35" s="29"/>
      <c r="N35" s="29"/>
      <c r="O35" s="28">
        <v>5132</v>
      </c>
      <c r="P35" s="28">
        <v>5542</v>
      </c>
      <c r="Q35" s="30"/>
      <c r="R35" s="361"/>
      <c r="S35" s="28">
        <v>1</v>
      </c>
      <c r="T35" s="28">
        <f>(P35-O35)*S35</f>
        <v>410</v>
      </c>
      <c r="U35" s="55">
        <v>9051</v>
      </c>
      <c r="V35" s="44" t="s">
        <v>683</v>
      </c>
      <c r="W35" s="66"/>
      <c r="X35" s="67"/>
      <c r="Y35" s="67"/>
      <c r="Z35" s="67"/>
      <c r="AA35" s="67"/>
      <c r="AB35" s="67"/>
      <c r="AC35" s="67"/>
    </row>
    <row r="36" spans="1:29" ht="30" customHeight="1">
      <c r="A36" s="19"/>
      <c r="B36" s="27" t="s">
        <v>66</v>
      </c>
      <c r="C36" s="28">
        <f t="shared" si="5"/>
        <v>12731.000000000058</v>
      </c>
      <c r="D36" s="28"/>
      <c r="E36" s="28">
        <v>0</v>
      </c>
      <c r="F36" s="28">
        <v>0</v>
      </c>
      <c r="G36" s="28">
        <v>0</v>
      </c>
      <c r="H36" s="28">
        <f>T36</f>
        <v>12731.000000000058</v>
      </c>
      <c r="I36" s="28">
        <f t="shared" si="6"/>
        <v>5092.4000000000233</v>
      </c>
      <c r="J36" s="46"/>
      <c r="K36" s="46"/>
      <c r="L36" s="46"/>
      <c r="M36" s="29"/>
      <c r="N36" s="29"/>
      <c r="O36" s="28">
        <v>28939</v>
      </c>
      <c r="P36" s="28">
        <v>29108.7</v>
      </c>
      <c r="Q36" s="30"/>
      <c r="R36" s="351"/>
      <c r="S36" s="28">
        <v>80</v>
      </c>
      <c r="T36" s="28">
        <f>(P36-O36)*S36-T35-T271-T272-T270-T279-T280-T282-T284</f>
        <v>12731.000000000058</v>
      </c>
      <c r="U36" s="31">
        <v>81596396</v>
      </c>
      <c r="V36" s="676" t="s">
        <v>61</v>
      </c>
      <c r="W36" s="14" t="s">
        <v>57</v>
      </c>
      <c r="X36" s="7"/>
      <c r="Y36" s="7"/>
      <c r="Z36" s="7"/>
      <c r="AA36" s="7"/>
      <c r="AB36" s="7"/>
      <c r="AC36" s="7"/>
    </row>
    <row r="37" spans="1:29" ht="30" customHeight="1">
      <c r="A37" s="19"/>
      <c r="B37" s="27" t="s">
        <v>67</v>
      </c>
      <c r="C37" s="28">
        <f t="shared" si="5"/>
        <v>186.18</v>
      </c>
      <c r="D37" s="28"/>
      <c r="E37" s="28">
        <f>F37+G37</f>
        <v>12.18</v>
      </c>
      <c r="F37" s="28">
        <f>0.04*H37</f>
        <v>6.96</v>
      </c>
      <c r="G37" s="28">
        <f>0.03*H37</f>
        <v>5.22</v>
      </c>
      <c r="H37" s="28">
        <f>T37</f>
        <v>174</v>
      </c>
      <c r="I37" s="28">
        <f>0.6*C37</f>
        <v>111.708</v>
      </c>
      <c r="J37" s="29"/>
      <c r="K37" s="29"/>
      <c r="L37" s="29"/>
      <c r="M37" s="29"/>
      <c r="N37" s="29"/>
      <c r="O37" s="28">
        <v>78548</v>
      </c>
      <c r="P37" s="28">
        <v>78722</v>
      </c>
      <c r="Q37" s="30"/>
      <c r="R37" s="358"/>
      <c r="S37" s="54">
        <v>1</v>
      </c>
      <c r="T37" s="28">
        <f>(P37-O37)*S37</f>
        <v>174</v>
      </c>
      <c r="U37" s="364">
        <v>15737.0376</v>
      </c>
      <c r="V37" s="676" t="s">
        <v>68</v>
      </c>
      <c r="W37" s="14" t="s">
        <v>57</v>
      </c>
      <c r="X37" s="7"/>
      <c r="Y37" s="7"/>
      <c r="Z37" s="7"/>
      <c r="AA37" s="7"/>
      <c r="AB37" s="7"/>
      <c r="AC37" s="7"/>
    </row>
    <row r="38" spans="1:29" ht="28.5" customHeight="1">
      <c r="A38" s="19"/>
      <c r="B38" s="320"/>
      <c r="C38" s="321"/>
      <c r="D38" s="321"/>
      <c r="E38" s="321"/>
      <c r="F38" s="321"/>
      <c r="G38" s="321"/>
      <c r="H38" s="321"/>
      <c r="I38" s="321"/>
      <c r="J38" s="322"/>
      <c r="K38" s="322"/>
      <c r="L38" s="322"/>
      <c r="M38" s="323"/>
      <c r="N38" s="323"/>
      <c r="O38" s="324"/>
      <c r="P38" s="324"/>
      <c r="Q38" s="325"/>
      <c r="R38" s="326"/>
      <c r="S38" s="321"/>
      <c r="T38" s="321"/>
      <c r="U38" s="327"/>
      <c r="V38" s="328"/>
      <c r="W38" s="14" t="s">
        <v>48</v>
      </c>
      <c r="X38" s="7"/>
      <c r="Y38" s="7"/>
      <c r="Z38" s="7"/>
      <c r="AA38" s="7"/>
      <c r="AB38" s="7"/>
      <c r="AC38" s="7"/>
    </row>
    <row r="39" spans="1:29" ht="60" customHeight="1">
      <c r="A39" s="19"/>
      <c r="B39" s="27" t="s">
        <v>69</v>
      </c>
      <c r="C39" s="28">
        <f t="shared" si="5"/>
        <v>1645.6600000000155</v>
      </c>
      <c r="D39" s="28"/>
      <c r="E39" s="28">
        <f>F39+G39</f>
        <v>107.66000000000102</v>
      </c>
      <c r="F39" s="28">
        <f>0.04*H39</f>
        <v>61.520000000000586</v>
      </c>
      <c r="G39" s="77">
        <f>0.03*H39</f>
        <v>46.140000000000434</v>
      </c>
      <c r="H39" s="28">
        <f>T39-H214-H216-H215-H213-H188-H169-H232-H233</f>
        <v>1538.0000000000146</v>
      </c>
      <c r="I39" s="28">
        <f t="shared" si="6"/>
        <v>658.26400000000626</v>
      </c>
      <c r="J39" s="46"/>
      <c r="K39" s="46"/>
      <c r="L39" s="46"/>
      <c r="M39" s="29"/>
      <c r="N39" s="29"/>
      <c r="O39" s="365">
        <v>15780.5</v>
      </c>
      <c r="P39" s="365">
        <v>15936.6</v>
      </c>
      <c r="Q39" s="30"/>
      <c r="R39" s="348"/>
      <c r="S39" s="28">
        <v>40</v>
      </c>
      <c r="T39" s="28">
        <f>(P39-O39)*S39</f>
        <v>6244.0000000000146</v>
      </c>
      <c r="U39" s="31">
        <v>81596438</v>
      </c>
      <c r="V39" s="676" t="s">
        <v>796</v>
      </c>
      <c r="W39" s="14" t="s">
        <v>48</v>
      </c>
      <c r="X39" s="7"/>
      <c r="Y39" s="7"/>
      <c r="Z39" s="7"/>
      <c r="AA39" s="7"/>
      <c r="AB39" s="7"/>
      <c r="AC39" s="7"/>
    </row>
    <row r="40" spans="1:29" ht="30" customHeight="1">
      <c r="A40" s="19"/>
      <c r="B40" s="27" t="s">
        <v>70</v>
      </c>
      <c r="C40" s="28">
        <f t="shared" si="5"/>
        <v>1046.46</v>
      </c>
      <c r="D40" s="28"/>
      <c r="E40" s="28">
        <f>F40+G40</f>
        <v>68.459999999999994</v>
      </c>
      <c r="F40" s="28">
        <f>0.04*H40</f>
        <v>39.119999999999997</v>
      </c>
      <c r="G40" s="77">
        <f>0.03*H40</f>
        <v>29.34</v>
      </c>
      <c r="H40" s="28">
        <f>T40-T232</f>
        <v>978</v>
      </c>
      <c r="I40" s="28">
        <f t="shared" si="6"/>
        <v>418.58400000000006</v>
      </c>
      <c r="J40" s="46"/>
      <c r="K40" s="46"/>
      <c r="L40" s="46"/>
      <c r="M40" s="29"/>
      <c r="N40" s="29"/>
      <c r="O40" s="28">
        <v>34980</v>
      </c>
      <c r="P40" s="28">
        <v>35054</v>
      </c>
      <c r="Q40" s="30"/>
      <c r="R40" s="348"/>
      <c r="S40" s="28">
        <v>40</v>
      </c>
      <c r="T40" s="28">
        <f>(P40-O40)*S40</f>
        <v>2960</v>
      </c>
      <c r="U40" s="31">
        <v>218822</v>
      </c>
      <c r="V40" s="676" t="s">
        <v>797</v>
      </c>
      <c r="W40" s="78" t="s">
        <v>48</v>
      </c>
      <c r="X40" s="7"/>
      <c r="Y40" s="7"/>
      <c r="Z40" s="7"/>
      <c r="AA40" s="7"/>
      <c r="AB40" s="7"/>
      <c r="AC40" s="7"/>
    </row>
    <row r="41" spans="1:29" ht="51" customHeight="1">
      <c r="A41" s="19"/>
      <c r="B41" s="89" t="s">
        <v>775</v>
      </c>
      <c r="C41" s="84">
        <f>H41</f>
        <v>1141</v>
      </c>
      <c r="D41" s="85"/>
      <c r="E41" s="84">
        <f>F41+G41</f>
        <v>79.87</v>
      </c>
      <c r="F41" s="84">
        <f>0.04*H41</f>
        <v>45.64</v>
      </c>
      <c r="G41" s="84">
        <f>0.03*H41</f>
        <v>34.229999999999997</v>
      </c>
      <c r="H41" s="85">
        <f t="shared" ref="H41:H49" si="7">T41</f>
        <v>1141</v>
      </c>
      <c r="I41" s="484">
        <f>C41*0.4</f>
        <v>456.40000000000003</v>
      </c>
      <c r="J41" s="131"/>
      <c r="K41" s="131"/>
      <c r="L41" s="131"/>
      <c r="M41" s="131"/>
      <c r="N41" s="131"/>
      <c r="O41" s="85">
        <v>20488</v>
      </c>
      <c r="P41" s="85">
        <v>21629</v>
      </c>
      <c r="Q41" s="544"/>
      <c r="R41" s="545"/>
      <c r="S41" s="545">
        <v>1</v>
      </c>
      <c r="T41" s="85">
        <f t="shared" ref="T41:T47" si="8">(P41-O41)*S41</f>
        <v>1141</v>
      </c>
      <c r="U41" s="88">
        <v>2406</v>
      </c>
      <c r="V41" s="89" t="s">
        <v>776</v>
      </c>
      <c r="W41" s="14"/>
      <c r="X41" s="7"/>
      <c r="Y41" s="7"/>
      <c r="Z41" s="7"/>
      <c r="AA41" s="7"/>
      <c r="AB41" s="7"/>
      <c r="AC41" s="7"/>
    </row>
    <row r="42" spans="1:29" ht="24.75" customHeight="1">
      <c r="A42" s="19"/>
      <c r="B42" s="366" t="s">
        <v>71</v>
      </c>
      <c r="C42" s="28">
        <f>H42</f>
        <v>2253</v>
      </c>
      <c r="D42" s="77"/>
      <c r="E42" s="28">
        <f>F42+G42</f>
        <v>157.71</v>
      </c>
      <c r="F42" s="28">
        <f>0.04*H42</f>
        <v>90.12</v>
      </c>
      <c r="G42" s="28">
        <f>0.03*H42</f>
        <v>67.59</v>
      </c>
      <c r="H42" s="77">
        <f t="shared" si="7"/>
        <v>2253</v>
      </c>
      <c r="I42" s="365">
        <f>C42*0.4</f>
        <v>901.2</v>
      </c>
      <c r="J42" s="46"/>
      <c r="K42" s="46"/>
      <c r="L42" s="46"/>
      <c r="M42" s="46"/>
      <c r="N42" s="46"/>
      <c r="O42" s="77">
        <v>36263</v>
      </c>
      <c r="P42" s="77">
        <v>38516</v>
      </c>
      <c r="Q42" s="79"/>
      <c r="R42" s="80"/>
      <c r="S42" s="80">
        <v>1</v>
      </c>
      <c r="T42" s="77">
        <f t="shared" si="8"/>
        <v>2253</v>
      </c>
      <c r="U42" s="31">
        <v>6249</v>
      </c>
      <c r="V42" s="676" t="s">
        <v>72</v>
      </c>
      <c r="W42" s="14" t="s">
        <v>48</v>
      </c>
      <c r="X42" s="7"/>
      <c r="Y42" s="7"/>
      <c r="Z42" s="7"/>
      <c r="AA42" s="7"/>
      <c r="AB42" s="7"/>
      <c r="AC42" s="7"/>
    </row>
    <row r="43" spans="1:29" ht="33" customHeight="1">
      <c r="A43" s="19"/>
      <c r="B43" s="27" t="s">
        <v>73</v>
      </c>
      <c r="C43" s="28">
        <f>H43</f>
        <v>670</v>
      </c>
      <c r="D43" s="28"/>
      <c r="E43" s="28"/>
      <c r="F43" s="28"/>
      <c r="G43" s="77">
        <v>0</v>
      </c>
      <c r="H43" s="28">
        <f t="shared" si="7"/>
        <v>670</v>
      </c>
      <c r="I43" s="28">
        <f t="shared" si="6"/>
        <v>268</v>
      </c>
      <c r="J43" s="28">
        <f>0.55*D43</f>
        <v>0</v>
      </c>
      <c r="K43" s="28">
        <f>0.55*E43</f>
        <v>0</v>
      </c>
      <c r="L43" s="28">
        <f>0.55*F43</f>
        <v>0</v>
      </c>
      <c r="M43" s="28">
        <f>0.55*G43</f>
        <v>0</v>
      </c>
      <c r="N43" s="28">
        <f>0.55*H43</f>
        <v>368.50000000000006</v>
      </c>
      <c r="O43" s="28">
        <v>45580</v>
      </c>
      <c r="P43" s="28">
        <v>46250</v>
      </c>
      <c r="Q43" s="30"/>
      <c r="R43" s="351"/>
      <c r="S43" s="28">
        <v>1</v>
      </c>
      <c r="T43" s="28">
        <f t="shared" si="8"/>
        <v>670</v>
      </c>
      <c r="U43" s="31" t="s">
        <v>74</v>
      </c>
      <c r="V43" s="676" t="s">
        <v>75</v>
      </c>
      <c r="W43" s="47" t="s">
        <v>57</v>
      </c>
      <c r="X43" s="7"/>
      <c r="Y43" s="7"/>
      <c r="Z43" s="7"/>
      <c r="AA43" s="7"/>
      <c r="AB43" s="7"/>
      <c r="AC43" s="7"/>
    </row>
    <row r="44" spans="1:29" ht="27.75" customHeight="1">
      <c r="A44" s="19"/>
      <c r="B44" s="367" t="s">
        <v>76</v>
      </c>
      <c r="C44" s="72">
        <f>H44+E44</f>
        <v>19225.97399999914</v>
      </c>
      <c r="D44" s="72"/>
      <c r="E44" s="72">
        <f>F44+G44</f>
        <v>1257.7739999999437</v>
      </c>
      <c r="F44" s="72">
        <f>0.04*H44</f>
        <v>718.72799999996789</v>
      </c>
      <c r="G44" s="72">
        <f>0.03*H44</f>
        <v>539.04599999997583</v>
      </c>
      <c r="H44" s="72">
        <f t="shared" si="7"/>
        <v>17968.199999999197</v>
      </c>
      <c r="I44" s="72">
        <f>T492</f>
        <v>0</v>
      </c>
      <c r="J44" s="81"/>
      <c r="K44" s="81"/>
      <c r="L44" s="81"/>
      <c r="M44" s="81"/>
      <c r="N44" s="81"/>
      <c r="O44" s="28">
        <v>40081.588000000003</v>
      </c>
      <c r="P44" s="28">
        <v>40231.322999999997</v>
      </c>
      <c r="Q44" s="29" t="s">
        <v>33</v>
      </c>
      <c r="R44" s="348"/>
      <c r="S44" s="54">
        <v>120</v>
      </c>
      <c r="T44" s="28">
        <f t="shared" si="8"/>
        <v>17968.199999999197</v>
      </c>
      <c r="U44" s="31">
        <v>42000</v>
      </c>
      <c r="V44" s="676" t="s">
        <v>77</v>
      </c>
      <c r="W44" s="82" t="s">
        <v>57</v>
      </c>
      <c r="X44" s="7"/>
      <c r="Y44" s="7"/>
      <c r="Z44" s="7"/>
      <c r="AA44" s="7"/>
      <c r="AB44" s="7"/>
      <c r="AC44" s="7"/>
    </row>
    <row r="45" spans="1:29" ht="27.75" customHeight="1">
      <c r="A45" s="19"/>
      <c r="B45" s="83" t="s">
        <v>78</v>
      </c>
      <c r="C45" s="84">
        <f>H45</f>
        <v>1203</v>
      </c>
      <c r="D45" s="84"/>
      <c r="E45" s="84"/>
      <c r="F45" s="84"/>
      <c r="G45" s="85">
        <v>0</v>
      </c>
      <c r="H45" s="84">
        <f t="shared" si="7"/>
        <v>1203</v>
      </c>
      <c r="I45" s="84">
        <f>0.4*C45</f>
        <v>481.20000000000005</v>
      </c>
      <c r="J45" s="84">
        <f>0.55*D45</f>
        <v>0</v>
      </c>
      <c r="K45" s="84">
        <f>0.55*E45</f>
        <v>0</v>
      </c>
      <c r="L45" s="84">
        <f>0.55*F45</f>
        <v>0</v>
      </c>
      <c r="M45" s="84">
        <f>0.55*G45</f>
        <v>0</v>
      </c>
      <c r="N45" s="84">
        <f>0.55*H45</f>
        <v>661.65000000000009</v>
      </c>
      <c r="O45" s="84">
        <v>288099</v>
      </c>
      <c r="P45" s="84">
        <v>289302</v>
      </c>
      <c r="Q45" s="86"/>
      <c r="R45" s="87"/>
      <c r="S45" s="84">
        <v>1</v>
      </c>
      <c r="T45" s="84">
        <f>(P45-O45)*S45</f>
        <v>1203</v>
      </c>
      <c r="U45" s="88">
        <v>15695</v>
      </c>
      <c r="V45" s="89" t="s">
        <v>844</v>
      </c>
      <c r="W45" s="47" t="s">
        <v>48</v>
      </c>
      <c r="X45" s="7"/>
      <c r="Y45" s="7"/>
      <c r="Z45" s="7"/>
      <c r="AA45" s="7"/>
      <c r="AB45" s="7"/>
      <c r="AC45" s="7"/>
    </row>
    <row r="46" spans="1:29" ht="26.25" customHeight="1">
      <c r="A46" s="19"/>
      <c r="B46" s="368" t="s">
        <v>79</v>
      </c>
      <c r="C46" s="28">
        <f>H46</f>
        <v>50</v>
      </c>
      <c r="D46" s="77"/>
      <c r="E46" s="28">
        <f>F46+G46</f>
        <v>3.5</v>
      </c>
      <c r="F46" s="28">
        <f>0.04*H46</f>
        <v>2</v>
      </c>
      <c r="G46" s="28">
        <f>0.03*H46</f>
        <v>1.5</v>
      </c>
      <c r="H46" s="77">
        <f t="shared" si="7"/>
        <v>50</v>
      </c>
      <c r="I46" s="365">
        <f>C46*0.4</f>
        <v>20</v>
      </c>
      <c r="J46" s="46"/>
      <c r="K46" s="46"/>
      <c r="L46" s="46"/>
      <c r="M46" s="46"/>
      <c r="N46" s="46"/>
      <c r="O46" s="77">
        <v>2424</v>
      </c>
      <c r="P46" s="77">
        <v>2474</v>
      </c>
      <c r="Q46" s="79"/>
      <c r="R46" s="80"/>
      <c r="S46" s="80">
        <v>1</v>
      </c>
      <c r="T46" s="77">
        <f t="shared" si="8"/>
        <v>50</v>
      </c>
      <c r="U46" s="31">
        <v>364814</v>
      </c>
      <c r="V46" s="676" t="s">
        <v>27</v>
      </c>
      <c r="W46" s="47" t="s">
        <v>27</v>
      </c>
      <c r="X46" s="7"/>
      <c r="Y46" s="7"/>
      <c r="Z46" s="7"/>
      <c r="AA46" s="7"/>
      <c r="AB46" s="7"/>
      <c r="AC46" s="7"/>
    </row>
    <row r="47" spans="1:29" ht="27.75" customHeight="1">
      <c r="A47" s="19"/>
      <c r="B47" s="366" t="s">
        <v>80</v>
      </c>
      <c r="C47" s="28">
        <f>H47</f>
        <v>6537</v>
      </c>
      <c r="D47" s="77"/>
      <c r="E47" s="28">
        <f>F47+G47</f>
        <v>457.59000000000003</v>
      </c>
      <c r="F47" s="28">
        <f>0.04*H47</f>
        <v>261.48</v>
      </c>
      <c r="G47" s="28">
        <f>0.03*H47</f>
        <v>196.10999999999999</v>
      </c>
      <c r="H47" s="77">
        <f t="shared" si="7"/>
        <v>6537</v>
      </c>
      <c r="I47" s="365">
        <f>C47*0.4</f>
        <v>2614.8000000000002</v>
      </c>
      <c r="J47" s="46"/>
      <c r="K47" s="46"/>
      <c r="L47" s="46"/>
      <c r="M47" s="46"/>
      <c r="N47" s="46"/>
      <c r="O47" s="77">
        <v>111144</v>
      </c>
      <c r="P47" s="77">
        <v>117681</v>
      </c>
      <c r="Q47" s="79"/>
      <c r="R47" s="80"/>
      <c r="S47" s="80">
        <v>1</v>
      </c>
      <c r="T47" s="77">
        <f t="shared" si="8"/>
        <v>6537</v>
      </c>
      <c r="U47" s="31">
        <v>9148</v>
      </c>
      <c r="V47" s="676" t="s">
        <v>81</v>
      </c>
      <c r="W47" s="47" t="s">
        <v>82</v>
      </c>
      <c r="X47" s="7"/>
      <c r="Y47" s="7"/>
      <c r="Z47" s="7"/>
      <c r="AA47" s="7"/>
      <c r="AB47" s="7"/>
      <c r="AC47" s="7"/>
    </row>
    <row r="48" spans="1:29" ht="27.75" customHeight="1">
      <c r="A48" s="19"/>
      <c r="B48" s="352" t="s">
        <v>882</v>
      </c>
      <c r="C48" s="28">
        <f t="shared" ref="C48" si="9">H48+E48</f>
        <v>7952</v>
      </c>
      <c r="D48" s="28"/>
      <c r="E48" s="28">
        <v>0</v>
      </c>
      <c r="F48" s="28">
        <v>0</v>
      </c>
      <c r="G48" s="28">
        <v>0</v>
      </c>
      <c r="H48" s="28">
        <f>T48</f>
        <v>7952</v>
      </c>
      <c r="I48" s="28">
        <f t="shared" ref="I48" si="10">0.4*C48</f>
        <v>3180.8</v>
      </c>
      <c r="J48" s="46"/>
      <c r="K48" s="46"/>
      <c r="L48" s="46"/>
      <c r="M48" s="29"/>
      <c r="N48" s="29"/>
      <c r="O48" s="28">
        <v>96112</v>
      </c>
      <c r="P48" s="28">
        <v>104064</v>
      </c>
      <c r="Q48" s="30"/>
      <c r="R48" s="361"/>
      <c r="S48" s="28">
        <v>1</v>
      </c>
      <c r="T48" s="28">
        <f>(P48-O48)*S48</f>
        <v>7952</v>
      </c>
      <c r="U48" s="55">
        <v>5732</v>
      </c>
      <c r="V48" s="44" t="s">
        <v>685</v>
      </c>
      <c r="W48" s="47"/>
      <c r="X48" s="7"/>
      <c r="Y48" s="7"/>
      <c r="Z48" s="7"/>
      <c r="AA48" s="7"/>
      <c r="AB48" s="7"/>
      <c r="AC48" s="7"/>
    </row>
    <row r="49" spans="1:29" ht="38.25" customHeight="1">
      <c r="A49" s="19"/>
      <c r="B49" s="366" t="s">
        <v>83</v>
      </c>
      <c r="C49" s="28">
        <f>H49</f>
        <v>2671</v>
      </c>
      <c r="D49" s="77"/>
      <c r="E49" s="28">
        <f>F49+G49</f>
        <v>186.97</v>
      </c>
      <c r="F49" s="28">
        <f>0.04*H49</f>
        <v>106.84</v>
      </c>
      <c r="G49" s="28">
        <f>0.03*H49</f>
        <v>80.13</v>
      </c>
      <c r="H49" s="77">
        <f t="shared" si="7"/>
        <v>2671</v>
      </c>
      <c r="I49" s="365">
        <f>C49*0.4</f>
        <v>1068.4000000000001</v>
      </c>
      <c r="J49" s="46"/>
      <c r="K49" s="46"/>
      <c r="L49" s="46"/>
      <c r="M49" s="46"/>
      <c r="N49" s="46"/>
      <c r="O49" s="77">
        <v>67229</v>
      </c>
      <c r="P49" s="77">
        <v>70937</v>
      </c>
      <c r="Q49" s="79"/>
      <c r="R49" s="80"/>
      <c r="S49" s="80">
        <v>1</v>
      </c>
      <c r="T49" s="77">
        <f>(P49-O49)*S49-T225-T223-T227-T226-T228</f>
        <v>2671</v>
      </c>
      <c r="U49" s="31">
        <v>6252</v>
      </c>
      <c r="V49" s="676" t="s">
        <v>72</v>
      </c>
      <c r="W49" s="47" t="s">
        <v>48</v>
      </c>
      <c r="X49" s="7"/>
      <c r="Y49" s="7"/>
      <c r="Z49" s="7"/>
      <c r="AA49" s="7"/>
      <c r="AB49" s="7"/>
      <c r="AC49" s="7"/>
    </row>
    <row r="50" spans="1:29" ht="33" hidden="1" customHeight="1">
      <c r="A50" s="19"/>
      <c r="B50" s="90"/>
      <c r="C50" s="91"/>
      <c r="D50" s="91"/>
      <c r="E50" s="91"/>
      <c r="F50" s="91"/>
      <c r="G50" s="92"/>
      <c r="H50" s="91"/>
      <c r="I50" s="91"/>
      <c r="J50" s="93"/>
      <c r="K50" s="93"/>
      <c r="L50" s="93"/>
      <c r="M50" s="93"/>
      <c r="N50" s="93"/>
      <c r="O50" s="91"/>
      <c r="P50" s="91"/>
      <c r="Q50" s="7"/>
      <c r="R50" s="94"/>
      <c r="S50" s="91"/>
      <c r="T50" s="91"/>
      <c r="U50" s="95"/>
      <c r="V50" s="673"/>
      <c r="W50" s="47"/>
      <c r="X50" s="7"/>
      <c r="Y50" s="7"/>
      <c r="Z50" s="7"/>
      <c r="AA50" s="7"/>
      <c r="AB50" s="7"/>
      <c r="AC50" s="7"/>
    </row>
    <row r="51" spans="1:29" ht="33" hidden="1" customHeight="1">
      <c r="A51" s="19"/>
      <c r="B51" s="90"/>
      <c r="C51" s="91"/>
      <c r="D51" s="91"/>
      <c r="E51" s="91"/>
      <c r="F51" s="91"/>
      <c r="G51" s="92"/>
      <c r="H51" s="91"/>
      <c r="I51" s="91"/>
      <c r="J51" s="93"/>
      <c r="K51" s="93"/>
      <c r="L51" s="93"/>
      <c r="M51" s="93"/>
      <c r="N51" s="93"/>
      <c r="O51" s="91"/>
      <c r="P51" s="91"/>
      <c r="Q51" s="7"/>
      <c r="R51" s="94"/>
      <c r="S51" s="91"/>
      <c r="T51" s="91"/>
      <c r="U51" s="95"/>
      <c r="V51" s="673"/>
      <c r="W51" s="47"/>
      <c r="X51" s="7"/>
      <c r="Y51" s="7"/>
      <c r="Z51" s="7"/>
      <c r="AA51" s="7"/>
      <c r="AB51" s="7"/>
      <c r="AC51" s="7"/>
    </row>
    <row r="52" spans="1:29" ht="33" hidden="1" customHeight="1">
      <c r="A52" s="19"/>
      <c r="B52" s="90"/>
      <c r="C52" s="91"/>
      <c r="D52" s="91"/>
      <c r="E52" s="91"/>
      <c r="F52" s="91"/>
      <c r="G52" s="92"/>
      <c r="H52" s="91"/>
      <c r="I52" s="91"/>
      <c r="J52" s="93"/>
      <c r="K52" s="93"/>
      <c r="L52" s="93"/>
      <c r="M52" s="93"/>
      <c r="N52" s="93"/>
      <c r="O52" s="91"/>
      <c r="P52" s="91"/>
      <c r="Q52" s="7"/>
      <c r="R52" s="94"/>
      <c r="S52" s="91"/>
      <c r="T52" s="91"/>
      <c r="U52" s="95"/>
      <c r="V52" s="673"/>
      <c r="W52" s="47"/>
      <c r="X52" s="7"/>
      <c r="Y52" s="7"/>
      <c r="Z52" s="7"/>
      <c r="AA52" s="7"/>
      <c r="AB52" s="7"/>
      <c r="AC52" s="7"/>
    </row>
    <row r="53" spans="1:29" ht="61.5" customHeight="1">
      <c r="A53" s="19"/>
      <c r="B53" s="485" t="s">
        <v>84</v>
      </c>
      <c r="C53" s="445">
        <f>H53+E53</f>
        <v>8816.7999999999993</v>
      </c>
      <c r="D53" s="445"/>
      <c r="E53" s="445">
        <f>F53+G53</f>
        <v>576.79999999999995</v>
      </c>
      <c r="F53" s="445">
        <f>0.04*H53</f>
        <v>329.6</v>
      </c>
      <c r="G53" s="445">
        <f>0.03*H53</f>
        <v>247.2</v>
      </c>
      <c r="H53" s="445">
        <f>T53</f>
        <v>8240</v>
      </c>
      <c r="I53" s="445">
        <f>0.6*C53</f>
        <v>5290.079999999999</v>
      </c>
      <c r="J53" s="480"/>
      <c r="K53" s="480"/>
      <c r="L53" s="480"/>
      <c r="M53" s="480"/>
      <c r="N53" s="480"/>
      <c r="O53" s="445">
        <v>27846</v>
      </c>
      <c r="P53" s="445">
        <v>28052</v>
      </c>
      <c r="Q53" s="481"/>
      <c r="R53" s="482"/>
      <c r="S53" s="483">
        <v>40</v>
      </c>
      <c r="T53" s="445">
        <f>(P53-O53)*S53</f>
        <v>8240</v>
      </c>
      <c r="U53" s="31"/>
      <c r="V53" s="676" t="s">
        <v>85</v>
      </c>
      <c r="W53" s="47" t="s">
        <v>82</v>
      </c>
      <c r="X53" s="7"/>
      <c r="Y53" s="7"/>
      <c r="Z53" s="7"/>
      <c r="AA53" s="7"/>
      <c r="AB53" s="7"/>
      <c r="AC53" s="7"/>
    </row>
    <row r="54" spans="1:29" ht="30.75" customHeight="1">
      <c r="A54" s="19"/>
      <c r="B54" s="96" t="s">
        <v>86</v>
      </c>
      <c r="C54" s="97">
        <f>SUM(C8:C53)-C15</f>
        <v>281426.27080000087</v>
      </c>
      <c r="D54" s="91"/>
      <c r="E54" s="91"/>
      <c r="F54" s="91"/>
      <c r="G54" s="92"/>
      <c r="H54" s="91"/>
      <c r="I54" s="91"/>
      <c r="J54" s="93"/>
      <c r="K54" s="93"/>
      <c r="L54" s="93"/>
      <c r="M54" s="93"/>
      <c r="N54" s="93"/>
      <c r="O54" s="91"/>
      <c r="P54" s="91"/>
      <c r="Q54" s="7"/>
      <c r="R54" s="94"/>
      <c r="S54" s="91"/>
      <c r="T54" s="91"/>
      <c r="U54" s="95"/>
      <c r="V54" s="673"/>
      <c r="W54" s="47"/>
      <c r="X54" s="7"/>
      <c r="Y54" s="7"/>
      <c r="Z54" s="7"/>
      <c r="AA54" s="7"/>
      <c r="AB54" s="7"/>
      <c r="AC54" s="7"/>
    </row>
    <row r="55" spans="1:29" ht="26.25">
      <c r="A55" s="19"/>
      <c r="B55" s="26" t="s">
        <v>87</v>
      </c>
      <c r="C55" s="91"/>
      <c r="D55" s="91"/>
      <c r="E55" s="91"/>
      <c r="F55" s="91"/>
      <c r="G55" s="92"/>
      <c r="H55" s="91"/>
      <c r="I55" s="91"/>
      <c r="J55" s="98"/>
      <c r="K55" s="98"/>
      <c r="L55" s="98"/>
      <c r="M55" s="22"/>
      <c r="N55" s="22"/>
      <c r="O55" s="91"/>
      <c r="P55" s="91"/>
      <c r="Q55" s="7"/>
      <c r="R55" s="94"/>
      <c r="S55" s="91"/>
      <c r="T55" s="91"/>
      <c r="U55" s="95"/>
      <c r="V55" s="673"/>
      <c r="W55" s="47"/>
      <c r="X55" s="7"/>
      <c r="Y55" s="7"/>
      <c r="Z55" s="7"/>
      <c r="AA55" s="7"/>
      <c r="AB55" s="7"/>
      <c r="AC55" s="7"/>
    </row>
    <row r="56" spans="1:29" s="42" customFormat="1" ht="25.5">
      <c r="A56" s="99"/>
      <c r="B56" s="430"/>
      <c r="C56" s="34"/>
      <c r="D56" s="370"/>
      <c r="E56" s="34"/>
      <c r="F56" s="34"/>
      <c r="G56" s="34"/>
      <c r="H56" s="370"/>
      <c r="I56" s="431"/>
      <c r="J56" s="432"/>
      <c r="K56" s="432"/>
      <c r="L56" s="432"/>
      <c r="M56" s="432"/>
      <c r="N56" s="432"/>
      <c r="O56" s="370"/>
      <c r="P56" s="370"/>
      <c r="Q56" s="370"/>
      <c r="R56" s="370"/>
      <c r="S56" s="370"/>
      <c r="T56" s="34"/>
      <c r="U56" s="38"/>
      <c r="V56" s="39"/>
      <c r="W56" s="100"/>
      <c r="X56" s="41"/>
      <c r="Y56" s="41"/>
      <c r="Z56" s="41"/>
      <c r="AA56" s="41"/>
      <c r="AB56" s="41"/>
      <c r="AC56" s="41"/>
    </row>
    <row r="57" spans="1:29" ht="25.5">
      <c r="A57" s="101"/>
      <c r="B57" s="62" t="s">
        <v>88</v>
      </c>
      <c r="C57" s="28">
        <f>H57</f>
        <v>2741</v>
      </c>
      <c r="D57" s="77"/>
      <c r="E57" s="28">
        <f>F57+G57</f>
        <v>191.87</v>
      </c>
      <c r="F57" s="28">
        <f>0.04*H57</f>
        <v>109.64</v>
      </c>
      <c r="G57" s="28">
        <f>0.03*H57</f>
        <v>82.23</v>
      </c>
      <c r="H57" s="77">
        <f t="shared" ref="H57:H62" si="11">T57</f>
        <v>2741</v>
      </c>
      <c r="I57" s="365">
        <f>C57*0.4</f>
        <v>1096.4000000000001</v>
      </c>
      <c r="J57" s="46"/>
      <c r="K57" s="46"/>
      <c r="L57" s="46"/>
      <c r="M57" s="46"/>
      <c r="N57" s="46"/>
      <c r="O57" s="77">
        <v>382294</v>
      </c>
      <c r="P57" s="77">
        <v>385035</v>
      </c>
      <c r="Q57" s="79"/>
      <c r="R57" s="80"/>
      <c r="S57" s="80">
        <v>1</v>
      </c>
      <c r="T57" s="77">
        <f>(P57-O57)*S57</f>
        <v>2741</v>
      </c>
      <c r="U57" s="102">
        <v>4786</v>
      </c>
      <c r="V57" s="369" t="s">
        <v>89</v>
      </c>
      <c r="W57" s="47" t="s">
        <v>90</v>
      </c>
      <c r="X57" s="7"/>
      <c r="Y57" s="7"/>
      <c r="Z57" s="7"/>
      <c r="AA57" s="7"/>
      <c r="AB57" s="7"/>
      <c r="AC57" s="7"/>
    </row>
    <row r="58" spans="1:29" ht="25.5">
      <c r="A58" s="101"/>
      <c r="B58" s="62" t="s">
        <v>711</v>
      </c>
      <c r="C58" s="28">
        <f>H58</f>
        <v>12761.760000000009</v>
      </c>
      <c r="D58" s="77"/>
      <c r="E58" s="28"/>
      <c r="F58" s="28"/>
      <c r="G58" s="28"/>
      <c r="H58" s="77">
        <f t="shared" si="11"/>
        <v>12761.760000000009</v>
      </c>
      <c r="I58" s="77">
        <f>T59</f>
        <v>1254</v>
      </c>
      <c r="J58" s="46"/>
      <c r="K58" s="46"/>
      <c r="L58" s="46"/>
      <c r="M58" s="46"/>
      <c r="N58" s="46"/>
      <c r="O58" s="77">
        <v>20835.341</v>
      </c>
      <c r="P58" s="77">
        <v>21142.413</v>
      </c>
      <c r="Q58" s="79"/>
      <c r="R58" s="80"/>
      <c r="S58" s="80">
        <v>80</v>
      </c>
      <c r="T58" s="77">
        <f>(P58-O58)*S58-T624</f>
        <v>12761.760000000009</v>
      </c>
      <c r="U58" s="102" t="s">
        <v>91</v>
      </c>
      <c r="V58" s="369" t="s">
        <v>92</v>
      </c>
      <c r="W58" s="47" t="s">
        <v>90</v>
      </c>
      <c r="X58" s="7"/>
      <c r="Y58" s="7"/>
      <c r="Z58" s="7"/>
      <c r="AA58" s="7"/>
      <c r="AB58" s="7"/>
      <c r="AC58" s="7"/>
    </row>
    <row r="59" spans="1:29" ht="25.5">
      <c r="A59" s="101"/>
      <c r="B59" s="62" t="s">
        <v>93</v>
      </c>
      <c r="C59" s="28">
        <f>H59</f>
        <v>1254</v>
      </c>
      <c r="D59" s="77"/>
      <c r="E59" s="28">
        <f>F59+G59</f>
        <v>87.78</v>
      </c>
      <c r="F59" s="28">
        <f>0.04*H59</f>
        <v>50.160000000000004</v>
      </c>
      <c r="G59" s="28">
        <f>0.03*H59</f>
        <v>37.619999999999997</v>
      </c>
      <c r="H59" s="77">
        <f t="shared" si="11"/>
        <v>1254</v>
      </c>
      <c r="I59" s="365">
        <f>C59*0.4</f>
        <v>501.6</v>
      </c>
      <c r="J59" s="46"/>
      <c r="K59" s="46"/>
      <c r="L59" s="46"/>
      <c r="M59" s="46"/>
      <c r="N59" s="46"/>
      <c r="O59" s="77">
        <v>11725</v>
      </c>
      <c r="P59" s="77">
        <v>12979</v>
      </c>
      <c r="Q59" s="79"/>
      <c r="R59" s="80"/>
      <c r="S59" s="80">
        <v>1</v>
      </c>
      <c r="T59" s="77">
        <f>(P59-O59)*S59</f>
        <v>1254</v>
      </c>
      <c r="U59" s="31">
        <v>6221</v>
      </c>
      <c r="V59" s="369" t="s">
        <v>94</v>
      </c>
      <c r="W59" s="47" t="s">
        <v>43</v>
      </c>
      <c r="X59" s="7"/>
      <c r="Y59" s="7"/>
      <c r="Z59" s="7"/>
      <c r="AA59" s="7"/>
      <c r="AB59" s="7"/>
      <c r="AC59" s="7"/>
    </row>
    <row r="60" spans="1:29" ht="76.5">
      <c r="A60" s="101"/>
      <c r="B60" s="27" t="s">
        <v>756</v>
      </c>
      <c r="C60" s="28">
        <f>T60</f>
        <v>10574.399999999987</v>
      </c>
      <c r="D60" s="77"/>
      <c r="E60" s="28"/>
      <c r="F60" s="28"/>
      <c r="G60" s="28"/>
      <c r="H60" s="77">
        <f t="shared" si="11"/>
        <v>10574.399999999987</v>
      </c>
      <c r="I60" s="77">
        <f>T61</f>
        <v>10064.000000000004</v>
      </c>
      <c r="J60" s="46"/>
      <c r="K60" s="46"/>
      <c r="L60" s="46"/>
      <c r="M60" s="46"/>
      <c r="N60" s="46"/>
      <c r="O60" s="77">
        <v>5435.8</v>
      </c>
      <c r="P60" s="77">
        <v>5612.04</v>
      </c>
      <c r="Q60" s="79"/>
      <c r="R60" s="80"/>
      <c r="S60" s="80">
        <v>60</v>
      </c>
      <c r="T60" s="77">
        <f>(P60-O60)*S60</f>
        <v>10574.399999999987</v>
      </c>
      <c r="U60" s="102" t="s">
        <v>95</v>
      </c>
      <c r="V60" s="369" t="s">
        <v>96</v>
      </c>
      <c r="W60" s="103" t="s">
        <v>90</v>
      </c>
      <c r="X60" s="7"/>
      <c r="Y60" s="7"/>
      <c r="Z60" s="7"/>
      <c r="AA60" s="7"/>
      <c r="AB60" s="7"/>
      <c r="AC60" s="7"/>
    </row>
    <row r="61" spans="1:29" ht="52.5" customHeight="1">
      <c r="A61" s="101"/>
      <c r="B61" s="27" t="s">
        <v>757</v>
      </c>
      <c r="C61" s="28">
        <f>H61</f>
        <v>10064.000000000004</v>
      </c>
      <c r="D61" s="77"/>
      <c r="E61" s="28"/>
      <c r="F61" s="28"/>
      <c r="G61" s="28"/>
      <c r="H61" s="77">
        <f t="shared" si="11"/>
        <v>10064.000000000004</v>
      </c>
      <c r="I61" s="77">
        <f>T62</f>
        <v>3929</v>
      </c>
      <c r="J61" s="46"/>
      <c r="K61" s="46"/>
      <c r="L61" s="46"/>
      <c r="M61" s="46"/>
      <c r="N61" s="46"/>
      <c r="O61" s="77">
        <v>858</v>
      </c>
      <c r="P61" s="77">
        <v>1002.6</v>
      </c>
      <c r="Q61" s="79"/>
      <c r="R61" s="80"/>
      <c r="S61" s="80">
        <v>120</v>
      </c>
      <c r="T61" s="77">
        <f>(P61-O61)*S61-T636-T59-T65-T62</f>
        <v>10064.000000000004</v>
      </c>
      <c r="U61" s="102"/>
      <c r="V61" s="821" t="s">
        <v>712</v>
      </c>
      <c r="W61" s="103"/>
      <c r="X61" s="7"/>
      <c r="Y61" s="7"/>
      <c r="Z61" s="7"/>
      <c r="AA61" s="7"/>
      <c r="AB61" s="7"/>
      <c r="AC61" s="7"/>
    </row>
    <row r="62" spans="1:29" s="42" customFormat="1" ht="30" customHeight="1">
      <c r="A62" s="99"/>
      <c r="B62" s="352" t="s">
        <v>758</v>
      </c>
      <c r="C62" s="28">
        <f>T62</f>
        <v>3929</v>
      </c>
      <c r="D62" s="77"/>
      <c r="E62" s="28"/>
      <c r="F62" s="28"/>
      <c r="G62" s="28"/>
      <c r="H62" s="77">
        <f t="shared" si="11"/>
        <v>3929</v>
      </c>
      <c r="I62" s="77">
        <f>T63</f>
        <v>0</v>
      </c>
      <c r="J62" s="46"/>
      <c r="K62" s="46"/>
      <c r="L62" s="46"/>
      <c r="M62" s="46"/>
      <c r="N62" s="46"/>
      <c r="O62" s="77">
        <v>12492</v>
      </c>
      <c r="P62" s="77">
        <v>16421</v>
      </c>
      <c r="Q62" s="79"/>
      <c r="R62" s="80"/>
      <c r="S62" s="80">
        <v>1</v>
      </c>
      <c r="T62" s="77">
        <f>(P62-O62)*S62</f>
        <v>3929</v>
      </c>
      <c r="U62" s="513"/>
      <c r="V62" s="821"/>
      <c r="W62" s="100"/>
      <c r="X62" s="41"/>
      <c r="Y62" s="41"/>
      <c r="Z62" s="41"/>
      <c r="AA62" s="41"/>
      <c r="AB62" s="41"/>
      <c r="AC62" s="41"/>
    </row>
    <row r="63" spans="1:29" s="42" customFormat="1" ht="25.5">
      <c r="A63" s="99"/>
      <c r="B63" s="352"/>
      <c r="C63" s="43"/>
      <c r="D63" s="270"/>
      <c r="E63" s="43"/>
      <c r="F63" s="43"/>
      <c r="G63" s="43"/>
      <c r="H63" s="270"/>
      <c r="I63" s="270"/>
      <c r="J63" s="355"/>
      <c r="K63" s="355"/>
      <c r="L63" s="355"/>
      <c r="M63" s="355"/>
      <c r="N63" s="355"/>
      <c r="O63" s="43"/>
      <c r="P63" s="43"/>
      <c r="Q63" s="531"/>
      <c r="R63" s="532"/>
      <c r="S63" s="477"/>
      <c r="T63" s="270"/>
      <c r="U63" s="513"/>
      <c r="V63" s="533"/>
      <c r="W63" s="100"/>
      <c r="X63" s="41"/>
      <c r="Y63" s="41"/>
      <c r="Z63" s="41"/>
      <c r="AA63" s="41"/>
      <c r="AB63" s="41"/>
      <c r="AC63" s="41"/>
    </row>
    <row r="64" spans="1:29" ht="25.5">
      <c r="A64" s="101"/>
      <c r="B64" s="375" t="s">
        <v>97</v>
      </c>
      <c r="C64" s="349">
        <f>H64</f>
        <v>596.00000000000364</v>
      </c>
      <c r="D64" s="376"/>
      <c r="E64" s="349"/>
      <c r="F64" s="349"/>
      <c r="G64" s="349"/>
      <c r="H64" s="376">
        <f>T64</f>
        <v>596.00000000000364</v>
      </c>
      <c r="I64" s="376">
        <f>T64*0.3</f>
        <v>178.80000000000109</v>
      </c>
      <c r="J64" s="46"/>
      <c r="K64" s="46"/>
      <c r="L64" s="46"/>
      <c r="M64" s="46"/>
      <c r="N64" s="46"/>
      <c r="O64" s="377">
        <v>3925.2</v>
      </c>
      <c r="P64" s="377">
        <v>3955</v>
      </c>
      <c r="Q64" s="79"/>
      <c r="R64" s="378"/>
      <c r="S64" s="379">
        <v>20</v>
      </c>
      <c r="T64" s="376">
        <f>(P64-O64)*S64</f>
        <v>596.00000000000364</v>
      </c>
      <c r="U64" s="102">
        <v>5621</v>
      </c>
      <c r="V64" s="369" t="s">
        <v>98</v>
      </c>
      <c r="W64" s="47" t="s">
        <v>90</v>
      </c>
      <c r="X64" s="7"/>
      <c r="Y64" s="7"/>
      <c r="Z64" s="7"/>
      <c r="AA64" s="7"/>
      <c r="AB64" s="7"/>
      <c r="AC64" s="7"/>
    </row>
    <row r="65" spans="1:29" ht="25.5">
      <c r="A65" s="101"/>
      <c r="B65" s="27" t="s">
        <v>99</v>
      </c>
      <c r="C65" s="349">
        <f>H65</f>
        <v>2105</v>
      </c>
      <c r="D65" s="77"/>
      <c r="E65" s="28"/>
      <c r="F65" s="28"/>
      <c r="G65" s="28"/>
      <c r="H65" s="77">
        <f>T65</f>
        <v>2105</v>
      </c>
      <c r="I65" s="77">
        <f>T65*0.3</f>
        <v>631.5</v>
      </c>
      <c r="J65" s="348"/>
      <c r="K65" s="348"/>
      <c r="L65" s="348"/>
      <c r="M65" s="348"/>
      <c r="N65" s="348"/>
      <c r="O65" s="28">
        <v>217528</v>
      </c>
      <c r="P65" s="28">
        <v>219633</v>
      </c>
      <c r="Q65" s="77"/>
      <c r="R65" s="77"/>
      <c r="S65" s="28">
        <v>1</v>
      </c>
      <c r="T65" s="77">
        <f>(P65-O65)*S65</f>
        <v>2105</v>
      </c>
      <c r="U65" s="102">
        <v>4785</v>
      </c>
      <c r="V65" s="369" t="s">
        <v>89</v>
      </c>
      <c r="W65" s="47" t="s">
        <v>43</v>
      </c>
      <c r="X65" s="7"/>
      <c r="Y65" s="7"/>
      <c r="Z65" s="7"/>
      <c r="AA65" s="7"/>
      <c r="AB65" s="7"/>
      <c r="AC65" s="7"/>
    </row>
    <row r="66" spans="1:29" ht="26.25">
      <c r="A66" s="108"/>
      <c r="B66" s="109" t="s">
        <v>100</v>
      </c>
      <c r="C66" s="110">
        <f>SUM(C56:C65)</f>
        <v>44025.16</v>
      </c>
      <c r="D66" s="111"/>
      <c r="E66" s="112"/>
      <c r="F66" s="112"/>
      <c r="G66" s="112"/>
      <c r="H66" s="111"/>
      <c r="I66" s="113">
        <f>SUM(I56:I65)</f>
        <v>17655.300000000003</v>
      </c>
      <c r="J66" s="114"/>
      <c r="K66" s="114"/>
      <c r="L66" s="114"/>
      <c r="M66" s="114"/>
      <c r="N66" s="114"/>
      <c r="O66" s="115"/>
      <c r="P66" s="115"/>
      <c r="Q66" s="92"/>
      <c r="R66" s="92"/>
      <c r="S66" s="91"/>
      <c r="T66" s="92"/>
      <c r="U66" s="116"/>
      <c r="V66" s="107"/>
      <c r="W66" s="14"/>
      <c r="X66" s="7"/>
      <c r="Y66" s="7"/>
      <c r="Z66" s="7"/>
      <c r="AA66" s="7"/>
      <c r="AB66" s="7"/>
      <c r="AC66" s="7"/>
    </row>
    <row r="67" spans="1:29" ht="26.25">
      <c r="A67" s="671"/>
      <c r="B67" s="109" t="s">
        <v>101</v>
      </c>
      <c r="C67" s="117"/>
      <c r="D67" s="118"/>
      <c r="E67" s="113"/>
      <c r="F67" s="113"/>
      <c r="G67" s="113"/>
      <c r="H67" s="118"/>
      <c r="I67" s="118"/>
      <c r="J67" s="98"/>
      <c r="K67" s="98"/>
      <c r="L67" s="98"/>
      <c r="M67" s="98"/>
      <c r="N67" s="98"/>
      <c r="O67" s="91"/>
      <c r="P67" s="91"/>
      <c r="Q67" s="92"/>
      <c r="R67" s="92"/>
      <c r="S67" s="91"/>
      <c r="T67" s="92"/>
      <c r="U67" s="116"/>
      <c r="V67" s="107"/>
      <c r="W67" s="14"/>
      <c r="X67" s="7"/>
      <c r="Y67" s="7"/>
      <c r="Z67" s="7"/>
      <c r="AA67" s="7"/>
      <c r="AB67" s="7"/>
      <c r="AC67" s="7"/>
    </row>
    <row r="68" spans="1:29" ht="31.5" customHeight="1">
      <c r="A68" s="671"/>
      <c r="B68" s="380" t="s">
        <v>102</v>
      </c>
      <c r="C68" s="349">
        <v>1521</v>
      </c>
      <c r="D68" s="381"/>
      <c r="E68" s="382"/>
      <c r="F68" s="382"/>
      <c r="G68" s="382"/>
      <c r="H68" s="381"/>
      <c r="I68" s="381"/>
      <c r="J68" s="46"/>
      <c r="K68" s="46"/>
      <c r="L68" s="46"/>
      <c r="M68" s="46"/>
      <c r="N68" s="46"/>
      <c r="O68" s="28">
        <f>12605.34+31200.42</f>
        <v>43805.759999999995</v>
      </c>
      <c r="P68" s="28">
        <f>12800.04+31616.97</f>
        <v>44417.01</v>
      </c>
      <c r="Q68" s="77"/>
      <c r="R68" s="77"/>
      <c r="S68" s="28">
        <v>80</v>
      </c>
      <c r="T68" s="77">
        <f>(P68-O68)*S68-T72-T73</f>
        <v>44439.000000000582</v>
      </c>
      <c r="U68" s="102" t="s">
        <v>103</v>
      </c>
      <c r="V68" s="369" t="s">
        <v>104</v>
      </c>
      <c r="W68" s="14" t="s">
        <v>48</v>
      </c>
      <c r="X68" s="48"/>
      <c r="Y68" s="7"/>
      <c r="Z68" s="7"/>
      <c r="AA68" s="7"/>
      <c r="AB68" s="7"/>
      <c r="AC68" s="7"/>
    </row>
    <row r="69" spans="1:29" ht="51.75" customHeight="1">
      <c r="A69" s="671"/>
      <c r="B69" s="383" t="s">
        <v>105</v>
      </c>
      <c r="C69" s="349">
        <f>T71</f>
        <v>5381.5999999998894</v>
      </c>
      <c r="D69" s="381"/>
      <c r="E69" s="382"/>
      <c r="F69" s="382"/>
      <c r="G69" s="382"/>
      <c r="H69" s="381"/>
      <c r="I69" s="381"/>
      <c r="J69" s="46"/>
      <c r="K69" s="46"/>
      <c r="L69" s="46"/>
      <c r="M69" s="46"/>
      <c r="N69" s="46"/>
      <c r="O69" s="28"/>
      <c r="P69" s="28"/>
      <c r="Q69" s="77"/>
      <c r="R69" s="77"/>
      <c r="S69" s="28"/>
      <c r="T69" s="77"/>
      <c r="U69" s="102"/>
      <c r="V69" s="369"/>
      <c r="W69" s="14" t="s">
        <v>48</v>
      </c>
      <c r="X69" s="48"/>
      <c r="Y69" s="7"/>
      <c r="Z69" s="7"/>
      <c r="AA69" s="7"/>
      <c r="AB69" s="7"/>
      <c r="AC69" s="7"/>
    </row>
    <row r="70" spans="1:29" ht="25.5">
      <c r="A70" s="671"/>
      <c r="B70" s="384" t="s">
        <v>106</v>
      </c>
      <c r="C70" s="28">
        <f>H70</f>
        <v>7242</v>
      </c>
      <c r="D70" s="28"/>
      <c r="E70" s="28">
        <f>F70+G70</f>
        <v>506.94</v>
      </c>
      <c r="F70" s="28">
        <f>0.04*H70</f>
        <v>289.68</v>
      </c>
      <c r="G70" s="28">
        <f>0.03*H70</f>
        <v>217.26</v>
      </c>
      <c r="H70" s="28">
        <f>T70</f>
        <v>7242</v>
      </c>
      <c r="I70" s="28">
        <f>0.6*C70</f>
        <v>4345.2</v>
      </c>
      <c r="J70" s="29"/>
      <c r="K70" s="29"/>
      <c r="L70" s="29"/>
      <c r="M70" s="29"/>
      <c r="N70" s="29"/>
      <c r="O70" s="28">
        <f>172318+11090</f>
        <v>183408</v>
      </c>
      <c r="P70" s="28">
        <f>177390+13260</f>
        <v>190650</v>
      </c>
      <c r="Q70" s="30"/>
      <c r="R70" s="351"/>
      <c r="S70" s="54">
        <v>1</v>
      </c>
      <c r="T70" s="28">
        <f>(P70-O70)*S70</f>
        <v>7242</v>
      </c>
      <c r="U70" s="31">
        <v>7584</v>
      </c>
      <c r="V70" s="676" t="s">
        <v>106</v>
      </c>
      <c r="W70" s="14" t="s">
        <v>48</v>
      </c>
      <c r="X70" s="48"/>
      <c r="Y70" s="7"/>
      <c r="Z70" s="7"/>
      <c r="AA70" s="7"/>
      <c r="AB70" s="7"/>
      <c r="AC70" s="7"/>
    </row>
    <row r="71" spans="1:29" ht="28.5" customHeight="1">
      <c r="A71" s="671"/>
      <c r="B71" s="380" t="s">
        <v>107</v>
      </c>
      <c r="C71" s="349">
        <f>T68-C706</f>
        <v>8497.7000000005719</v>
      </c>
      <c r="D71" s="381"/>
      <c r="E71" s="382"/>
      <c r="F71" s="382"/>
      <c r="G71" s="382"/>
      <c r="H71" s="381"/>
      <c r="I71" s="382">
        <f>T69-I707</f>
        <v>0</v>
      </c>
      <c r="J71" s="46"/>
      <c r="K71" s="46"/>
      <c r="L71" s="46"/>
      <c r="M71" s="46"/>
      <c r="N71" s="46"/>
      <c r="O71" s="28">
        <f>3858.5+4529.26</f>
        <v>8387.76</v>
      </c>
      <c r="P71" s="28">
        <f>3858.5+4596.53</f>
        <v>8455.0299999999988</v>
      </c>
      <c r="Q71" s="77"/>
      <c r="R71" s="77"/>
      <c r="S71" s="28">
        <v>80</v>
      </c>
      <c r="T71" s="77">
        <f>(P71-O71)*S71</f>
        <v>5381.5999999998894</v>
      </c>
      <c r="U71" s="102" t="s">
        <v>108</v>
      </c>
      <c r="V71" s="369" t="s">
        <v>109</v>
      </c>
      <c r="W71" s="14" t="s">
        <v>48</v>
      </c>
      <c r="X71" s="48"/>
      <c r="Y71" s="7"/>
      <c r="Z71" s="7"/>
      <c r="AA71" s="7"/>
      <c r="AB71" s="7"/>
      <c r="AC71" s="7"/>
    </row>
    <row r="72" spans="1:29" ht="28.5" customHeight="1">
      <c r="A72" s="671"/>
      <c r="B72" s="352" t="s">
        <v>684</v>
      </c>
      <c r="C72" s="28">
        <f t="shared" ref="C72" si="12">H72+E72</f>
        <v>3724</v>
      </c>
      <c r="D72" s="28"/>
      <c r="E72" s="28">
        <v>0</v>
      </c>
      <c r="F72" s="28">
        <v>0</v>
      </c>
      <c r="G72" s="28">
        <v>0</v>
      </c>
      <c r="H72" s="28">
        <f>T72</f>
        <v>3724</v>
      </c>
      <c r="I72" s="28">
        <f t="shared" ref="I72" si="13">0.4*C72</f>
        <v>1489.6000000000001</v>
      </c>
      <c r="J72" s="46"/>
      <c r="K72" s="46"/>
      <c r="L72" s="46"/>
      <c r="M72" s="29"/>
      <c r="N72" s="29"/>
      <c r="O72" s="28">
        <v>53020</v>
      </c>
      <c r="P72" s="28">
        <v>56744</v>
      </c>
      <c r="Q72" s="30"/>
      <c r="R72" s="361"/>
      <c r="S72" s="28">
        <v>1</v>
      </c>
      <c r="T72" s="28">
        <f>(P72-O72)*S72</f>
        <v>3724</v>
      </c>
      <c r="U72" s="55">
        <v>5837</v>
      </c>
      <c r="V72" s="44" t="s">
        <v>713</v>
      </c>
      <c r="W72" s="14"/>
      <c r="X72" s="48"/>
      <c r="Y72" s="7"/>
      <c r="Z72" s="7"/>
      <c r="AA72" s="7"/>
      <c r="AB72" s="7"/>
      <c r="AC72" s="7"/>
    </row>
    <row r="73" spans="1:29" ht="28.5" customHeight="1">
      <c r="A73" s="671"/>
      <c r="B73" s="380" t="s">
        <v>110</v>
      </c>
      <c r="C73" s="28">
        <f>H73+E73</f>
        <v>788.59</v>
      </c>
      <c r="D73" s="28"/>
      <c r="E73" s="28">
        <f>F73+G73</f>
        <v>51.59</v>
      </c>
      <c r="F73" s="28">
        <f>0.04*H73</f>
        <v>29.48</v>
      </c>
      <c r="G73" s="28">
        <f>0.03*H73</f>
        <v>22.11</v>
      </c>
      <c r="H73" s="28">
        <f>T73</f>
        <v>737</v>
      </c>
      <c r="I73" s="28">
        <f>0.6*C73</f>
        <v>473.154</v>
      </c>
      <c r="J73" s="46"/>
      <c r="K73" s="46"/>
      <c r="L73" s="46"/>
      <c r="M73" s="46"/>
      <c r="N73" s="46"/>
      <c r="O73" s="28">
        <v>15476</v>
      </c>
      <c r="P73" s="28">
        <v>16213</v>
      </c>
      <c r="Q73" s="77"/>
      <c r="R73" s="77"/>
      <c r="S73" s="28">
        <v>1</v>
      </c>
      <c r="T73" s="28">
        <f>(P73-O73)*S73</f>
        <v>737</v>
      </c>
      <c r="U73" s="102">
        <v>9868</v>
      </c>
      <c r="V73" s="369" t="s">
        <v>111</v>
      </c>
      <c r="W73" s="14" t="s">
        <v>48</v>
      </c>
      <c r="X73" s="48"/>
      <c r="Y73" s="7"/>
      <c r="Z73" s="7"/>
      <c r="AA73" s="7"/>
      <c r="AB73" s="7"/>
      <c r="AC73" s="7"/>
    </row>
    <row r="74" spans="1:29" ht="26.25">
      <c r="A74" s="108"/>
      <c r="B74" s="119" t="s">
        <v>112</v>
      </c>
      <c r="C74" s="97">
        <f>SUM(C68:C73)</f>
        <v>27154.890000000461</v>
      </c>
      <c r="D74" s="120"/>
      <c r="E74" s="121"/>
      <c r="F74" s="121"/>
      <c r="G74" s="121"/>
      <c r="H74" s="120"/>
      <c r="I74" s="121"/>
      <c r="J74" s="98"/>
      <c r="K74" s="98"/>
      <c r="L74" s="98"/>
      <c r="M74" s="98"/>
      <c r="N74" s="98"/>
      <c r="O74" s="91"/>
      <c r="P74" s="91"/>
      <c r="Q74" s="92"/>
      <c r="R74" s="92"/>
      <c r="S74" s="91"/>
      <c r="T74" s="92"/>
      <c r="U74" s="116"/>
      <c r="V74" s="107"/>
      <c r="W74" s="14" t="s">
        <v>48</v>
      </c>
      <c r="X74" s="48"/>
      <c r="Y74" s="122"/>
      <c r="Z74" s="122"/>
      <c r="AA74" s="122"/>
      <c r="AB74" s="122"/>
      <c r="AC74" s="122"/>
    </row>
    <row r="75" spans="1:29" ht="25.5">
      <c r="A75" s="671"/>
      <c r="B75" s="1"/>
      <c r="U75" s="1"/>
      <c r="V75" s="1"/>
      <c r="W75" s="14"/>
      <c r="X75" s="48"/>
      <c r="Y75" s="7"/>
      <c r="Z75" s="7"/>
      <c r="AA75" s="7"/>
      <c r="AB75" s="7"/>
      <c r="AC75" s="7"/>
    </row>
    <row r="76" spans="1:29" ht="26.25">
      <c r="A76" s="671"/>
      <c r="B76" s="123" t="s">
        <v>113</v>
      </c>
      <c r="C76" s="124"/>
      <c r="D76" s="125"/>
      <c r="E76" s="124"/>
      <c r="F76" s="124"/>
      <c r="G76" s="124"/>
      <c r="H76" s="124"/>
      <c r="I76" s="124"/>
      <c r="J76" s="126"/>
      <c r="K76" s="126"/>
      <c r="L76" s="126"/>
      <c r="M76" s="126"/>
      <c r="N76" s="126"/>
      <c r="O76" s="124"/>
      <c r="P76" s="124"/>
      <c r="Q76" s="125"/>
      <c r="R76" s="125"/>
      <c r="S76" s="124"/>
      <c r="T76" s="124"/>
      <c r="U76" s="127"/>
      <c r="V76" s="128"/>
      <c r="W76" s="14"/>
      <c r="X76" s="7"/>
      <c r="Y76" s="7"/>
      <c r="Z76" s="7"/>
      <c r="AA76" s="7"/>
      <c r="AB76" s="7"/>
      <c r="AC76" s="7"/>
    </row>
    <row r="77" spans="1:29" ht="25.5">
      <c r="A77" s="19"/>
      <c r="B77" s="129" t="s">
        <v>114</v>
      </c>
      <c r="C77" s="84">
        <f>(T77+T78)</f>
        <v>31297.000000000025</v>
      </c>
      <c r="D77" s="84"/>
      <c r="E77" s="84">
        <f>F77+G77</f>
        <v>0</v>
      </c>
      <c r="F77" s="84">
        <v>0</v>
      </c>
      <c r="G77" s="84">
        <v>0</v>
      </c>
      <c r="H77" s="84">
        <f>T77</f>
        <v>0</v>
      </c>
      <c r="I77" s="84">
        <f>T79</f>
        <v>0</v>
      </c>
      <c r="J77" s="130"/>
      <c r="K77" s="131"/>
      <c r="L77" s="131"/>
      <c r="M77" s="130"/>
      <c r="N77" s="130"/>
      <c r="O77" s="84">
        <v>4067.02</v>
      </c>
      <c r="P77" s="84">
        <v>4067.02</v>
      </c>
      <c r="Q77" s="385" t="s">
        <v>37</v>
      </c>
      <c r="R77" s="385"/>
      <c r="S77" s="84">
        <v>40</v>
      </c>
      <c r="T77" s="84">
        <f>(P77-O77)*S77</f>
        <v>0</v>
      </c>
      <c r="U77" s="88">
        <v>7163</v>
      </c>
      <c r="V77" s="386" t="s">
        <v>115</v>
      </c>
      <c r="W77" s="14" t="s">
        <v>116</v>
      </c>
      <c r="X77" s="7"/>
      <c r="Y77" s="7"/>
      <c r="Z77" s="7"/>
      <c r="AA77" s="7"/>
      <c r="AB77" s="7"/>
      <c r="AC77" s="7"/>
    </row>
    <row r="78" spans="1:29" ht="26.25" customHeight="1">
      <c r="A78" s="19"/>
      <c r="B78" s="129"/>
      <c r="C78" s="84"/>
      <c r="D78" s="84"/>
      <c r="E78" s="84">
        <f>F78+G78</f>
        <v>0</v>
      </c>
      <c r="F78" s="84">
        <v>0</v>
      </c>
      <c r="G78" s="84">
        <v>0</v>
      </c>
      <c r="H78" s="84">
        <f>T78</f>
        <v>31297.000000000025</v>
      </c>
      <c r="I78" s="84">
        <f>T81</f>
        <v>0</v>
      </c>
      <c r="J78" s="130"/>
      <c r="K78" s="131"/>
      <c r="L78" s="131"/>
      <c r="M78" s="130"/>
      <c r="N78" s="130"/>
      <c r="O78" s="84">
        <v>10016</v>
      </c>
      <c r="P78" s="84">
        <v>10641.94</v>
      </c>
      <c r="Q78" s="385" t="s">
        <v>37</v>
      </c>
      <c r="R78" s="385"/>
      <c r="S78" s="84">
        <v>50</v>
      </c>
      <c r="T78" s="84">
        <f>(P78-O78)*S78-T98</f>
        <v>31297.000000000025</v>
      </c>
      <c r="U78" s="88">
        <v>7215</v>
      </c>
      <c r="V78" s="386" t="s">
        <v>117</v>
      </c>
      <c r="W78" s="14" t="s">
        <v>27</v>
      </c>
      <c r="X78" s="7"/>
      <c r="Y78" s="7"/>
      <c r="Z78" s="7"/>
      <c r="AA78" s="7"/>
      <c r="AB78" s="7"/>
      <c r="AC78" s="7"/>
    </row>
    <row r="79" spans="1:29" ht="25.5">
      <c r="A79" s="19"/>
      <c r="B79" s="132"/>
      <c r="C79" s="124"/>
      <c r="D79" s="124"/>
      <c r="E79" s="124"/>
      <c r="F79" s="124"/>
      <c r="G79" s="124"/>
      <c r="H79" s="124"/>
      <c r="I79" s="124"/>
      <c r="J79" s="133"/>
      <c r="K79" s="133"/>
      <c r="L79" s="133"/>
      <c r="M79" s="133"/>
      <c r="N79" s="133"/>
      <c r="O79" s="124"/>
      <c r="P79" s="124"/>
      <c r="Q79" s="125"/>
      <c r="R79" s="125"/>
      <c r="S79" s="124"/>
      <c r="T79" s="124"/>
      <c r="U79" s="127"/>
      <c r="V79" s="128"/>
      <c r="W79" s="134" t="s">
        <v>118</v>
      </c>
      <c r="X79" s="7"/>
      <c r="Y79" s="7"/>
      <c r="Z79" s="7"/>
      <c r="AA79" s="7"/>
      <c r="AB79" s="7"/>
      <c r="AC79" s="7"/>
    </row>
    <row r="80" spans="1:29" ht="25.5">
      <c r="A80" s="19"/>
      <c r="B80" s="129" t="s">
        <v>119</v>
      </c>
      <c r="C80" s="84">
        <f>H80+E80</f>
        <v>411.95</v>
      </c>
      <c r="D80" s="84"/>
      <c r="E80" s="84">
        <f>F80+G80</f>
        <v>26.95</v>
      </c>
      <c r="F80" s="84">
        <f>0.04*H80</f>
        <v>15.4</v>
      </c>
      <c r="G80" s="84">
        <f>0.03*H80</f>
        <v>11.549999999999999</v>
      </c>
      <c r="H80" s="84">
        <f>T80</f>
        <v>385</v>
      </c>
      <c r="I80" s="84">
        <f>0.6*C80</f>
        <v>247.17</v>
      </c>
      <c r="J80" s="131"/>
      <c r="K80" s="131"/>
      <c r="L80" s="131"/>
      <c r="M80" s="131"/>
      <c r="N80" s="131"/>
      <c r="O80" s="84">
        <v>4004</v>
      </c>
      <c r="P80" s="84">
        <v>4389</v>
      </c>
      <c r="Q80" s="85"/>
      <c r="R80" s="85"/>
      <c r="S80" s="84">
        <v>1</v>
      </c>
      <c r="T80" s="84">
        <f>(P80-O80)*S80</f>
        <v>385</v>
      </c>
      <c r="U80" s="88"/>
      <c r="V80" s="89" t="s">
        <v>120</v>
      </c>
      <c r="W80" s="134" t="s">
        <v>116</v>
      </c>
      <c r="X80" s="7"/>
      <c r="Y80" s="7"/>
      <c r="Z80" s="7"/>
      <c r="AA80" s="7"/>
      <c r="AB80" s="7"/>
      <c r="AC80" s="7"/>
    </row>
    <row r="81" spans="1:29" ht="26.25">
      <c r="A81" s="135"/>
      <c r="B81" s="136" t="s">
        <v>121</v>
      </c>
      <c r="C81" s="97">
        <f>C77+C79</f>
        <v>31297.000000000025</v>
      </c>
      <c r="D81" s="137"/>
      <c r="E81" s="97"/>
      <c r="F81" s="97"/>
      <c r="G81" s="97"/>
      <c r="H81" s="97"/>
      <c r="I81" s="124">
        <f>I79+I77</f>
        <v>0</v>
      </c>
      <c r="J81" s="126"/>
      <c r="K81" s="126"/>
      <c r="L81" s="126"/>
      <c r="M81" s="126"/>
      <c r="N81" s="126"/>
      <c r="O81" s="124"/>
      <c r="P81" s="124"/>
      <c r="Q81" s="138"/>
      <c r="R81" s="139"/>
      <c r="S81" s="140"/>
      <c r="T81" s="124"/>
      <c r="U81" s="127"/>
      <c r="V81" s="128"/>
      <c r="W81" s="14"/>
      <c r="X81" s="7"/>
      <c r="Y81" s="7"/>
      <c r="Z81" s="7"/>
      <c r="AA81" s="7"/>
      <c r="AB81" s="7"/>
      <c r="AC81" s="7"/>
    </row>
    <row r="82" spans="1:29" ht="26.25">
      <c r="A82" s="135"/>
      <c r="B82" s="136" t="s">
        <v>122</v>
      </c>
      <c r="C82" s="97"/>
      <c r="D82" s="137"/>
      <c r="E82" s="97"/>
      <c r="F82" s="97"/>
      <c r="G82" s="97"/>
      <c r="H82" s="97"/>
      <c r="I82" s="124"/>
      <c r="J82" s="126"/>
      <c r="K82" s="126"/>
      <c r="L82" s="126"/>
      <c r="M82" s="126"/>
      <c r="N82" s="126"/>
      <c r="O82" s="124"/>
      <c r="P82" s="124"/>
      <c r="Q82" s="138"/>
      <c r="R82" s="139"/>
      <c r="S82" s="140"/>
      <c r="T82" s="124"/>
      <c r="U82" s="127"/>
      <c r="V82" s="128"/>
      <c r="W82" s="14"/>
      <c r="X82" s="7"/>
      <c r="Y82" s="7"/>
      <c r="Z82" s="7"/>
      <c r="AA82" s="7"/>
      <c r="AB82" s="7"/>
      <c r="AC82" s="7"/>
    </row>
    <row r="83" spans="1:29" ht="26.25">
      <c r="A83" s="19"/>
      <c r="B83" s="387" t="s">
        <v>123</v>
      </c>
      <c r="C83" s="84">
        <f>H83+E83</f>
        <v>2132.0000000000073</v>
      </c>
      <c r="D83" s="84"/>
      <c r="E83" s="84">
        <f>F83+G83</f>
        <v>0</v>
      </c>
      <c r="F83" s="84">
        <v>0</v>
      </c>
      <c r="G83" s="84">
        <v>0</v>
      </c>
      <c r="H83" s="84">
        <f>T83</f>
        <v>2132.0000000000073</v>
      </c>
      <c r="I83" s="84">
        <f>T86</f>
        <v>0</v>
      </c>
      <c r="J83" s="130"/>
      <c r="K83" s="131"/>
      <c r="L83" s="131"/>
      <c r="M83" s="130"/>
      <c r="N83" s="130"/>
      <c r="O83" s="84">
        <v>3767</v>
      </c>
      <c r="P83" s="84">
        <v>3820.3</v>
      </c>
      <c r="Q83" s="385" t="s">
        <v>37</v>
      </c>
      <c r="R83" s="385"/>
      <c r="S83" s="84">
        <v>40</v>
      </c>
      <c r="T83" s="84">
        <f>(P83-O83)*S83</f>
        <v>2132.0000000000073</v>
      </c>
      <c r="U83" s="88">
        <v>5669</v>
      </c>
      <c r="V83" s="89" t="s">
        <v>124</v>
      </c>
      <c r="W83" s="14" t="s">
        <v>19</v>
      </c>
      <c r="X83" s="7"/>
      <c r="Y83" s="7"/>
      <c r="Z83" s="7"/>
      <c r="AA83" s="7"/>
      <c r="AB83" s="7"/>
      <c r="AC83" s="7"/>
    </row>
    <row r="84" spans="1:29" ht="30.75" customHeight="1">
      <c r="A84" s="19"/>
      <c r="B84" s="83" t="s">
        <v>125</v>
      </c>
      <c r="C84" s="84">
        <f>H84+E84</f>
        <v>10501.999999999993</v>
      </c>
      <c r="D84" s="84"/>
      <c r="E84" s="84">
        <f>F84+G84</f>
        <v>0</v>
      </c>
      <c r="F84" s="84">
        <v>0</v>
      </c>
      <c r="G84" s="84">
        <v>0</v>
      </c>
      <c r="H84" s="84">
        <f>T84</f>
        <v>10501.999999999993</v>
      </c>
      <c r="I84" s="84">
        <f>T87</f>
        <v>0</v>
      </c>
      <c r="J84" s="130"/>
      <c r="K84" s="131"/>
      <c r="L84" s="131"/>
      <c r="M84" s="130"/>
      <c r="N84" s="130"/>
      <c r="O84" s="84">
        <v>2968</v>
      </c>
      <c r="P84" s="84">
        <v>3173</v>
      </c>
      <c r="Q84" s="385" t="s">
        <v>37</v>
      </c>
      <c r="R84" s="385"/>
      <c r="S84" s="84">
        <v>120</v>
      </c>
      <c r="T84" s="84">
        <f>(P84-O84)*S84-T377-T343-T83-T362-T376-T172</f>
        <v>10501.999999999993</v>
      </c>
      <c r="U84" s="88">
        <v>1152</v>
      </c>
      <c r="V84" s="89" t="s">
        <v>124</v>
      </c>
      <c r="W84" s="14" t="s">
        <v>19</v>
      </c>
      <c r="X84" s="7"/>
      <c r="Y84" s="7"/>
      <c r="Z84" s="7"/>
      <c r="AA84" s="7"/>
      <c r="AB84" s="7"/>
      <c r="AC84" s="7"/>
    </row>
    <row r="85" spans="1:29" ht="27.75">
      <c r="A85" s="19"/>
      <c r="B85" s="141" t="s">
        <v>932</v>
      </c>
      <c r="C85" s="115">
        <f>SUM(C54+C74+C81+C66+C83+C84)</f>
        <v>396537.32080000138</v>
      </c>
      <c r="D85" s="91"/>
      <c r="E85" s="115"/>
      <c r="F85" s="91"/>
      <c r="G85" s="91"/>
      <c r="H85" s="115"/>
      <c r="I85" s="91">
        <f>SUM(I8:I43)+I74+I81+I66</f>
        <v>152747.81200000102</v>
      </c>
      <c r="J85" s="22"/>
      <c r="K85" s="22"/>
      <c r="L85" s="22"/>
      <c r="M85" s="22"/>
      <c r="N85" s="22"/>
      <c r="O85" s="91"/>
      <c r="P85" s="91"/>
      <c r="Q85" s="22"/>
      <c r="R85" s="142"/>
      <c r="S85" s="91"/>
      <c r="T85" s="91"/>
      <c r="U85" s="95"/>
      <c r="V85" s="673"/>
      <c r="W85" s="14"/>
      <c r="X85" s="7"/>
      <c r="Y85" s="7"/>
      <c r="Z85" s="7"/>
      <c r="AA85" s="7"/>
      <c r="AB85" s="7"/>
      <c r="AC85" s="7"/>
    </row>
    <row r="86" spans="1:29" ht="26.25">
      <c r="A86" s="19"/>
      <c r="B86" s="143"/>
      <c r="C86" s="115"/>
      <c r="D86" s="91"/>
      <c r="E86" s="115"/>
      <c r="F86" s="91"/>
      <c r="G86" s="91"/>
      <c r="H86" s="91"/>
      <c r="I86" s="91"/>
      <c r="J86" s="22"/>
      <c r="K86" s="22"/>
      <c r="L86" s="22"/>
      <c r="M86" s="22"/>
      <c r="N86" s="22"/>
      <c r="O86" s="91"/>
      <c r="P86" s="91"/>
      <c r="Q86" s="22"/>
      <c r="R86" s="142"/>
      <c r="S86" s="91"/>
      <c r="T86" s="91"/>
      <c r="U86" s="95"/>
      <c r="V86" s="673"/>
      <c r="W86" s="14"/>
      <c r="X86" s="7"/>
      <c r="Y86" s="7"/>
      <c r="Z86" s="7"/>
      <c r="AA86" s="7"/>
      <c r="AB86" s="7"/>
      <c r="AC86" s="7"/>
    </row>
    <row r="87" spans="1:29" ht="25.5">
      <c r="A87" s="822"/>
      <c r="B87" s="823"/>
      <c r="C87" s="91"/>
      <c r="D87" s="91"/>
      <c r="E87" s="92"/>
      <c r="F87" s="91"/>
      <c r="G87" s="91"/>
      <c r="H87" s="91"/>
      <c r="I87" s="91"/>
      <c r="J87" s="22"/>
      <c r="K87" s="22"/>
      <c r="L87" s="22"/>
      <c r="M87" s="22"/>
      <c r="N87" s="22"/>
      <c r="O87" s="91"/>
      <c r="P87" s="91"/>
      <c r="Q87" s="22"/>
      <c r="R87" s="142"/>
      <c r="S87" s="91"/>
      <c r="T87" s="91"/>
      <c r="U87" s="95"/>
      <c r="V87" s="673"/>
      <c r="W87" s="14"/>
      <c r="X87" s="7"/>
      <c r="Y87" s="7"/>
      <c r="Z87" s="7"/>
      <c r="AA87" s="7"/>
      <c r="AB87" s="7"/>
      <c r="AC87" s="7"/>
    </row>
    <row r="88" spans="1:29" ht="25.5">
      <c r="A88" s="19"/>
      <c r="B88" s="62" t="s">
        <v>127</v>
      </c>
      <c r="C88" s="28">
        <f>H88-C89-C90-C726-D720</f>
        <v>23294</v>
      </c>
      <c r="D88" s="28"/>
      <c r="E88" s="28"/>
      <c r="F88" s="28"/>
      <c r="G88" s="28"/>
      <c r="H88" s="28">
        <f>T88</f>
        <v>31680</v>
      </c>
      <c r="I88" s="28">
        <v>0</v>
      </c>
      <c r="J88" s="29"/>
      <c r="K88" s="29"/>
      <c r="L88" s="29"/>
      <c r="M88" s="29"/>
      <c r="N88" s="29"/>
      <c r="O88" s="28">
        <v>39476</v>
      </c>
      <c r="P88" s="28">
        <v>40268</v>
      </c>
      <c r="Q88" s="30"/>
      <c r="R88" s="351"/>
      <c r="S88" s="28">
        <v>40</v>
      </c>
      <c r="T88" s="28">
        <f>(P88-O88)*S88</f>
        <v>31680</v>
      </c>
      <c r="U88" s="31">
        <v>95964307</v>
      </c>
      <c r="V88" s="676" t="s">
        <v>128</v>
      </c>
      <c r="W88" s="14"/>
      <c r="X88" s="7"/>
      <c r="Y88" s="7"/>
      <c r="Z88" s="93"/>
      <c r="AA88" s="93"/>
      <c r="AB88" s="93"/>
      <c r="AC88" s="7"/>
    </row>
    <row r="89" spans="1:29" s="42" customFormat="1" ht="25.5">
      <c r="A89" s="32"/>
      <c r="B89" s="69" t="s">
        <v>129</v>
      </c>
      <c r="C89" s="49">
        <f>H89</f>
        <v>1200</v>
      </c>
      <c r="D89" s="49"/>
      <c r="E89" s="49"/>
      <c r="F89" s="49"/>
      <c r="G89" s="49"/>
      <c r="H89" s="49">
        <v>1200</v>
      </c>
      <c r="I89" s="49">
        <v>0</v>
      </c>
      <c r="J89" s="51"/>
      <c r="K89" s="51"/>
      <c r="L89" s="51"/>
      <c r="M89" s="51"/>
      <c r="N89" s="51"/>
      <c r="O89" s="49"/>
      <c r="P89" s="49"/>
      <c r="Q89" s="70"/>
      <c r="R89" s="76"/>
      <c r="S89" s="49"/>
      <c r="T89" s="49"/>
      <c r="U89" s="53" t="s">
        <v>29</v>
      </c>
      <c r="V89" s="64"/>
      <c r="W89" s="144"/>
      <c r="X89" s="41"/>
      <c r="Y89" s="41"/>
      <c r="Z89" s="145"/>
      <c r="AA89" s="145"/>
      <c r="AB89" s="145"/>
      <c r="AC89" s="41"/>
    </row>
    <row r="90" spans="1:29" ht="26.25">
      <c r="A90" s="19"/>
      <c r="B90" s="27" t="s">
        <v>130</v>
      </c>
      <c r="C90" s="72">
        <f>H90+E90</f>
        <v>4357</v>
      </c>
      <c r="D90" s="77"/>
      <c r="E90" s="28">
        <f>247</f>
        <v>247</v>
      </c>
      <c r="F90" s="28"/>
      <c r="G90" s="28"/>
      <c r="H90" s="28">
        <f>T90</f>
        <v>4110</v>
      </c>
      <c r="I90" s="28"/>
      <c r="J90" s="29"/>
      <c r="K90" s="29"/>
      <c r="L90" s="29"/>
      <c r="M90" s="29"/>
      <c r="N90" s="29"/>
      <c r="O90" s="28">
        <v>15189</v>
      </c>
      <c r="P90" s="28">
        <v>15326</v>
      </c>
      <c r="Q90" s="146"/>
      <c r="R90" s="147"/>
      <c r="S90" s="54">
        <v>30</v>
      </c>
      <c r="T90" s="28">
        <f>(P90-O90)*S90</f>
        <v>4110</v>
      </c>
      <c r="U90" s="31"/>
      <c r="V90" s="676" t="s">
        <v>131</v>
      </c>
      <c r="W90" s="14"/>
      <c r="X90" s="7"/>
      <c r="Y90" s="7"/>
      <c r="Z90" s="93"/>
      <c r="AA90" s="93"/>
      <c r="AB90" s="93"/>
      <c r="AC90" s="7"/>
    </row>
    <row r="91" spans="1:29" ht="25.5" customHeight="1">
      <c r="A91" s="19"/>
      <c r="B91" s="148"/>
      <c r="C91" s="115"/>
      <c r="D91" s="92"/>
      <c r="E91" s="91"/>
      <c r="F91" s="91"/>
      <c r="G91" s="91"/>
      <c r="H91" s="91"/>
      <c r="I91" s="91"/>
      <c r="J91" s="22"/>
      <c r="K91" s="22"/>
      <c r="L91" s="22"/>
      <c r="M91" s="22"/>
      <c r="N91" s="22"/>
      <c r="O91" s="91"/>
      <c r="P91" s="91"/>
      <c r="Q91" s="149"/>
      <c r="R91" s="150"/>
      <c r="S91" s="151"/>
      <c r="T91" s="91"/>
      <c r="U91" s="95"/>
      <c r="V91" s="673"/>
      <c r="W91" s="14"/>
      <c r="X91" s="7"/>
      <c r="Y91" s="7"/>
      <c r="Z91" s="7"/>
      <c r="AA91" s="7"/>
      <c r="AB91" s="7"/>
      <c r="AC91" s="7"/>
    </row>
    <row r="92" spans="1:29" ht="26.25">
      <c r="A92" s="19"/>
      <c r="B92" s="96" t="s">
        <v>86</v>
      </c>
      <c r="C92" s="115">
        <f>C88+C89+C90+C726+D726</f>
        <v>31680</v>
      </c>
      <c r="D92" s="28"/>
      <c r="E92" s="72"/>
      <c r="F92" s="28"/>
      <c r="G92" s="28"/>
      <c r="H92" s="72"/>
      <c r="I92" s="91">
        <v>0</v>
      </c>
      <c r="J92" s="22"/>
      <c r="K92" s="22"/>
      <c r="L92" s="22"/>
      <c r="M92" s="22"/>
      <c r="N92" s="22"/>
      <c r="O92" s="91"/>
      <c r="P92" s="91"/>
      <c r="Q92" s="22" t="s">
        <v>26</v>
      </c>
      <c r="R92" s="142"/>
      <c r="S92" s="91"/>
      <c r="T92" s="91">
        <v>0</v>
      </c>
      <c r="U92" s="31"/>
      <c r="V92" s="668"/>
      <c r="W92" s="14"/>
      <c r="X92" s="7"/>
      <c r="Y92" s="7"/>
      <c r="Z92" s="149"/>
      <c r="AA92" s="149"/>
      <c r="AB92" s="149"/>
      <c r="AC92" s="149"/>
    </row>
    <row r="93" spans="1:29" ht="26.25">
      <c r="A93" s="19"/>
      <c r="B93" s="143"/>
      <c r="C93" s="115"/>
      <c r="D93" s="91"/>
      <c r="E93" s="115"/>
      <c r="F93" s="91"/>
      <c r="G93" s="91"/>
      <c r="H93" s="91"/>
      <c r="I93" s="91"/>
      <c r="J93" s="22"/>
      <c r="K93" s="22"/>
      <c r="L93" s="22"/>
      <c r="M93" s="22"/>
      <c r="N93" s="22"/>
      <c r="O93" s="91"/>
      <c r="P93" s="91"/>
      <c r="Q93" s="22" t="s">
        <v>28</v>
      </c>
      <c r="R93" s="142"/>
      <c r="S93" s="91"/>
      <c r="T93" s="91"/>
      <c r="U93" s="95"/>
      <c r="V93" s="673"/>
      <c r="W93" s="14"/>
      <c r="X93" s="7"/>
      <c r="Y93" s="7"/>
      <c r="Z93" s="149"/>
      <c r="AA93" s="149"/>
      <c r="AB93" s="149"/>
      <c r="AC93" s="149"/>
    </row>
    <row r="94" spans="1:29" ht="25.5" customHeight="1">
      <c r="A94" s="808" t="s">
        <v>132</v>
      </c>
      <c r="B94" s="809"/>
      <c r="C94" s="91"/>
      <c r="D94" s="91"/>
      <c r="E94" s="92"/>
      <c r="F94" s="91"/>
      <c r="G94" s="91"/>
      <c r="H94" s="91"/>
      <c r="I94" s="91"/>
      <c r="J94" s="22"/>
      <c r="K94" s="22"/>
      <c r="L94" s="22"/>
      <c r="M94" s="22"/>
      <c r="N94" s="22"/>
      <c r="O94" s="91"/>
      <c r="P94" s="91"/>
      <c r="Q94" s="22" t="s">
        <v>33</v>
      </c>
      <c r="R94" s="142"/>
      <c r="S94" s="91"/>
      <c r="T94" s="91"/>
      <c r="U94" s="95"/>
      <c r="V94" s="673"/>
      <c r="W94" s="14"/>
      <c r="X94" s="7"/>
      <c r="Y94" s="7"/>
      <c r="Z94" s="149"/>
      <c r="AA94" s="149"/>
      <c r="AB94" s="149"/>
      <c r="AC94" s="149"/>
    </row>
    <row r="95" spans="1:29" s="42" customFormat="1" ht="25.5" customHeight="1">
      <c r="A95" s="152"/>
      <c r="B95" s="553"/>
      <c r="C95" s="554"/>
      <c r="D95" s="554"/>
      <c r="E95" s="554"/>
      <c r="F95" s="554"/>
      <c r="G95" s="554"/>
      <c r="H95" s="554"/>
      <c r="I95" s="554"/>
      <c r="J95" s="555"/>
      <c r="K95" s="555"/>
      <c r="L95" s="555"/>
      <c r="M95" s="555"/>
      <c r="N95" s="555"/>
      <c r="O95" s="554"/>
      <c r="P95" s="554"/>
      <c r="Q95" s="556"/>
      <c r="R95" s="556"/>
      <c r="S95" s="554"/>
      <c r="T95" s="554"/>
      <c r="U95" s="557"/>
      <c r="V95" s="558"/>
      <c r="W95" s="40"/>
      <c r="X95" s="41"/>
      <c r="Y95" s="41"/>
      <c r="Z95" s="153"/>
      <c r="AA95" s="153"/>
      <c r="AB95" s="153"/>
      <c r="AC95" s="153"/>
    </row>
    <row r="96" spans="1:29" ht="25.5" customHeight="1">
      <c r="A96" s="669"/>
      <c r="B96" s="387" t="s">
        <v>133</v>
      </c>
      <c r="C96" s="154">
        <f>H96+E96</f>
        <v>9182.2000000000116</v>
      </c>
      <c r="D96" s="85"/>
      <c r="E96" s="84">
        <f>F96+G96</f>
        <v>0</v>
      </c>
      <c r="F96" s="84">
        <v>0</v>
      </c>
      <c r="G96" s="84">
        <v>0</v>
      </c>
      <c r="H96" s="84">
        <f>T96</f>
        <v>9182.2000000000116</v>
      </c>
      <c r="I96" s="84">
        <f>0.5*C96</f>
        <v>4591.1000000000058</v>
      </c>
      <c r="J96" s="130"/>
      <c r="K96" s="130"/>
      <c r="L96" s="130"/>
      <c r="M96" s="130"/>
      <c r="N96" s="130"/>
      <c r="O96" s="155">
        <v>13682.276</v>
      </c>
      <c r="P96" s="155">
        <v>13911.831</v>
      </c>
      <c r="Q96" s="86"/>
      <c r="R96" s="388"/>
      <c r="S96" s="156">
        <v>40</v>
      </c>
      <c r="T96" s="84">
        <f>(P96-O96)*S96</f>
        <v>9182.2000000000116</v>
      </c>
      <c r="U96" s="88" t="s">
        <v>134</v>
      </c>
      <c r="V96" s="89" t="s">
        <v>135</v>
      </c>
      <c r="W96" s="14" t="s">
        <v>27</v>
      </c>
      <c r="X96" s="7"/>
      <c r="Y96" s="7"/>
      <c r="Z96" s="149"/>
      <c r="AA96" s="149"/>
      <c r="AB96" s="149"/>
      <c r="AC96" s="149"/>
    </row>
    <row r="97" spans="1:29" ht="25.5" customHeight="1">
      <c r="A97" s="669"/>
      <c r="B97" s="83"/>
      <c r="C97" s="84"/>
      <c r="D97" s="84"/>
      <c r="E97" s="84"/>
      <c r="F97" s="84"/>
      <c r="G97" s="84"/>
      <c r="H97" s="84"/>
      <c r="I97" s="84">
        <f>0.5*C97</f>
        <v>0</v>
      </c>
      <c r="J97" s="130"/>
      <c r="K97" s="130"/>
      <c r="L97" s="130"/>
      <c r="M97" s="130"/>
      <c r="N97" s="130"/>
      <c r="O97" s="84"/>
      <c r="P97" s="84"/>
      <c r="Q97" s="389"/>
      <c r="R97" s="390"/>
      <c r="S97" s="156"/>
      <c r="T97" s="84"/>
      <c r="U97" s="88"/>
      <c r="V97" s="89"/>
      <c r="W97" s="14"/>
      <c r="X97" s="7"/>
      <c r="Y97" s="7"/>
      <c r="Z97" s="149"/>
      <c r="AA97" s="149"/>
      <c r="AB97" s="149"/>
      <c r="AC97" s="149"/>
    </row>
    <row r="98" spans="1:29" ht="25.5" customHeight="1">
      <c r="A98" s="669"/>
      <c r="B98" s="798" t="s">
        <v>136</v>
      </c>
      <c r="C98" s="84">
        <f>H98+E98</f>
        <v>39567.999999999956</v>
      </c>
      <c r="D98" s="84"/>
      <c r="E98" s="84">
        <f>F98+G98</f>
        <v>0</v>
      </c>
      <c r="F98" s="84">
        <v>0</v>
      </c>
      <c r="G98" s="84">
        <v>0</v>
      </c>
      <c r="H98" s="84">
        <f>T98+T99</f>
        <v>39567.999999999956</v>
      </c>
      <c r="I98" s="84">
        <f>0.6*C98</f>
        <v>23740.799999999974</v>
      </c>
      <c r="J98" s="130"/>
      <c r="K98" s="130"/>
      <c r="L98" s="130"/>
      <c r="M98" s="130"/>
      <c r="N98" s="130"/>
      <c r="O98" s="84">
        <v>64090.84</v>
      </c>
      <c r="P98" s="84">
        <v>64090.84</v>
      </c>
      <c r="Q98" s="389"/>
      <c r="R98" s="390"/>
      <c r="S98" s="156">
        <v>80</v>
      </c>
      <c r="T98" s="84">
        <f>(P98-O98)*S98</f>
        <v>0</v>
      </c>
      <c r="U98" s="88"/>
      <c r="V98" s="89" t="s">
        <v>137</v>
      </c>
      <c r="W98" s="14" t="s">
        <v>27</v>
      </c>
      <c r="X98" s="7"/>
      <c r="Y98" s="7"/>
      <c r="Z98" s="149"/>
      <c r="AA98" s="149"/>
      <c r="AB98" s="149"/>
      <c r="AC98" s="149"/>
    </row>
    <row r="99" spans="1:29" ht="25.5">
      <c r="A99" s="19"/>
      <c r="B99" s="799"/>
      <c r="C99" s="84"/>
      <c r="D99" s="84"/>
      <c r="E99" s="84"/>
      <c r="F99" s="84"/>
      <c r="G99" s="84"/>
      <c r="H99" s="84"/>
      <c r="I99" s="84">
        <f>0.6*C99</f>
        <v>0</v>
      </c>
      <c r="J99" s="130"/>
      <c r="K99" s="130"/>
      <c r="L99" s="130"/>
      <c r="M99" s="130"/>
      <c r="N99" s="130"/>
      <c r="O99" s="84">
        <v>2650.8</v>
      </c>
      <c r="P99" s="84">
        <v>2898.1</v>
      </c>
      <c r="Q99" s="389"/>
      <c r="R99" s="390"/>
      <c r="S99" s="156">
        <v>80</v>
      </c>
      <c r="T99" s="84">
        <f>(P99-O99)*S99*2</f>
        <v>39567.999999999956</v>
      </c>
      <c r="U99" s="88"/>
      <c r="V99" s="89" t="s">
        <v>138</v>
      </c>
      <c r="W99" s="14" t="s">
        <v>27</v>
      </c>
      <c r="X99" s="93"/>
      <c r="Y99" s="93"/>
      <c r="Z99" s="149"/>
      <c r="AA99" s="149"/>
      <c r="AB99" s="149"/>
      <c r="AC99" s="149"/>
    </row>
    <row r="100" spans="1:29" ht="25.5">
      <c r="A100" s="157"/>
      <c r="B100" s="83"/>
      <c r="C100" s="84"/>
      <c r="D100" s="84"/>
      <c r="E100" s="85"/>
      <c r="F100" s="85"/>
      <c r="G100" s="85"/>
      <c r="H100" s="84"/>
      <c r="I100" s="85"/>
      <c r="J100" s="130"/>
      <c r="K100" s="130"/>
      <c r="L100" s="130"/>
      <c r="M100" s="130"/>
      <c r="N100" s="130"/>
      <c r="O100" s="84"/>
      <c r="P100" s="84"/>
      <c r="Q100" s="130"/>
      <c r="R100" s="385"/>
      <c r="S100" s="84"/>
      <c r="T100" s="84"/>
      <c r="U100" s="88"/>
      <c r="V100" s="89"/>
      <c r="W100" s="47"/>
      <c r="X100" s="93"/>
      <c r="Y100" s="93"/>
      <c r="Z100" s="149"/>
      <c r="AA100" s="149"/>
      <c r="AB100" s="149"/>
      <c r="AC100" s="149"/>
    </row>
    <row r="101" spans="1:29" ht="26.25">
      <c r="A101" s="157"/>
      <c r="B101" s="387" t="s">
        <v>710</v>
      </c>
      <c r="C101" s="154">
        <f>H101+E101</f>
        <v>15640</v>
      </c>
      <c r="D101" s="84"/>
      <c r="E101" s="84">
        <f>F101+G101</f>
        <v>0</v>
      </c>
      <c r="F101" s="84">
        <f>X101</f>
        <v>0</v>
      </c>
      <c r="G101" s="84">
        <f>Y101</f>
        <v>0</v>
      </c>
      <c r="H101" s="84">
        <f>T102+T105+T108</f>
        <v>15640</v>
      </c>
      <c r="I101" s="84">
        <f>T103+0.5*(T108+T105)</f>
        <v>2360</v>
      </c>
      <c r="J101" s="130"/>
      <c r="K101" s="130"/>
      <c r="L101" s="130"/>
      <c r="M101" s="130"/>
      <c r="N101" s="130" t="s">
        <v>139</v>
      </c>
      <c r="O101" s="84"/>
      <c r="P101" s="84"/>
      <c r="Q101" s="389"/>
      <c r="R101" s="385"/>
      <c r="S101" s="84">
        <v>1</v>
      </c>
      <c r="T101" s="84">
        <f t="shared" ref="T101:T108" si="14">(P101-O101)*S101</f>
        <v>0</v>
      </c>
      <c r="U101" s="88"/>
      <c r="V101" s="89"/>
      <c r="W101" s="47" t="s">
        <v>31</v>
      </c>
      <c r="X101" s="93"/>
      <c r="Y101" s="93"/>
      <c r="Z101" s="7"/>
      <c r="AA101" s="7"/>
      <c r="AB101" s="7"/>
      <c r="AC101" s="7"/>
    </row>
    <row r="102" spans="1:29" ht="25.5">
      <c r="A102" s="157"/>
      <c r="B102" s="83" t="s">
        <v>140</v>
      </c>
      <c r="C102" s="84"/>
      <c r="D102" s="84"/>
      <c r="E102" s="84"/>
      <c r="F102" s="84"/>
      <c r="G102" s="84"/>
      <c r="H102" s="84"/>
      <c r="I102" s="85"/>
      <c r="J102" s="130"/>
      <c r="K102" s="130"/>
      <c r="L102" s="130"/>
      <c r="M102" s="130"/>
      <c r="N102" s="130"/>
      <c r="O102" s="84">
        <v>28714</v>
      </c>
      <c r="P102" s="84">
        <v>28896</v>
      </c>
      <c r="Q102" s="389"/>
      <c r="R102" s="385"/>
      <c r="S102" s="84">
        <v>60</v>
      </c>
      <c r="T102" s="84">
        <f>(P102-O102)*S102</f>
        <v>10920</v>
      </c>
      <c r="U102" s="88">
        <v>36259</v>
      </c>
      <c r="V102" s="89" t="s">
        <v>141</v>
      </c>
      <c r="W102" s="14"/>
      <c r="X102" s="7"/>
      <c r="Y102" s="7"/>
      <c r="Z102" s="7"/>
      <c r="AA102" s="7"/>
      <c r="AB102" s="7"/>
      <c r="AC102" s="7"/>
    </row>
    <row r="103" spans="1:29" ht="25.5">
      <c r="A103" s="157"/>
      <c r="B103" s="83"/>
      <c r="C103" s="84"/>
      <c r="D103" s="84"/>
      <c r="E103" s="84"/>
      <c r="F103" s="84"/>
      <c r="G103" s="84"/>
      <c r="H103" s="84"/>
      <c r="I103" s="85"/>
      <c r="J103" s="130"/>
      <c r="K103" s="130"/>
      <c r="L103" s="130"/>
      <c r="M103" s="130"/>
      <c r="N103" s="130"/>
      <c r="O103" s="84"/>
      <c r="P103" s="84"/>
      <c r="Q103" s="389"/>
      <c r="R103" s="385"/>
      <c r="S103" s="84">
        <v>60</v>
      </c>
      <c r="T103" s="84">
        <f t="shared" si="14"/>
        <v>0</v>
      </c>
      <c r="U103" s="88"/>
      <c r="V103" s="89"/>
      <c r="W103" s="134"/>
      <c r="X103" s="149"/>
      <c r="Y103" s="149"/>
      <c r="Z103" s="7"/>
      <c r="AA103" s="7"/>
      <c r="AB103" s="7"/>
      <c r="AC103" s="7"/>
    </row>
    <row r="104" spans="1:29" ht="25.5">
      <c r="A104" s="157"/>
      <c r="B104" s="83"/>
      <c r="C104" s="84"/>
      <c r="D104" s="84"/>
      <c r="E104" s="84"/>
      <c r="F104" s="84"/>
      <c r="G104" s="84"/>
      <c r="H104" s="84"/>
      <c r="I104" s="85"/>
      <c r="J104" s="130"/>
      <c r="K104" s="130"/>
      <c r="L104" s="130"/>
      <c r="M104" s="130"/>
      <c r="N104" s="130"/>
      <c r="O104" s="84"/>
      <c r="P104" s="84"/>
      <c r="Q104" s="389"/>
      <c r="R104" s="385"/>
      <c r="S104" s="84">
        <v>60</v>
      </c>
      <c r="T104" s="84">
        <f t="shared" si="14"/>
        <v>0</v>
      </c>
      <c r="U104" s="88"/>
      <c r="V104" s="89"/>
      <c r="W104" s="134"/>
      <c r="X104" s="149"/>
      <c r="Y104" s="149"/>
      <c r="Z104" s="7"/>
      <c r="AA104" s="7"/>
      <c r="AB104" s="7"/>
      <c r="AC104" s="7"/>
    </row>
    <row r="105" spans="1:29" ht="25.5">
      <c r="A105" s="157"/>
      <c r="B105" s="83" t="s">
        <v>142</v>
      </c>
      <c r="C105" s="84"/>
      <c r="D105" s="84"/>
      <c r="E105" s="84"/>
      <c r="F105" s="84"/>
      <c r="G105" s="84"/>
      <c r="H105" s="84"/>
      <c r="I105" s="85"/>
      <c r="J105" s="130"/>
      <c r="K105" s="130"/>
      <c r="L105" s="130"/>
      <c r="M105" s="130"/>
      <c r="N105" s="130"/>
      <c r="O105" s="84">
        <v>5887</v>
      </c>
      <c r="P105" s="84">
        <v>5947</v>
      </c>
      <c r="Q105" s="389"/>
      <c r="R105" s="390"/>
      <c r="S105" s="84">
        <v>40</v>
      </c>
      <c r="T105" s="84">
        <f t="shared" si="14"/>
        <v>2400</v>
      </c>
      <c r="U105" s="88">
        <v>580023</v>
      </c>
      <c r="V105" s="89"/>
      <c r="W105" s="134"/>
      <c r="X105" s="149"/>
      <c r="Y105" s="149"/>
      <c r="Z105" s="7"/>
      <c r="AA105" s="7"/>
      <c r="AB105" s="7"/>
      <c r="AC105" s="7"/>
    </row>
    <row r="106" spans="1:29" ht="25.5">
      <c r="A106" s="157"/>
      <c r="B106" s="83"/>
      <c r="C106" s="84"/>
      <c r="D106" s="84"/>
      <c r="E106" s="84"/>
      <c r="F106" s="84"/>
      <c r="G106" s="84"/>
      <c r="H106" s="84"/>
      <c r="I106" s="85"/>
      <c r="J106" s="130"/>
      <c r="K106" s="130"/>
      <c r="L106" s="130"/>
      <c r="M106" s="130"/>
      <c r="N106" s="130"/>
      <c r="O106" s="84"/>
      <c r="P106" s="84"/>
      <c r="Q106" s="389"/>
      <c r="R106" s="385"/>
      <c r="S106" s="84">
        <v>20</v>
      </c>
      <c r="T106" s="84">
        <f t="shared" si="14"/>
        <v>0</v>
      </c>
      <c r="U106" s="88"/>
      <c r="V106" s="89"/>
      <c r="W106" s="134"/>
      <c r="X106" s="149"/>
      <c r="Y106" s="149"/>
      <c r="Z106" s="7"/>
      <c r="AA106" s="7"/>
      <c r="AB106" s="7"/>
      <c r="AC106" s="7"/>
    </row>
    <row r="107" spans="1:29" ht="25.5">
      <c r="A107" s="157"/>
      <c r="B107" s="83"/>
      <c r="C107" s="84"/>
      <c r="D107" s="84"/>
      <c r="E107" s="84"/>
      <c r="F107" s="84"/>
      <c r="G107" s="84"/>
      <c r="H107" s="84"/>
      <c r="I107" s="85"/>
      <c r="J107" s="130"/>
      <c r="K107" s="130"/>
      <c r="L107" s="130"/>
      <c r="M107" s="130"/>
      <c r="N107" s="130"/>
      <c r="O107" s="84"/>
      <c r="P107" s="84"/>
      <c r="Q107" s="389"/>
      <c r="R107" s="385"/>
      <c r="S107" s="84">
        <v>40</v>
      </c>
      <c r="T107" s="84">
        <f t="shared" si="14"/>
        <v>0</v>
      </c>
      <c r="U107" s="88"/>
      <c r="V107" s="89"/>
      <c r="W107" s="134"/>
      <c r="X107" s="149"/>
      <c r="Y107" s="149"/>
      <c r="Z107" s="7"/>
      <c r="AA107" s="7"/>
      <c r="AB107" s="7"/>
      <c r="AC107" s="7"/>
    </row>
    <row r="108" spans="1:29" ht="25.5">
      <c r="A108" s="157"/>
      <c r="B108" s="83" t="s">
        <v>143</v>
      </c>
      <c r="C108" s="84"/>
      <c r="D108" s="84"/>
      <c r="E108" s="84"/>
      <c r="F108" s="84"/>
      <c r="G108" s="84"/>
      <c r="H108" s="84"/>
      <c r="I108" s="85"/>
      <c r="J108" s="130"/>
      <c r="K108" s="130"/>
      <c r="L108" s="130"/>
      <c r="M108" s="130"/>
      <c r="N108" s="130"/>
      <c r="O108" s="84">
        <v>5090</v>
      </c>
      <c r="P108" s="84">
        <v>5148</v>
      </c>
      <c r="Q108" s="389"/>
      <c r="R108" s="385"/>
      <c r="S108" s="84">
        <v>40</v>
      </c>
      <c r="T108" s="84">
        <f t="shared" si="14"/>
        <v>2320</v>
      </c>
      <c r="U108" s="88">
        <v>951989</v>
      </c>
      <c r="V108" s="89"/>
      <c r="W108" s="14"/>
      <c r="X108" s="7"/>
      <c r="Y108" s="7"/>
      <c r="Z108" s="7"/>
      <c r="AA108" s="7"/>
      <c r="AB108" s="7"/>
      <c r="AC108" s="7"/>
    </row>
    <row r="109" spans="1:29" ht="27.75">
      <c r="A109" s="19"/>
      <c r="B109" s="141" t="s">
        <v>86</v>
      </c>
      <c r="C109" s="115">
        <f>C96+C101</f>
        <v>24822.200000000012</v>
      </c>
      <c r="D109" s="115"/>
      <c r="E109" s="115"/>
      <c r="F109" s="91"/>
      <c r="G109" s="91"/>
      <c r="H109" s="115">
        <f>SUM(H99:H108)</f>
        <v>15640</v>
      </c>
      <c r="I109" s="115">
        <f>I101+I99</f>
        <v>2360</v>
      </c>
      <c r="J109" s="160">
        <f>SUM(J99:J105)</f>
        <v>0</v>
      </c>
      <c r="K109" s="160">
        <f>SUM(K99:K105)</f>
        <v>0</v>
      </c>
      <c r="L109" s="160">
        <f>SUM(L99:L105)</f>
        <v>0</v>
      </c>
      <c r="M109" s="160">
        <f>SUM(M99:M105)</f>
        <v>0</v>
      </c>
      <c r="N109" s="22"/>
      <c r="O109" s="91"/>
      <c r="P109" s="91"/>
      <c r="Q109" s="149"/>
      <c r="R109" s="161"/>
      <c r="S109" s="91"/>
      <c r="T109" s="91"/>
      <c r="U109" s="95"/>
      <c r="V109" s="673"/>
      <c r="W109" s="14"/>
      <c r="X109" s="7"/>
      <c r="Y109" s="7"/>
      <c r="Z109" s="7"/>
      <c r="AA109" s="7"/>
      <c r="AB109" s="7"/>
      <c r="AC109" s="7"/>
    </row>
    <row r="110" spans="1:29" ht="26.25">
      <c r="A110" s="19"/>
      <c r="B110" s="143"/>
      <c r="C110" s="115"/>
      <c r="D110" s="115"/>
      <c r="E110" s="115"/>
      <c r="F110" s="91"/>
      <c r="G110" s="91"/>
      <c r="H110" s="91"/>
      <c r="I110" s="115"/>
      <c r="J110" s="162"/>
      <c r="K110" s="162"/>
      <c r="L110" s="162"/>
      <c r="M110" s="162"/>
      <c r="N110" s="22"/>
      <c r="O110" s="91"/>
      <c r="P110" s="91"/>
      <c r="Q110" s="149"/>
      <c r="R110" s="161"/>
      <c r="S110" s="91"/>
      <c r="T110" s="91"/>
      <c r="U110" s="95"/>
      <c r="V110" s="673"/>
      <c r="W110" s="14"/>
      <c r="X110" s="7"/>
      <c r="Y110" s="7"/>
      <c r="Z110" s="7"/>
      <c r="AA110" s="7"/>
      <c r="AB110" s="7"/>
      <c r="AC110" s="7"/>
    </row>
    <row r="111" spans="1:29" ht="26.25">
      <c r="A111" s="19"/>
      <c r="B111" s="163" t="s">
        <v>144</v>
      </c>
      <c r="C111" s="115"/>
      <c r="D111" s="115"/>
      <c r="E111" s="115"/>
      <c r="F111" s="91"/>
      <c r="G111" s="91"/>
      <c r="H111" s="91"/>
      <c r="I111" s="91"/>
      <c r="J111" s="162"/>
      <c r="K111" s="162"/>
      <c r="L111" s="162"/>
      <c r="M111" s="162"/>
      <c r="N111" s="22"/>
      <c r="O111" s="91"/>
      <c r="P111" s="91"/>
      <c r="Q111" s="22" t="s">
        <v>50</v>
      </c>
      <c r="R111" s="142"/>
      <c r="S111" s="91"/>
      <c r="T111" s="91"/>
      <c r="U111" s="95"/>
      <c r="V111" s="673"/>
      <c r="W111" s="14"/>
      <c r="X111" s="7"/>
      <c r="Y111" s="7"/>
      <c r="Z111" s="7"/>
      <c r="AA111" s="7"/>
      <c r="AB111" s="7"/>
      <c r="AC111" s="7"/>
    </row>
    <row r="112" spans="1:29" ht="26.25">
      <c r="A112" s="19"/>
      <c r="C112" s="91"/>
      <c r="D112" s="115"/>
      <c r="E112" s="115"/>
      <c r="F112" s="91"/>
      <c r="G112" s="91"/>
      <c r="H112" s="91"/>
      <c r="I112" s="91"/>
      <c r="J112" s="164"/>
      <c r="K112" s="164"/>
      <c r="L112" s="164"/>
      <c r="M112" s="164"/>
      <c r="N112" s="164"/>
      <c r="O112" s="91"/>
      <c r="P112" s="91"/>
      <c r="Q112" s="7"/>
      <c r="R112" s="94"/>
      <c r="S112" s="91"/>
      <c r="T112" s="91"/>
      <c r="U112" s="95"/>
      <c r="V112" s="673"/>
      <c r="W112" s="14"/>
      <c r="X112" s="7"/>
      <c r="Y112" s="7"/>
      <c r="Z112" s="7"/>
      <c r="AA112" s="7"/>
      <c r="AB112" s="7"/>
      <c r="AC112" s="7"/>
    </row>
    <row r="113" spans="1:29" ht="26.25">
      <c r="A113" s="19"/>
      <c r="B113" s="163" t="s">
        <v>145</v>
      </c>
      <c r="C113" s="91"/>
      <c r="D113" s="115"/>
      <c r="E113" s="115"/>
      <c r="F113" s="91"/>
      <c r="G113" s="91"/>
      <c r="H113" s="91"/>
      <c r="I113" s="91"/>
      <c r="J113" s="164"/>
      <c r="K113" s="164"/>
      <c r="L113" s="164"/>
      <c r="M113" s="164"/>
      <c r="N113" s="164"/>
      <c r="O113" s="91"/>
      <c r="P113" s="91"/>
      <c r="Q113" s="7"/>
      <c r="R113" s="94"/>
      <c r="S113" s="91"/>
      <c r="T113" s="91"/>
      <c r="U113" s="95"/>
      <c r="V113" s="673"/>
      <c r="W113" s="14"/>
      <c r="X113" s="7"/>
      <c r="Y113" s="7"/>
      <c r="Z113" s="7"/>
      <c r="AA113" s="7"/>
      <c r="AB113" s="7"/>
      <c r="AC113" s="7"/>
    </row>
    <row r="114" spans="1:29" ht="25.5">
      <c r="A114" s="19"/>
      <c r="B114" s="27" t="s">
        <v>787</v>
      </c>
      <c r="C114" s="28">
        <f>H114+E114</f>
        <v>0</v>
      </c>
      <c r="D114" s="28"/>
      <c r="E114" s="28"/>
      <c r="F114" s="28">
        <f t="shared" ref="F114:F124" si="15">0.04*H114</f>
        <v>0</v>
      </c>
      <c r="G114" s="28">
        <f t="shared" ref="G114:G124" si="16">0.03*H114</f>
        <v>0</v>
      </c>
      <c r="H114" s="28">
        <f>T114</f>
        <v>0</v>
      </c>
      <c r="I114" s="28">
        <f>0.6*C114</f>
        <v>0</v>
      </c>
      <c r="J114" s="29"/>
      <c r="K114" s="29"/>
      <c r="L114" s="29"/>
      <c r="M114" s="29"/>
      <c r="N114" s="29" t="s">
        <v>146</v>
      </c>
      <c r="O114" s="28">
        <v>196697</v>
      </c>
      <c r="P114" s="28">
        <v>196697</v>
      </c>
      <c r="Q114" s="30"/>
      <c r="R114" s="351"/>
      <c r="S114" s="54">
        <v>1</v>
      </c>
      <c r="T114" s="28">
        <f>(P114-O114)*S114</f>
        <v>0</v>
      </c>
      <c r="U114" s="31">
        <v>42221906</v>
      </c>
      <c r="V114" s="668" t="s">
        <v>147</v>
      </c>
      <c r="W114" s="47" t="s">
        <v>31</v>
      </c>
      <c r="X114" s="7"/>
      <c r="Y114" s="7"/>
      <c r="Z114" s="7"/>
      <c r="AA114" s="7"/>
      <c r="AB114" s="7"/>
      <c r="AC114" s="7"/>
    </row>
    <row r="115" spans="1:29" ht="25.5">
      <c r="A115" s="19"/>
      <c r="B115" s="27" t="s">
        <v>148</v>
      </c>
      <c r="C115" s="28">
        <f>H115+E115</f>
        <v>10408.960000000032</v>
      </c>
      <c r="D115" s="28"/>
      <c r="E115" s="28">
        <f t="shared" ref="E115:E130" si="17">F115+G115</f>
        <v>680.96000000000208</v>
      </c>
      <c r="F115" s="28">
        <f t="shared" si="15"/>
        <v>389.1200000000012</v>
      </c>
      <c r="G115" s="28">
        <f t="shared" si="16"/>
        <v>291.84000000000088</v>
      </c>
      <c r="H115" s="28">
        <f>T115</f>
        <v>9728.0000000000291</v>
      </c>
      <c r="I115" s="28">
        <f>0.6*C115</f>
        <v>6245.3760000000193</v>
      </c>
      <c r="J115" s="29"/>
      <c r="K115" s="29"/>
      <c r="L115" s="29"/>
      <c r="M115" s="29"/>
      <c r="N115" s="29" t="s">
        <v>149</v>
      </c>
      <c r="O115" s="28">
        <v>9056.7999999999993</v>
      </c>
      <c r="P115" s="28">
        <v>9178.4</v>
      </c>
      <c r="Q115" s="146"/>
      <c r="R115" s="165"/>
      <c r="S115" s="54">
        <v>80</v>
      </c>
      <c r="T115" s="28">
        <f>(P115-O115)*S115</f>
        <v>9728.0000000000291</v>
      </c>
      <c r="U115" s="31">
        <v>440479</v>
      </c>
      <c r="V115" s="676" t="s">
        <v>150</v>
      </c>
      <c r="W115" s="47" t="s">
        <v>31</v>
      </c>
      <c r="X115" s="7"/>
      <c r="Y115" s="7"/>
      <c r="Z115" s="7"/>
      <c r="AA115" s="7"/>
      <c r="AB115" s="7"/>
      <c r="AC115" s="7"/>
    </row>
    <row r="116" spans="1:29" ht="25.5">
      <c r="A116" s="19"/>
      <c r="B116" s="166" t="s">
        <v>151</v>
      </c>
      <c r="C116" s="56">
        <f>H116+E116</f>
        <v>0</v>
      </c>
      <c r="D116" s="56"/>
      <c r="E116" s="56">
        <f t="shared" si="17"/>
        <v>0</v>
      </c>
      <c r="F116" s="56">
        <f t="shared" si="15"/>
        <v>0</v>
      </c>
      <c r="G116" s="56">
        <f t="shared" si="16"/>
        <v>0</v>
      </c>
      <c r="H116" s="56">
        <f>T116</f>
        <v>0</v>
      </c>
      <c r="I116" s="56">
        <f>0.5*C116</f>
        <v>0</v>
      </c>
      <c r="J116" s="57"/>
      <c r="K116" s="57"/>
      <c r="L116" s="57"/>
      <c r="M116" s="57"/>
      <c r="N116" s="57"/>
      <c r="O116" s="56">
        <v>162</v>
      </c>
      <c r="P116" s="56">
        <v>162</v>
      </c>
      <c r="Q116" s="167"/>
      <c r="R116" s="168"/>
      <c r="S116" s="56">
        <v>1</v>
      </c>
      <c r="T116" s="56">
        <f>(P116-O116)*S116</f>
        <v>0</v>
      </c>
      <c r="U116" s="59">
        <v>1605</v>
      </c>
      <c r="V116" s="60" t="s">
        <v>152</v>
      </c>
      <c r="W116" s="14"/>
      <c r="X116" s="7"/>
      <c r="Y116" s="7"/>
      <c r="Z116" s="7"/>
      <c r="AA116" s="7"/>
      <c r="AB116" s="7"/>
      <c r="AC116" s="7"/>
    </row>
    <row r="117" spans="1:29" ht="25.5">
      <c r="A117" s="19"/>
      <c r="B117" s="166" t="s">
        <v>153</v>
      </c>
      <c r="C117" s="56">
        <f t="shared" ref="C117:C130" si="18">H117+E117</f>
        <v>0</v>
      </c>
      <c r="D117" s="56"/>
      <c r="E117" s="56">
        <f t="shared" si="17"/>
        <v>0</v>
      </c>
      <c r="F117" s="56">
        <f t="shared" si="15"/>
        <v>0</v>
      </c>
      <c r="G117" s="56">
        <f t="shared" si="16"/>
        <v>0</v>
      </c>
      <c r="H117" s="56">
        <f t="shared" ref="H117:H130" si="19">T117</f>
        <v>0</v>
      </c>
      <c r="I117" s="56">
        <f>0.6*C117</f>
        <v>0</v>
      </c>
      <c r="J117" s="57"/>
      <c r="K117" s="57"/>
      <c r="L117" s="57"/>
      <c r="M117" s="57"/>
      <c r="N117" s="57" t="s">
        <v>154</v>
      </c>
      <c r="O117" s="56">
        <v>982</v>
      </c>
      <c r="P117" s="56">
        <v>982</v>
      </c>
      <c r="Q117" s="169"/>
      <c r="R117" s="170"/>
      <c r="S117" s="56">
        <v>1</v>
      </c>
      <c r="T117" s="56">
        <f t="shared" ref="T117:T130" si="20">(P117-O117)*S117</f>
        <v>0</v>
      </c>
      <c r="U117" s="59" t="s">
        <v>155</v>
      </c>
      <c r="V117" s="60" t="s">
        <v>156</v>
      </c>
      <c r="W117" s="14"/>
      <c r="X117" s="7"/>
      <c r="Y117" s="7"/>
      <c r="Z117" s="7"/>
      <c r="AA117" s="7"/>
      <c r="AB117" s="7"/>
      <c r="AC117" s="7"/>
    </row>
    <row r="118" spans="1:29" ht="26.25">
      <c r="A118" s="19"/>
      <c r="B118" s="367" t="s">
        <v>157</v>
      </c>
      <c r="C118" s="495">
        <f t="shared" si="18"/>
        <v>63429.599999999999</v>
      </c>
      <c r="D118" s="72"/>
      <c r="E118" s="72">
        <f t="shared" si="17"/>
        <v>4149.6000000000004</v>
      </c>
      <c r="F118" s="72">
        <f t="shared" si="15"/>
        <v>2371.2000000000003</v>
      </c>
      <c r="G118" s="72">
        <f t="shared" si="16"/>
        <v>1778.3999999999999</v>
      </c>
      <c r="H118" s="72">
        <f t="shared" si="19"/>
        <v>59280</v>
      </c>
      <c r="I118" s="72">
        <v>11490</v>
      </c>
      <c r="J118" s="81"/>
      <c r="K118" s="81"/>
      <c r="L118" s="81"/>
      <c r="M118" s="81"/>
      <c r="N118" s="81"/>
      <c r="O118" s="72">
        <v>46049</v>
      </c>
      <c r="P118" s="72">
        <v>46543</v>
      </c>
      <c r="Q118" s="146"/>
      <c r="R118" s="391"/>
      <c r="S118" s="171">
        <v>120</v>
      </c>
      <c r="T118" s="28">
        <f t="shared" si="20"/>
        <v>59280</v>
      </c>
      <c r="U118" s="31"/>
      <c r="V118" s="676" t="s">
        <v>158</v>
      </c>
      <c r="W118" s="14" t="s">
        <v>48</v>
      </c>
      <c r="X118" s="7"/>
      <c r="Y118" s="7"/>
      <c r="Z118" s="7"/>
      <c r="AA118" s="7"/>
      <c r="AB118" s="7"/>
      <c r="AC118" s="7"/>
    </row>
    <row r="119" spans="1:29" ht="25.5">
      <c r="A119" s="19"/>
      <c r="B119" s="27" t="s">
        <v>159</v>
      </c>
      <c r="C119" s="28">
        <f t="shared" si="18"/>
        <v>21.4</v>
      </c>
      <c r="D119" s="28"/>
      <c r="E119" s="28">
        <f t="shared" si="17"/>
        <v>1.4</v>
      </c>
      <c r="F119" s="28">
        <f t="shared" si="15"/>
        <v>0.8</v>
      </c>
      <c r="G119" s="28">
        <f t="shared" si="16"/>
        <v>0.6</v>
      </c>
      <c r="H119" s="28">
        <f t="shared" si="19"/>
        <v>20</v>
      </c>
      <c r="I119" s="28">
        <f>0.6*C119</f>
        <v>12.839999999999998</v>
      </c>
      <c r="J119" s="29"/>
      <c r="K119" s="29"/>
      <c r="L119" s="29"/>
      <c r="M119" s="29"/>
      <c r="N119" s="29"/>
      <c r="O119" s="28">
        <v>59564</v>
      </c>
      <c r="P119" s="28">
        <v>59584</v>
      </c>
      <c r="Q119" s="30"/>
      <c r="R119" s="351"/>
      <c r="S119" s="54">
        <v>1</v>
      </c>
      <c r="T119" s="28">
        <f t="shared" si="20"/>
        <v>20</v>
      </c>
      <c r="U119" s="31">
        <v>91423</v>
      </c>
      <c r="V119" s="676" t="s">
        <v>21</v>
      </c>
      <c r="W119" s="14" t="s">
        <v>22</v>
      </c>
      <c r="X119" s="7"/>
      <c r="Y119" s="7"/>
      <c r="Z119" s="7"/>
      <c r="AA119" s="7"/>
      <c r="AB119" s="7"/>
      <c r="AC119" s="7"/>
    </row>
    <row r="120" spans="1:29" ht="25.5">
      <c r="A120" s="19"/>
      <c r="B120" s="148"/>
      <c r="C120" s="91"/>
      <c r="D120" s="91"/>
      <c r="E120" s="91"/>
      <c r="F120" s="91"/>
      <c r="G120" s="91"/>
      <c r="H120" s="91"/>
      <c r="I120" s="91"/>
      <c r="J120" s="22"/>
      <c r="K120" s="22"/>
      <c r="L120" s="22"/>
      <c r="M120" s="22"/>
      <c r="N120" s="22"/>
      <c r="O120" s="91"/>
      <c r="P120" s="91"/>
      <c r="Q120" s="122"/>
      <c r="R120" s="173"/>
      <c r="S120" s="151"/>
      <c r="T120" s="91"/>
      <c r="U120" s="95"/>
      <c r="V120" s="673"/>
      <c r="W120" s="14"/>
      <c r="X120" s="7"/>
      <c r="Y120" s="7"/>
      <c r="Z120" s="7"/>
      <c r="AA120" s="7"/>
      <c r="AB120" s="7"/>
      <c r="AC120" s="7"/>
    </row>
    <row r="121" spans="1:29" ht="25.5">
      <c r="A121" s="19"/>
      <c r="B121" s="27" t="s">
        <v>148</v>
      </c>
      <c r="C121" s="28">
        <f t="shared" si="18"/>
        <v>303.88</v>
      </c>
      <c r="D121" s="28"/>
      <c r="E121" s="28">
        <f t="shared" si="17"/>
        <v>19.88</v>
      </c>
      <c r="F121" s="28">
        <f t="shared" si="15"/>
        <v>11.36</v>
      </c>
      <c r="G121" s="28">
        <f t="shared" si="16"/>
        <v>8.52</v>
      </c>
      <c r="H121" s="28">
        <f t="shared" si="19"/>
        <v>284</v>
      </c>
      <c r="I121" s="28">
        <f>0.6*C121</f>
        <v>182.328</v>
      </c>
      <c r="J121" s="29"/>
      <c r="K121" s="29"/>
      <c r="L121" s="29"/>
      <c r="M121" s="29"/>
      <c r="N121" s="29"/>
      <c r="O121" s="28">
        <v>6208</v>
      </c>
      <c r="P121" s="28">
        <v>6492</v>
      </c>
      <c r="Q121" s="30"/>
      <c r="R121" s="351"/>
      <c r="S121" s="54">
        <v>1</v>
      </c>
      <c r="T121" s="28">
        <f t="shared" si="20"/>
        <v>284</v>
      </c>
      <c r="U121" s="31">
        <v>9695</v>
      </c>
      <c r="V121" s="676" t="s">
        <v>160</v>
      </c>
      <c r="W121" s="134" t="s">
        <v>31</v>
      </c>
      <c r="X121" s="7"/>
      <c r="Y121" s="7"/>
      <c r="Z121" s="7"/>
      <c r="AA121" s="7"/>
      <c r="AB121" s="7"/>
      <c r="AC121" s="7"/>
    </row>
    <row r="122" spans="1:29" ht="25.5">
      <c r="A122" s="19"/>
      <c r="B122" s="27" t="s">
        <v>161</v>
      </c>
      <c r="C122" s="28">
        <f t="shared" si="18"/>
        <v>972.63</v>
      </c>
      <c r="D122" s="28"/>
      <c r="E122" s="28">
        <f t="shared" si="17"/>
        <v>63.629999999999995</v>
      </c>
      <c r="F122" s="28">
        <f t="shared" si="15"/>
        <v>36.36</v>
      </c>
      <c r="G122" s="28">
        <f t="shared" si="16"/>
        <v>27.27</v>
      </c>
      <c r="H122" s="28">
        <f t="shared" si="19"/>
        <v>909</v>
      </c>
      <c r="I122" s="28">
        <f>0.6*C122</f>
        <v>583.57799999999997</v>
      </c>
      <c r="J122" s="29"/>
      <c r="K122" s="29"/>
      <c r="L122" s="29"/>
      <c r="M122" s="29"/>
      <c r="N122" s="29"/>
      <c r="O122" s="28">
        <f>57193+30056</f>
        <v>87249</v>
      </c>
      <c r="P122" s="28">
        <f>57617+30541</f>
        <v>88158</v>
      </c>
      <c r="Q122" s="30"/>
      <c r="R122" s="351"/>
      <c r="S122" s="54">
        <v>1</v>
      </c>
      <c r="T122" s="28">
        <f t="shared" si="20"/>
        <v>909</v>
      </c>
      <c r="U122" s="31">
        <v>18723</v>
      </c>
      <c r="V122" s="676" t="s">
        <v>162</v>
      </c>
      <c r="W122" s="14" t="s">
        <v>31</v>
      </c>
      <c r="X122" s="7"/>
      <c r="Y122" s="7"/>
      <c r="Z122" s="7"/>
      <c r="AA122" s="7"/>
      <c r="AB122" s="7"/>
      <c r="AC122" s="7"/>
    </row>
    <row r="123" spans="1:29" ht="25.5">
      <c r="A123" s="19"/>
      <c r="B123" s="27" t="s">
        <v>163</v>
      </c>
      <c r="C123" s="28">
        <f>H123+E123</f>
        <v>1761.22</v>
      </c>
      <c r="D123" s="28"/>
      <c r="E123" s="28">
        <f t="shared" si="17"/>
        <v>115.22</v>
      </c>
      <c r="F123" s="28">
        <f t="shared" si="15"/>
        <v>65.84</v>
      </c>
      <c r="G123" s="28">
        <f t="shared" si="16"/>
        <v>49.379999999999995</v>
      </c>
      <c r="H123" s="28">
        <f>T123</f>
        <v>1646</v>
      </c>
      <c r="I123" s="28">
        <f>0.6*C123</f>
        <v>1056.732</v>
      </c>
      <c r="J123" s="29"/>
      <c r="K123" s="29"/>
      <c r="L123" s="29"/>
      <c r="M123" s="29"/>
      <c r="N123" s="29" t="s">
        <v>146</v>
      </c>
      <c r="O123" s="28">
        <v>36487</v>
      </c>
      <c r="P123" s="28">
        <v>38133</v>
      </c>
      <c r="Q123" s="30"/>
      <c r="R123" s="351"/>
      <c r="S123" s="54">
        <v>1</v>
      </c>
      <c r="T123" s="28">
        <f>(P123-O123)*S123</f>
        <v>1646</v>
      </c>
      <c r="U123" s="31">
        <v>3275</v>
      </c>
      <c r="V123" s="676" t="s">
        <v>164</v>
      </c>
      <c r="W123" s="14" t="s">
        <v>82</v>
      </c>
      <c r="X123" s="7"/>
      <c r="Y123" s="7"/>
      <c r="Z123" s="7"/>
      <c r="AA123" s="7"/>
      <c r="AB123" s="7"/>
      <c r="AC123" s="7"/>
    </row>
    <row r="124" spans="1:29" ht="52.5">
      <c r="A124" s="19"/>
      <c r="B124" s="367" t="s">
        <v>708</v>
      </c>
      <c r="C124" s="496">
        <f t="shared" si="18"/>
        <v>6334.4</v>
      </c>
      <c r="D124" s="72"/>
      <c r="E124" s="72">
        <f t="shared" si="17"/>
        <v>414.4</v>
      </c>
      <c r="F124" s="72">
        <f t="shared" si="15"/>
        <v>236.8</v>
      </c>
      <c r="G124" s="72">
        <f t="shared" si="16"/>
        <v>177.6</v>
      </c>
      <c r="H124" s="72">
        <f t="shared" si="19"/>
        <v>5920</v>
      </c>
      <c r="I124" s="72">
        <f>T553</f>
        <v>0</v>
      </c>
      <c r="J124" s="392"/>
      <c r="K124" s="392"/>
      <c r="L124" s="392"/>
      <c r="M124" s="392"/>
      <c r="N124" s="392"/>
      <c r="O124" s="72">
        <v>12710</v>
      </c>
      <c r="P124" s="72">
        <v>12784</v>
      </c>
      <c r="Q124" s="81"/>
      <c r="R124" s="165"/>
      <c r="S124" s="171">
        <v>80</v>
      </c>
      <c r="T124" s="72">
        <f t="shared" si="20"/>
        <v>5920</v>
      </c>
      <c r="U124" s="31"/>
      <c r="V124" s="676" t="s">
        <v>165</v>
      </c>
      <c r="W124" s="14" t="s">
        <v>166</v>
      </c>
      <c r="X124" s="7"/>
      <c r="Y124" s="7"/>
      <c r="Z124" s="7"/>
      <c r="AA124" s="7"/>
      <c r="AB124" s="7"/>
      <c r="AC124" s="7"/>
    </row>
    <row r="125" spans="1:29" ht="25.5">
      <c r="A125" s="19"/>
      <c r="B125" s="172"/>
      <c r="C125" s="91"/>
      <c r="D125" s="91"/>
      <c r="E125" s="91"/>
      <c r="F125" s="91"/>
      <c r="G125" s="91"/>
      <c r="H125" s="91"/>
      <c r="I125" s="91"/>
      <c r="J125" s="22"/>
      <c r="K125" s="22"/>
      <c r="L125" s="22"/>
      <c r="M125" s="22"/>
      <c r="N125" s="22"/>
      <c r="O125" s="91"/>
      <c r="P125" s="91"/>
      <c r="Q125" s="122"/>
      <c r="R125" s="173"/>
      <c r="S125" s="151"/>
      <c r="T125" s="91"/>
      <c r="U125" s="95"/>
      <c r="V125" s="673"/>
      <c r="W125" s="14" t="s">
        <v>82</v>
      </c>
      <c r="X125" s="7"/>
      <c r="Y125" s="7"/>
      <c r="Z125" s="7"/>
      <c r="AA125" s="7"/>
      <c r="AB125" s="7"/>
      <c r="AC125" s="7"/>
    </row>
    <row r="126" spans="1:29" ht="25.5">
      <c r="A126" s="19"/>
      <c r="B126" s="27" t="s">
        <v>167</v>
      </c>
      <c r="C126" s="28">
        <f>H126+E126</f>
        <v>1154.5500000000156</v>
      </c>
      <c r="D126" s="28"/>
      <c r="E126" s="28">
        <f t="shared" si="17"/>
        <v>80.550000000001091</v>
      </c>
      <c r="F126" s="28">
        <f>0.035*H126</f>
        <v>37.590000000000515</v>
      </c>
      <c r="G126" s="28">
        <f>H126*0.04</f>
        <v>42.960000000000583</v>
      </c>
      <c r="H126" s="28">
        <f t="shared" si="19"/>
        <v>1074.0000000000146</v>
      </c>
      <c r="I126" s="28">
        <f t="shared" ref="I126:I130" si="21">0.6*C126</f>
        <v>692.73000000000934</v>
      </c>
      <c r="J126" s="29"/>
      <c r="K126" s="29"/>
      <c r="L126" s="29"/>
      <c r="M126" s="29"/>
      <c r="N126" s="29"/>
      <c r="O126" s="28">
        <v>8216.2999999999993</v>
      </c>
      <c r="P126" s="28">
        <v>8270</v>
      </c>
      <c r="Q126" s="30"/>
      <c r="R126" s="351"/>
      <c r="S126" s="54">
        <v>20</v>
      </c>
      <c r="T126" s="28">
        <f t="shared" si="20"/>
        <v>1074.0000000000146</v>
      </c>
      <c r="U126" s="31">
        <v>33780</v>
      </c>
      <c r="V126" s="676" t="s">
        <v>168</v>
      </c>
      <c r="W126" s="14" t="s">
        <v>22</v>
      </c>
      <c r="X126" s="7"/>
      <c r="Y126" s="7"/>
      <c r="Z126" s="7"/>
      <c r="AA126" s="7"/>
      <c r="AB126" s="7"/>
      <c r="AC126" s="7"/>
    </row>
    <row r="127" spans="1:29" ht="25.5">
      <c r="A127" s="19"/>
      <c r="B127" s="166" t="s">
        <v>169</v>
      </c>
      <c r="C127" s="56">
        <f t="shared" si="18"/>
        <v>0</v>
      </c>
      <c r="D127" s="56"/>
      <c r="E127" s="56">
        <f t="shared" si="17"/>
        <v>0</v>
      </c>
      <c r="F127" s="56">
        <f>0.04*H127</f>
        <v>0</v>
      </c>
      <c r="G127" s="56">
        <f>0.03*H127</f>
        <v>0</v>
      </c>
      <c r="H127" s="56">
        <f t="shared" si="19"/>
        <v>0</v>
      </c>
      <c r="I127" s="56">
        <f t="shared" si="21"/>
        <v>0</v>
      </c>
      <c r="J127" s="57"/>
      <c r="K127" s="57"/>
      <c r="L127" s="57"/>
      <c r="M127" s="57"/>
      <c r="N127" s="57" t="s">
        <v>170</v>
      </c>
      <c r="O127" s="56">
        <v>16165</v>
      </c>
      <c r="P127" s="56">
        <v>16165</v>
      </c>
      <c r="Q127" s="169"/>
      <c r="R127" s="170"/>
      <c r="S127" s="56">
        <v>1</v>
      </c>
      <c r="T127" s="56">
        <f t="shared" si="20"/>
        <v>0</v>
      </c>
      <c r="U127" s="59">
        <v>24339</v>
      </c>
      <c r="V127" s="60" t="s">
        <v>171</v>
      </c>
      <c r="W127" s="14"/>
      <c r="X127" s="7"/>
      <c r="Y127" s="7"/>
      <c r="Z127" s="7"/>
      <c r="AA127" s="7"/>
      <c r="AB127" s="7"/>
      <c r="AC127" s="7"/>
    </row>
    <row r="128" spans="1:29" ht="25.5">
      <c r="A128" s="19"/>
      <c r="B128" s="62" t="s">
        <v>172</v>
      </c>
      <c r="C128" s="28">
        <f t="shared" si="18"/>
        <v>648.41999999999996</v>
      </c>
      <c r="D128" s="28"/>
      <c r="E128" s="28">
        <f t="shared" si="17"/>
        <v>42.42</v>
      </c>
      <c r="F128" s="28">
        <f>0.04*H128</f>
        <v>24.240000000000002</v>
      </c>
      <c r="G128" s="28">
        <f>0.03*H128</f>
        <v>18.18</v>
      </c>
      <c r="H128" s="28">
        <f t="shared" si="19"/>
        <v>606</v>
      </c>
      <c r="I128" s="28">
        <f t="shared" si="21"/>
        <v>389.05199999999996</v>
      </c>
      <c r="J128" s="29"/>
      <c r="K128" s="29"/>
      <c r="L128" s="29"/>
      <c r="M128" s="29"/>
      <c r="N128" s="29"/>
      <c r="O128" s="28">
        <v>2557</v>
      </c>
      <c r="P128" s="28">
        <v>3163</v>
      </c>
      <c r="Q128" s="30"/>
      <c r="R128" s="351"/>
      <c r="S128" s="54">
        <v>1</v>
      </c>
      <c r="T128" s="28">
        <f t="shared" si="20"/>
        <v>606</v>
      </c>
      <c r="U128" s="31">
        <v>2466</v>
      </c>
      <c r="V128" s="668" t="s">
        <v>173</v>
      </c>
      <c r="W128" s="14"/>
      <c r="X128" s="7"/>
      <c r="Y128" s="7"/>
      <c r="Z128" s="7"/>
      <c r="AA128" s="7"/>
      <c r="AB128" s="7"/>
      <c r="AC128" s="7"/>
    </row>
    <row r="129" spans="1:29" ht="26.25">
      <c r="A129" s="19"/>
      <c r="B129" s="174"/>
      <c r="C129" s="56">
        <f t="shared" si="18"/>
        <v>0</v>
      </c>
      <c r="D129" s="175"/>
      <c r="E129" s="56">
        <f t="shared" si="17"/>
        <v>0</v>
      </c>
      <c r="F129" s="56">
        <f>0.04*H129</f>
        <v>0</v>
      </c>
      <c r="G129" s="56">
        <f>0.03*H129</f>
        <v>0</v>
      </c>
      <c r="H129" s="56">
        <f t="shared" si="19"/>
        <v>0</v>
      </c>
      <c r="I129" s="176">
        <f t="shared" si="21"/>
        <v>0</v>
      </c>
      <c r="J129" s="58"/>
      <c r="K129" s="58"/>
      <c r="L129" s="58"/>
      <c r="M129" s="58"/>
      <c r="N129" s="58"/>
      <c r="O129" s="175">
        <v>16982</v>
      </c>
      <c r="P129" s="175">
        <v>16982</v>
      </c>
      <c r="Q129" s="177"/>
      <c r="R129" s="178"/>
      <c r="S129" s="175">
        <v>1</v>
      </c>
      <c r="T129" s="56">
        <f t="shared" si="20"/>
        <v>0</v>
      </c>
      <c r="U129" s="59">
        <v>2437131</v>
      </c>
      <c r="V129" s="60" t="s">
        <v>174</v>
      </c>
      <c r="W129" s="14"/>
      <c r="X129" s="7"/>
      <c r="Y129" s="7"/>
      <c r="Z129" s="7"/>
      <c r="AA129" s="7"/>
      <c r="AB129" s="7"/>
      <c r="AC129" s="7"/>
    </row>
    <row r="130" spans="1:29" ht="26.25">
      <c r="A130" s="19"/>
      <c r="B130" s="27" t="s">
        <v>175</v>
      </c>
      <c r="C130" s="28">
        <f t="shared" si="18"/>
        <v>0</v>
      </c>
      <c r="D130" s="77"/>
      <c r="E130" s="28">
        <f t="shared" si="17"/>
        <v>0</v>
      </c>
      <c r="F130" s="28">
        <f>0.04*H130</f>
        <v>0</v>
      </c>
      <c r="G130" s="28">
        <f>0.03*H130</f>
        <v>0</v>
      </c>
      <c r="H130" s="28">
        <f t="shared" si="19"/>
        <v>0</v>
      </c>
      <c r="I130" s="72">
        <f t="shared" si="21"/>
        <v>0</v>
      </c>
      <c r="J130" s="46"/>
      <c r="K130" s="46"/>
      <c r="L130" s="46"/>
      <c r="M130" s="46"/>
      <c r="N130" s="46"/>
      <c r="O130" s="77">
        <v>31237</v>
      </c>
      <c r="P130" s="77">
        <v>31237</v>
      </c>
      <c r="Q130" s="79"/>
      <c r="R130" s="80"/>
      <c r="S130" s="77">
        <v>1</v>
      </c>
      <c r="T130" s="28">
        <f t="shared" si="20"/>
        <v>0</v>
      </c>
      <c r="U130" s="31">
        <v>286946</v>
      </c>
      <c r="V130" s="668" t="s">
        <v>176</v>
      </c>
      <c r="W130" s="14" t="s">
        <v>22</v>
      </c>
      <c r="X130" s="7"/>
      <c r="Y130" s="7"/>
      <c r="Z130" s="7"/>
      <c r="AA130" s="7"/>
      <c r="AB130" s="7"/>
      <c r="AC130" s="7"/>
    </row>
    <row r="131" spans="1:29" ht="25.5">
      <c r="A131" s="19"/>
      <c r="B131" s="129"/>
      <c r="C131" s="84"/>
      <c r="D131" s="84"/>
      <c r="E131" s="84"/>
      <c r="F131" s="84"/>
      <c r="G131" s="84"/>
      <c r="H131" s="84"/>
      <c r="I131" s="84"/>
      <c r="J131" s="130"/>
      <c r="K131" s="130"/>
      <c r="L131" s="130"/>
      <c r="M131" s="130"/>
      <c r="N131" s="130"/>
      <c r="O131" s="84"/>
      <c r="P131" s="84"/>
      <c r="Q131" s="86"/>
      <c r="R131" s="179"/>
      <c r="S131" s="156"/>
      <c r="T131" s="84"/>
      <c r="U131" s="88"/>
      <c r="V131" s="89"/>
      <c r="W131" s="14"/>
      <c r="X131" s="7"/>
      <c r="Y131" s="7"/>
      <c r="Z131" s="7"/>
      <c r="AA131" s="7"/>
      <c r="AB131" s="7"/>
      <c r="AC131" s="7"/>
    </row>
    <row r="132" spans="1:29" ht="27.75">
      <c r="A132" s="19"/>
      <c r="B132" s="141" t="s">
        <v>86</v>
      </c>
      <c r="C132" s="97">
        <f>SUM(C114:C131)</f>
        <v>85035.060000000041</v>
      </c>
      <c r="D132" s="115"/>
      <c r="E132" s="115"/>
      <c r="F132" s="91"/>
      <c r="G132" s="91"/>
      <c r="H132" s="91"/>
      <c r="I132" s="124"/>
      <c r="J132" s="164"/>
      <c r="K132" s="164"/>
      <c r="L132" s="164"/>
      <c r="M132" s="164"/>
      <c r="N132" s="164"/>
      <c r="O132" s="91"/>
      <c r="P132" s="91"/>
      <c r="Q132" s="7"/>
      <c r="R132" s="94"/>
      <c r="S132" s="91"/>
      <c r="T132" s="91"/>
      <c r="U132" s="95"/>
      <c r="V132" s="673"/>
      <c r="W132" s="14"/>
      <c r="X132" s="7"/>
      <c r="Y132" s="7"/>
      <c r="Z132" s="7"/>
      <c r="AA132" s="7"/>
      <c r="AB132" s="7"/>
      <c r="AC132" s="7"/>
    </row>
    <row r="133" spans="1:29" ht="27.75">
      <c r="A133" s="19"/>
      <c r="B133" s="180" t="s">
        <v>177</v>
      </c>
      <c r="C133" s="91"/>
      <c r="D133" s="115"/>
      <c r="E133" s="115"/>
      <c r="F133" s="91"/>
      <c r="G133" s="91"/>
      <c r="H133" s="91"/>
      <c r="I133" s="124"/>
      <c r="J133" s="164"/>
      <c r="K133" s="164"/>
      <c r="L133" s="164"/>
      <c r="M133" s="164"/>
      <c r="N133" s="164"/>
      <c r="O133" s="91"/>
      <c r="P133" s="91"/>
      <c r="Q133" s="7"/>
      <c r="R133" s="94"/>
      <c r="S133" s="91"/>
      <c r="T133" s="91"/>
      <c r="U133" s="95"/>
      <c r="V133" s="673"/>
      <c r="W133" s="14"/>
      <c r="X133" s="7"/>
      <c r="Y133" s="7"/>
      <c r="Z133" s="7"/>
      <c r="AA133" s="7"/>
      <c r="AB133" s="7"/>
      <c r="AC133" s="7"/>
    </row>
    <row r="134" spans="1:29" ht="26.25">
      <c r="A134" s="19"/>
      <c r="B134" s="387" t="s">
        <v>178</v>
      </c>
      <c r="C134" s="154">
        <f>H134+E134</f>
        <v>2456.9584899999973</v>
      </c>
      <c r="D134" s="84">
        <f>D138+D139</f>
        <v>35099.406999999963</v>
      </c>
      <c r="E134" s="84">
        <f>F134+G134</f>
        <v>2456.9584899999973</v>
      </c>
      <c r="F134" s="84">
        <f>0.04*D134</f>
        <v>1403.9762799999985</v>
      </c>
      <c r="G134" s="84">
        <f>0.03*D134</f>
        <v>1052.9822099999988</v>
      </c>
      <c r="H134" s="84"/>
      <c r="I134" s="84">
        <v>0</v>
      </c>
      <c r="J134" s="130"/>
      <c r="K134" s="130"/>
      <c r="L134" s="130"/>
      <c r="M134" s="130"/>
      <c r="N134" s="130"/>
      <c r="O134" s="155">
        <v>2731.23</v>
      </c>
      <c r="P134" s="155">
        <v>2825.09</v>
      </c>
      <c r="Q134" s="389"/>
      <c r="R134" s="390"/>
      <c r="S134" s="84">
        <v>60</v>
      </c>
      <c r="T134" s="84">
        <f t="shared" ref="T134:T144" si="22">(P134-O134)*S134</f>
        <v>5631.6000000000076</v>
      </c>
      <c r="U134" s="88">
        <v>1906</v>
      </c>
      <c r="V134" s="89" t="s">
        <v>179</v>
      </c>
      <c r="W134" s="14" t="s">
        <v>22</v>
      </c>
      <c r="X134" s="7"/>
      <c r="Y134" s="7"/>
      <c r="Z134" s="7"/>
      <c r="AA134" s="7"/>
      <c r="AB134" s="7"/>
      <c r="AC134" s="7"/>
    </row>
    <row r="135" spans="1:29" ht="26.25">
      <c r="A135" s="19"/>
      <c r="B135" s="158"/>
      <c r="C135" s="124"/>
      <c r="D135" s="124"/>
      <c r="E135" s="124"/>
      <c r="F135" s="124"/>
      <c r="G135" s="124"/>
      <c r="H135" s="124"/>
      <c r="I135" s="154"/>
      <c r="J135" s="130"/>
      <c r="K135" s="130"/>
      <c r="L135" s="130"/>
      <c r="M135" s="130"/>
      <c r="N135" s="130"/>
      <c r="O135" s="155">
        <v>1396.16</v>
      </c>
      <c r="P135" s="155">
        <v>1439.2</v>
      </c>
      <c r="Q135" s="389"/>
      <c r="R135" s="390"/>
      <c r="S135" s="84">
        <v>20</v>
      </c>
      <c r="T135" s="84">
        <f t="shared" si="22"/>
        <v>860.79999999999927</v>
      </c>
      <c r="U135" s="88">
        <v>1821</v>
      </c>
      <c r="V135" s="89" t="s">
        <v>180</v>
      </c>
      <c r="W135" s="14" t="s">
        <v>22</v>
      </c>
      <c r="X135" s="7"/>
      <c r="Y135" s="7"/>
      <c r="Z135" s="7"/>
      <c r="AA135" s="7"/>
      <c r="AB135" s="7"/>
      <c r="AC135" s="7"/>
    </row>
    <row r="136" spans="1:29" ht="25.5">
      <c r="A136" s="19"/>
      <c r="B136" s="158"/>
      <c r="C136" s="124"/>
      <c r="D136" s="124"/>
      <c r="E136" s="124"/>
      <c r="F136" s="124"/>
      <c r="G136" s="124"/>
      <c r="H136" s="124"/>
      <c r="I136" s="84"/>
      <c r="J136" s="130"/>
      <c r="K136" s="130"/>
      <c r="L136" s="130"/>
      <c r="M136" s="130"/>
      <c r="N136" s="130"/>
      <c r="O136" s="155">
        <v>653.32249999999999</v>
      </c>
      <c r="P136" s="155">
        <v>679.34550000000002</v>
      </c>
      <c r="Q136" s="389"/>
      <c r="R136" s="394"/>
      <c r="S136" s="84">
        <v>60</v>
      </c>
      <c r="T136" s="84">
        <f t="shared" si="22"/>
        <v>1561.3800000000015</v>
      </c>
      <c r="U136" s="88">
        <v>1903</v>
      </c>
      <c r="V136" s="89" t="s">
        <v>181</v>
      </c>
      <c r="W136" s="14" t="s">
        <v>22</v>
      </c>
      <c r="X136" s="7"/>
      <c r="Y136" s="7"/>
      <c r="Z136" s="7"/>
      <c r="AA136" s="7"/>
      <c r="AB136" s="7"/>
      <c r="AC136" s="7"/>
    </row>
    <row r="137" spans="1:29" ht="25.5">
      <c r="A137" s="19"/>
      <c r="B137" s="83" t="s">
        <v>182</v>
      </c>
      <c r="C137" s="84"/>
      <c r="D137" s="84"/>
      <c r="E137" s="84"/>
      <c r="F137" s="84"/>
      <c r="G137" s="84"/>
      <c r="H137" s="84"/>
      <c r="I137" s="84"/>
      <c r="J137" s="130"/>
      <c r="K137" s="130"/>
      <c r="L137" s="130"/>
      <c r="M137" s="130"/>
      <c r="N137" s="130"/>
      <c r="O137" s="155">
        <v>85593.051999999996</v>
      </c>
      <c r="P137" s="155">
        <v>87513.707999999999</v>
      </c>
      <c r="Q137" s="389"/>
      <c r="R137" s="395"/>
      <c r="S137" s="84">
        <v>1</v>
      </c>
      <c r="T137" s="84">
        <f t="shared" si="22"/>
        <v>1920.6560000000027</v>
      </c>
      <c r="U137" s="88">
        <v>9454</v>
      </c>
      <c r="V137" s="89" t="str">
        <f>V135</f>
        <v>об.быт.корп</v>
      </c>
      <c r="W137" s="14" t="s">
        <v>22</v>
      </c>
      <c r="X137" s="7"/>
      <c r="Y137" s="7"/>
      <c r="Z137" s="7"/>
      <c r="AA137" s="7"/>
      <c r="AB137" s="7"/>
      <c r="AC137" s="7"/>
    </row>
    <row r="138" spans="1:29" ht="25.5">
      <c r="A138" s="19"/>
      <c r="B138" s="83" t="s">
        <v>184</v>
      </c>
      <c r="C138" s="84"/>
      <c r="D138" s="84">
        <f>T134+T135+T136+T137+T138</f>
        <v>10018.207000000011</v>
      </c>
      <c r="E138" s="84"/>
      <c r="F138" s="84"/>
      <c r="G138" s="84"/>
      <c r="H138" s="84"/>
      <c r="I138" s="84"/>
      <c r="J138" s="130"/>
      <c r="K138" s="130"/>
      <c r="L138" s="130"/>
      <c r="M138" s="130"/>
      <c r="N138" s="130"/>
      <c r="O138" s="155">
        <v>1987.951</v>
      </c>
      <c r="P138" s="155">
        <v>2031.722</v>
      </c>
      <c r="Q138" s="389"/>
      <c r="R138" s="181"/>
      <c r="S138" s="84">
        <v>1</v>
      </c>
      <c r="T138" s="84">
        <f t="shared" si="22"/>
        <v>43.770999999999958</v>
      </c>
      <c r="U138" s="88">
        <v>9314</v>
      </c>
      <c r="V138" s="89" t="s">
        <v>183</v>
      </c>
      <c r="W138" s="14" t="s">
        <v>22</v>
      </c>
      <c r="X138" s="7"/>
      <c r="Y138" s="7"/>
      <c r="Z138" s="7"/>
      <c r="AA138" s="7"/>
      <c r="AB138" s="7"/>
      <c r="AC138" s="7"/>
    </row>
    <row r="139" spans="1:29" ht="25.5">
      <c r="A139" s="19"/>
      <c r="B139" s="83" t="s">
        <v>185</v>
      </c>
      <c r="C139" s="84"/>
      <c r="D139" s="84">
        <f>T139+T140</f>
        <v>25081.199999999953</v>
      </c>
      <c r="E139" s="84"/>
      <c r="F139" s="84"/>
      <c r="G139" s="84"/>
      <c r="H139" s="84"/>
      <c r="I139" s="84"/>
      <c r="J139" s="130"/>
      <c r="K139" s="130"/>
      <c r="L139" s="130"/>
      <c r="M139" s="130"/>
      <c r="N139" s="130"/>
      <c r="O139" s="155">
        <v>23995.06</v>
      </c>
      <c r="P139" s="155">
        <v>24561.75</v>
      </c>
      <c r="Q139" s="389"/>
      <c r="R139" s="181"/>
      <c r="S139" s="84">
        <v>40</v>
      </c>
      <c r="T139" s="84">
        <f t="shared" si="22"/>
        <v>22667.599999999948</v>
      </c>
      <c r="U139" s="88">
        <v>1793</v>
      </c>
      <c r="V139" s="89" t="s">
        <v>186</v>
      </c>
      <c r="W139" s="14" t="s">
        <v>22</v>
      </c>
      <c r="X139" s="7"/>
      <c r="Y139" s="7"/>
      <c r="Z139" s="7"/>
      <c r="AA139" s="7"/>
      <c r="AB139" s="7"/>
      <c r="AC139" s="7"/>
    </row>
    <row r="140" spans="1:29" ht="26.25">
      <c r="A140" s="19"/>
      <c r="B140" s="331"/>
      <c r="C140" s="124"/>
      <c r="D140" s="97"/>
      <c r="E140" s="97"/>
      <c r="F140" s="124"/>
      <c r="G140" s="124"/>
      <c r="H140" s="124"/>
      <c r="I140" s="124"/>
      <c r="J140" s="332"/>
      <c r="K140" s="332"/>
      <c r="L140" s="332"/>
      <c r="M140" s="332"/>
      <c r="N140" s="332"/>
      <c r="O140" s="155">
        <v>3041.19</v>
      </c>
      <c r="P140" s="155">
        <v>3101.53</v>
      </c>
      <c r="Q140" s="86"/>
      <c r="R140" s="87"/>
      <c r="S140" s="84">
        <v>40</v>
      </c>
      <c r="T140" s="84">
        <f t="shared" si="22"/>
        <v>2413.6000000000058</v>
      </c>
      <c r="U140" s="88">
        <v>9996</v>
      </c>
      <c r="V140" s="89" t="s">
        <v>186</v>
      </c>
      <c r="W140" s="14" t="s">
        <v>22</v>
      </c>
      <c r="X140" s="7"/>
      <c r="Y140" s="7"/>
      <c r="Z140" s="7"/>
      <c r="AA140" s="7"/>
      <c r="AB140" s="7"/>
      <c r="AC140" s="7"/>
    </row>
    <row r="141" spans="1:29" ht="26.25">
      <c r="A141" s="19"/>
      <c r="B141" s="184"/>
      <c r="C141" s="84"/>
      <c r="D141" s="154"/>
      <c r="E141" s="185"/>
      <c r="F141" s="84"/>
      <c r="G141" s="84"/>
      <c r="H141" s="84"/>
      <c r="I141" s="84"/>
      <c r="J141" s="183"/>
      <c r="K141" s="183"/>
      <c r="L141" s="183"/>
      <c r="M141" s="183"/>
      <c r="N141" s="183"/>
      <c r="O141" s="155"/>
      <c r="P141" s="155"/>
      <c r="Q141" s="86"/>
      <c r="R141" s="87"/>
      <c r="S141" s="84"/>
      <c r="T141" s="84"/>
      <c r="U141" s="88"/>
      <c r="V141" s="89"/>
      <c r="W141" s="14"/>
      <c r="X141" s="7"/>
      <c r="Y141" s="7"/>
      <c r="Z141" s="7"/>
      <c r="AA141" s="7"/>
      <c r="AB141" s="7"/>
      <c r="AC141" s="7"/>
    </row>
    <row r="142" spans="1:29" ht="26.25">
      <c r="A142" s="19"/>
      <c r="B142" s="401" t="s">
        <v>709</v>
      </c>
      <c r="C142" s="497">
        <f>H142+E142+C144</f>
        <v>7706.3027999999795</v>
      </c>
      <c r="D142" s="396">
        <f>T142</f>
        <v>94970.039999999717</v>
      </c>
      <c r="E142" s="397">
        <f>F142+G142</f>
        <v>6647.9027999999798</v>
      </c>
      <c r="F142" s="396">
        <f>0.04*D142</f>
        <v>3798.8015999999889</v>
      </c>
      <c r="G142" s="396">
        <f>0.03*D142</f>
        <v>2849.1011999999914</v>
      </c>
      <c r="H142" s="396"/>
      <c r="I142" s="84">
        <f>T143</f>
        <v>0</v>
      </c>
      <c r="J142" s="398"/>
      <c r="K142" s="398"/>
      <c r="L142" s="398"/>
      <c r="M142" s="398"/>
      <c r="N142" s="398" t="s">
        <v>187</v>
      </c>
      <c r="O142" s="84">
        <v>44184.516000000003</v>
      </c>
      <c r="P142" s="84">
        <v>46019.35</v>
      </c>
      <c r="Q142" s="399"/>
      <c r="R142" s="400"/>
      <c r="S142" s="396">
        <v>60</v>
      </c>
      <c r="T142" s="396">
        <f>(P142-O142)*S142-T144</f>
        <v>94970.039999999717</v>
      </c>
      <c r="U142" s="402">
        <v>14314</v>
      </c>
      <c r="V142" s="403" t="s">
        <v>188</v>
      </c>
      <c r="W142" s="14" t="s">
        <v>189</v>
      </c>
      <c r="X142" s="7"/>
      <c r="Y142" s="7"/>
      <c r="Z142" s="7"/>
      <c r="AA142" s="7"/>
      <c r="AB142" s="7"/>
      <c r="AC142" s="7"/>
    </row>
    <row r="143" spans="1:29" ht="26.25">
      <c r="A143" s="19"/>
      <c r="B143" s="186"/>
      <c r="C143" s="97"/>
      <c r="D143" s="124"/>
      <c r="E143" s="187"/>
      <c r="F143" s="124"/>
      <c r="G143" s="124"/>
      <c r="H143" s="124"/>
      <c r="I143" s="124"/>
      <c r="J143" s="126"/>
      <c r="K143" s="126"/>
      <c r="L143" s="126"/>
      <c r="M143" s="126"/>
      <c r="N143" s="126"/>
      <c r="O143" s="124"/>
      <c r="P143" s="124"/>
      <c r="Q143" s="7"/>
      <c r="R143" s="159"/>
      <c r="S143" s="124"/>
      <c r="T143" s="124"/>
      <c r="U143" s="127"/>
      <c r="V143" s="128"/>
      <c r="W143" s="14"/>
      <c r="X143" s="7"/>
      <c r="Y143" s="7"/>
      <c r="Z143" s="7"/>
      <c r="AA143" s="7"/>
      <c r="AB143" s="7"/>
      <c r="AC143" s="7"/>
    </row>
    <row r="144" spans="1:29" ht="26.25">
      <c r="A144" s="19"/>
      <c r="B144" s="182" t="s">
        <v>190</v>
      </c>
      <c r="C144" s="497">
        <f>H144+E144</f>
        <v>1058.4000000000001</v>
      </c>
      <c r="D144" s="396">
        <f>T144</f>
        <v>15120</v>
      </c>
      <c r="E144" s="397">
        <f>F144+G144</f>
        <v>1058.4000000000001</v>
      </c>
      <c r="F144" s="396">
        <f>0.04*D144</f>
        <v>604.80000000000007</v>
      </c>
      <c r="G144" s="396">
        <f>0.03*D144</f>
        <v>453.59999999999997</v>
      </c>
      <c r="H144" s="396"/>
      <c r="I144" s="84">
        <f>T145</f>
        <v>11280</v>
      </c>
      <c r="J144" s="398"/>
      <c r="K144" s="398"/>
      <c r="L144" s="398"/>
      <c r="M144" s="398"/>
      <c r="N144" s="398" t="s">
        <v>187</v>
      </c>
      <c r="O144" s="84">
        <v>6147</v>
      </c>
      <c r="P144" s="84">
        <v>6525</v>
      </c>
      <c r="Q144" s="399"/>
      <c r="R144" s="400"/>
      <c r="S144" s="396">
        <v>40</v>
      </c>
      <c r="T144" s="396">
        <f t="shared" si="22"/>
        <v>15120</v>
      </c>
      <c r="U144" s="88"/>
      <c r="V144" s="89" t="s">
        <v>191</v>
      </c>
      <c r="W144" s="14" t="s">
        <v>189</v>
      </c>
      <c r="X144" s="7"/>
      <c r="Y144" s="7"/>
      <c r="Z144" s="7"/>
      <c r="AA144" s="7"/>
      <c r="AB144" s="7"/>
      <c r="AC144" s="7"/>
    </row>
    <row r="145" spans="1:29" ht="26.25">
      <c r="A145" s="19"/>
      <c r="B145" s="182" t="s">
        <v>192</v>
      </c>
      <c r="C145" s="498">
        <f>E145+E146</f>
        <v>1121.25</v>
      </c>
      <c r="D145" s="84">
        <f>T145</f>
        <v>11280</v>
      </c>
      <c r="E145" s="84">
        <f>F145+G145</f>
        <v>1049.04</v>
      </c>
      <c r="F145" s="84">
        <f>0.05*D145</f>
        <v>564</v>
      </c>
      <c r="G145" s="84">
        <f>0.043*D145</f>
        <v>485.03999999999996</v>
      </c>
      <c r="H145" s="84"/>
      <c r="I145" s="84">
        <f>0.6*D145</f>
        <v>6768</v>
      </c>
      <c r="J145" s="130"/>
      <c r="K145" s="130"/>
      <c r="L145" s="130"/>
      <c r="M145" s="130"/>
      <c r="N145" s="130"/>
      <c r="O145" s="396">
        <v>16400</v>
      </c>
      <c r="P145" s="396">
        <v>16682</v>
      </c>
      <c r="Q145" s="130" t="s">
        <v>37</v>
      </c>
      <c r="R145" s="385"/>
      <c r="S145" s="156">
        <v>40</v>
      </c>
      <c r="T145" s="84">
        <f>(P145-O145)*S145</f>
        <v>11280</v>
      </c>
      <c r="U145" s="88">
        <v>1571</v>
      </c>
      <c r="V145" s="89" t="s">
        <v>193</v>
      </c>
      <c r="W145" s="14" t="s">
        <v>43</v>
      </c>
      <c r="X145" s="7"/>
      <c r="Y145" s="7"/>
      <c r="Z145" s="7"/>
      <c r="AA145" s="7"/>
      <c r="AB145" s="7"/>
      <c r="AC145" s="7"/>
    </row>
    <row r="146" spans="1:29" ht="26.25">
      <c r="A146" s="19"/>
      <c r="B146" s="83"/>
      <c r="C146" s="154"/>
      <c r="D146" s="84">
        <f>T146</f>
        <v>2407</v>
      </c>
      <c r="E146" s="84">
        <f>F146+G146</f>
        <v>72.210000000000008</v>
      </c>
      <c r="F146" s="84">
        <f>0.02*D146</f>
        <v>48.14</v>
      </c>
      <c r="G146" s="84">
        <f>0.01*D146</f>
        <v>24.07</v>
      </c>
      <c r="H146" s="84"/>
      <c r="I146" s="84">
        <f>0.6*D146</f>
        <v>1444.2</v>
      </c>
      <c r="J146" s="130"/>
      <c r="K146" s="130"/>
      <c r="L146" s="130"/>
      <c r="M146" s="130"/>
      <c r="N146" s="130"/>
      <c r="O146" s="396">
        <v>116005</v>
      </c>
      <c r="P146" s="396">
        <v>118412</v>
      </c>
      <c r="Q146" s="130"/>
      <c r="R146" s="385"/>
      <c r="S146" s="156">
        <v>1</v>
      </c>
      <c r="T146" s="84">
        <f>(P146-O146)*S146</f>
        <v>2407</v>
      </c>
      <c r="U146" s="88">
        <v>8673</v>
      </c>
      <c r="V146" s="89" t="s">
        <v>194</v>
      </c>
      <c r="W146" s="14" t="s">
        <v>43</v>
      </c>
      <c r="X146" s="7"/>
      <c r="Y146" s="7"/>
      <c r="Z146" s="7"/>
      <c r="AA146" s="7"/>
      <c r="AB146" s="7"/>
      <c r="AC146" s="7"/>
    </row>
    <row r="147" spans="1:29" ht="26.25">
      <c r="A147" s="19"/>
      <c r="B147" s="331"/>
      <c r="C147" s="97"/>
      <c r="D147" s="124"/>
      <c r="E147" s="124"/>
      <c r="F147" s="124"/>
      <c r="G147" s="124"/>
      <c r="H147" s="124"/>
      <c r="I147" s="124"/>
      <c r="J147" s="126"/>
      <c r="K147" s="126"/>
      <c r="L147" s="126"/>
      <c r="M147" s="126"/>
      <c r="N147" s="126"/>
      <c r="O147" s="124"/>
      <c r="P147" s="124"/>
      <c r="Q147" s="7"/>
      <c r="R147" s="94"/>
      <c r="S147" s="124"/>
      <c r="T147" s="124"/>
      <c r="U147" s="127"/>
      <c r="V147" s="128" t="s">
        <v>195</v>
      </c>
      <c r="W147" s="14"/>
      <c r="X147" s="7"/>
      <c r="Y147" s="7"/>
      <c r="Z147" s="7"/>
      <c r="AA147" s="7"/>
      <c r="AB147" s="7"/>
      <c r="AC147" s="7"/>
    </row>
    <row r="148" spans="1:29" ht="26.25">
      <c r="A148" s="19"/>
      <c r="B148" s="387" t="s">
        <v>196</v>
      </c>
      <c r="C148" s="498">
        <f>F148+G148</f>
        <v>2794.3670999999958</v>
      </c>
      <c r="D148" s="84">
        <f>T148</f>
        <v>39919.529999999941</v>
      </c>
      <c r="E148" s="84">
        <f>F148+G148</f>
        <v>2794.3670999999958</v>
      </c>
      <c r="F148" s="84">
        <f>0.04*H148</f>
        <v>1596.7811999999976</v>
      </c>
      <c r="G148" s="84">
        <f>0.03*H148</f>
        <v>1197.5858999999982</v>
      </c>
      <c r="H148" s="84">
        <f>T148</f>
        <v>39919.529999999941</v>
      </c>
      <c r="I148" s="84">
        <f>Z525</f>
        <v>6780</v>
      </c>
      <c r="J148" s="130"/>
      <c r="K148" s="130"/>
      <c r="L148" s="130"/>
      <c r="M148" s="130"/>
      <c r="N148" s="130"/>
      <c r="O148" s="393" t="s">
        <v>845</v>
      </c>
      <c r="P148" s="393" t="s">
        <v>922</v>
      </c>
      <c r="Q148" s="130" t="s">
        <v>50</v>
      </c>
      <c r="R148" s="385"/>
      <c r="S148" s="156">
        <v>60</v>
      </c>
      <c r="T148" s="84">
        <f>(P148-O148)*S148</f>
        <v>39919.529999999941</v>
      </c>
      <c r="U148" s="88">
        <v>27421830</v>
      </c>
      <c r="V148" s="89" t="s">
        <v>197</v>
      </c>
      <c r="W148" s="14" t="s">
        <v>198</v>
      </c>
      <c r="X148" s="7"/>
      <c r="Y148" s="7"/>
      <c r="Z148" s="7"/>
      <c r="AA148" s="7"/>
      <c r="AB148" s="7"/>
      <c r="AC148" s="7"/>
    </row>
    <row r="149" spans="1:29" ht="26.25">
      <c r="A149" s="19"/>
      <c r="B149" s="182"/>
      <c r="C149" s="154"/>
      <c r="D149" s="154"/>
      <c r="E149" s="154"/>
      <c r="F149" s="84"/>
      <c r="G149" s="84"/>
      <c r="H149" s="84"/>
      <c r="I149" s="84"/>
      <c r="J149" s="183"/>
      <c r="K149" s="183"/>
      <c r="L149" s="183"/>
      <c r="M149" s="183"/>
      <c r="N149" s="183"/>
      <c r="O149" s="84"/>
      <c r="P149" s="84"/>
      <c r="Q149" s="86"/>
      <c r="R149" s="87"/>
      <c r="S149" s="84"/>
      <c r="T149" s="84"/>
      <c r="U149" s="88"/>
      <c r="V149" s="89"/>
      <c r="W149" s="14"/>
      <c r="X149" s="7"/>
      <c r="Y149" s="7"/>
      <c r="Z149" s="7"/>
      <c r="AA149" s="7"/>
      <c r="AB149" s="7"/>
      <c r="AC149" s="7"/>
    </row>
    <row r="150" spans="1:29" ht="26.25">
      <c r="A150" s="19"/>
      <c r="B150" s="387" t="s">
        <v>199</v>
      </c>
      <c r="C150" s="154">
        <f>H150+E150</f>
        <v>0</v>
      </c>
      <c r="D150" s="84">
        <f>T150+T151</f>
        <v>0</v>
      </c>
      <c r="E150" s="84">
        <f>F150+G150</f>
        <v>0</v>
      </c>
      <c r="F150" s="84">
        <f>0.04*(H150+D150)</f>
        <v>0</v>
      </c>
      <c r="G150" s="84">
        <f>0.03*(H150+D150)</f>
        <v>0</v>
      </c>
      <c r="H150" s="84">
        <f>T152</f>
        <v>0</v>
      </c>
      <c r="I150" s="84">
        <f>0.4*C150</f>
        <v>0</v>
      </c>
      <c r="J150" s="130"/>
      <c r="K150" s="130"/>
      <c r="L150" s="130"/>
      <c r="M150" s="130"/>
      <c r="N150" s="130" t="s">
        <v>200</v>
      </c>
      <c r="O150" s="155">
        <v>1034.443</v>
      </c>
      <c r="P150" s="155">
        <v>1034.443</v>
      </c>
      <c r="Q150" s="86"/>
      <c r="R150" s="181"/>
      <c r="S150" s="156">
        <v>40</v>
      </c>
      <c r="T150" s="84">
        <f>(P150-O150)*S150</f>
        <v>0</v>
      </c>
      <c r="U150" s="88">
        <v>9834</v>
      </c>
      <c r="V150" s="89" t="s">
        <v>197</v>
      </c>
      <c r="W150" s="14" t="s">
        <v>116</v>
      </c>
      <c r="X150" s="7"/>
      <c r="Y150" s="7"/>
      <c r="Z150" s="7"/>
      <c r="AA150" s="7"/>
      <c r="AB150" s="7"/>
      <c r="AC150" s="7"/>
    </row>
    <row r="151" spans="1:29" ht="26.25">
      <c r="A151" s="19"/>
      <c r="B151" s="83"/>
      <c r="C151" s="154"/>
      <c r="D151" s="84"/>
      <c r="E151" s="84"/>
      <c r="F151" s="84"/>
      <c r="G151" s="84"/>
      <c r="H151" s="84"/>
      <c r="I151" s="84">
        <f>0.4*C151</f>
        <v>0</v>
      </c>
      <c r="J151" s="130"/>
      <c r="K151" s="130"/>
      <c r="L151" s="130"/>
      <c r="M151" s="130"/>
      <c r="N151" s="130"/>
      <c r="O151" s="155">
        <v>400.12200000000001</v>
      </c>
      <c r="P151" s="155">
        <v>400.12200000000001</v>
      </c>
      <c r="Q151" s="86"/>
      <c r="R151" s="385"/>
      <c r="S151" s="156">
        <v>30</v>
      </c>
      <c r="T151" s="84">
        <f>(P151-O151)*S151</f>
        <v>0</v>
      </c>
      <c r="U151" s="88">
        <v>9861</v>
      </c>
      <c r="V151" s="89"/>
      <c r="W151" s="14" t="s">
        <v>116</v>
      </c>
      <c r="X151" s="7"/>
      <c r="Y151" s="7"/>
      <c r="Z151" s="7"/>
      <c r="AA151" s="7"/>
      <c r="AB151" s="7"/>
      <c r="AC151" s="7"/>
    </row>
    <row r="152" spans="1:29" ht="26.25">
      <c r="A152" s="19"/>
      <c r="B152" s="83"/>
      <c r="C152" s="154"/>
      <c r="D152" s="84"/>
      <c r="E152" s="84"/>
      <c r="F152" s="84"/>
      <c r="G152" s="84"/>
      <c r="H152" s="84"/>
      <c r="I152" s="154"/>
      <c r="J152" s="130"/>
      <c r="K152" s="130"/>
      <c r="L152" s="130"/>
      <c r="M152" s="130"/>
      <c r="N152" s="130"/>
      <c r="O152" s="84"/>
      <c r="P152" s="84"/>
      <c r="Q152" s="86"/>
      <c r="R152" s="130"/>
      <c r="S152" s="85"/>
      <c r="T152" s="84"/>
      <c r="U152" s="88"/>
      <c r="V152" s="89"/>
      <c r="W152" s="14"/>
      <c r="X152" s="7"/>
      <c r="Y152" s="7"/>
      <c r="Z152" s="7"/>
      <c r="AA152" s="7"/>
      <c r="AB152" s="7"/>
      <c r="AC152" s="7"/>
    </row>
    <row r="153" spans="1:29" ht="26.25">
      <c r="A153" s="19"/>
      <c r="B153" s="158"/>
      <c r="C153" s="97"/>
      <c r="D153" s="124"/>
      <c r="E153" s="124"/>
      <c r="F153" s="124"/>
      <c r="G153" s="124"/>
      <c r="H153" s="124"/>
      <c r="I153" s="97"/>
      <c r="J153" s="126"/>
      <c r="K153" s="126"/>
      <c r="L153" s="126"/>
      <c r="M153" s="126"/>
      <c r="N153" s="126"/>
      <c r="O153" s="188"/>
      <c r="P153" s="188"/>
      <c r="Q153" s="7"/>
      <c r="R153" s="189"/>
      <c r="S153" s="140"/>
      <c r="T153" s="124"/>
      <c r="U153" s="127"/>
      <c r="V153" s="128"/>
      <c r="W153" s="14"/>
      <c r="X153" s="7"/>
      <c r="Y153" s="7"/>
      <c r="Z153" s="7"/>
      <c r="AA153" s="7"/>
      <c r="AB153" s="7"/>
      <c r="AC153" s="7"/>
    </row>
    <row r="154" spans="1:29" ht="26.25">
      <c r="A154" s="19"/>
      <c r="B154" s="387" t="s">
        <v>201</v>
      </c>
      <c r="C154" s="154">
        <f>H154+E154</f>
        <v>130.84959999999992</v>
      </c>
      <c r="D154" s="484">
        <f>T154+T156+T157+T159+T160+T161</f>
        <v>282866.37999999977</v>
      </c>
      <c r="E154" s="84">
        <f>G154+F154</f>
        <v>130.84959999999992</v>
      </c>
      <c r="F154" s="84">
        <f>0.04*(T160+T161)</f>
        <v>74.771199999999951</v>
      </c>
      <c r="G154" s="84">
        <f>0.03*(T160+T161)</f>
        <v>56.078399999999966</v>
      </c>
      <c r="H154" s="84"/>
      <c r="I154" s="84">
        <f>0.54*(T160+T161)*0</f>
        <v>0</v>
      </c>
      <c r="J154" s="130"/>
      <c r="K154" s="130"/>
      <c r="L154" s="130"/>
      <c r="M154" s="130"/>
      <c r="N154" s="130"/>
      <c r="O154" s="155"/>
      <c r="P154" s="155"/>
      <c r="Q154" s="86"/>
      <c r="R154" s="181"/>
      <c r="S154" s="156"/>
      <c r="T154" s="84"/>
      <c r="U154" s="88"/>
      <c r="V154" s="89" t="s">
        <v>197</v>
      </c>
      <c r="W154" s="14"/>
      <c r="X154" s="7"/>
      <c r="Y154" s="7"/>
      <c r="Z154" s="7"/>
      <c r="AA154" s="7"/>
      <c r="AB154" s="7"/>
      <c r="AC154" s="7"/>
    </row>
    <row r="155" spans="1:29" ht="25.5">
      <c r="A155" s="19"/>
      <c r="B155" s="83"/>
      <c r="C155" s="84"/>
      <c r="D155" s="84"/>
      <c r="E155" s="84"/>
      <c r="F155" s="84"/>
      <c r="G155" s="84"/>
      <c r="H155" s="84"/>
      <c r="I155" s="84">
        <f>0.54*C155</f>
        <v>0</v>
      </c>
      <c r="J155" s="130"/>
      <c r="K155" s="130"/>
      <c r="L155" s="130"/>
      <c r="M155" s="130"/>
      <c r="N155" s="130"/>
      <c r="O155" s="190"/>
      <c r="P155" s="190"/>
      <c r="Q155" s="86"/>
      <c r="R155" s="181"/>
      <c r="S155" s="156"/>
      <c r="T155" s="84"/>
      <c r="U155" s="88"/>
      <c r="V155" s="89"/>
      <c r="W155" s="14"/>
      <c r="X155" s="7"/>
      <c r="Y155" s="7"/>
      <c r="Z155" s="7"/>
      <c r="AA155" s="7"/>
      <c r="AB155" s="7"/>
      <c r="AC155" s="7"/>
    </row>
    <row r="156" spans="1:29" ht="25.5">
      <c r="A156" s="19"/>
      <c r="B156" s="83"/>
      <c r="C156" s="84"/>
      <c r="D156" s="84"/>
      <c r="E156" s="84"/>
      <c r="F156" s="84"/>
      <c r="G156" s="84"/>
      <c r="H156" s="84"/>
      <c r="I156" s="84">
        <f>0.54*C156</f>
        <v>0</v>
      </c>
      <c r="J156" s="130"/>
      <c r="K156" s="130"/>
      <c r="L156" s="130"/>
      <c r="M156" s="130"/>
      <c r="N156" s="130"/>
      <c r="O156" s="393" t="s">
        <v>917</v>
      </c>
      <c r="P156" s="393" t="s">
        <v>936</v>
      </c>
      <c r="Q156" s="86"/>
      <c r="R156" s="181"/>
      <c r="S156" s="156">
        <v>300</v>
      </c>
      <c r="T156" s="84">
        <f>(P156-O156)*S156</f>
        <v>153731.09999999998</v>
      </c>
      <c r="U156" s="88">
        <v>257</v>
      </c>
      <c r="V156" s="89" t="s">
        <v>202</v>
      </c>
      <c r="W156" s="191" t="s">
        <v>203</v>
      </c>
      <c r="X156" s="7"/>
      <c r="Y156" s="7"/>
      <c r="Z156" s="7"/>
      <c r="AA156" s="7"/>
      <c r="AB156" s="7"/>
      <c r="AC156" s="7"/>
    </row>
    <row r="157" spans="1:29" ht="25.5">
      <c r="A157" s="19"/>
      <c r="B157" s="83"/>
      <c r="C157" s="84"/>
      <c r="D157" s="84"/>
      <c r="E157" s="84"/>
      <c r="F157" s="84"/>
      <c r="G157" s="84"/>
      <c r="H157" s="84"/>
      <c r="I157" s="84">
        <f>0.54*C157</f>
        <v>0</v>
      </c>
      <c r="J157" s="130"/>
      <c r="K157" s="130"/>
      <c r="L157" s="130"/>
      <c r="M157" s="130"/>
      <c r="N157" s="130"/>
      <c r="O157" s="393" t="s">
        <v>918</v>
      </c>
      <c r="P157" s="393" t="s">
        <v>937</v>
      </c>
      <c r="Q157" s="86"/>
      <c r="R157" s="181"/>
      <c r="S157" s="156">
        <v>300</v>
      </c>
      <c r="T157" s="84">
        <f>(P157-O157)*S157</f>
        <v>127265.9999999998</v>
      </c>
      <c r="U157" s="88">
        <v>851</v>
      </c>
      <c r="V157" s="89" t="s">
        <v>202</v>
      </c>
      <c r="W157" s="14" t="s">
        <v>35</v>
      </c>
      <c r="X157" s="7"/>
      <c r="Y157" s="7"/>
      <c r="Z157" s="7"/>
      <c r="AA157" s="7"/>
      <c r="AB157" s="7"/>
      <c r="AC157" s="7"/>
    </row>
    <row r="158" spans="1:29" ht="25.5">
      <c r="A158" s="19"/>
      <c r="B158" s="83"/>
      <c r="C158" s="84"/>
      <c r="D158" s="84"/>
      <c r="E158" s="84"/>
      <c r="F158" s="84"/>
      <c r="G158" s="84"/>
      <c r="H158" s="84"/>
      <c r="I158" s="84"/>
      <c r="J158" s="130"/>
      <c r="K158" s="130"/>
      <c r="L158" s="130"/>
      <c r="M158" s="130"/>
      <c r="N158" s="130"/>
      <c r="O158" s="190"/>
      <c r="P158" s="190"/>
      <c r="Q158" s="86"/>
      <c r="R158" s="181"/>
      <c r="S158" s="156"/>
      <c r="T158" s="84"/>
      <c r="U158" s="88"/>
      <c r="V158" s="89"/>
      <c r="W158" s="14"/>
      <c r="X158" s="7"/>
      <c r="Y158" s="7"/>
      <c r="Z158" s="7"/>
      <c r="AA158" s="7"/>
      <c r="AB158" s="7"/>
      <c r="AC158" s="7"/>
    </row>
    <row r="159" spans="1:29" ht="25.5">
      <c r="A159" s="19"/>
      <c r="B159" s="83"/>
      <c r="C159" s="84"/>
      <c r="D159" s="84"/>
      <c r="E159" s="84"/>
      <c r="F159" s="84"/>
      <c r="G159" s="84"/>
      <c r="H159" s="84"/>
      <c r="I159" s="84"/>
      <c r="J159" s="130"/>
      <c r="K159" s="130"/>
      <c r="L159" s="130"/>
      <c r="M159" s="130"/>
      <c r="N159" s="130"/>
      <c r="O159" s="155"/>
      <c r="P159" s="155"/>
      <c r="Q159" s="86"/>
      <c r="R159" s="181"/>
      <c r="S159" s="156"/>
      <c r="T159" s="84"/>
      <c r="U159" s="88"/>
      <c r="V159" s="89"/>
      <c r="W159" s="14"/>
      <c r="X159" s="7"/>
      <c r="Y159" s="7"/>
      <c r="Z159" s="7"/>
      <c r="AA159" s="7"/>
      <c r="AB159" s="7"/>
      <c r="AC159" s="7"/>
    </row>
    <row r="160" spans="1:29" ht="25.5">
      <c r="A160" s="19"/>
      <c r="B160" s="158"/>
      <c r="C160" s="124"/>
      <c r="D160" s="124"/>
      <c r="E160" s="124"/>
      <c r="F160" s="124"/>
      <c r="G160" s="124"/>
      <c r="H160" s="124"/>
      <c r="I160" s="84">
        <f>0.54*C160</f>
        <v>0</v>
      </c>
      <c r="J160" s="130"/>
      <c r="K160" s="130"/>
      <c r="L160" s="130"/>
      <c r="M160" s="130"/>
      <c r="N160" s="130"/>
      <c r="O160" s="155">
        <v>2303.3969999999999</v>
      </c>
      <c r="P160" s="155">
        <v>2350.1289999999999</v>
      </c>
      <c r="Q160" s="86"/>
      <c r="R160" s="181"/>
      <c r="S160" s="156">
        <v>40</v>
      </c>
      <c r="T160" s="84">
        <f>(P160-O160)*S160</f>
        <v>1869.2799999999988</v>
      </c>
      <c r="U160" s="88">
        <v>6289</v>
      </c>
      <c r="V160" s="89" t="s">
        <v>204</v>
      </c>
      <c r="W160" s="14" t="s">
        <v>116</v>
      </c>
      <c r="X160" s="7"/>
      <c r="Y160" s="7"/>
      <c r="Z160" s="7"/>
      <c r="AA160" s="7"/>
      <c r="AB160" s="7"/>
      <c r="AC160" s="7"/>
    </row>
    <row r="161" spans="1:29" ht="25.5">
      <c r="A161" s="19"/>
      <c r="B161" s="158"/>
      <c r="C161" s="124"/>
      <c r="D161" s="124"/>
      <c r="E161" s="124"/>
      <c r="F161" s="124"/>
      <c r="G161" s="124"/>
      <c r="H161" s="124"/>
      <c r="I161" s="84">
        <f>0.54*C161</f>
        <v>0</v>
      </c>
      <c r="J161" s="130"/>
      <c r="K161" s="130"/>
      <c r="L161" s="130"/>
      <c r="M161" s="130"/>
      <c r="N161" s="130"/>
      <c r="O161" s="155">
        <v>2064.0729999999999</v>
      </c>
      <c r="P161" s="155">
        <v>2064.0729999999999</v>
      </c>
      <c r="Q161" s="86"/>
      <c r="R161" s="181"/>
      <c r="S161" s="156">
        <v>30</v>
      </c>
      <c r="T161" s="84">
        <f>(P161-O161)*S161</f>
        <v>0</v>
      </c>
      <c r="U161" s="88">
        <v>9845</v>
      </c>
      <c r="V161" s="89" t="s">
        <v>204</v>
      </c>
      <c r="W161" s="14" t="s">
        <v>116</v>
      </c>
      <c r="X161" s="7"/>
      <c r="Y161" s="7"/>
      <c r="Z161" s="7"/>
      <c r="AA161" s="7"/>
      <c r="AB161" s="7"/>
      <c r="AC161" s="7"/>
    </row>
    <row r="162" spans="1:29" ht="26.25">
      <c r="A162" s="19"/>
      <c r="B162" s="387" t="s">
        <v>205</v>
      </c>
      <c r="C162" s="498">
        <f>F162+G162</f>
        <v>482.98992000000101</v>
      </c>
      <c r="D162" s="84">
        <f>H162+E162</f>
        <v>7382.8459200000152</v>
      </c>
      <c r="E162" s="84">
        <f>F162+G162</f>
        <v>482.98992000000101</v>
      </c>
      <c r="F162" s="84">
        <f>0.04*H162</f>
        <v>275.99424000000056</v>
      </c>
      <c r="G162" s="84">
        <f>0.03*H162</f>
        <v>206.99568000000042</v>
      </c>
      <c r="H162" s="84">
        <f>T162</f>
        <v>6899.8560000000143</v>
      </c>
      <c r="I162" s="84">
        <f>(X518-W518)*40</f>
        <v>856.400000000001</v>
      </c>
      <c r="J162" s="130"/>
      <c r="K162" s="130"/>
      <c r="L162" s="130"/>
      <c r="M162" s="130"/>
      <c r="N162" s="130"/>
      <c r="O162" s="155">
        <v>8781</v>
      </c>
      <c r="P162" s="155">
        <v>9068.4940000000006</v>
      </c>
      <c r="Q162" s="389"/>
      <c r="R162" s="390"/>
      <c r="S162" s="156">
        <v>24</v>
      </c>
      <c r="T162" s="84">
        <f>(P162-O162)*S162</f>
        <v>6899.8560000000143</v>
      </c>
      <c r="U162" s="88">
        <v>5667</v>
      </c>
      <c r="V162" s="89" t="s">
        <v>206</v>
      </c>
      <c r="W162" s="14" t="s">
        <v>116</v>
      </c>
      <c r="X162" s="7"/>
      <c r="Y162" s="7"/>
      <c r="Z162" s="7"/>
      <c r="AA162" s="7"/>
      <c r="AB162" s="7"/>
      <c r="AC162" s="7"/>
    </row>
    <row r="163" spans="1:29" ht="26.25">
      <c r="A163" s="19"/>
      <c r="B163" s="96" t="s">
        <v>207</v>
      </c>
      <c r="C163" s="192">
        <f>SUM(C134:C162)</f>
        <v>15751.117909999974</v>
      </c>
      <c r="D163" s="124">
        <f>SUM(D138:D162)</f>
        <v>489045.20291999937</v>
      </c>
      <c r="E163" s="115"/>
      <c r="F163" s="115"/>
      <c r="G163" s="115"/>
      <c r="H163" s="115"/>
      <c r="I163" s="115"/>
      <c r="J163" s="164"/>
      <c r="K163" s="164"/>
      <c r="L163" s="164"/>
      <c r="M163" s="164"/>
      <c r="N163" s="164"/>
      <c r="O163" s="91"/>
      <c r="P163" s="91"/>
      <c r="Q163" s="7"/>
      <c r="R163" s="94"/>
      <c r="S163" s="91"/>
      <c r="T163" s="91"/>
      <c r="U163" s="95"/>
      <c r="V163" s="673"/>
      <c r="W163" s="14"/>
      <c r="X163" s="7"/>
      <c r="Y163" s="7"/>
      <c r="Z163" s="7"/>
      <c r="AA163" s="7"/>
      <c r="AB163" s="7"/>
      <c r="AC163" s="7"/>
    </row>
    <row r="164" spans="1:29" ht="56.25" customHeight="1">
      <c r="A164" s="19"/>
      <c r="B164" s="499"/>
      <c r="C164" s="500"/>
      <c r="D164" s="501"/>
      <c r="E164" s="502"/>
      <c r="F164" s="500"/>
      <c r="G164" s="500"/>
      <c r="H164" s="500"/>
      <c r="I164" s="500"/>
      <c r="J164" s="503"/>
      <c r="K164" s="503"/>
      <c r="L164" s="503"/>
      <c r="M164" s="503"/>
      <c r="N164" s="503"/>
      <c r="O164" s="500"/>
      <c r="P164" s="500"/>
      <c r="Q164" s="504"/>
      <c r="R164" s="505"/>
      <c r="S164" s="500"/>
      <c r="T164" s="500"/>
      <c r="U164" s="506"/>
      <c r="V164" s="507"/>
      <c r="W164" s="14"/>
      <c r="X164" s="7"/>
      <c r="Y164" s="7"/>
      <c r="Z164" s="7"/>
      <c r="AA164" s="7"/>
      <c r="AB164" s="7"/>
      <c r="AC164" s="7"/>
    </row>
    <row r="165" spans="1:29" ht="26.25">
      <c r="A165" s="19"/>
      <c r="B165" s="193" t="s">
        <v>208</v>
      </c>
      <c r="C165" s="91"/>
      <c r="D165" s="115"/>
      <c r="E165" s="115"/>
      <c r="F165" s="91"/>
      <c r="G165" s="91"/>
      <c r="H165" s="91"/>
      <c r="I165" s="91"/>
      <c r="J165" s="164"/>
      <c r="K165" s="164"/>
      <c r="L165" s="164"/>
      <c r="M165" s="164"/>
      <c r="N165" s="164"/>
      <c r="O165" s="91"/>
      <c r="P165" s="91"/>
      <c r="Q165" s="7"/>
      <c r="R165" s="94"/>
      <c r="S165" s="91"/>
      <c r="T165" s="91"/>
      <c r="U165" s="95"/>
      <c r="V165" s="673"/>
      <c r="W165" s="14"/>
      <c r="X165" s="7"/>
      <c r="Y165" s="7"/>
      <c r="Z165" s="7"/>
      <c r="AA165" s="7"/>
      <c r="AB165" s="7"/>
      <c r="AC165" s="7"/>
    </row>
    <row r="166" spans="1:29" ht="25.5">
      <c r="A166" s="19"/>
      <c r="B166" s="129" t="s">
        <v>209</v>
      </c>
      <c r="C166" s="84">
        <f t="shared" ref="C166:C176" si="23">H166+E166</f>
        <v>1007.94</v>
      </c>
      <c r="D166" s="84"/>
      <c r="E166" s="84">
        <f t="shared" ref="E166:E174" si="24">F166+G166</f>
        <v>65.94</v>
      </c>
      <c r="F166" s="84">
        <f t="shared" ref="F166:F174" si="25">0.04*H166</f>
        <v>37.68</v>
      </c>
      <c r="G166" s="84">
        <f t="shared" ref="G166:G174" si="26">0.03*H166</f>
        <v>28.259999999999998</v>
      </c>
      <c r="H166" s="84">
        <f>T166</f>
        <v>942</v>
      </c>
      <c r="I166" s="84">
        <f t="shared" ref="I166:I173" si="27">0.6*C166</f>
        <v>604.76400000000001</v>
      </c>
      <c r="J166" s="130"/>
      <c r="K166" s="130"/>
      <c r="L166" s="130"/>
      <c r="M166" s="130"/>
      <c r="N166" s="130"/>
      <c r="O166" s="84">
        <v>24854</v>
      </c>
      <c r="P166" s="84">
        <v>25796</v>
      </c>
      <c r="Q166" s="86"/>
      <c r="R166" s="87"/>
      <c r="S166" s="84">
        <v>1</v>
      </c>
      <c r="T166" s="84">
        <f t="shared" ref="T166:T230" si="28">(P166-O166)*S166</f>
        <v>942</v>
      </c>
      <c r="U166" s="88">
        <v>179316</v>
      </c>
      <c r="V166" s="89" t="s">
        <v>210</v>
      </c>
      <c r="W166" s="14" t="s">
        <v>82</v>
      </c>
      <c r="X166" s="7"/>
      <c r="Y166" s="7"/>
      <c r="Z166" s="7"/>
      <c r="AA166" s="7"/>
      <c r="AB166" s="7"/>
      <c r="AC166" s="7"/>
    </row>
    <row r="167" spans="1:29" ht="25.5">
      <c r="A167" s="19"/>
      <c r="B167" s="83" t="s">
        <v>897</v>
      </c>
      <c r="C167" s="84">
        <f t="shared" si="23"/>
        <v>112.35</v>
      </c>
      <c r="D167" s="84"/>
      <c r="E167" s="84">
        <f t="shared" si="24"/>
        <v>7.35</v>
      </c>
      <c r="F167" s="84">
        <f t="shared" si="25"/>
        <v>4.2</v>
      </c>
      <c r="G167" s="84">
        <f t="shared" si="26"/>
        <v>3.15</v>
      </c>
      <c r="H167" s="84">
        <f t="shared" ref="H167:H182" si="29">T167</f>
        <v>105</v>
      </c>
      <c r="I167" s="84">
        <f t="shared" si="27"/>
        <v>67.41</v>
      </c>
      <c r="J167" s="130"/>
      <c r="K167" s="130"/>
      <c r="L167" s="130"/>
      <c r="M167" s="130"/>
      <c r="N167" s="130"/>
      <c r="O167" s="84">
        <v>70576</v>
      </c>
      <c r="P167" s="84">
        <v>70681</v>
      </c>
      <c r="Q167" s="389"/>
      <c r="R167" s="390"/>
      <c r="S167" s="156">
        <v>1</v>
      </c>
      <c r="T167" s="84">
        <f>(P167-O167)*S167</f>
        <v>105</v>
      </c>
      <c r="U167" s="88"/>
      <c r="V167" s="89" t="s">
        <v>807</v>
      </c>
      <c r="W167" s="14" t="s">
        <v>212</v>
      </c>
      <c r="X167" s="7"/>
      <c r="Y167" s="7"/>
      <c r="Z167" s="7"/>
      <c r="AA167" s="7"/>
      <c r="AB167" s="7"/>
      <c r="AC167" s="7"/>
    </row>
    <row r="168" spans="1:29" ht="25.5">
      <c r="A168" s="19"/>
      <c r="B168" s="83" t="s">
        <v>213</v>
      </c>
      <c r="C168" s="84">
        <f t="shared" si="23"/>
        <v>117.7</v>
      </c>
      <c r="D168" s="84"/>
      <c r="E168" s="84">
        <f t="shared" si="24"/>
        <v>7.7</v>
      </c>
      <c r="F168" s="84">
        <f t="shared" si="25"/>
        <v>4.4000000000000004</v>
      </c>
      <c r="G168" s="84">
        <f t="shared" si="26"/>
        <v>3.3</v>
      </c>
      <c r="H168" s="84">
        <f t="shared" si="29"/>
        <v>110</v>
      </c>
      <c r="I168" s="84">
        <f t="shared" si="27"/>
        <v>70.62</v>
      </c>
      <c r="J168" s="130"/>
      <c r="K168" s="130"/>
      <c r="L168" s="130"/>
      <c r="M168" s="130"/>
      <c r="N168" s="130"/>
      <c r="O168" s="84">
        <v>9764</v>
      </c>
      <c r="P168" s="84">
        <v>9874</v>
      </c>
      <c r="Q168" s="130" t="s">
        <v>33</v>
      </c>
      <c r="R168" s="385"/>
      <c r="S168" s="156">
        <v>1</v>
      </c>
      <c r="T168" s="84">
        <f t="shared" si="28"/>
        <v>110</v>
      </c>
      <c r="U168" s="88"/>
      <c r="V168" s="89" t="s">
        <v>214</v>
      </c>
      <c r="W168" s="14" t="s">
        <v>212</v>
      </c>
      <c r="X168" s="7"/>
      <c r="Y168" s="7"/>
      <c r="Z168" s="7"/>
      <c r="AA168" s="7"/>
      <c r="AB168" s="7"/>
      <c r="AC168" s="7"/>
    </row>
    <row r="169" spans="1:29" ht="25.5">
      <c r="A169" s="19"/>
      <c r="B169" s="83" t="s">
        <v>215</v>
      </c>
      <c r="C169" s="404">
        <f t="shared" si="23"/>
        <v>635.58000000000004</v>
      </c>
      <c r="D169" s="404"/>
      <c r="E169" s="404">
        <f t="shared" si="24"/>
        <v>41.58</v>
      </c>
      <c r="F169" s="404">
        <f t="shared" si="25"/>
        <v>23.76</v>
      </c>
      <c r="G169" s="404">
        <f t="shared" si="26"/>
        <v>17.82</v>
      </c>
      <c r="H169" s="404">
        <f t="shared" si="29"/>
        <v>594</v>
      </c>
      <c r="I169" s="404">
        <f t="shared" si="27"/>
        <v>381.34800000000001</v>
      </c>
      <c r="J169" s="405"/>
      <c r="K169" s="405"/>
      <c r="L169" s="405"/>
      <c r="M169" s="405"/>
      <c r="N169" s="405"/>
      <c r="O169" s="404">
        <v>22903</v>
      </c>
      <c r="P169" s="404">
        <v>23497</v>
      </c>
      <c r="Q169" s="405" t="s">
        <v>33</v>
      </c>
      <c r="R169" s="394"/>
      <c r="S169" s="406">
        <v>1</v>
      </c>
      <c r="T169" s="404">
        <f t="shared" si="28"/>
        <v>594</v>
      </c>
      <c r="U169" s="88">
        <v>6648</v>
      </c>
      <c r="V169" s="89" t="s">
        <v>216</v>
      </c>
      <c r="W169" s="14" t="s">
        <v>48</v>
      </c>
      <c r="X169" s="7"/>
      <c r="Y169" s="7"/>
      <c r="Z169" s="7"/>
      <c r="AA169" s="7"/>
      <c r="AB169" s="7"/>
      <c r="AC169" s="7"/>
    </row>
    <row r="170" spans="1:29" ht="25.5">
      <c r="A170" s="19"/>
      <c r="B170" s="83" t="s">
        <v>217</v>
      </c>
      <c r="C170" s="84">
        <f t="shared" si="23"/>
        <v>2798.05</v>
      </c>
      <c r="D170" s="84"/>
      <c r="E170" s="84">
        <f t="shared" si="24"/>
        <v>183.05</v>
      </c>
      <c r="F170" s="84">
        <f t="shared" si="25"/>
        <v>104.60000000000001</v>
      </c>
      <c r="G170" s="84">
        <f t="shared" si="26"/>
        <v>78.45</v>
      </c>
      <c r="H170" s="84">
        <f t="shared" si="29"/>
        <v>2615</v>
      </c>
      <c r="I170" s="84">
        <f t="shared" si="27"/>
        <v>1678.8300000000002</v>
      </c>
      <c r="J170" s="130"/>
      <c r="K170" s="130"/>
      <c r="L170" s="130"/>
      <c r="M170" s="130"/>
      <c r="N170" s="130"/>
      <c r="O170" s="84">
        <v>81094</v>
      </c>
      <c r="P170" s="84">
        <v>83709</v>
      </c>
      <c r="Q170" s="86"/>
      <c r="R170" s="87"/>
      <c r="S170" s="156">
        <v>1</v>
      </c>
      <c r="T170" s="84">
        <f t="shared" si="28"/>
        <v>2615</v>
      </c>
      <c r="U170" s="88"/>
      <c r="V170" s="89" t="s">
        <v>218</v>
      </c>
      <c r="W170" s="14" t="s">
        <v>212</v>
      </c>
      <c r="X170" s="7"/>
      <c r="Y170" s="7"/>
      <c r="Z170" s="7"/>
      <c r="AA170" s="7"/>
      <c r="AB170" s="7"/>
      <c r="AC170" s="7"/>
    </row>
    <row r="171" spans="1:29" ht="25.5">
      <c r="A171" s="19"/>
      <c r="B171" s="83" t="s">
        <v>219</v>
      </c>
      <c r="C171" s="84">
        <f t="shared" si="23"/>
        <v>6521.65</v>
      </c>
      <c r="D171" s="84"/>
      <c r="E171" s="84">
        <f t="shared" si="24"/>
        <v>426.65</v>
      </c>
      <c r="F171" s="84">
        <f t="shared" si="25"/>
        <v>243.8</v>
      </c>
      <c r="G171" s="84">
        <f t="shared" si="26"/>
        <v>182.85</v>
      </c>
      <c r="H171" s="84">
        <f t="shared" si="29"/>
        <v>6095</v>
      </c>
      <c r="I171" s="84">
        <f t="shared" si="27"/>
        <v>3912.99</v>
      </c>
      <c r="J171" s="130"/>
      <c r="K171" s="130"/>
      <c r="L171" s="130"/>
      <c r="M171" s="130"/>
      <c r="N171" s="130"/>
      <c r="O171" s="84">
        <v>200758</v>
      </c>
      <c r="P171" s="84">
        <v>206853</v>
      </c>
      <c r="Q171" s="130"/>
      <c r="R171" s="385"/>
      <c r="S171" s="156">
        <v>1</v>
      </c>
      <c r="T171" s="84">
        <f t="shared" si="28"/>
        <v>6095</v>
      </c>
      <c r="U171" s="88"/>
      <c r="V171" s="89" t="s">
        <v>220</v>
      </c>
      <c r="W171" s="14" t="s">
        <v>212</v>
      </c>
      <c r="X171" s="7"/>
      <c r="Y171" s="7"/>
      <c r="Z171" s="7"/>
      <c r="AA171" s="7"/>
      <c r="AB171" s="7"/>
      <c r="AC171" s="7"/>
    </row>
    <row r="172" spans="1:29" s="195" customFormat="1" ht="25.5">
      <c r="A172" s="194"/>
      <c r="B172" s="83" t="s">
        <v>221</v>
      </c>
      <c r="C172" s="84">
        <f t="shared" si="23"/>
        <v>1107.45</v>
      </c>
      <c r="D172" s="84"/>
      <c r="E172" s="84">
        <f t="shared" si="24"/>
        <v>72.449999999999989</v>
      </c>
      <c r="F172" s="84">
        <f t="shared" si="25"/>
        <v>41.4</v>
      </c>
      <c r="G172" s="84">
        <f t="shared" si="26"/>
        <v>31.049999999999997</v>
      </c>
      <c r="H172" s="84">
        <f t="shared" si="29"/>
        <v>1035</v>
      </c>
      <c r="I172" s="84">
        <f t="shared" si="27"/>
        <v>664.47</v>
      </c>
      <c r="J172" s="183"/>
      <c r="K172" s="183"/>
      <c r="L172" s="183"/>
      <c r="M172" s="183"/>
      <c r="N172" s="183"/>
      <c r="O172" s="84">
        <v>32727</v>
      </c>
      <c r="P172" s="84">
        <v>33762</v>
      </c>
      <c r="Q172" s="86"/>
      <c r="R172" s="385"/>
      <c r="S172" s="156">
        <v>1</v>
      </c>
      <c r="T172" s="84">
        <f t="shared" si="28"/>
        <v>1035</v>
      </c>
      <c r="U172" s="88"/>
      <c r="V172" s="89" t="s">
        <v>222</v>
      </c>
      <c r="W172" s="14" t="s">
        <v>212</v>
      </c>
      <c r="X172" s="86"/>
      <c r="Y172" s="86"/>
      <c r="Z172" s="86"/>
      <c r="AA172" s="86"/>
      <c r="AB172" s="86"/>
      <c r="AC172" s="86"/>
    </row>
    <row r="173" spans="1:29" ht="25.5">
      <c r="A173" s="19"/>
      <c r="B173" s="129"/>
      <c r="C173" s="84">
        <f t="shared" si="23"/>
        <v>195.81</v>
      </c>
      <c r="D173" s="84"/>
      <c r="E173" s="84">
        <f t="shared" si="24"/>
        <v>12.81</v>
      </c>
      <c r="F173" s="84">
        <f t="shared" si="25"/>
        <v>7.32</v>
      </c>
      <c r="G173" s="84">
        <f t="shared" si="26"/>
        <v>5.49</v>
      </c>
      <c r="H173" s="84">
        <f t="shared" si="29"/>
        <v>183</v>
      </c>
      <c r="I173" s="84">
        <f t="shared" si="27"/>
        <v>117.48599999999999</v>
      </c>
      <c r="J173" s="130"/>
      <c r="K173" s="130"/>
      <c r="L173" s="130"/>
      <c r="M173" s="130"/>
      <c r="N173" s="130"/>
      <c r="O173" s="84">
        <v>26241</v>
      </c>
      <c r="P173" s="84">
        <v>26424</v>
      </c>
      <c r="Q173" s="86"/>
      <c r="R173" s="87"/>
      <c r="S173" s="156">
        <v>1</v>
      </c>
      <c r="T173" s="84">
        <f t="shared" si="28"/>
        <v>183</v>
      </c>
      <c r="U173" s="88">
        <v>8383</v>
      </c>
      <c r="V173" s="89" t="s">
        <v>223</v>
      </c>
      <c r="W173" s="14" t="s">
        <v>212</v>
      </c>
      <c r="X173" s="7"/>
      <c r="Y173" s="7"/>
      <c r="Z173" s="7"/>
      <c r="AA173" s="7"/>
      <c r="AB173" s="7"/>
      <c r="AC173" s="7"/>
    </row>
    <row r="174" spans="1:29" ht="40.5" customHeight="1">
      <c r="A174" s="19"/>
      <c r="B174" s="387" t="s">
        <v>224</v>
      </c>
      <c r="C174" s="154">
        <f t="shared" si="23"/>
        <v>19250.840800000002</v>
      </c>
      <c r="D174" s="154"/>
      <c r="E174" s="154">
        <f t="shared" si="24"/>
        <v>1259.4008000000001</v>
      </c>
      <c r="F174" s="154">
        <f t="shared" si="25"/>
        <v>719.65760000000012</v>
      </c>
      <c r="G174" s="154">
        <f t="shared" si="26"/>
        <v>539.7432</v>
      </c>
      <c r="H174" s="154">
        <f t="shared" si="29"/>
        <v>17991.440000000002</v>
      </c>
      <c r="I174" s="154">
        <f>T175+250+750</f>
        <v>1358</v>
      </c>
      <c r="J174" s="183"/>
      <c r="K174" s="183"/>
      <c r="L174" s="183"/>
      <c r="M174" s="183"/>
      <c r="N174" s="183"/>
      <c r="O174" s="407">
        <v>64048.26</v>
      </c>
      <c r="P174" s="407">
        <v>64498.046000000002</v>
      </c>
      <c r="Q174" s="389"/>
      <c r="R174" s="390"/>
      <c r="S174" s="154">
        <v>40</v>
      </c>
      <c r="T174" s="84">
        <f t="shared" si="28"/>
        <v>17991.440000000002</v>
      </c>
      <c r="U174" s="88">
        <v>2835</v>
      </c>
      <c r="V174" s="89" t="s">
        <v>225</v>
      </c>
      <c r="W174" s="14" t="s">
        <v>48</v>
      </c>
      <c r="X174" s="7"/>
      <c r="Y174" s="7"/>
      <c r="Z174" s="7"/>
      <c r="AA174" s="7"/>
      <c r="AB174" s="7"/>
      <c r="AC174" s="7"/>
    </row>
    <row r="175" spans="1:29" ht="26.25">
      <c r="A175" s="19"/>
      <c r="B175" s="696" t="s">
        <v>938</v>
      </c>
      <c r="C175" s="84">
        <f t="shared" si="23"/>
        <v>383.06</v>
      </c>
      <c r="D175" s="84"/>
      <c r="E175" s="84">
        <f>F175+G175</f>
        <v>25.060000000000002</v>
      </c>
      <c r="F175" s="84">
        <f>0.04*H175</f>
        <v>14.32</v>
      </c>
      <c r="G175" s="84">
        <f>0.03*H175</f>
        <v>10.74</v>
      </c>
      <c r="H175" s="84">
        <f t="shared" si="29"/>
        <v>358</v>
      </c>
      <c r="I175" s="84">
        <f>0.6*C175</f>
        <v>229.83599999999998</v>
      </c>
      <c r="J175" s="130"/>
      <c r="K175" s="130"/>
      <c r="L175" s="130"/>
      <c r="M175" s="130"/>
      <c r="N175" s="130"/>
      <c r="O175" s="84">
        <v>0</v>
      </c>
      <c r="P175" s="84">
        <v>358</v>
      </c>
      <c r="Q175" s="86"/>
      <c r="R175" s="87"/>
      <c r="S175" s="156">
        <v>1</v>
      </c>
      <c r="T175" s="84">
        <f t="shared" si="28"/>
        <v>358</v>
      </c>
      <c r="U175" s="88"/>
      <c r="V175" s="89" t="s">
        <v>884</v>
      </c>
      <c r="W175" s="14"/>
      <c r="X175" s="7"/>
      <c r="Y175" s="7"/>
      <c r="Z175" s="7"/>
      <c r="AA175" s="7"/>
      <c r="AB175" s="7"/>
      <c r="AC175" s="7"/>
    </row>
    <row r="176" spans="1:29" ht="25.5">
      <c r="A176" s="19"/>
      <c r="B176" s="800" t="s">
        <v>226</v>
      </c>
      <c r="C176" s="84">
        <f t="shared" si="23"/>
        <v>943.74</v>
      </c>
      <c r="D176" s="84"/>
      <c r="E176" s="84">
        <f>F176+G176</f>
        <v>61.739999999999995</v>
      </c>
      <c r="F176" s="84">
        <f>0.04*H176</f>
        <v>35.28</v>
      </c>
      <c r="G176" s="84">
        <f>0.03*H176</f>
        <v>26.459999999999997</v>
      </c>
      <c r="H176" s="84">
        <f t="shared" si="29"/>
        <v>882</v>
      </c>
      <c r="I176" s="84">
        <f>0.6*C176</f>
        <v>566.24400000000003</v>
      </c>
      <c r="J176" s="130"/>
      <c r="K176" s="130"/>
      <c r="L176" s="130"/>
      <c r="M176" s="130"/>
      <c r="N176" s="130"/>
      <c r="O176" s="84">
        <v>31510</v>
      </c>
      <c r="P176" s="84">
        <v>32392</v>
      </c>
      <c r="Q176" s="86"/>
      <c r="R176" s="87"/>
      <c r="S176" s="156">
        <v>1</v>
      </c>
      <c r="T176" s="84">
        <f t="shared" si="28"/>
        <v>882</v>
      </c>
      <c r="U176" s="408"/>
      <c r="V176" s="676" t="s">
        <v>227</v>
      </c>
      <c r="W176" s="14" t="s">
        <v>212</v>
      </c>
      <c r="X176" s="7"/>
      <c r="Y176" s="7"/>
      <c r="Z176" s="7"/>
      <c r="AA176" s="7"/>
      <c r="AB176" s="7"/>
      <c r="AC176" s="7"/>
    </row>
    <row r="177" spans="1:29" ht="25.5">
      <c r="A177" s="19"/>
      <c r="B177" s="801"/>
      <c r="C177" s="382">
        <f>H177+E177</f>
        <v>14496.360000000186</v>
      </c>
      <c r="D177" s="382"/>
      <c r="E177" s="382">
        <f>F177+G177</f>
        <v>948.36000000001218</v>
      </c>
      <c r="F177" s="382">
        <f>0.04*H177</f>
        <v>541.92000000000701</v>
      </c>
      <c r="G177" s="382">
        <f>0.03*H177</f>
        <v>406.44000000000523</v>
      </c>
      <c r="H177" s="382">
        <f t="shared" si="29"/>
        <v>13548.000000000175</v>
      </c>
      <c r="I177" s="409">
        <f>0.6*C177</f>
        <v>8697.8160000001117</v>
      </c>
      <c r="J177" s="29"/>
      <c r="K177" s="29"/>
      <c r="L177" s="29"/>
      <c r="M177" s="29"/>
      <c r="N177" s="29"/>
      <c r="O177" s="410">
        <v>37079.1</v>
      </c>
      <c r="P177" s="410">
        <v>37304.9</v>
      </c>
      <c r="Q177" s="29" t="s">
        <v>33</v>
      </c>
      <c r="R177" s="411"/>
      <c r="S177" s="412">
        <v>60</v>
      </c>
      <c r="T177" s="382">
        <f t="shared" si="28"/>
        <v>13548.000000000175</v>
      </c>
      <c r="U177" s="31">
        <v>4093</v>
      </c>
      <c r="V177" s="676" t="s">
        <v>228</v>
      </c>
      <c r="W177" s="14" t="s">
        <v>212</v>
      </c>
      <c r="X177" s="7"/>
      <c r="Y177" s="7"/>
      <c r="Z177" s="7"/>
      <c r="AA177" s="7"/>
      <c r="AB177" s="7"/>
      <c r="AC177" s="7"/>
    </row>
    <row r="178" spans="1:29" ht="25.5">
      <c r="A178" s="19"/>
      <c r="B178" s="413" t="s">
        <v>229</v>
      </c>
      <c r="C178" s="414">
        <f>H178+E178</f>
        <v>3195.02</v>
      </c>
      <c r="D178" s="414"/>
      <c r="E178" s="414">
        <f>G178+F178</f>
        <v>209.01999999999998</v>
      </c>
      <c r="F178" s="414">
        <f>0.04*H178</f>
        <v>119.44</v>
      </c>
      <c r="G178" s="414">
        <f>0.03*H178</f>
        <v>89.58</v>
      </c>
      <c r="H178" s="414">
        <f t="shared" si="29"/>
        <v>2986</v>
      </c>
      <c r="I178" s="414">
        <f>0.6*C178</f>
        <v>1917.0119999999999</v>
      </c>
      <c r="J178" s="415"/>
      <c r="K178" s="415"/>
      <c r="L178" s="415"/>
      <c r="M178" s="415"/>
      <c r="N178" s="415"/>
      <c r="O178" s="414">
        <v>94425</v>
      </c>
      <c r="P178" s="414">
        <v>97411</v>
      </c>
      <c r="Q178" s="416"/>
      <c r="R178" s="417"/>
      <c r="S178" s="418">
        <v>1</v>
      </c>
      <c r="T178" s="414">
        <f t="shared" si="28"/>
        <v>2986</v>
      </c>
      <c r="U178" s="31">
        <v>7368</v>
      </c>
      <c r="V178" s="676" t="s">
        <v>230</v>
      </c>
      <c r="W178" s="14" t="s">
        <v>212</v>
      </c>
      <c r="X178" s="7"/>
      <c r="Y178" s="7"/>
      <c r="Z178" s="7"/>
      <c r="AA178" s="7"/>
      <c r="AB178" s="7"/>
      <c r="AC178" s="7"/>
    </row>
    <row r="179" spans="1:29" s="195" customFormat="1" ht="25.5">
      <c r="A179" s="194"/>
      <c r="B179" s="27" t="s">
        <v>768</v>
      </c>
      <c r="C179" s="28">
        <f t="shared" ref="C179:C230" si="30">H179+E179</f>
        <v>648.41999999999996</v>
      </c>
      <c r="D179" s="28"/>
      <c r="E179" s="28">
        <f>F179+G179</f>
        <v>42.42</v>
      </c>
      <c r="F179" s="28">
        <f t="shared" ref="F179:F230" si="31">0.04*H179</f>
        <v>24.240000000000002</v>
      </c>
      <c r="G179" s="28">
        <f t="shared" ref="G179:G230" si="32">0.03*H179</f>
        <v>18.18</v>
      </c>
      <c r="H179" s="28">
        <f t="shared" si="29"/>
        <v>606</v>
      </c>
      <c r="I179" s="28">
        <f t="shared" ref="I179:I197" si="33">0.6*C179</f>
        <v>389.05199999999996</v>
      </c>
      <c r="J179" s="29"/>
      <c r="K179" s="29"/>
      <c r="L179" s="29"/>
      <c r="M179" s="29"/>
      <c r="N179" s="29"/>
      <c r="O179" s="28">
        <v>7733</v>
      </c>
      <c r="P179" s="28">
        <v>8339</v>
      </c>
      <c r="Q179" s="30"/>
      <c r="R179" s="351"/>
      <c r="S179" s="54">
        <v>1</v>
      </c>
      <c r="T179" s="28">
        <f t="shared" si="28"/>
        <v>606</v>
      </c>
      <c r="U179" s="31">
        <v>4327</v>
      </c>
      <c r="V179" s="676" t="s">
        <v>686</v>
      </c>
      <c r="W179" s="191" t="s">
        <v>48</v>
      </c>
      <c r="X179" s="86"/>
      <c r="Y179" s="86"/>
      <c r="Z179" s="86"/>
      <c r="AA179" s="86"/>
      <c r="AB179" s="86"/>
      <c r="AC179" s="86"/>
    </row>
    <row r="180" spans="1:29" ht="34.5" customHeight="1">
      <c r="A180" s="19"/>
      <c r="B180" s="27" t="s">
        <v>714</v>
      </c>
      <c r="C180" s="28">
        <f t="shared" si="30"/>
        <v>620.6</v>
      </c>
      <c r="D180" s="28"/>
      <c r="E180" s="28">
        <f>F180+G180</f>
        <v>40.599999999999994</v>
      </c>
      <c r="F180" s="28">
        <f t="shared" si="31"/>
        <v>23.2</v>
      </c>
      <c r="G180" s="28">
        <f t="shared" si="32"/>
        <v>17.399999999999999</v>
      </c>
      <c r="H180" s="28">
        <f t="shared" si="29"/>
        <v>580</v>
      </c>
      <c r="I180" s="28">
        <f t="shared" si="33"/>
        <v>372.36</v>
      </c>
      <c r="J180" s="29"/>
      <c r="K180" s="29"/>
      <c r="L180" s="29"/>
      <c r="M180" s="29"/>
      <c r="N180" s="29"/>
      <c r="O180" s="28">
        <v>3896</v>
      </c>
      <c r="P180" s="28">
        <v>4476</v>
      </c>
      <c r="Q180" s="30"/>
      <c r="R180" s="351"/>
      <c r="S180" s="54">
        <v>1</v>
      </c>
      <c r="T180" s="28">
        <f t="shared" si="28"/>
        <v>580</v>
      </c>
      <c r="U180" s="31">
        <v>70373</v>
      </c>
      <c r="V180" s="676" t="s">
        <v>231</v>
      </c>
      <c r="W180" s="191" t="s">
        <v>48</v>
      </c>
      <c r="X180" s="7"/>
      <c r="Y180" s="7"/>
      <c r="Z180" s="7"/>
      <c r="AA180" s="7"/>
      <c r="AB180" s="7"/>
      <c r="AC180" s="7"/>
    </row>
    <row r="181" spans="1:29" s="198" customFormat="1" ht="33" customHeight="1">
      <c r="A181" s="196"/>
      <c r="B181" s="27" t="s">
        <v>715</v>
      </c>
      <c r="C181" s="28">
        <f t="shared" si="30"/>
        <v>712.62</v>
      </c>
      <c r="D181" s="28"/>
      <c r="E181" s="28">
        <f>F181+G181</f>
        <v>46.620000000000005</v>
      </c>
      <c r="F181" s="28">
        <f t="shared" si="31"/>
        <v>26.64</v>
      </c>
      <c r="G181" s="28">
        <f t="shared" si="32"/>
        <v>19.98</v>
      </c>
      <c r="H181" s="28">
        <f t="shared" si="29"/>
        <v>666</v>
      </c>
      <c r="I181" s="28">
        <f t="shared" si="33"/>
        <v>427.572</v>
      </c>
      <c r="J181" s="29"/>
      <c r="K181" s="29"/>
      <c r="L181" s="29"/>
      <c r="M181" s="29"/>
      <c r="N181" s="29"/>
      <c r="O181" s="28">
        <v>9031</v>
      </c>
      <c r="P181" s="28">
        <v>9697</v>
      </c>
      <c r="Q181" s="30"/>
      <c r="R181" s="351"/>
      <c r="S181" s="28">
        <v>1</v>
      </c>
      <c r="T181" s="28">
        <f t="shared" si="28"/>
        <v>666</v>
      </c>
      <c r="U181" s="31">
        <v>99648</v>
      </c>
      <c r="V181" s="676" t="s">
        <v>232</v>
      </c>
      <c r="W181" s="191" t="s">
        <v>48</v>
      </c>
      <c r="X181" s="197"/>
      <c r="Y181" s="197"/>
      <c r="Z181" s="197"/>
      <c r="AA181" s="197"/>
      <c r="AB181" s="197"/>
      <c r="AC181" s="197"/>
    </row>
    <row r="182" spans="1:29" ht="26.25">
      <c r="A182" s="19"/>
      <c r="B182" s="27" t="s">
        <v>716</v>
      </c>
      <c r="C182" s="28">
        <f t="shared" si="30"/>
        <v>705.13</v>
      </c>
      <c r="D182" s="28"/>
      <c r="E182" s="28">
        <f>F182+G182</f>
        <v>46.129999999999995</v>
      </c>
      <c r="F182" s="28">
        <f t="shared" si="31"/>
        <v>26.36</v>
      </c>
      <c r="G182" s="28">
        <f t="shared" si="32"/>
        <v>19.77</v>
      </c>
      <c r="H182" s="28">
        <f t="shared" si="29"/>
        <v>659</v>
      </c>
      <c r="I182" s="28">
        <f t="shared" si="33"/>
        <v>423.07799999999997</v>
      </c>
      <c r="J182" s="29"/>
      <c r="K182" s="29"/>
      <c r="L182" s="29"/>
      <c r="M182" s="29"/>
      <c r="N182" s="29" t="s">
        <v>233</v>
      </c>
      <c r="O182" s="28">
        <v>34543</v>
      </c>
      <c r="P182" s="28">
        <v>35202</v>
      </c>
      <c r="Q182" s="146"/>
      <c r="R182" s="61"/>
      <c r="S182" s="28">
        <v>1</v>
      </c>
      <c r="T182" s="28">
        <f t="shared" si="28"/>
        <v>659</v>
      </c>
      <c r="U182" s="31">
        <v>98600</v>
      </c>
      <c r="V182" s="676" t="s">
        <v>234</v>
      </c>
      <c r="W182" s="191" t="s">
        <v>48</v>
      </c>
      <c r="X182" s="7"/>
      <c r="Y182" s="7"/>
      <c r="Z182" s="7"/>
      <c r="AA182" s="7"/>
      <c r="AB182" s="7"/>
      <c r="AC182" s="7"/>
    </row>
    <row r="183" spans="1:29" ht="26.25">
      <c r="A183" s="19"/>
      <c r="B183" s="27" t="s">
        <v>923</v>
      </c>
      <c r="C183" s="28">
        <f t="shared" si="30"/>
        <v>442.98</v>
      </c>
      <c r="D183" s="28"/>
      <c r="E183" s="28">
        <f>F183+G183</f>
        <v>28.979999999999997</v>
      </c>
      <c r="F183" s="28">
        <f t="shared" si="31"/>
        <v>16.559999999999999</v>
      </c>
      <c r="G183" s="28">
        <f t="shared" si="32"/>
        <v>12.42</v>
      </c>
      <c r="H183" s="28">
        <f>T183</f>
        <v>414</v>
      </c>
      <c r="I183" s="28">
        <f t="shared" si="33"/>
        <v>265.78800000000001</v>
      </c>
      <c r="J183" s="29"/>
      <c r="K183" s="29"/>
      <c r="L183" s="29"/>
      <c r="M183" s="29"/>
      <c r="N183" s="29" t="s">
        <v>235</v>
      </c>
      <c r="O183" s="28">
        <v>86586</v>
      </c>
      <c r="P183" s="28">
        <v>87000</v>
      </c>
      <c r="Q183" s="30"/>
      <c r="R183" s="351"/>
      <c r="S183" s="28">
        <v>1</v>
      </c>
      <c r="T183" s="28">
        <f t="shared" si="28"/>
        <v>414</v>
      </c>
      <c r="U183" s="31">
        <v>98517</v>
      </c>
      <c r="V183" s="676" t="s">
        <v>846</v>
      </c>
      <c r="W183" s="191" t="s">
        <v>48</v>
      </c>
      <c r="X183" s="7"/>
      <c r="Y183" s="7"/>
      <c r="Z183" s="7"/>
      <c r="AA183" s="7"/>
      <c r="AB183" s="7"/>
      <c r="AC183" s="7"/>
    </row>
    <row r="184" spans="1:29" ht="26.25">
      <c r="A184" s="19"/>
      <c r="B184" s="27" t="s">
        <v>718</v>
      </c>
      <c r="C184" s="28">
        <f t="shared" si="30"/>
        <v>805.71</v>
      </c>
      <c r="D184" s="28"/>
      <c r="E184" s="28">
        <f>F184++G184</f>
        <v>52.71</v>
      </c>
      <c r="F184" s="28">
        <f t="shared" si="31"/>
        <v>30.12</v>
      </c>
      <c r="G184" s="28">
        <f t="shared" si="32"/>
        <v>22.59</v>
      </c>
      <c r="H184" s="28">
        <f t="shared" ref="H184:H199" si="34">T184</f>
        <v>753</v>
      </c>
      <c r="I184" s="28">
        <f t="shared" si="33"/>
        <v>483.42599999999999</v>
      </c>
      <c r="J184" s="29"/>
      <c r="K184" s="29"/>
      <c r="L184" s="29"/>
      <c r="M184" s="29"/>
      <c r="N184" s="29" t="s">
        <v>237</v>
      </c>
      <c r="O184" s="28">
        <v>45690</v>
      </c>
      <c r="P184" s="28">
        <v>46443</v>
      </c>
      <c r="Q184" s="29" t="s">
        <v>33</v>
      </c>
      <c r="R184" s="348"/>
      <c r="S184" s="54">
        <v>1</v>
      </c>
      <c r="T184" s="28">
        <f t="shared" si="28"/>
        <v>753</v>
      </c>
      <c r="U184" s="31">
        <v>98627</v>
      </c>
      <c r="V184" s="676" t="s">
        <v>238</v>
      </c>
      <c r="W184" s="191" t="s">
        <v>48</v>
      </c>
      <c r="X184" s="7"/>
      <c r="Y184" s="7"/>
      <c r="Z184" s="7"/>
      <c r="AA184" s="7"/>
      <c r="AB184" s="7"/>
      <c r="AC184" s="7"/>
    </row>
    <row r="185" spans="1:29" ht="26.25">
      <c r="A185" s="19"/>
      <c r="B185" s="367" t="s">
        <v>899</v>
      </c>
      <c r="C185" s="28">
        <f t="shared" si="30"/>
        <v>258.94</v>
      </c>
      <c r="D185" s="28"/>
      <c r="E185" s="28">
        <f>G185+F185</f>
        <v>16.939999999999998</v>
      </c>
      <c r="F185" s="28">
        <f t="shared" si="31"/>
        <v>9.68</v>
      </c>
      <c r="G185" s="28">
        <f t="shared" si="32"/>
        <v>7.26</v>
      </c>
      <c r="H185" s="28">
        <f t="shared" si="34"/>
        <v>242</v>
      </c>
      <c r="I185" s="28">
        <f t="shared" si="33"/>
        <v>155.364</v>
      </c>
      <c r="J185" s="29"/>
      <c r="K185" s="29"/>
      <c r="L185" s="29"/>
      <c r="M185" s="29"/>
      <c r="N185" s="29"/>
      <c r="O185" s="28">
        <v>73969</v>
      </c>
      <c r="P185" s="28">
        <v>74211</v>
      </c>
      <c r="Q185" s="146"/>
      <c r="R185" s="61"/>
      <c r="S185" s="54">
        <v>1</v>
      </c>
      <c r="T185" s="28">
        <f t="shared" si="28"/>
        <v>242</v>
      </c>
      <c r="U185" s="31">
        <v>98556</v>
      </c>
      <c r="V185" s="676" t="s">
        <v>240</v>
      </c>
      <c r="W185" s="191" t="s">
        <v>48</v>
      </c>
      <c r="X185" s="7"/>
      <c r="Y185" s="7"/>
      <c r="Z185" s="7"/>
      <c r="AA185" s="7"/>
      <c r="AB185" s="7"/>
      <c r="AC185" s="7"/>
    </row>
    <row r="186" spans="1:29" ht="26.25">
      <c r="A186" s="19"/>
      <c r="B186" s="27" t="s">
        <v>719</v>
      </c>
      <c r="C186" s="28">
        <f t="shared" si="30"/>
        <v>386.27</v>
      </c>
      <c r="D186" s="28"/>
      <c r="E186" s="28">
        <f t="shared" ref="E186:E193" si="35">F186+G186</f>
        <v>25.27</v>
      </c>
      <c r="F186" s="28">
        <f t="shared" si="31"/>
        <v>14.44</v>
      </c>
      <c r="G186" s="28">
        <f t="shared" si="32"/>
        <v>10.83</v>
      </c>
      <c r="H186" s="28">
        <f t="shared" si="34"/>
        <v>361</v>
      </c>
      <c r="I186" s="28">
        <f t="shared" si="33"/>
        <v>231.76199999999997</v>
      </c>
      <c r="J186" s="29"/>
      <c r="K186" s="29"/>
      <c r="L186" s="29"/>
      <c r="M186" s="29"/>
      <c r="N186" s="29"/>
      <c r="O186" s="28">
        <v>71393</v>
      </c>
      <c r="P186" s="28">
        <v>71754</v>
      </c>
      <c r="Q186" s="30"/>
      <c r="R186" s="351"/>
      <c r="S186" s="54">
        <v>1</v>
      </c>
      <c r="T186" s="28">
        <f t="shared" si="28"/>
        <v>361</v>
      </c>
      <c r="U186" s="31">
        <v>98503</v>
      </c>
      <c r="V186" s="676" t="s">
        <v>241</v>
      </c>
      <c r="W186" s="191" t="s">
        <v>48</v>
      </c>
      <c r="X186" s="7"/>
      <c r="Y186" s="7"/>
      <c r="Z186" s="7"/>
      <c r="AA186" s="7"/>
      <c r="AB186" s="7"/>
      <c r="AC186" s="7"/>
    </row>
    <row r="187" spans="1:29" ht="26.25" customHeight="1">
      <c r="A187" s="19"/>
      <c r="B187" s="802" t="s">
        <v>242</v>
      </c>
      <c r="C187" s="28">
        <f t="shared" si="30"/>
        <v>729.74</v>
      </c>
      <c r="D187" s="28"/>
      <c r="E187" s="28">
        <f t="shared" si="35"/>
        <v>47.74</v>
      </c>
      <c r="F187" s="28">
        <f t="shared" si="31"/>
        <v>27.28</v>
      </c>
      <c r="G187" s="28">
        <f t="shared" si="32"/>
        <v>20.46</v>
      </c>
      <c r="H187" s="28">
        <f t="shared" si="34"/>
        <v>682</v>
      </c>
      <c r="I187" s="28">
        <f t="shared" si="33"/>
        <v>437.84399999999999</v>
      </c>
      <c r="J187" s="29"/>
      <c r="K187" s="29"/>
      <c r="L187" s="29"/>
      <c r="M187" s="29"/>
      <c r="N187" s="29"/>
      <c r="O187" s="28">
        <v>82986</v>
      </c>
      <c r="P187" s="28">
        <v>83668</v>
      </c>
      <c r="Q187" s="146"/>
      <c r="R187" s="61"/>
      <c r="S187" s="54">
        <v>1</v>
      </c>
      <c r="T187" s="28">
        <f t="shared" si="28"/>
        <v>682</v>
      </c>
      <c r="U187" s="31">
        <v>98630</v>
      </c>
      <c r="V187" s="676" t="s">
        <v>243</v>
      </c>
      <c r="W187" s="191" t="s">
        <v>48</v>
      </c>
      <c r="X187" s="7"/>
      <c r="Y187" s="7"/>
      <c r="Z187" s="7"/>
      <c r="AA187" s="7"/>
      <c r="AB187" s="7"/>
      <c r="AC187" s="7"/>
    </row>
    <row r="188" spans="1:29" ht="30" customHeight="1">
      <c r="A188" s="19"/>
      <c r="B188" s="803"/>
      <c r="C188" s="419">
        <f t="shared" si="30"/>
        <v>700.85</v>
      </c>
      <c r="D188" s="28"/>
      <c r="E188" s="28">
        <f t="shared" si="35"/>
        <v>45.849999999999994</v>
      </c>
      <c r="F188" s="28">
        <f t="shared" si="31"/>
        <v>26.2</v>
      </c>
      <c r="G188" s="28">
        <f t="shared" si="32"/>
        <v>19.649999999999999</v>
      </c>
      <c r="H188" s="28">
        <f t="shared" si="34"/>
        <v>655</v>
      </c>
      <c r="I188" s="28">
        <f t="shared" si="33"/>
        <v>420.51</v>
      </c>
      <c r="J188" s="29"/>
      <c r="K188" s="29"/>
      <c r="L188" s="29"/>
      <c r="M188" s="29"/>
      <c r="N188" s="29"/>
      <c r="O188" s="28">
        <v>75629</v>
      </c>
      <c r="P188" s="28">
        <v>76284</v>
      </c>
      <c r="Q188" s="30"/>
      <c r="R188" s="71"/>
      <c r="S188" s="54">
        <v>1</v>
      </c>
      <c r="T188" s="28">
        <f t="shared" si="28"/>
        <v>655</v>
      </c>
      <c r="U188" s="31">
        <v>8265</v>
      </c>
      <c r="V188" s="676" t="s">
        <v>244</v>
      </c>
      <c r="W188" s="191" t="s">
        <v>48</v>
      </c>
      <c r="X188" s="7"/>
      <c r="Y188" s="7"/>
      <c r="Z188" s="7"/>
      <c r="AA188" s="7"/>
      <c r="AB188" s="7"/>
      <c r="AC188" s="7"/>
    </row>
    <row r="189" spans="1:29" ht="25.5">
      <c r="A189" s="19"/>
      <c r="B189" s="27" t="s">
        <v>245</v>
      </c>
      <c r="C189" s="28">
        <f>H189+E189</f>
        <v>0</v>
      </c>
      <c r="D189" s="28"/>
      <c r="E189" s="28">
        <f>F189+G189</f>
        <v>0</v>
      </c>
      <c r="F189" s="28">
        <f>0.04*H189</f>
        <v>0</v>
      </c>
      <c r="G189" s="28">
        <f>0.03*H189</f>
        <v>0</v>
      </c>
      <c r="H189" s="28">
        <f>T189</f>
        <v>0</v>
      </c>
      <c r="I189" s="28">
        <f>0.6*C189</f>
        <v>0</v>
      </c>
      <c r="J189" s="29"/>
      <c r="K189" s="29"/>
      <c r="L189" s="29"/>
      <c r="M189" s="29"/>
      <c r="N189" s="29"/>
      <c r="O189" s="28">
        <v>19403</v>
      </c>
      <c r="P189" s="28">
        <v>19403</v>
      </c>
      <c r="Q189" s="30"/>
      <c r="R189" s="77"/>
      <c r="S189" s="28">
        <v>1</v>
      </c>
      <c r="T189" s="28">
        <f>(P189-O189)*S189</f>
        <v>0</v>
      </c>
      <c r="U189" s="31">
        <v>8726</v>
      </c>
      <c r="V189" s="676" t="s">
        <v>246</v>
      </c>
      <c r="W189" s="191" t="s">
        <v>48</v>
      </c>
      <c r="X189" s="7"/>
      <c r="Y189" s="7"/>
      <c r="Z189" s="7"/>
      <c r="AA189" s="7"/>
      <c r="AB189" s="7"/>
      <c r="AC189" s="7"/>
    </row>
    <row r="190" spans="1:29" ht="26.25">
      <c r="A190" s="19"/>
      <c r="B190" s="27" t="s">
        <v>924</v>
      </c>
      <c r="C190" s="28">
        <f t="shared" si="30"/>
        <v>1516.19</v>
      </c>
      <c r="D190" s="28"/>
      <c r="E190" s="28">
        <f t="shared" si="35"/>
        <v>99.19</v>
      </c>
      <c r="F190" s="28">
        <f t="shared" si="31"/>
        <v>56.68</v>
      </c>
      <c r="G190" s="28">
        <f t="shared" si="32"/>
        <v>42.51</v>
      </c>
      <c r="H190" s="28">
        <f t="shared" si="34"/>
        <v>1417</v>
      </c>
      <c r="I190" s="28">
        <f t="shared" si="33"/>
        <v>909.71400000000006</v>
      </c>
      <c r="J190" s="29"/>
      <c r="K190" s="29"/>
      <c r="L190" s="29"/>
      <c r="M190" s="29"/>
      <c r="N190" s="29"/>
      <c r="O190" s="28">
        <v>132288</v>
      </c>
      <c r="P190" s="28">
        <v>133705</v>
      </c>
      <c r="Q190" s="30"/>
      <c r="R190" s="351"/>
      <c r="S190" s="28">
        <v>1</v>
      </c>
      <c r="T190" s="28">
        <f t="shared" si="28"/>
        <v>1417</v>
      </c>
      <c r="U190" s="31">
        <v>542003</v>
      </c>
      <c r="V190" s="676" t="s">
        <v>247</v>
      </c>
      <c r="W190" s="191" t="s">
        <v>48</v>
      </c>
      <c r="X190" s="7"/>
      <c r="Y190" s="7"/>
      <c r="Z190" s="7"/>
      <c r="AA190" s="7"/>
      <c r="AB190" s="7"/>
      <c r="AC190" s="7"/>
    </row>
    <row r="191" spans="1:29" ht="26.25">
      <c r="A191" s="19"/>
      <c r="B191" s="27" t="s">
        <v>721</v>
      </c>
      <c r="C191" s="28">
        <f t="shared" si="30"/>
        <v>99.51</v>
      </c>
      <c r="D191" s="28"/>
      <c r="E191" s="28">
        <f t="shared" si="35"/>
        <v>6.51</v>
      </c>
      <c r="F191" s="28">
        <f t="shared" si="31"/>
        <v>3.72</v>
      </c>
      <c r="G191" s="28">
        <f t="shared" si="32"/>
        <v>2.79</v>
      </c>
      <c r="H191" s="28">
        <f t="shared" si="34"/>
        <v>93</v>
      </c>
      <c r="I191" s="28">
        <f t="shared" si="33"/>
        <v>59.706000000000003</v>
      </c>
      <c r="J191" s="29"/>
      <c r="K191" s="29"/>
      <c r="L191" s="29"/>
      <c r="M191" s="29"/>
      <c r="N191" s="29" t="s">
        <v>248</v>
      </c>
      <c r="O191" s="28">
        <v>43897</v>
      </c>
      <c r="P191" s="28">
        <v>43990</v>
      </c>
      <c r="Q191" s="29" t="s">
        <v>37</v>
      </c>
      <c r="R191" s="348"/>
      <c r="S191" s="28">
        <v>1</v>
      </c>
      <c r="T191" s="28">
        <f t="shared" si="28"/>
        <v>93</v>
      </c>
      <c r="U191" s="31">
        <v>100986</v>
      </c>
      <c r="V191" s="676" t="s">
        <v>273</v>
      </c>
      <c r="W191" s="191" t="s">
        <v>48</v>
      </c>
      <c r="X191" s="7"/>
      <c r="Y191" s="7"/>
      <c r="Z191" s="7"/>
      <c r="AA191" s="7"/>
      <c r="AB191" s="7"/>
      <c r="AC191" s="7"/>
    </row>
    <row r="192" spans="1:29" ht="26.25">
      <c r="A192" s="19"/>
      <c r="B192" s="27" t="s">
        <v>722</v>
      </c>
      <c r="C192" s="28">
        <f t="shared" si="30"/>
        <v>538.21</v>
      </c>
      <c r="D192" s="28"/>
      <c r="E192" s="28">
        <f t="shared" si="35"/>
        <v>35.21</v>
      </c>
      <c r="F192" s="28">
        <f t="shared" si="31"/>
        <v>20.12</v>
      </c>
      <c r="G192" s="28">
        <f t="shared" si="32"/>
        <v>15.09</v>
      </c>
      <c r="H192" s="28">
        <f t="shared" si="34"/>
        <v>503</v>
      </c>
      <c r="I192" s="28">
        <f t="shared" si="33"/>
        <v>322.92599999999999</v>
      </c>
      <c r="J192" s="29"/>
      <c r="K192" s="29"/>
      <c r="L192" s="29"/>
      <c r="M192" s="29"/>
      <c r="N192" s="29"/>
      <c r="O192" s="28">
        <v>95958</v>
      </c>
      <c r="P192" s="28">
        <v>96461</v>
      </c>
      <c r="Q192" s="29" t="s">
        <v>28</v>
      </c>
      <c r="R192" s="348"/>
      <c r="S192" s="28">
        <v>1</v>
      </c>
      <c r="T192" s="28">
        <f t="shared" si="28"/>
        <v>503</v>
      </c>
      <c r="U192" s="31">
        <v>70386</v>
      </c>
      <c r="V192" s="676" t="s">
        <v>250</v>
      </c>
      <c r="W192" s="191" t="s">
        <v>48</v>
      </c>
      <c r="X192" s="7"/>
      <c r="Y192" s="7"/>
      <c r="Z192" s="7"/>
      <c r="AA192" s="7"/>
      <c r="AB192" s="7"/>
      <c r="AC192" s="7"/>
    </row>
    <row r="193" spans="1:29" ht="26.25">
      <c r="A193" s="19"/>
      <c r="B193" s="27" t="s">
        <v>925</v>
      </c>
      <c r="C193" s="28">
        <f t="shared" si="30"/>
        <v>583.15</v>
      </c>
      <c r="D193" s="28"/>
      <c r="E193" s="28">
        <f t="shared" si="35"/>
        <v>38.15</v>
      </c>
      <c r="F193" s="28">
        <f t="shared" si="31"/>
        <v>21.8</v>
      </c>
      <c r="G193" s="28">
        <f t="shared" si="32"/>
        <v>16.349999999999998</v>
      </c>
      <c r="H193" s="28">
        <f t="shared" si="34"/>
        <v>545</v>
      </c>
      <c r="I193" s="28">
        <f t="shared" si="33"/>
        <v>349.89</v>
      </c>
      <c r="J193" s="29"/>
      <c r="K193" s="29"/>
      <c r="L193" s="29"/>
      <c r="M193" s="29"/>
      <c r="N193" s="29"/>
      <c r="O193" s="28">
        <v>56097</v>
      </c>
      <c r="P193" s="28">
        <v>56642</v>
      </c>
      <c r="Q193" s="29" t="s">
        <v>37</v>
      </c>
      <c r="R193" s="348"/>
      <c r="S193" s="28">
        <v>1</v>
      </c>
      <c r="T193" s="28">
        <f t="shared" si="28"/>
        <v>545</v>
      </c>
      <c r="U193" s="31">
        <v>64591</v>
      </c>
      <c r="V193" s="676" t="s">
        <v>251</v>
      </c>
      <c r="W193" s="191" t="s">
        <v>48</v>
      </c>
      <c r="X193" s="7"/>
      <c r="Y193" s="7"/>
      <c r="Z193" s="7"/>
      <c r="AA193" s="7"/>
      <c r="AB193" s="7"/>
      <c r="AC193" s="7"/>
    </row>
    <row r="194" spans="1:29" ht="26.25">
      <c r="A194" s="19"/>
      <c r="B194" s="62" t="s">
        <v>926</v>
      </c>
      <c r="C194" s="28">
        <f t="shared" si="30"/>
        <v>1916.37</v>
      </c>
      <c r="D194" s="28"/>
      <c r="E194" s="28">
        <f>G194+F194</f>
        <v>125.37</v>
      </c>
      <c r="F194" s="28">
        <f t="shared" si="31"/>
        <v>71.64</v>
      </c>
      <c r="G194" s="28">
        <f t="shared" si="32"/>
        <v>53.73</v>
      </c>
      <c r="H194" s="28">
        <f t="shared" si="34"/>
        <v>1791</v>
      </c>
      <c r="I194" s="28">
        <f t="shared" si="33"/>
        <v>1149.8219999999999</v>
      </c>
      <c r="J194" s="29"/>
      <c r="K194" s="29"/>
      <c r="L194" s="29"/>
      <c r="M194" s="29"/>
      <c r="N194" s="29"/>
      <c r="O194" s="28">
        <v>36603</v>
      </c>
      <c r="P194" s="28">
        <v>38394</v>
      </c>
      <c r="Q194" s="146"/>
      <c r="R194" s="61"/>
      <c r="S194" s="54">
        <v>1</v>
      </c>
      <c r="T194" s="28">
        <f t="shared" si="28"/>
        <v>1791</v>
      </c>
      <c r="U194" s="31">
        <v>87125</v>
      </c>
      <c r="V194" s="676" t="s">
        <v>808</v>
      </c>
      <c r="W194" s="191" t="s">
        <v>48</v>
      </c>
      <c r="X194" s="7"/>
      <c r="Y194" s="7"/>
      <c r="Z194" s="7"/>
      <c r="AA194" s="7"/>
      <c r="AB194" s="7"/>
      <c r="AC194" s="7"/>
    </row>
    <row r="195" spans="1:29" ht="26.25">
      <c r="A195" s="19"/>
      <c r="B195" s="27" t="s">
        <v>725</v>
      </c>
      <c r="C195" s="28">
        <f t="shared" si="30"/>
        <v>1023.99</v>
      </c>
      <c r="D195" s="28"/>
      <c r="E195" s="28">
        <f>G195+F195</f>
        <v>66.989999999999995</v>
      </c>
      <c r="F195" s="28">
        <f t="shared" si="31"/>
        <v>38.28</v>
      </c>
      <c r="G195" s="28">
        <f t="shared" si="32"/>
        <v>28.709999999999997</v>
      </c>
      <c r="H195" s="28">
        <f t="shared" si="34"/>
        <v>957</v>
      </c>
      <c r="I195" s="28">
        <f t="shared" si="33"/>
        <v>614.39400000000001</v>
      </c>
      <c r="J195" s="29"/>
      <c r="K195" s="29"/>
      <c r="L195" s="29"/>
      <c r="M195" s="29"/>
      <c r="N195" s="29"/>
      <c r="O195" s="28">
        <v>73937</v>
      </c>
      <c r="P195" s="28">
        <v>74894</v>
      </c>
      <c r="Q195" s="30"/>
      <c r="R195" s="71"/>
      <c r="S195" s="54">
        <v>1</v>
      </c>
      <c r="T195" s="28">
        <f t="shared" si="28"/>
        <v>957</v>
      </c>
      <c r="U195" s="31">
        <v>87202</v>
      </c>
      <c r="V195" s="676" t="s">
        <v>777</v>
      </c>
      <c r="W195" s="191" t="s">
        <v>48</v>
      </c>
      <c r="X195" s="7"/>
      <c r="Y195" s="7"/>
      <c r="Z195" s="7"/>
      <c r="AA195" s="7"/>
      <c r="AB195" s="7"/>
      <c r="AC195" s="7"/>
    </row>
    <row r="196" spans="1:29" ht="26.25">
      <c r="A196" s="19"/>
      <c r="B196" s="27" t="s">
        <v>726</v>
      </c>
      <c r="C196" s="28">
        <f t="shared" si="30"/>
        <v>277.13</v>
      </c>
      <c r="D196" s="28"/>
      <c r="E196" s="28">
        <f>F196+G196</f>
        <v>18.13</v>
      </c>
      <c r="F196" s="28">
        <f t="shared" si="31"/>
        <v>10.36</v>
      </c>
      <c r="G196" s="28">
        <f t="shared" si="32"/>
        <v>7.77</v>
      </c>
      <c r="H196" s="28">
        <f t="shared" si="34"/>
        <v>259</v>
      </c>
      <c r="I196" s="28">
        <f t="shared" si="33"/>
        <v>166.27799999999999</v>
      </c>
      <c r="J196" s="29"/>
      <c r="K196" s="29"/>
      <c r="L196" s="29"/>
      <c r="M196" s="29"/>
      <c r="N196" s="29"/>
      <c r="O196" s="28">
        <v>32741</v>
      </c>
      <c r="P196" s="28">
        <v>33000</v>
      </c>
      <c r="Q196" s="30"/>
      <c r="R196" s="351"/>
      <c r="S196" s="54">
        <v>1</v>
      </c>
      <c r="T196" s="28">
        <f t="shared" si="28"/>
        <v>259</v>
      </c>
      <c r="U196" s="31">
        <v>99475</v>
      </c>
      <c r="V196" s="676" t="s">
        <v>252</v>
      </c>
      <c r="W196" s="191" t="s">
        <v>48</v>
      </c>
      <c r="X196" s="7"/>
      <c r="Y196" s="7"/>
      <c r="Z196" s="7"/>
      <c r="AA196" s="7"/>
      <c r="AB196" s="7"/>
      <c r="AC196" s="7"/>
    </row>
    <row r="197" spans="1:29" ht="26.25">
      <c r="A197" s="19"/>
      <c r="B197" s="27" t="s">
        <v>727</v>
      </c>
      <c r="C197" s="28">
        <f t="shared" si="30"/>
        <v>286.76</v>
      </c>
      <c r="D197" s="28"/>
      <c r="E197" s="28">
        <f>F197+G197</f>
        <v>18.759999999999998</v>
      </c>
      <c r="F197" s="28">
        <f t="shared" si="31"/>
        <v>10.72</v>
      </c>
      <c r="G197" s="28">
        <f t="shared" si="32"/>
        <v>8.0399999999999991</v>
      </c>
      <c r="H197" s="28">
        <f t="shared" si="34"/>
        <v>268</v>
      </c>
      <c r="I197" s="28">
        <f t="shared" si="33"/>
        <v>172.05599999999998</v>
      </c>
      <c r="J197" s="29"/>
      <c r="K197" s="29"/>
      <c r="L197" s="29"/>
      <c r="M197" s="29"/>
      <c r="N197" s="29"/>
      <c r="O197" s="28">
        <v>56774</v>
      </c>
      <c r="P197" s="28">
        <v>57042</v>
      </c>
      <c r="Q197" s="29"/>
      <c r="R197" s="348"/>
      <c r="S197" s="28">
        <v>1</v>
      </c>
      <c r="T197" s="28">
        <f t="shared" si="28"/>
        <v>268</v>
      </c>
      <c r="U197" s="31">
        <v>100985</v>
      </c>
      <c r="V197" s="676" t="s">
        <v>253</v>
      </c>
      <c r="W197" s="191" t="s">
        <v>48</v>
      </c>
      <c r="X197" s="7"/>
      <c r="Y197" s="7"/>
      <c r="Z197" s="7"/>
      <c r="AA197" s="7"/>
      <c r="AB197" s="7"/>
      <c r="AC197" s="7"/>
    </row>
    <row r="198" spans="1:29" ht="26.25">
      <c r="A198" s="19"/>
      <c r="B198" s="27" t="s">
        <v>727</v>
      </c>
      <c r="C198" s="28">
        <f t="shared" si="30"/>
        <v>125.19</v>
      </c>
      <c r="D198" s="28"/>
      <c r="E198" s="28">
        <f>F198+G198</f>
        <v>8.19</v>
      </c>
      <c r="F198" s="28">
        <f t="shared" si="31"/>
        <v>4.68</v>
      </c>
      <c r="G198" s="28">
        <f t="shared" si="32"/>
        <v>3.51</v>
      </c>
      <c r="H198" s="28">
        <f t="shared" si="34"/>
        <v>117</v>
      </c>
      <c r="I198" s="28">
        <f>0.5*C198</f>
        <v>62.594999999999999</v>
      </c>
      <c r="J198" s="29"/>
      <c r="K198" s="29"/>
      <c r="L198" s="29"/>
      <c r="M198" s="29"/>
      <c r="N198" s="29"/>
      <c r="O198" s="28">
        <v>32731</v>
      </c>
      <c r="P198" s="28">
        <v>32848</v>
      </c>
      <c r="Q198" s="146"/>
      <c r="R198" s="61"/>
      <c r="S198" s="54">
        <v>1</v>
      </c>
      <c r="T198" s="28">
        <f t="shared" si="28"/>
        <v>117</v>
      </c>
      <c r="U198" s="31">
        <v>100839</v>
      </c>
      <c r="V198" s="676" t="s">
        <v>253</v>
      </c>
      <c r="W198" s="191" t="s">
        <v>48</v>
      </c>
      <c r="X198" s="7"/>
      <c r="Y198" s="7"/>
      <c r="Z198" s="7"/>
      <c r="AA198" s="7"/>
      <c r="AB198" s="7"/>
      <c r="AC198" s="7"/>
    </row>
    <row r="199" spans="1:29" ht="26.25">
      <c r="A199" s="19"/>
      <c r="B199" s="27" t="s">
        <v>728</v>
      </c>
      <c r="C199" s="28">
        <f t="shared" si="30"/>
        <v>149.80000000000001</v>
      </c>
      <c r="D199" s="28"/>
      <c r="E199" s="28">
        <f>G199+F199</f>
        <v>9.8000000000000007</v>
      </c>
      <c r="F199" s="28">
        <f t="shared" si="31"/>
        <v>5.6000000000000005</v>
      </c>
      <c r="G199" s="28">
        <f t="shared" si="32"/>
        <v>4.2</v>
      </c>
      <c r="H199" s="28">
        <f t="shared" si="34"/>
        <v>140</v>
      </c>
      <c r="I199" s="28">
        <f t="shared" ref="I199:I223" si="36">0.6*C199</f>
        <v>89.88000000000001</v>
      </c>
      <c r="J199" s="29"/>
      <c r="K199" s="29"/>
      <c r="L199" s="29"/>
      <c r="M199" s="29"/>
      <c r="N199" s="29"/>
      <c r="O199" s="28">
        <v>23297</v>
      </c>
      <c r="P199" s="28">
        <v>23437</v>
      </c>
      <c r="Q199" s="30"/>
      <c r="R199" s="71"/>
      <c r="S199" s="54">
        <v>1</v>
      </c>
      <c r="T199" s="28">
        <f t="shared" si="28"/>
        <v>140</v>
      </c>
      <c r="U199" s="31">
        <v>100976</v>
      </c>
      <c r="V199" s="676" t="s">
        <v>254</v>
      </c>
      <c r="W199" s="191" t="s">
        <v>48</v>
      </c>
      <c r="X199" s="7"/>
      <c r="Y199" s="7"/>
      <c r="Z199" s="7"/>
      <c r="AA199" s="7"/>
      <c r="AB199" s="7"/>
      <c r="AC199" s="7"/>
    </row>
    <row r="200" spans="1:29" ht="29.25" customHeight="1">
      <c r="A200" s="19"/>
      <c r="B200" s="27" t="s">
        <v>255</v>
      </c>
      <c r="C200" s="28">
        <f t="shared" si="30"/>
        <v>222.56</v>
      </c>
      <c r="D200" s="28"/>
      <c r="E200" s="28">
        <f t="shared" ref="E200:E207" si="37">F200+G200</f>
        <v>14.56</v>
      </c>
      <c r="F200" s="28">
        <f t="shared" si="31"/>
        <v>8.32</v>
      </c>
      <c r="G200" s="28">
        <f t="shared" si="32"/>
        <v>6.24</v>
      </c>
      <c r="H200" s="28">
        <f>T200</f>
        <v>208</v>
      </c>
      <c r="I200" s="28">
        <f t="shared" si="36"/>
        <v>133.536</v>
      </c>
      <c r="J200" s="29"/>
      <c r="K200" s="29"/>
      <c r="L200" s="29"/>
      <c r="M200" s="29"/>
      <c r="N200" s="29"/>
      <c r="O200" s="28">
        <v>40803</v>
      </c>
      <c r="P200" s="28">
        <v>41011</v>
      </c>
      <c r="Q200" s="30"/>
      <c r="R200" s="351"/>
      <c r="S200" s="28">
        <v>1</v>
      </c>
      <c r="T200" s="28">
        <f t="shared" si="28"/>
        <v>208</v>
      </c>
      <c r="U200" s="31">
        <v>99491</v>
      </c>
      <c r="V200" s="804" t="s">
        <v>256</v>
      </c>
      <c r="W200" s="191" t="s">
        <v>48</v>
      </c>
      <c r="X200" s="7"/>
      <c r="Y200" s="7"/>
      <c r="Z200" s="7"/>
      <c r="AA200" s="7"/>
      <c r="AB200" s="7"/>
      <c r="AC200" s="7"/>
    </row>
    <row r="201" spans="1:29" ht="25.5">
      <c r="A201" s="19"/>
      <c r="B201" s="27" t="s">
        <v>255</v>
      </c>
      <c r="C201" s="28">
        <f t="shared" si="30"/>
        <v>211.86</v>
      </c>
      <c r="D201" s="28"/>
      <c r="E201" s="28">
        <f t="shared" si="37"/>
        <v>13.86</v>
      </c>
      <c r="F201" s="28">
        <f t="shared" si="31"/>
        <v>7.92</v>
      </c>
      <c r="G201" s="28">
        <f t="shared" si="32"/>
        <v>5.9399999999999995</v>
      </c>
      <c r="H201" s="28">
        <f t="shared" ref="H201:H211" si="38">T201</f>
        <v>198</v>
      </c>
      <c r="I201" s="28">
        <f t="shared" si="36"/>
        <v>127.116</v>
      </c>
      <c r="J201" s="46"/>
      <c r="K201" s="46"/>
      <c r="L201" s="46"/>
      <c r="M201" s="46"/>
      <c r="N201" s="46"/>
      <c r="O201" s="28">
        <v>32795</v>
      </c>
      <c r="P201" s="28">
        <v>32993</v>
      </c>
      <c r="Q201" s="146"/>
      <c r="R201" s="61"/>
      <c r="S201" s="54">
        <v>1</v>
      </c>
      <c r="T201" s="28">
        <f t="shared" si="28"/>
        <v>198</v>
      </c>
      <c r="U201" s="31">
        <v>99470</v>
      </c>
      <c r="V201" s="804"/>
      <c r="W201" s="191" t="s">
        <v>48</v>
      </c>
      <c r="X201" s="7"/>
      <c r="Y201" s="7"/>
      <c r="Z201" s="7"/>
      <c r="AA201" s="7"/>
      <c r="AB201" s="7"/>
      <c r="AC201" s="7"/>
    </row>
    <row r="202" spans="1:29" ht="26.25">
      <c r="A202" s="19"/>
      <c r="B202" s="27" t="s">
        <v>729</v>
      </c>
      <c r="C202" s="28">
        <f t="shared" si="30"/>
        <v>185.11</v>
      </c>
      <c r="D202" s="28"/>
      <c r="E202" s="28">
        <f t="shared" si="37"/>
        <v>12.11</v>
      </c>
      <c r="F202" s="28">
        <f t="shared" si="31"/>
        <v>6.92</v>
      </c>
      <c r="G202" s="28">
        <f t="shared" si="32"/>
        <v>5.1899999999999995</v>
      </c>
      <c r="H202" s="28">
        <f t="shared" si="38"/>
        <v>173</v>
      </c>
      <c r="I202" s="28">
        <f t="shared" si="36"/>
        <v>111.066</v>
      </c>
      <c r="J202" s="29"/>
      <c r="K202" s="29"/>
      <c r="L202" s="29"/>
      <c r="M202" s="29"/>
      <c r="N202" s="29"/>
      <c r="O202" s="28">
        <v>31010</v>
      </c>
      <c r="P202" s="28">
        <v>31183</v>
      </c>
      <c r="Q202" s="30"/>
      <c r="R202" s="351"/>
      <c r="S202" s="54">
        <v>1</v>
      </c>
      <c r="T202" s="28">
        <f t="shared" si="28"/>
        <v>173</v>
      </c>
      <c r="U202" s="31">
        <v>99541</v>
      </c>
      <c r="V202" s="676" t="s">
        <v>809</v>
      </c>
      <c r="W202" s="191" t="s">
        <v>48</v>
      </c>
      <c r="X202" s="7"/>
      <c r="Y202" s="7"/>
      <c r="Z202" s="7"/>
      <c r="AA202" s="7"/>
      <c r="AB202" s="7"/>
      <c r="AC202" s="7"/>
    </row>
    <row r="203" spans="1:29" ht="26.25">
      <c r="A203" s="19"/>
      <c r="B203" s="27" t="s">
        <v>927</v>
      </c>
      <c r="C203" s="28">
        <f>H203+E203</f>
        <v>157.29</v>
      </c>
      <c r="D203" s="28"/>
      <c r="E203" s="28">
        <f t="shared" si="37"/>
        <v>10.29</v>
      </c>
      <c r="F203" s="28">
        <f t="shared" si="31"/>
        <v>5.88</v>
      </c>
      <c r="G203" s="28">
        <f t="shared" si="32"/>
        <v>4.41</v>
      </c>
      <c r="H203" s="28">
        <f t="shared" si="38"/>
        <v>147</v>
      </c>
      <c r="I203" s="28">
        <f>0.6*C203</f>
        <v>94.373999999999995</v>
      </c>
      <c r="J203" s="29"/>
      <c r="K203" s="29"/>
      <c r="L203" s="29"/>
      <c r="M203" s="29"/>
      <c r="N203" s="29"/>
      <c r="O203" s="28">
        <v>29779</v>
      </c>
      <c r="P203" s="28">
        <v>29926</v>
      </c>
      <c r="Q203" s="146"/>
      <c r="R203" s="61"/>
      <c r="S203" s="54">
        <v>1</v>
      </c>
      <c r="T203" s="28">
        <f t="shared" si="28"/>
        <v>147</v>
      </c>
      <c r="U203" s="31">
        <v>99680</v>
      </c>
      <c r="V203" s="676" t="s">
        <v>810</v>
      </c>
      <c r="W203" s="191" t="s">
        <v>48</v>
      </c>
      <c r="X203" s="7"/>
      <c r="Y203" s="7"/>
      <c r="Z203" s="7"/>
      <c r="AA203" s="7"/>
      <c r="AB203" s="7"/>
      <c r="AC203" s="7"/>
    </row>
    <row r="204" spans="1:29" ht="25.5">
      <c r="A204" s="19"/>
      <c r="B204" s="27" t="s">
        <v>904</v>
      </c>
      <c r="C204" s="28">
        <f t="shared" si="30"/>
        <v>319.93</v>
      </c>
      <c r="D204" s="28"/>
      <c r="E204" s="28">
        <f t="shared" si="37"/>
        <v>20.93</v>
      </c>
      <c r="F204" s="28">
        <f t="shared" si="31"/>
        <v>11.96</v>
      </c>
      <c r="G204" s="28">
        <f t="shared" si="32"/>
        <v>8.9699999999999989</v>
      </c>
      <c r="H204" s="28">
        <f t="shared" si="38"/>
        <v>299</v>
      </c>
      <c r="I204" s="28">
        <f t="shared" si="36"/>
        <v>191.958</v>
      </c>
      <c r="J204" s="29"/>
      <c r="K204" s="29"/>
      <c r="L204" s="29"/>
      <c r="M204" s="29"/>
      <c r="N204" s="29"/>
      <c r="O204" s="28">
        <v>64898</v>
      </c>
      <c r="P204" s="28">
        <v>65197</v>
      </c>
      <c r="Q204" s="29" t="s">
        <v>26</v>
      </c>
      <c r="R204" s="348"/>
      <c r="S204" s="54">
        <v>1</v>
      </c>
      <c r="T204" s="28">
        <f t="shared" si="28"/>
        <v>299</v>
      </c>
      <c r="U204" s="31">
        <v>100829</v>
      </c>
      <c r="V204" s="676" t="s">
        <v>258</v>
      </c>
      <c r="W204" s="191" t="s">
        <v>48</v>
      </c>
      <c r="X204" s="7"/>
      <c r="Y204" s="7"/>
      <c r="Z204" s="7"/>
      <c r="AA204" s="7"/>
      <c r="AB204" s="7"/>
      <c r="AC204" s="7"/>
    </row>
    <row r="205" spans="1:29" ht="25.5">
      <c r="A205" s="19"/>
      <c r="B205" s="420" t="s">
        <v>905</v>
      </c>
      <c r="C205" s="28">
        <f t="shared" si="30"/>
        <v>740.44</v>
      </c>
      <c r="D205" s="28"/>
      <c r="E205" s="28">
        <f t="shared" si="37"/>
        <v>48.44</v>
      </c>
      <c r="F205" s="28">
        <f t="shared" si="31"/>
        <v>27.68</v>
      </c>
      <c r="G205" s="28">
        <f t="shared" si="32"/>
        <v>20.759999999999998</v>
      </c>
      <c r="H205" s="28">
        <f t="shared" si="38"/>
        <v>692</v>
      </c>
      <c r="I205" s="28">
        <f t="shared" si="36"/>
        <v>444.26400000000001</v>
      </c>
      <c r="J205" s="29"/>
      <c r="K205" s="29"/>
      <c r="L205" s="29"/>
      <c r="M205" s="29"/>
      <c r="N205" s="29" t="s">
        <v>260</v>
      </c>
      <c r="O205" s="28">
        <v>56483</v>
      </c>
      <c r="P205" s="28">
        <v>57175</v>
      </c>
      <c r="Q205" s="30"/>
      <c r="R205" s="351"/>
      <c r="S205" s="54">
        <v>1</v>
      </c>
      <c r="T205" s="28">
        <f t="shared" si="28"/>
        <v>692</v>
      </c>
      <c r="U205" s="31">
        <v>100980</v>
      </c>
      <c r="V205" s="676" t="s">
        <v>276</v>
      </c>
      <c r="W205" s="191" t="s">
        <v>48</v>
      </c>
      <c r="X205" s="7"/>
      <c r="Y205" s="7"/>
      <c r="Z205" s="7"/>
      <c r="AA205" s="7"/>
      <c r="AB205" s="7"/>
      <c r="AC205" s="7"/>
    </row>
    <row r="206" spans="1:29" ht="41.25">
      <c r="A206" s="19"/>
      <c r="B206" s="27" t="s">
        <v>731</v>
      </c>
      <c r="C206" s="28">
        <f t="shared" si="30"/>
        <v>492.2</v>
      </c>
      <c r="D206" s="28"/>
      <c r="E206" s="28">
        <f t="shared" si="37"/>
        <v>32.200000000000003</v>
      </c>
      <c r="F206" s="28">
        <f t="shared" si="31"/>
        <v>18.400000000000002</v>
      </c>
      <c r="G206" s="28">
        <f t="shared" si="32"/>
        <v>13.799999999999999</v>
      </c>
      <c r="H206" s="28">
        <f t="shared" si="38"/>
        <v>460</v>
      </c>
      <c r="I206" s="28">
        <f t="shared" si="36"/>
        <v>295.32</v>
      </c>
      <c r="J206" s="29"/>
      <c r="K206" s="29"/>
      <c r="L206" s="29"/>
      <c r="M206" s="29"/>
      <c r="N206" s="29"/>
      <c r="O206" s="28">
        <v>44363</v>
      </c>
      <c r="P206" s="28">
        <v>44823</v>
      </c>
      <c r="Q206" s="30"/>
      <c r="R206" s="351"/>
      <c r="S206" s="28">
        <v>1</v>
      </c>
      <c r="T206" s="28">
        <f t="shared" si="28"/>
        <v>460</v>
      </c>
      <c r="U206" s="31">
        <v>2660</v>
      </c>
      <c r="V206" s="676" t="s">
        <v>261</v>
      </c>
      <c r="W206" s="191" t="s">
        <v>48</v>
      </c>
      <c r="X206" s="7"/>
      <c r="Y206" s="7"/>
      <c r="Z206" s="7"/>
      <c r="AA206" s="7"/>
      <c r="AB206" s="7"/>
      <c r="AC206" s="7"/>
    </row>
    <row r="207" spans="1:29" ht="25.5">
      <c r="A207" s="19"/>
      <c r="B207" s="421" t="s">
        <v>732</v>
      </c>
      <c r="C207" s="28">
        <f t="shared" si="30"/>
        <v>322.07</v>
      </c>
      <c r="D207" s="28"/>
      <c r="E207" s="28">
        <f t="shared" si="37"/>
        <v>21.07</v>
      </c>
      <c r="F207" s="28">
        <f t="shared" si="31"/>
        <v>12.040000000000001</v>
      </c>
      <c r="G207" s="28">
        <f t="shared" si="32"/>
        <v>9.0299999999999994</v>
      </c>
      <c r="H207" s="28">
        <f t="shared" si="38"/>
        <v>301</v>
      </c>
      <c r="I207" s="28">
        <f t="shared" si="36"/>
        <v>193.24199999999999</v>
      </c>
      <c r="J207" s="29"/>
      <c r="K207" s="29"/>
      <c r="L207" s="29"/>
      <c r="M207" s="29"/>
      <c r="N207" s="29"/>
      <c r="O207" s="28">
        <v>6795</v>
      </c>
      <c r="P207" s="28">
        <v>7096</v>
      </c>
      <c r="Q207" s="30"/>
      <c r="R207" s="351"/>
      <c r="S207" s="54">
        <v>1</v>
      </c>
      <c r="T207" s="28">
        <f>(P207-O207)*S207</f>
        <v>301</v>
      </c>
      <c r="U207" s="31">
        <v>492770</v>
      </c>
      <c r="V207" s="676" t="s">
        <v>262</v>
      </c>
      <c r="W207" s="191" t="s">
        <v>48</v>
      </c>
      <c r="X207" s="7"/>
      <c r="Y207" s="7"/>
      <c r="Z207" s="7"/>
      <c r="AA207" s="7"/>
      <c r="AB207" s="7"/>
      <c r="AC207" s="7"/>
    </row>
    <row r="208" spans="1:29" ht="29.25" customHeight="1">
      <c r="A208" s="19"/>
      <c r="B208" s="27" t="s">
        <v>733</v>
      </c>
      <c r="C208" s="28">
        <f t="shared" si="30"/>
        <v>0</v>
      </c>
      <c r="D208" s="28"/>
      <c r="E208" s="28">
        <f>G208+F208</f>
        <v>0</v>
      </c>
      <c r="F208" s="28">
        <f t="shared" si="31"/>
        <v>0</v>
      </c>
      <c r="G208" s="28">
        <f t="shared" si="32"/>
        <v>0</v>
      </c>
      <c r="H208" s="28">
        <f t="shared" si="38"/>
        <v>0</v>
      </c>
      <c r="I208" s="28">
        <f t="shared" si="36"/>
        <v>0</v>
      </c>
      <c r="J208" s="29"/>
      <c r="K208" s="29"/>
      <c r="L208" s="29"/>
      <c r="M208" s="29"/>
      <c r="N208" s="29"/>
      <c r="O208" s="28">
        <v>68475</v>
      </c>
      <c r="P208" s="28">
        <v>68475</v>
      </c>
      <c r="Q208" s="30"/>
      <c r="R208" s="71"/>
      <c r="S208" s="54">
        <v>1</v>
      </c>
      <c r="T208" s="28">
        <f t="shared" si="28"/>
        <v>0</v>
      </c>
      <c r="U208" s="31">
        <v>492735</v>
      </c>
      <c r="V208" s="676" t="s">
        <v>263</v>
      </c>
      <c r="W208" s="191" t="s">
        <v>48</v>
      </c>
      <c r="X208" s="7"/>
      <c r="Y208" s="7"/>
      <c r="Z208" s="7"/>
      <c r="AA208" s="7"/>
      <c r="AB208" s="7"/>
      <c r="AC208" s="7"/>
    </row>
    <row r="209" spans="1:29" ht="30" customHeight="1">
      <c r="A209" s="19"/>
      <c r="B209" s="27" t="s">
        <v>734</v>
      </c>
      <c r="C209" s="28">
        <f t="shared" si="30"/>
        <v>317.79000000000002</v>
      </c>
      <c r="D209" s="28"/>
      <c r="E209" s="28">
        <f>F209++G209</f>
        <v>20.79</v>
      </c>
      <c r="F209" s="28">
        <f t="shared" si="31"/>
        <v>11.88</v>
      </c>
      <c r="G209" s="28">
        <f t="shared" si="32"/>
        <v>8.91</v>
      </c>
      <c r="H209" s="28">
        <f t="shared" si="38"/>
        <v>297</v>
      </c>
      <c r="I209" s="28">
        <f t="shared" si="36"/>
        <v>190.67400000000001</v>
      </c>
      <c r="J209" s="29"/>
      <c r="K209" s="29"/>
      <c r="L209" s="29"/>
      <c r="M209" s="29"/>
      <c r="N209" s="29"/>
      <c r="O209" s="28">
        <v>2190</v>
      </c>
      <c r="P209" s="28">
        <v>2487</v>
      </c>
      <c r="Q209" s="29" t="s">
        <v>28</v>
      </c>
      <c r="R209" s="348"/>
      <c r="S209" s="54">
        <v>1</v>
      </c>
      <c r="T209" s="28">
        <f t="shared" si="28"/>
        <v>297</v>
      </c>
      <c r="U209" s="31">
        <v>77006572</v>
      </c>
      <c r="V209" s="676" t="s">
        <v>264</v>
      </c>
      <c r="W209" s="191" t="s">
        <v>48</v>
      </c>
      <c r="X209" s="7"/>
      <c r="Y209" s="7"/>
      <c r="Z209" s="7"/>
      <c r="AA209" s="7"/>
      <c r="AB209" s="7"/>
      <c r="AC209" s="7"/>
    </row>
    <row r="210" spans="1:29" ht="26.25">
      <c r="A210" s="19"/>
      <c r="B210" s="27" t="s">
        <v>735</v>
      </c>
      <c r="C210" s="28">
        <f t="shared" si="30"/>
        <v>423.72</v>
      </c>
      <c r="D210" s="28"/>
      <c r="E210" s="28">
        <f>F210+G210</f>
        <v>27.72</v>
      </c>
      <c r="F210" s="28">
        <f t="shared" si="31"/>
        <v>15.84</v>
      </c>
      <c r="G210" s="28">
        <f t="shared" si="32"/>
        <v>11.879999999999999</v>
      </c>
      <c r="H210" s="28">
        <f t="shared" si="38"/>
        <v>396</v>
      </c>
      <c r="I210" s="28">
        <f t="shared" si="36"/>
        <v>254.232</v>
      </c>
      <c r="J210" s="29"/>
      <c r="K210" s="29"/>
      <c r="L210" s="29"/>
      <c r="M210" s="29"/>
      <c r="N210" s="29"/>
      <c r="O210" s="28">
        <v>86100</v>
      </c>
      <c r="P210" s="28">
        <v>86496</v>
      </c>
      <c r="Q210" s="29"/>
      <c r="R210" s="348"/>
      <c r="S210" s="28">
        <v>1</v>
      </c>
      <c r="T210" s="28">
        <f t="shared" si="28"/>
        <v>396</v>
      </c>
      <c r="U210" s="31">
        <v>503440</v>
      </c>
      <c r="V210" s="676" t="s">
        <v>265</v>
      </c>
      <c r="W210" s="191" t="s">
        <v>48</v>
      </c>
      <c r="X210" s="7"/>
      <c r="Y210" s="7"/>
      <c r="Z210" s="7"/>
      <c r="AA210" s="7"/>
      <c r="AB210" s="7"/>
      <c r="AC210" s="7"/>
    </row>
    <row r="211" spans="1:29" ht="26.25">
      <c r="A211" s="19"/>
      <c r="B211" s="27" t="s">
        <v>736</v>
      </c>
      <c r="C211" s="28">
        <f t="shared" si="30"/>
        <v>192.6</v>
      </c>
      <c r="D211" s="28"/>
      <c r="E211" s="28">
        <f>F211+G211</f>
        <v>12.6</v>
      </c>
      <c r="F211" s="28">
        <f t="shared" si="31"/>
        <v>7.2</v>
      </c>
      <c r="G211" s="28">
        <f t="shared" si="32"/>
        <v>5.3999999999999995</v>
      </c>
      <c r="H211" s="28">
        <f t="shared" si="38"/>
        <v>180</v>
      </c>
      <c r="I211" s="28">
        <f t="shared" si="36"/>
        <v>115.55999999999999</v>
      </c>
      <c r="J211" s="46"/>
      <c r="K211" s="46"/>
      <c r="L211" s="46"/>
      <c r="M211" s="46"/>
      <c r="N211" s="46"/>
      <c r="O211" s="28">
        <v>53708</v>
      </c>
      <c r="P211" s="28">
        <v>53888</v>
      </c>
      <c r="Q211" s="146"/>
      <c r="R211" s="61"/>
      <c r="S211" s="54">
        <v>1</v>
      </c>
      <c r="T211" s="28">
        <f t="shared" si="28"/>
        <v>180</v>
      </c>
      <c r="U211" s="31">
        <v>492892</v>
      </c>
      <c r="V211" s="805" t="s">
        <v>266</v>
      </c>
      <c r="W211" s="191" t="s">
        <v>48</v>
      </c>
      <c r="X211" s="7"/>
      <c r="Y211" s="7"/>
      <c r="Z211" s="7"/>
      <c r="AA211" s="7"/>
      <c r="AB211" s="7"/>
      <c r="AC211" s="7"/>
    </row>
    <row r="212" spans="1:29" ht="30" customHeight="1">
      <c r="A212" s="19"/>
      <c r="B212" s="27" t="s">
        <v>737</v>
      </c>
      <c r="C212" s="28">
        <f t="shared" si="30"/>
        <v>177.62</v>
      </c>
      <c r="D212" s="28"/>
      <c r="E212" s="28">
        <f>F212+G212</f>
        <v>11.620000000000001</v>
      </c>
      <c r="F212" s="28">
        <f t="shared" si="31"/>
        <v>6.6400000000000006</v>
      </c>
      <c r="G212" s="28">
        <f t="shared" si="32"/>
        <v>4.9799999999999995</v>
      </c>
      <c r="H212" s="28">
        <f>T212</f>
        <v>166</v>
      </c>
      <c r="I212" s="28">
        <f t="shared" si="36"/>
        <v>106.572</v>
      </c>
      <c r="J212" s="29"/>
      <c r="K212" s="29"/>
      <c r="L212" s="29"/>
      <c r="M212" s="29"/>
      <c r="N212" s="29"/>
      <c r="O212" s="28">
        <v>35791</v>
      </c>
      <c r="P212" s="28">
        <v>35957</v>
      </c>
      <c r="Q212" s="30"/>
      <c r="R212" s="351"/>
      <c r="S212" s="28">
        <v>1</v>
      </c>
      <c r="T212" s="28">
        <f t="shared" si="28"/>
        <v>166</v>
      </c>
      <c r="U212" s="31">
        <v>503014</v>
      </c>
      <c r="V212" s="805"/>
      <c r="W212" s="191" t="s">
        <v>48</v>
      </c>
      <c r="X212" s="7"/>
      <c r="Y212" s="7"/>
      <c r="Z212" s="7"/>
      <c r="AA212" s="7"/>
      <c r="AB212" s="7"/>
      <c r="AC212" s="7"/>
    </row>
    <row r="213" spans="1:29" ht="26.25">
      <c r="A213" s="19"/>
      <c r="B213" s="413" t="s">
        <v>738</v>
      </c>
      <c r="C213" s="414">
        <f t="shared" si="30"/>
        <v>380.92</v>
      </c>
      <c r="D213" s="414"/>
      <c r="E213" s="414">
        <f>G213+F213</f>
        <v>24.92</v>
      </c>
      <c r="F213" s="414">
        <f t="shared" si="31"/>
        <v>14.24</v>
      </c>
      <c r="G213" s="414">
        <f t="shared" si="32"/>
        <v>10.68</v>
      </c>
      <c r="H213" s="414">
        <f t="shared" ref="H213:H271" si="39">T213</f>
        <v>356</v>
      </c>
      <c r="I213" s="414">
        <f t="shared" si="36"/>
        <v>228.55199999999999</v>
      </c>
      <c r="J213" s="415"/>
      <c r="K213" s="415"/>
      <c r="L213" s="415"/>
      <c r="M213" s="415"/>
      <c r="N213" s="415"/>
      <c r="O213" s="414">
        <v>34238</v>
      </c>
      <c r="P213" s="414">
        <v>34594</v>
      </c>
      <c r="Q213" s="422"/>
      <c r="R213" s="423"/>
      <c r="S213" s="418">
        <v>1</v>
      </c>
      <c r="T213" s="414">
        <f t="shared" si="28"/>
        <v>356</v>
      </c>
      <c r="U213" s="31">
        <v>88031383</v>
      </c>
      <c r="V213" s="676" t="s">
        <v>267</v>
      </c>
      <c r="W213" s="191" t="s">
        <v>48</v>
      </c>
      <c r="X213" s="7"/>
      <c r="Y213" s="7"/>
      <c r="Z213" s="7"/>
      <c r="AA213" s="7"/>
      <c r="AB213" s="7"/>
      <c r="AC213" s="7"/>
    </row>
    <row r="214" spans="1:29" ht="25.5">
      <c r="A214" s="19"/>
      <c r="B214" s="27" t="s">
        <v>268</v>
      </c>
      <c r="C214" s="28">
        <f t="shared" si="30"/>
        <v>156.22</v>
      </c>
      <c r="D214" s="28"/>
      <c r="E214" s="28">
        <f>F214+G214</f>
        <v>10.219999999999999</v>
      </c>
      <c r="F214" s="28">
        <f t="shared" si="31"/>
        <v>5.84</v>
      </c>
      <c r="G214" s="28">
        <f t="shared" si="32"/>
        <v>4.38</v>
      </c>
      <c r="H214" s="28">
        <f t="shared" si="39"/>
        <v>146</v>
      </c>
      <c r="I214" s="28">
        <f t="shared" si="36"/>
        <v>93.731999999999999</v>
      </c>
      <c r="J214" s="29"/>
      <c r="K214" s="29"/>
      <c r="L214" s="29"/>
      <c r="M214" s="29"/>
      <c r="N214" s="29"/>
      <c r="O214" s="28">
        <v>28441</v>
      </c>
      <c r="P214" s="28">
        <v>28587</v>
      </c>
      <c r="Q214" s="30"/>
      <c r="R214" s="351"/>
      <c r="S214" s="28">
        <v>1</v>
      </c>
      <c r="T214" s="28">
        <f t="shared" si="28"/>
        <v>146</v>
      </c>
      <c r="U214" s="31">
        <v>16596</v>
      </c>
      <c r="V214" s="676" t="s">
        <v>563</v>
      </c>
      <c r="W214" s="191" t="s">
        <v>48</v>
      </c>
      <c r="X214" s="7"/>
      <c r="Y214" s="7"/>
      <c r="Z214" s="7"/>
      <c r="AA214" s="7"/>
      <c r="AB214" s="7"/>
      <c r="AC214" s="7"/>
    </row>
    <row r="215" spans="1:29" ht="26.25">
      <c r="A215" s="19"/>
      <c r="B215" s="27" t="s">
        <v>739</v>
      </c>
      <c r="C215" s="28">
        <f t="shared" si="30"/>
        <v>188.32</v>
      </c>
      <c r="D215" s="28"/>
      <c r="E215" s="28">
        <f>F215+G215</f>
        <v>12.32</v>
      </c>
      <c r="F215" s="28">
        <f t="shared" si="31"/>
        <v>7.04</v>
      </c>
      <c r="G215" s="28">
        <f t="shared" si="32"/>
        <v>5.2799999999999994</v>
      </c>
      <c r="H215" s="28">
        <f t="shared" si="39"/>
        <v>176</v>
      </c>
      <c r="I215" s="28">
        <f t="shared" si="36"/>
        <v>112.99199999999999</v>
      </c>
      <c r="J215" s="29"/>
      <c r="K215" s="29"/>
      <c r="L215" s="29"/>
      <c r="M215" s="29"/>
      <c r="N215" s="29"/>
      <c r="O215" s="28">
        <v>41304</v>
      </c>
      <c r="P215" s="28">
        <v>41480</v>
      </c>
      <c r="Q215" s="29"/>
      <c r="R215" s="348"/>
      <c r="S215" s="28">
        <v>1</v>
      </c>
      <c r="T215" s="28">
        <f t="shared" si="28"/>
        <v>176</v>
      </c>
      <c r="U215" s="31">
        <v>88031436</v>
      </c>
      <c r="V215" s="676" t="s">
        <v>269</v>
      </c>
      <c r="W215" s="191" t="s">
        <v>48</v>
      </c>
      <c r="X215" s="7"/>
      <c r="Y215" s="7"/>
      <c r="Z215" s="7"/>
      <c r="AA215" s="7"/>
      <c r="AB215" s="7"/>
      <c r="AC215" s="7"/>
    </row>
    <row r="216" spans="1:29" ht="35.25" customHeight="1">
      <c r="A216" s="19"/>
      <c r="B216" s="27" t="s">
        <v>740</v>
      </c>
      <c r="C216" s="28">
        <f t="shared" si="30"/>
        <v>852.79</v>
      </c>
      <c r="D216" s="28"/>
      <c r="E216" s="28">
        <f>F216+G216</f>
        <v>55.79</v>
      </c>
      <c r="F216" s="28">
        <f t="shared" si="31"/>
        <v>31.88</v>
      </c>
      <c r="G216" s="28">
        <f t="shared" si="32"/>
        <v>23.91</v>
      </c>
      <c r="H216" s="28">
        <f t="shared" si="39"/>
        <v>797</v>
      </c>
      <c r="I216" s="28">
        <f t="shared" si="36"/>
        <v>511.67399999999998</v>
      </c>
      <c r="J216" s="29"/>
      <c r="K216" s="29"/>
      <c r="L216" s="29"/>
      <c r="M216" s="29"/>
      <c r="N216" s="29"/>
      <c r="O216" s="424">
        <v>57808</v>
      </c>
      <c r="P216" s="424">
        <v>58605</v>
      </c>
      <c r="Q216" s="30"/>
      <c r="R216" s="351"/>
      <c r="S216" s="28">
        <v>1</v>
      </c>
      <c r="T216" s="28">
        <f t="shared" si="28"/>
        <v>797</v>
      </c>
      <c r="U216" s="31">
        <v>88031413</v>
      </c>
      <c r="V216" s="676" t="s">
        <v>778</v>
      </c>
      <c r="W216" s="191" t="s">
        <v>48</v>
      </c>
      <c r="X216" s="7"/>
      <c r="Y216" s="7"/>
      <c r="Z216" s="7"/>
      <c r="AA216" s="7"/>
      <c r="AB216" s="7"/>
      <c r="AC216" s="7"/>
    </row>
    <row r="217" spans="1:29" ht="25.5">
      <c r="A217" s="19"/>
      <c r="B217" s="27" t="s">
        <v>270</v>
      </c>
      <c r="C217" s="349">
        <f t="shared" si="30"/>
        <v>2077.94</v>
      </c>
      <c r="D217" s="349"/>
      <c r="E217" s="349">
        <f>F217+G217</f>
        <v>135.94</v>
      </c>
      <c r="F217" s="349">
        <f t="shared" si="31"/>
        <v>77.680000000000007</v>
      </c>
      <c r="G217" s="349">
        <f t="shared" si="32"/>
        <v>58.26</v>
      </c>
      <c r="H217" s="349">
        <f t="shared" si="39"/>
        <v>1942</v>
      </c>
      <c r="I217" s="349"/>
      <c r="J217" s="29"/>
      <c r="K217" s="29"/>
      <c r="L217" s="29"/>
      <c r="M217" s="29"/>
      <c r="N217" s="29" t="s">
        <v>271</v>
      </c>
      <c r="O217" s="349">
        <v>29100</v>
      </c>
      <c r="P217" s="349">
        <v>31042</v>
      </c>
      <c r="Q217" s="146"/>
      <c r="R217" s="425"/>
      <c r="S217" s="349">
        <v>1</v>
      </c>
      <c r="T217" s="28">
        <f t="shared" si="28"/>
        <v>1942</v>
      </c>
      <c r="U217" s="408"/>
      <c r="V217" s="676" t="s">
        <v>272</v>
      </c>
      <c r="W217" s="14" t="s">
        <v>82</v>
      </c>
      <c r="X217" s="7"/>
      <c r="Y217" s="7"/>
      <c r="Z217" s="7"/>
      <c r="AA217" s="7"/>
      <c r="AB217" s="7"/>
      <c r="AC217" s="7"/>
    </row>
    <row r="218" spans="1:29" ht="33.75" customHeight="1">
      <c r="A218" s="19"/>
      <c r="B218" s="27" t="s">
        <v>741</v>
      </c>
      <c r="C218" s="28">
        <f t="shared" si="30"/>
        <v>0</v>
      </c>
      <c r="D218" s="28"/>
      <c r="E218" s="28">
        <f>G218+F218</f>
        <v>0</v>
      </c>
      <c r="F218" s="28">
        <f t="shared" si="31"/>
        <v>0</v>
      </c>
      <c r="G218" s="28">
        <f t="shared" si="32"/>
        <v>0</v>
      </c>
      <c r="H218" s="28">
        <f t="shared" si="39"/>
        <v>0</v>
      </c>
      <c r="I218" s="28">
        <f t="shared" si="36"/>
        <v>0</v>
      </c>
      <c r="J218" s="29"/>
      <c r="K218" s="29"/>
      <c r="L218" s="29"/>
      <c r="M218" s="29"/>
      <c r="N218" s="29"/>
      <c r="O218" s="28">
        <v>38589</v>
      </c>
      <c r="P218" s="28">
        <v>38589</v>
      </c>
      <c r="Q218" s="30"/>
      <c r="R218" s="71"/>
      <c r="S218" s="54">
        <v>1</v>
      </c>
      <c r="T218" s="28">
        <f t="shared" si="28"/>
        <v>0</v>
      </c>
      <c r="U218" s="31">
        <v>4369</v>
      </c>
      <c r="V218" s="676" t="s">
        <v>273</v>
      </c>
      <c r="W218" s="14" t="s">
        <v>48</v>
      </c>
      <c r="X218" s="7"/>
      <c r="Y218" s="7"/>
      <c r="Z218" s="7"/>
      <c r="AA218" s="7"/>
      <c r="AB218" s="7"/>
      <c r="AC218" s="7"/>
    </row>
    <row r="219" spans="1:29" s="198" customFormat="1" ht="24.75" customHeight="1">
      <c r="A219" s="196"/>
      <c r="B219" s="27" t="s">
        <v>755</v>
      </c>
      <c r="C219" s="419">
        <f t="shared" si="30"/>
        <v>0</v>
      </c>
      <c r="D219" s="28"/>
      <c r="E219" s="28">
        <f>F219+G219</f>
        <v>0</v>
      </c>
      <c r="F219" s="28">
        <f t="shared" si="31"/>
        <v>0</v>
      </c>
      <c r="G219" s="28">
        <f t="shared" si="32"/>
        <v>0</v>
      </c>
      <c r="H219" s="28">
        <f t="shared" si="39"/>
        <v>0</v>
      </c>
      <c r="I219" s="28">
        <f t="shared" si="36"/>
        <v>0</v>
      </c>
      <c r="J219" s="29"/>
      <c r="K219" s="29"/>
      <c r="L219" s="29"/>
      <c r="M219" s="29"/>
      <c r="N219" s="29"/>
      <c r="O219" s="28">
        <v>36462</v>
      </c>
      <c r="P219" s="28">
        <v>36462</v>
      </c>
      <c r="Q219" s="30"/>
      <c r="R219" s="71"/>
      <c r="S219" s="54">
        <v>1</v>
      </c>
      <c r="T219" s="28">
        <f t="shared" si="28"/>
        <v>0</v>
      </c>
      <c r="U219" s="31">
        <v>1400</v>
      </c>
      <c r="V219" s="676" t="s">
        <v>274</v>
      </c>
      <c r="W219" s="14" t="s">
        <v>48</v>
      </c>
      <c r="X219" s="197"/>
      <c r="Y219" s="197"/>
      <c r="Z219" s="197"/>
      <c r="AA219" s="197"/>
      <c r="AB219" s="197"/>
      <c r="AC219" s="197"/>
    </row>
    <row r="220" spans="1:29" ht="26.25">
      <c r="A220" s="19"/>
      <c r="B220" s="27" t="s">
        <v>742</v>
      </c>
      <c r="C220" s="28">
        <f t="shared" si="30"/>
        <v>0</v>
      </c>
      <c r="D220" s="28"/>
      <c r="E220" s="28">
        <f>G220+F220</f>
        <v>0</v>
      </c>
      <c r="F220" s="28">
        <f t="shared" si="31"/>
        <v>0</v>
      </c>
      <c r="G220" s="28">
        <f t="shared" si="32"/>
        <v>0</v>
      </c>
      <c r="H220" s="28">
        <f t="shared" si="39"/>
        <v>0</v>
      </c>
      <c r="I220" s="28">
        <f t="shared" si="36"/>
        <v>0</v>
      </c>
      <c r="J220" s="29"/>
      <c r="K220" s="29"/>
      <c r="L220" s="29"/>
      <c r="M220" s="29"/>
      <c r="N220" s="29"/>
      <c r="O220" s="28">
        <v>43342</v>
      </c>
      <c r="P220" s="28">
        <v>43342</v>
      </c>
      <c r="Q220" s="146"/>
      <c r="R220" s="61"/>
      <c r="S220" s="54">
        <v>1</v>
      </c>
      <c r="T220" s="28">
        <f t="shared" si="28"/>
        <v>0</v>
      </c>
      <c r="U220" s="31">
        <v>2328</v>
      </c>
      <c r="V220" s="676" t="s">
        <v>275</v>
      </c>
      <c r="W220" s="14" t="s">
        <v>48</v>
      </c>
      <c r="X220" s="7"/>
      <c r="Y220" s="7"/>
      <c r="Z220" s="7"/>
      <c r="AA220" s="7"/>
      <c r="AB220" s="7"/>
      <c r="AC220" s="7"/>
    </row>
    <row r="221" spans="1:29" ht="26.25">
      <c r="A221" s="19"/>
      <c r="B221" s="27" t="s">
        <v>743</v>
      </c>
      <c r="C221" s="419">
        <f t="shared" si="30"/>
        <v>0</v>
      </c>
      <c r="D221" s="28"/>
      <c r="E221" s="28">
        <f t="shared" ref="E221:E230" si="40">F221+G221</f>
        <v>0</v>
      </c>
      <c r="F221" s="28">
        <f t="shared" si="31"/>
        <v>0</v>
      </c>
      <c r="G221" s="28">
        <f t="shared" si="32"/>
        <v>0</v>
      </c>
      <c r="H221" s="28">
        <f t="shared" si="39"/>
        <v>0</v>
      </c>
      <c r="I221" s="28">
        <f t="shared" si="36"/>
        <v>0</v>
      </c>
      <c r="J221" s="29"/>
      <c r="K221" s="29"/>
      <c r="L221" s="29"/>
      <c r="M221" s="29"/>
      <c r="N221" s="29"/>
      <c r="O221" s="28">
        <v>77142</v>
      </c>
      <c r="P221" s="28">
        <v>77142</v>
      </c>
      <c r="Q221" s="30"/>
      <c r="R221" s="71"/>
      <c r="S221" s="54">
        <v>1</v>
      </c>
      <c r="T221" s="28">
        <f t="shared" si="28"/>
        <v>0</v>
      </c>
      <c r="U221" s="31">
        <v>6910</v>
      </c>
      <c r="V221" s="676" t="s">
        <v>276</v>
      </c>
      <c r="W221" s="14" t="s">
        <v>48</v>
      </c>
      <c r="X221" s="7"/>
      <c r="Y221" s="7"/>
      <c r="Z221" s="7"/>
      <c r="AA221" s="7"/>
      <c r="AB221" s="7"/>
      <c r="AC221" s="7"/>
    </row>
    <row r="222" spans="1:29" ht="25.5">
      <c r="A222" s="19"/>
      <c r="B222" s="420" t="s">
        <v>744</v>
      </c>
      <c r="C222" s="28">
        <f t="shared" si="30"/>
        <v>248.24</v>
      </c>
      <c r="D222" s="28"/>
      <c r="E222" s="28">
        <f t="shared" si="40"/>
        <v>16.239999999999998</v>
      </c>
      <c r="F222" s="28">
        <f t="shared" si="31"/>
        <v>9.2799999999999994</v>
      </c>
      <c r="G222" s="28">
        <f t="shared" si="32"/>
        <v>6.96</v>
      </c>
      <c r="H222" s="28">
        <f t="shared" si="39"/>
        <v>232</v>
      </c>
      <c r="I222" s="28">
        <f t="shared" si="36"/>
        <v>148.94399999999999</v>
      </c>
      <c r="J222" s="29"/>
      <c r="K222" s="29"/>
      <c r="L222" s="29"/>
      <c r="M222" s="29"/>
      <c r="N222" s="29"/>
      <c r="O222" s="28">
        <v>7574</v>
      </c>
      <c r="P222" s="28">
        <v>7806</v>
      </c>
      <c r="Q222" s="30"/>
      <c r="R222" s="351"/>
      <c r="S222" s="54">
        <v>1</v>
      </c>
      <c r="T222" s="28">
        <f t="shared" si="28"/>
        <v>232</v>
      </c>
      <c r="U222" s="31">
        <v>6295</v>
      </c>
      <c r="V222" s="676" t="s">
        <v>277</v>
      </c>
      <c r="W222" s="14" t="s">
        <v>48</v>
      </c>
      <c r="X222" s="7"/>
      <c r="Y222" s="7"/>
      <c r="Z222" s="7"/>
      <c r="AA222" s="7"/>
      <c r="AB222" s="7"/>
      <c r="AC222" s="7"/>
    </row>
    <row r="223" spans="1:29" ht="26.25">
      <c r="A223" s="19"/>
      <c r="B223" s="367" t="s">
        <v>278</v>
      </c>
      <c r="C223" s="28">
        <f t="shared" si="30"/>
        <v>459.03</v>
      </c>
      <c r="D223" s="28"/>
      <c r="E223" s="28">
        <f t="shared" si="40"/>
        <v>30.03</v>
      </c>
      <c r="F223" s="28">
        <f t="shared" si="31"/>
        <v>17.16</v>
      </c>
      <c r="G223" s="28">
        <f t="shared" si="32"/>
        <v>12.87</v>
      </c>
      <c r="H223" s="28">
        <f t="shared" si="39"/>
        <v>429</v>
      </c>
      <c r="I223" s="28">
        <f t="shared" si="36"/>
        <v>275.41799999999995</v>
      </c>
      <c r="J223" s="29"/>
      <c r="K223" s="29"/>
      <c r="L223" s="29"/>
      <c r="M223" s="29"/>
      <c r="N223" s="29"/>
      <c r="O223" s="28">
        <v>22857</v>
      </c>
      <c r="P223" s="28">
        <v>23286</v>
      </c>
      <c r="Q223" s="146"/>
      <c r="R223" s="61"/>
      <c r="S223" s="54">
        <v>1</v>
      </c>
      <c r="T223" s="28">
        <f t="shared" si="28"/>
        <v>429</v>
      </c>
      <c r="U223" s="31">
        <v>6549</v>
      </c>
      <c r="V223" s="676" t="s">
        <v>279</v>
      </c>
      <c r="W223" s="14" t="s">
        <v>48</v>
      </c>
      <c r="X223" s="7"/>
      <c r="Y223" s="7"/>
      <c r="Z223" s="7"/>
      <c r="AA223" s="7"/>
      <c r="AB223" s="7"/>
      <c r="AC223" s="7"/>
    </row>
    <row r="224" spans="1:29" ht="26.25">
      <c r="A224" s="19"/>
      <c r="B224" s="27" t="s">
        <v>745</v>
      </c>
      <c r="C224" s="28">
        <f t="shared" si="30"/>
        <v>201.16</v>
      </c>
      <c r="D224" s="28"/>
      <c r="E224" s="28">
        <f t="shared" si="40"/>
        <v>13.16</v>
      </c>
      <c r="F224" s="28">
        <f t="shared" si="31"/>
        <v>7.5200000000000005</v>
      </c>
      <c r="G224" s="28">
        <f t="shared" si="32"/>
        <v>5.64</v>
      </c>
      <c r="H224" s="28">
        <f t="shared" si="39"/>
        <v>188</v>
      </c>
      <c r="I224" s="28">
        <f>0.5*C224</f>
        <v>100.58</v>
      </c>
      <c r="J224" s="29"/>
      <c r="K224" s="29"/>
      <c r="L224" s="29"/>
      <c r="M224" s="29"/>
      <c r="N224" s="29"/>
      <c r="O224" s="28">
        <v>6690</v>
      </c>
      <c r="P224" s="28">
        <v>6878</v>
      </c>
      <c r="Q224" s="30"/>
      <c r="R224" s="351"/>
      <c r="S224" s="28">
        <v>1</v>
      </c>
      <c r="T224" s="28">
        <f t="shared" si="28"/>
        <v>188</v>
      </c>
      <c r="U224" s="31">
        <v>4924</v>
      </c>
      <c r="V224" s="676" t="s">
        <v>280</v>
      </c>
      <c r="W224" s="14" t="s">
        <v>48</v>
      </c>
      <c r="X224" s="7"/>
      <c r="Y224" s="7"/>
      <c r="Z224" s="7"/>
      <c r="AA224" s="7"/>
      <c r="AB224" s="7"/>
      <c r="AC224" s="7"/>
    </row>
    <row r="225" spans="1:29" ht="25.5">
      <c r="A225" s="19"/>
      <c r="B225" s="27" t="s">
        <v>281</v>
      </c>
      <c r="C225" s="28">
        <f t="shared" si="30"/>
        <v>181.9</v>
      </c>
      <c r="D225" s="28"/>
      <c r="E225" s="28">
        <f t="shared" si="40"/>
        <v>11.899999999999999</v>
      </c>
      <c r="F225" s="28">
        <f t="shared" si="31"/>
        <v>6.8</v>
      </c>
      <c r="G225" s="28">
        <f t="shared" si="32"/>
        <v>5.0999999999999996</v>
      </c>
      <c r="H225" s="28">
        <f t="shared" si="39"/>
        <v>170</v>
      </c>
      <c r="I225" s="28">
        <f>0.5*C225</f>
        <v>90.95</v>
      </c>
      <c r="J225" s="29"/>
      <c r="K225" s="29"/>
      <c r="L225" s="29"/>
      <c r="M225" s="29"/>
      <c r="N225" s="29"/>
      <c r="O225" s="28">
        <v>37505</v>
      </c>
      <c r="P225" s="28">
        <v>37675</v>
      </c>
      <c r="Q225" s="30"/>
      <c r="R225" s="351"/>
      <c r="S225" s="28">
        <v>1</v>
      </c>
      <c r="T225" s="28">
        <f t="shared" si="28"/>
        <v>170</v>
      </c>
      <c r="U225" s="31">
        <v>4762</v>
      </c>
      <c r="V225" s="676" t="s">
        <v>282</v>
      </c>
      <c r="W225" s="14" t="s">
        <v>48</v>
      </c>
      <c r="X225" s="7"/>
      <c r="Y225" s="7"/>
      <c r="Z225" s="7"/>
      <c r="AA225" s="7"/>
      <c r="AB225" s="7"/>
      <c r="AC225" s="7"/>
    </row>
    <row r="226" spans="1:29" ht="26.25">
      <c r="A226" s="19"/>
      <c r="B226" s="27" t="s">
        <v>283</v>
      </c>
      <c r="C226" s="28">
        <f t="shared" si="30"/>
        <v>176.55</v>
      </c>
      <c r="D226" s="28"/>
      <c r="E226" s="28">
        <f t="shared" si="40"/>
        <v>11.55</v>
      </c>
      <c r="F226" s="28">
        <f t="shared" si="31"/>
        <v>6.6000000000000005</v>
      </c>
      <c r="G226" s="28">
        <f t="shared" si="32"/>
        <v>4.95</v>
      </c>
      <c r="H226" s="28">
        <f t="shared" si="39"/>
        <v>165</v>
      </c>
      <c r="I226" s="72">
        <f>0.6*C226</f>
        <v>105.93</v>
      </c>
      <c r="J226" s="29"/>
      <c r="K226" s="29"/>
      <c r="L226" s="29"/>
      <c r="M226" s="29"/>
      <c r="N226" s="29"/>
      <c r="O226" s="28">
        <v>3959</v>
      </c>
      <c r="P226" s="28">
        <v>4124</v>
      </c>
      <c r="Q226" s="30"/>
      <c r="R226" s="351"/>
      <c r="S226" s="54">
        <v>1</v>
      </c>
      <c r="T226" s="28">
        <f t="shared" si="28"/>
        <v>165</v>
      </c>
      <c r="U226" s="31"/>
      <c r="V226" s="676" t="s">
        <v>284</v>
      </c>
      <c r="W226" s="14" t="s">
        <v>48</v>
      </c>
      <c r="X226" s="7"/>
      <c r="Y226" s="7"/>
      <c r="Z226" s="7"/>
      <c r="AA226" s="7"/>
      <c r="AB226" s="7"/>
      <c r="AC226" s="7"/>
    </row>
    <row r="227" spans="1:29" ht="26.25">
      <c r="A227" s="19"/>
      <c r="B227" s="27" t="s">
        <v>746</v>
      </c>
      <c r="C227" s="28">
        <f t="shared" si="30"/>
        <v>58.85</v>
      </c>
      <c r="D227" s="28"/>
      <c r="E227" s="28">
        <f t="shared" si="40"/>
        <v>3.85</v>
      </c>
      <c r="F227" s="28">
        <f t="shared" si="31"/>
        <v>2.2000000000000002</v>
      </c>
      <c r="G227" s="28">
        <f t="shared" si="32"/>
        <v>1.65</v>
      </c>
      <c r="H227" s="28">
        <f t="shared" si="39"/>
        <v>55</v>
      </c>
      <c r="I227" s="72">
        <f>0.6*C227</f>
        <v>35.31</v>
      </c>
      <c r="J227" s="29"/>
      <c r="K227" s="29"/>
      <c r="L227" s="29"/>
      <c r="M227" s="29"/>
      <c r="N227" s="29"/>
      <c r="O227" s="28">
        <v>22129</v>
      </c>
      <c r="P227" s="28">
        <v>22184</v>
      </c>
      <c r="Q227" s="30"/>
      <c r="R227" s="351"/>
      <c r="S227" s="54">
        <v>1</v>
      </c>
      <c r="T227" s="28">
        <f t="shared" si="28"/>
        <v>55</v>
      </c>
      <c r="U227" s="31">
        <v>530958</v>
      </c>
      <c r="V227" s="676" t="s">
        <v>285</v>
      </c>
      <c r="W227" s="14" t="s">
        <v>48</v>
      </c>
      <c r="X227" s="7"/>
      <c r="Y227" s="7"/>
      <c r="Z227" s="7"/>
      <c r="AA227" s="7"/>
      <c r="AB227" s="7"/>
      <c r="AC227" s="7"/>
    </row>
    <row r="228" spans="1:29" ht="26.25">
      <c r="A228" s="19"/>
      <c r="B228" s="27" t="s">
        <v>747</v>
      </c>
      <c r="C228" s="28">
        <f t="shared" si="30"/>
        <v>233.26</v>
      </c>
      <c r="D228" s="28"/>
      <c r="E228" s="28">
        <f t="shared" si="40"/>
        <v>15.260000000000002</v>
      </c>
      <c r="F228" s="28">
        <f t="shared" si="31"/>
        <v>8.7200000000000006</v>
      </c>
      <c r="G228" s="28">
        <f t="shared" si="32"/>
        <v>6.54</v>
      </c>
      <c r="H228" s="28">
        <f t="shared" si="39"/>
        <v>218</v>
      </c>
      <c r="I228" s="28">
        <f>0.6*C228</f>
        <v>139.95599999999999</v>
      </c>
      <c r="J228" s="29"/>
      <c r="K228" s="29"/>
      <c r="L228" s="29"/>
      <c r="M228" s="29"/>
      <c r="N228" s="29"/>
      <c r="O228" s="28">
        <v>17960</v>
      </c>
      <c r="P228" s="28">
        <v>18178</v>
      </c>
      <c r="Q228" s="30"/>
      <c r="R228" s="351"/>
      <c r="S228" s="28">
        <v>1</v>
      </c>
      <c r="T228" s="28">
        <f t="shared" si="28"/>
        <v>218</v>
      </c>
      <c r="U228" s="31">
        <v>607637</v>
      </c>
      <c r="V228" s="676" t="s">
        <v>286</v>
      </c>
      <c r="W228" s="14" t="s">
        <v>48</v>
      </c>
      <c r="X228" s="7"/>
      <c r="Y228" s="7"/>
      <c r="Z228" s="7"/>
      <c r="AA228" s="7"/>
      <c r="AB228" s="7"/>
      <c r="AC228" s="7"/>
    </row>
    <row r="229" spans="1:29" ht="26.25">
      <c r="A229" s="19"/>
      <c r="B229" s="27" t="s">
        <v>287</v>
      </c>
      <c r="C229" s="28">
        <f t="shared" si="30"/>
        <v>205.44</v>
      </c>
      <c r="D229" s="28"/>
      <c r="E229" s="28">
        <f t="shared" si="40"/>
        <v>13.44</v>
      </c>
      <c r="F229" s="28">
        <f t="shared" si="31"/>
        <v>7.68</v>
      </c>
      <c r="G229" s="28">
        <f t="shared" si="32"/>
        <v>5.76</v>
      </c>
      <c r="H229" s="28">
        <f t="shared" si="39"/>
        <v>192</v>
      </c>
      <c r="I229" s="72">
        <f>0.6*C229</f>
        <v>123.264</v>
      </c>
      <c r="J229" s="29"/>
      <c r="K229" s="29"/>
      <c r="L229" s="29"/>
      <c r="M229" s="29"/>
      <c r="N229" s="29"/>
      <c r="O229" s="28">
        <v>13379</v>
      </c>
      <c r="P229" s="28">
        <v>13571</v>
      </c>
      <c r="Q229" s="146"/>
      <c r="R229" s="391"/>
      <c r="S229" s="54">
        <v>1</v>
      </c>
      <c r="T229" s="28">
        <f t="shared" si="28"/>
        <v>192</v>
      </c>
      <c r="U229" s="31">
        <v>56067</v>
      </c>
      <c r="V229" s="676" t="s">
        <v>288</v>
      </c>
      <c r="W229" s="14" t="s">
        <v>48</v>
      </c>
      <c r="X229" s="7"/>
      <c r="Y229" s="7"/>
      <c r="Z229" s="7"/>
      <c r="AA229" s="7"/>
      <c r="AB229" s="7"/>
      <c r="AC229" s="7"/>
    </row>
    <row r="230" spans="1:29" ht="26.25">
      <c r="A230" s="19"/>
      <c r="B230" s="426" t="s">
        <v>766</v>
      </c>
      <c r="C230" s="72">
        <f t="shared" si="30"/>
        <v>7712.5600000001868</v>
      </c>
      <c r="D230" s="72"/>
      <c r="E230" s="72">
        <f t="shared" si="40"/>
        <v>504.56000000001222</v>
      </c>
      <c r="F230" s="72">
        <f t="shared" si="31"/>
        <v>288.32000000000698</v>
      </c>
      <c r="G230" s="72">
        <f t="shared" si="32"/>
        <v>216.24000000000524</v>
      </c>
      <c r="H230" s="72">
        <f t="shared" si="39"/>
        <v>7208.0000000001746</v>
      </c>
      <c r="I230" s="72"/>
      <c r="J230" s="29"/>
      <c r="K230" s="29"/>
      <c r="L230" s="29"/>
      <c r="M230" s="29"/>
      <c r="N230" s="29"/>
      <c r="O230" s="427">
        <v>34933.199999999997</v>
      </c>
      <c r="P230" s="427">
        <v>35113.4</v>
      </c>
      <c r="Q230" s="30"/>
      <c r="R230" s="348"/>
      <c r="S230" s="54">
        <v>40</v>
      </c>
      <c r="T230" s="28">
        <f t="shared" si="28"/>
        <v>7208.0000000001746</v>
      </c>
      <c r="U230" s="31">
        <v>1535390</v>
      </c>
      <c r="V230" s="677" t="s">
        <v>789</v>
      </c>
      <c r="W230" s="14" t="s">
        <v>53</v>
      </c>
      <c r="X230" s="7"/>
      <c r="Y230" s="7"/>
      <c r="Z230" s="7"/>
      <c r="AA230" s="7"/>
      <c r="AB230" s="7"/>
      <c r="AC230" s="7"/>
    </row>
    <row r="231" spans="1:29" ht="28.5" customHeight="1">
      <c r="A231" s="252"/>
      <c r="B231" s="62" t="s">
        <v>610</v>
      </c>
      <c r="C231" s="28">
        <f>H231+E231</f>
        <v>6215.0950000000039</v>
      </c>
      <c r="D231" s="77"/>
      <c r="E231" s="28">
        <f>F231+G231</f>
        <v>406.59500000000025</v>
      </c>
      <c r="F231" s="28">
        <f>0.04*T231</f>
        <v>232.34000000000015</v>
      </c>
      <c r="G231" s="28">
        <f>0.03*T231</f>
        <v>174.25500000000011</v>
      </c>
      <c r="H231" s="28">
        <f>T231</f>
        <v>5808.5000000000036</v>
      </c>
      <c r="I231" s="28">
        <f>H231*0.5</f>
        <v>2904.2500000000018</v>
      </c>
      <c r="J231" s="46"/>
      <c r="K231" s="46"/>
      <c r="L231" s="46"/>
      <c r="M231" s="46"/>
      <c r="N231" s="46"/>
      <c r="O231" s="77">
        <v>655.17999999999995</v>
      </c>
      <c r="P231" s="77">
        <v>771.35</v>
      </c>
      <c r="Q231" s="79"/>
      <c r="R231" s="80"/>
      <c r="S231" s="77">
        <v>50</v>
      </c>
      <c r="T231" s="28">
        <f>(P231-O231)*S231</f>
        <v>5808.5000000000036</v>
      </c>
      <c r="U231" s="31">
        <v>2536</v>
      </c>
      <c r="V231" s="676" t="s">
        <v>752</v>
      </c>
      <c r="W231" s="14" t="s">
        <v>48</v>
      </c>
      <c r="X231" s="7"/>
      <c r="Y231" s="7"/>
      <c r="Z231" s="7"/>
      <c r="AA231" s="7"/>
      <c r="AB231" s="7"/>
      <c r="AC231" s="7"/>
    </row>
    <row r="232" spans="1:29" ht="26.25">
      <c r="A232" s="19"/>
      <c r="B232" s="62" t="s">
        <v>906</v>
      </c>
      <c r="C232" s="28">
        <f t="shared" ref="C232" si="41">H232+E232</f>
        <v>2120.7399999999998</v>
      </c>
      <c r="D232" s="28"/>
      <c r="E232" s="28">
        <f>G232+F232</f>
        <v>138.74</v>
      </c>
      <c r="F232" s="28">
        <f>H232*0.04</f>
        <v>79.28</v>
      </c>
      <c r="G232" s="28">
        <f>H232*0.03</f>
        <v>59.46</v>
      </c>
      <c r="H232" s="28">
        <f t="shared" ref="H232" si="42">T232</f>
        <v>1982</v>
      </c>
      <c r="I232" s="28">
        <f>0.6*C232</f>
        <v>1272.4439999999997</v>
      </c>
      <c r="J232" s="29"/>
      <c r="K232" s="29"/>
      <c r="L232" s="29"/>
      <c r="M232" s="29"/>
      <c r="N232" s="29"/>
      <c r="O232" s="72">
        <v>814278</v>
      </c>
      <c r="P232" s="72">
        <v>816260</v>
      </c>
      <c r="Q232" s="30"/>
      <c r="R232" s="428"/>
      <c r="S232" s="54">
        <v>1</v>
      </c>
      <c r="T232" s="28">
        <f t="shared" ref="T232" si="43">(P232-O232)*S232</f>
        <v>1982</v>
      </c>
      <c r="U232" s="31">
        <v>399479</v>
      </c>
      <c r="V232" s="676" t="s">
        <v>788</v>
      </c>
      <c r="W232" s="14" t="s">
        <v>48</v>
      </c>
      <c r="X232" s="7"/>
      <c r="Y232" s="7"/>
      <c r="Z232" s="7"/>
      <c r="AA232" s="7"/>
      <c r="AB232" s="7"/>
      <c r="AC232" s="7"/>
    </row>
    <row r="233" spans="1:29" ht="25.5">
      <c r="A233" s="19"/>
      <c r="B233" s="615"/>
      <c r="C233" s="91"/>
      <c r="D233" s="91"/>
      <c r="E233" s="91"/>
      <c r="F233" s="91"/>
      <c r="G233" s="91"/>
      <c r="H233" s="91"/>
      <c r="I233" s="91"/>
      <c r="J233" s="22"/>
      <c r="K233" s="22"/>
      <c r="L233" s="22"/>
      <c r="M233" s="22"/>
      <c r="N233" s="22"/>
      <c r="O233" s="91"/>
      <c r="P233" s="91"/>
      <c r="Q233" s="122"/>
      <c r="R233" s="173"/>
      <c r="S233" s="91"/>
      <c r="T233" s="91"/>
      <c r="U233" s="95"/>
      <c r="V233" s="673"/>
      <c r="W233" s="14" t="s">
        <v>48</v>
      </c>
      <c r="X233" s="7"/>
      <c r="Y233" s="7"/>
      <c r="Z233" s="7"/>
      <c r="AA233" s="7"/>
      <c r="AB233" s="7"/>
      <c r="AC233" s="7"/>
    </row>
    <row r="234" spans="1:29" ht="26.25" hidden="1">
      <c r="A234" s="19"/>
      <c r="B234" s="341"/>
      <c r="C234" s="91"/>
      <c r="D234" s="91"/>
      <c r="E234" s="91"/>
      <c r="F234" s="91"/>
      <c r="G234" s="91"/>
      <c r="H234" s="91"/>
      <c r="I234" s="91"/>
      <c r="J234" s="22"/>
      <c r="K234" s="22"/>
      <c r="L234" s="22"/>
      <c r="M234" s="22"/>
      <c r="N234" s="22"/>
      <c r="O234" s="91"/>
      <c r="P234" s="91"/>
      <c r="Q234" s="122"/>
      <c r="R234" s="173"/>
      <c r="S234" s="91"/>
      <c r="T234" s="91"/>
      <c r="U234" s="95"/>
      <c r="V234" s="673"/>
      <c r="W234" s="14" t="s">
        <v>48</v>
      </c>
      <c r="X234" s="7"/>
      <c r="Y234" s="7"/>
      <c r="Z234" s="7"/>
      <c r="AA234" s="7"/>
      <c r="AB234" s="7"/>
      <c r="AC234" s="7"/>
    </row>
    <row r="235" spans="1:29" ht="25.5" hidden="1">
      <c r="A235" s="19"/>
      <c r="B235" s="148"/>
      <c r="C235" s="91"/>
      <c r="D235" s="91"/>
      <c r="E235" s="91"/>
      <c r="F235" s="91"/>
      <c r="G235" s="91"/>
      <c r="H235" s="91"/>
      <c r="I235" s="91"/>
      <c r="J235" s="22"/>
      <c r="K235" s="22"/>
      <c r="L235" s="22"/>
      <c r="M235" s="22"/>
      <c r="N235" s="22"/>
      <c r="O235" s="91"/>
      <c r="P235" s="91"/>
      <c r="Q235" s="122"/>
      <c r="R235" s="173"/>
      <c r="S235" s="91"/>
      <c r="T235" s="91"/>
      <c r="U235" s="95"/>
      <c r="V235" s="673"/>
      <c r="W235" s="14" t="s">
        <v>48</v>
      </c>
      <c r="X235" s="7"/>
      <c r="Y235" s="7"/>
      <c r="Z235" s="7"/>
      <c r="AA235" s="7"/>
      <c r="AB235" s="7"/>
      <c r="AC235" s="7"/>
    </row>
    <row r="236" spans="1:29" ht="25.5" hidden="1">
      <c r="A236" s="19"/>
      <c r="B236" s="148"/>
      <c r="C236" s="91"/>
      <c r="D236" s="91"/>
      <c r="E236" s="91"/>
      <c r="F236" s="91"/>
      <c r="G236" s="91"/>
      <c r="H236" s="91"/>
      <c r="I236" s="91"/>
      <c r="J236" s="22"/>
      <c r="K236" s="22"/>
      <c r="L236" s="22"/>
      <c r="M236" s="22"/>
      <c r="N236" s="22"/>
      <c r="O236" s="91"/>
      <c r="P236" s="91"/>
      <c r="Q236" s="122"/>
      <c r="R236" s="173"/>
      <c r="S236" s="91"/>
      <c r="T236" s="91"/>
      <c r="U236" s="95"/>
      <c r="V236" s="673"/>
      <c r="W236" s="14" t="s">
        <v>48</v>
      </c>
      <c r="X236" s="7"/>
      <c r="Y236" s="7"/>
      <c r="Z236" s="7"/>
      <c r="AA236" s="7"/>
      <c r="AB236" s="7"/>
      <c r="AC236" s="7"/>
    </row>
    <row r="237" spans="1:29" ht="25.5" hidden="1">
      <c r="A237" s="19"/>
      <c r="B237" s="148"/>
      <c r="C237" s="91"/>
      <c r="D237" s="91"/>
      <c r="E237" s="91"/>
      <c r="F237" s="91"/>
      <c r="G237" s="91"/>
      <c r="H237" s="91"/>
      <c r="I237" s="91"/>
      <c r="J237" s="22"/>
      <c r="K237" s="22"/>
      <c r="L237" s="22"/>
      <c r="M237" s="22"/>
      <c r="N237" s="22"/>
      <c r="O237" s="91"/>
      <c r="P237" s="91"/>
      <c r="Q237" s="149"/>
      <c r="R237" s="142"/>
      <c r="S237" s="91"/>
      <c r="T237" s="91"/>
      <c r="U237" s="95"/>
      <c r="V237" s="673"/>
      <c r="W237" s="14" t="s">
        <v>48</v>
      </c>
      <c r="X237" s="7"/>
      <c r="Y237" s="7"/>
      <c r="Z237" s="7"/>
      <c r="AA237" s="7"/>
      <c r="AB237" s="7"/>
      <c r="AC237" s="7"/>
    </row>
    <row r="238" spans="1:29" ht="25.5" hidden="1">
      <c r="A238" s="19"/>
      <c r="B238" s="148"/>
      <c r="C238" s="91"/>
      <c r="D238" s="91"/>
      <c r="E238" s="91"/>
      <c r="F238" s="91"/>
      <c r="G238" s="91"/>
      <c r="H238" s="91"/>
      <c r="I238" s="91"/>
      <c r="J238" s="22"/>
      <c r="K238" s="22"/>
      <c r="L238" s="22"/>
      <c r="M238" s="22"/>
      <c r="N238" s="22"/>
      <c r="O238" s="91"/>
      <c r="P238" s="91"/>
      <c r="Q238" s="122"/>
      <c r="R238" s="200"/>
      <c r="S238" s="151"/>
      <c r="T238" s="91"/>
      <c r="U238" s="95"/>
      <c r="V238" s="673"/>
      <c r="W238" s="14" t="s">
        <v>48</v>
      </c>
      <c r="X238" s="7"/>
      <c r="Y238" s="7"/>
      <c r="Z238" s="7"/>
      <c r="AA238" s="7"/>
      <c r="AB238" s="7"/>
      <c r="AC238" s="7"/>
    </row>
    <row r="239" spans="1:29" ht="25.5" hidden="1">
      <c r="A239" s="19"/>
      <c r="B239" s="148"/>
      <c r="C239" s="91"/>
      <c r="D239" s="91"/>
      <c r="E239" s="91"/>
      <c r="F239" s="91"/>
      <c r="G239" s="91"/>
      <c r="H239" s="91"/>
      <c r="I239" s="91"/>
      <c r="J239" s="22"/>
      <c r="K239" s="22"/>
      <c r="L239" s="22"/>
      <c r="M239" s="22"/>
      <c r="N239" s="22"/>
      <c r="O239" s="91"/>
      <c r="P239" s="91"/>
      <c r="Q239" s="122"/>
      <c r="R239" s="200"/>
      <c r="S239" s="151"/>
      <c r="T239" s="91"/>
      <c r="U239" s="95"/>
      <c r="V239" s="673"/>
      <c r="W239" s="14" t="s">
        <v>48</v>
      </c>
      <c r="X239" s="7"/>
      <c r="Y239" s="7"/>
      <c r="Z239" s="7"/>
      <c r="AA239" s="7"/>
      <c r="AB239" s="7"/>
      <c r="AC239" s="7"/>
    </row>
    <row r="240" spans="1:29" ht="25.5" hidden="1">
      <c r="A240" s="19"/>
      <c r="B240" s="148"/>
      <c r="C240" s="91"/>
      <c r="D240" s="91"/>
      <c r="E240" s="91"/>
      <c r="F240" s="91"/>
      <c r="G240" s="91"/>
      <c r="H240" s="91"/>
      <c r="I240" s="91"/>
      <c r="J240" s="22"/>
      <c r="K240" s="22"/>
      <c r="L240" s="22"/>
      <c r="M240" s="22"/>
      <c r="N240" s="22"/>
      <c r="O240" s="117"/>
      <c r="P240" s="117"/>
      <c r="Q240" s="122"/>
      <c r="R240" s="342"/>
      <c r="S240" s="330"/>
      <c r="T240" s="117"/>
      <c r="U240" s="95"/>
      <c r="V240" s="673"/>
      <c r="W240" s="14" t="s">
        <v>48</v>
      </c>
      <c r="X240" s="7"/>
      <c r="Y240" s="7"/>
      <c r="Z240" s="7"/>
      <c r="AA240" s="7"/>
      <c r="AB240" s="7"/>
      <c r="AC240" s="7"/>
    </row>
    <row r="241" spans="1:29" ht="25.5" hidden="1">
      <c r="A241" s="19"/>
      <c r="B241" s="148"/>
      <c r="C241" s="91"/>
      <c r="D241" s="91"/>
      <c r="E241" s="91"/>
      <c r="F241" s="91"/>
      <c r="G241" s="91"/>
      <c r="H241" s="91"/>
      <c r="I241" s="91"/>
      <c r="J241" s="22"/>
      <c r="K241" s="22"/>
      <c r="L241" s="22"/>
      <c r="M241" s="22"/>
      <c r="N241" s="22"/>
      <c r="O241" s="117"/>
      <c r="P241" s="117"/>
      <c r="Q241" s="122"/>
      <c r="R241" s="342"/>
      <c r="S241" s="330"/>
      <c r="T241" s="117"/>
      <c r="U241" s="95"/>
      <c r="V241" s="673"/>
      <c r="W241" s="14" t="s">
        <v>48</v>
      </c>
      <c r="X241" s="7"/>
      <c r="Y241" s="7"/>
      <c r="Z241" s="7"/>
      <c r="AA241" s="7"/>
      <c r="AB241" s="7"/>
      <c r="AC241" s="7"/>
    </row>
    <row r="242" spans="1:29" ht="25.5" hidden="1">
      <c r="A242" s="19"/>
      <c r="B242" s="329"/>
      <c r="C242" s="117"/>
      <c r="D242" s="117"/>
      <c r="E242" s="117"/>
      <c r="F242" s="117"/>
      <c r="G242" s="117"/>
      <c r="H242" s="117"/>
      <c r="I242" s="117"/>
      <c r="J242" s="22"/>
      <c r="K242" s="22"/>
      <c r="L242" s="22"/>
      <c r="M242" s="22"/>
      <c r="N242" s="22"/>
      <c r="O242" s="91"/>
      <c r="P242" s="91"/>
      <c r="Q242" s="173"/>
      <c r="R242" s="200"/>
      <c r="S242" s="91"/>
      <c r="T242" s="91"/>
      <c r="U242" s="95"/>
      <c r="V242" s="673"/>
      <c r="W242" s="14" t="s">
        <v>48</v>
      </c>
      <c r="X242" s="7"/>
      <c r="Y242" s="7"/>
      <c r="Z242" s="7"/>
      <c r="AA242" s="7"/>
      <c r="AB242" s="7"/>
      <c r="AC242" s="7"/>
    </row>
    <row r="243" spans="1:29" ht="25.5">
      <c r="A243" s="19"/>
      <c r="B243" s="27" t="s">
        <v>290</v>
      </c>
      <c r="C243" s="28">
        <f t="shared" ref="C243:C268" si="44">H243+E243</f>
        <v>518.95000000000005</v>
      </c>
      <c r="D243" s="28"/>
      <c r="E243" s="28">
        <f t="shared" ref="E243:E273" si="45">F243+G243</f>
        <v>33.950000000000003</v>
      </c>
      <c r="F243" s="28">
        <f t="shared" ref="F243:F273" si="46">0.04*H243</f>
        <v>19.400000000000002</v>
      </c>
      <c r="G243" s="28">
        <f t="shared" ref="G243:G273" si="47">0.03*H243</f>
        <v>14.549999999999999</v>
      </c>
      <c r="H243" s="28">
        <f t="shared" si="39"/>
        <v>485</v>
      </c>
      <c r="I243" s="28"/>
      <c r="J243" s="348"/>
      <c r="K243" s="348"/>
      <c r="L243" s="348"/>
      <c r="M243" s="348"/>
      <c r="N243" s="348"/>
      <c r="O243" s="382">
        <v>50623</v>
      </c>
      <c r="P243" s="382">
        <v>51108</v>
      </c>
      <c r="Q243" s="146"/>
      <c r="R243" s="438"/>
      <c r="S243" s="382">
        <v>1</v>
      </c>
      <c r="T243" s="382">
        <f>P243-O243</f>
        <v>485</v>
      </c>
      <c r="U243" s="31">
        <v>7872</v>
      </c>
      <c r="V243" s="676" t="s">
        <v>291</v>
      </c>
      <c r="W243" s="14" t="s">
        <v>48</v>
      </c>
      <c r="X243" s="7"/>
      <c r="Y243" s="7"/>
      <c r="Z243" s="7"/>
      <c r="AA243" s="7"/>
      <c r="AB243" s="7"/>
      <c r="AC243" s="7"/>
    </row>
    <row r="244" spans="1:29" ht="25.5">
      <c r="A244" s="19"/>
      <c r="B244" s="380" t="s">
        <v>292</v>
      </c>
      <c r="C244" s="382">
        <f t="shared" si="44"/>
        <v>1071.07</v>
      </c>
      <c r="D244" s="382"/>
      <c r="E244" s="382">
        <f t="shared" si="45"/>
        <v>70.069999999999993</v>
      </c>
      <c r="F244" s="382">
        <f t="shared" si="46"/>
        <v>40.04</v>
      </c>
      <c r="G244" s="382">
        <f t="shared" si="47"/>
        <v>30.029999999999998</v>
      </c>
      <c r="H244" s="382">
        <f t="shared" si="39"/>
        <v>1001</v>
      </c>
      <c r="I244" s="382"/>
      <c r="J244" s="29"/>
      <c r="K244" s="29"/>
      <c r="L244" s="29"/>
      <c r="M244" s="29"/>
      <c r="N244" s="29"/>
      <c r="O244" s="28">
        <v>69764</v>
      </c>
      <c r="P244" s="28">
        <v>70765</v>
      </c>
      <c r="Q244" s="146"/>
      <c r="R244" s="439"/>
      <c r="S244" s="28">
        <v>1</v>
      </c>
      <c r="T244" s="28">
        <f>P244-O244</f>
        <v>1001</v>
      </c>
      <c r="U244" s="31">
        <v>4200</v>
      </c>
      <c r="V244" s="676" t="s">
        <v>293</v>
      </c>
      <c r="W244" s="14" t="s">
        <v>48</v>
      </c>
      <c r="X244" s="7"/>
      <c r="Y244" s="7"/>
      <c r="Z244" s="7"/>
      <c r="AA244" s="7"/>
      <c r="AB244" s="7"/>
      <c r="AC244" s="7"/>
    </row>
    <row r="245" spans="1:29" ht="25.5">
      <c r="A245" s="19"/>
      <c r="B245" s="27" t="s">
        <v>294</v>
      </c>
      <c r="C245" s="28">
        <f t="shared" si="44"/>
        <v>281.41000000000003</v>
      </c>
      <c r="D245" s="28"/>
      <c r="E245" s="28">
        <f t="shared" si="45"/>
        <v>18.41</v>
      </c>
      <c r="F245" s="28">
        <f t="shared" si="46"/>
        <v>10.52</v>
      </c>
      <c r="G245" s="28">
        <f t="shared" si="47"/>
        <v>7.89</v>
      </c>
      <c r="H245" s="28">
        <f t="shared" si="39"/>
        <v>263</v>
      </c>
      <c r="I245" s="28"/>
      <c r="J245" s="29"/>
      <c r="K245" s="29"/>
      <c r="L245" s="29"/>
      <c r="M245" s="29"/>
      <c r="N245" s="29"/>
      <c r="O245" s="28">
        <v>23470</v>
      </c>
      <c r="P245" s="28">
        <v>23733</v>
      </c>
      <c r="Q245" s="146"/>
      <c r="R245" s="439"/>
      <c r="S245" s="28">
        <v>1</v>
      </c>
      <c r="T245" s="28">
        <f>P245-O245</f>
        <v>263</v>
      </c>
      <c r="U245" s="31" t="s">
        <v>295</v>
      </c>
      <c r="V245" s="676" t="s">
        <v>296</v>
      </c>
      <c r="W245" s="14" t="s">
        <v>48</v>
      </c>
      <c r="X245" s="7"/>
      <c r="Y245" s="7"/>
      <c r="Z245" s="7"/>
      <c r="AA245" s="7"/>
      <c r="AB245" s="7"/>
      <c r="AC245" s="7"/>
    </row>
    <row r="246" spans="1:29" ht="25.5">
      <c r="A246" s="19"/>
      <c r="B246" s="27" t="s">
        <v>748</v>
      </c>
      <c r="C246" s="28">
        <f t="shared" si="44"/>
        <v>1331.08</v>
      </c>
      <c r="D246" s="28"/>
      <c r="E246" s="28">
        <f t="shared" si="45"/>
        <v>87.08</v>
      </c>
      <c r="F246" s="28">
        <f t="shared" si="46"/>
        <v>49.76</v>
      </c>
      <c r="G246" s="28">
        <f t="shared" si="47"/>
        <v>37.32</v>
      </c>
      <c r="H246" s="28">
        <f t="shared" si="39"/>
        <v>1244</v>
      </c>
      <c r="I246" s="28"/>
      <c r="J246" s="29"/>
      <c r="K246" s="29"/>
      <c r="L246" s="29"/>
      <c r="M246" s="29"/>
      <c r="N246" s="29"/>
      <c r="O246" s="28">
        <v>97862</v>
      </c>
      <c r="P246" s="28">
        <v>99106</v>
      </c>
      <c r="Q246" s="146"/>
      <c r="R246" s="439"/>
      <c r="S246" s="28">
        <v>1</v>
      </c>
      <c r="T246" s="28">
        <f>P246-O246</f>
        <v>1244</v>
      </c>
      <c r="U246" s="31">
        <v>3267</v>
      </c>
      <c r="V246" s="676" t="s">
        <v>297</v>
      </c>
      <c r="W246" s="14" t="s">
        <v>48</v>
      </c>
      <c r="X246" s="7"/>
      <c r="Y246" s="7"/>
      <c r="Z246" s="7"/>
      <c r="AA246" s="7"/>
      <c r="AB246" s="7"/>
      <c r="AC246" s="7"/>
    </row>
    <row r="247" spans="1:29" ht="26.25">
      <c r="A247" s="19"/>
      <c r="B247" s="806" t="s">
        <v>298</v>
      </c>
      <c r="C247" s="72">
        <f t="shared" si="44"/>
        <v>13790.160000000071</v>
      </c>
      <c r="D247" s="28"/>
      <c r="E247" s="28">
        <f t="shared" si="45"/>
        <v>902.16000000000463</v>
      </c>
      <c r="F247" s="28">
        <f t="shared" si="46"/>
        <v>515.5200000000026</v>
      </c>
      <c r="G247" s="28">
        <f t="shared" si="47"/>
        <v>386.64000000000198</v>
      </c>
      <c r="H247" s="28">
        <f t="shared" si="39"/>
        <v>12888.000000000065</v>
      </c>
      <c r="I247" s="28"/>
      <c r="J247" s="29"/>
      <c r="K247" s="29"/>
      <c r="L247" s="29"/>
      <c r="M247" s="29"/>
      <c r="N247" s="29"/>
      <c r="O247" s="365">
        <v>25466.3</v>
      </c>
      <c r="P247" s="365">
        <v>25895.9</v>
      </c>
      <c r="Q247" s="146"/>
      <c r="R247" s="439"/>
      <c r="S247" s="28">
        <v>30</v>
      </c>
      <c r="T247" s="28">
        <f>(P247-O247)*S247</f>
        <v>12888.000000000065</v>
      </c>
      <c r="U247" s="31" t="s">
        <v>299</v>
      </c>
      <c r="V247" s="804" t="s">
        <v>300</v>
      </c>
      <c r="W247" s="14" t="s">
        <v>48</v>
      </c>
      <c r="X247" s="7"/>
      <c r="Y247" s="7"/>
      <c r="Z247" s="7"/>
      <c r="AA247" s="7"/>
      <c r="AB247" s="7"/>
      <c r="AC247" s="7"/>
    </row>
    <row r="248" spans="1:29" ht="26.25">
      <c r="A248" s="19"/>
      <c r="B248" s="807"/>
      <c r="C248" s="72">
        <f t="shared" si="44"/>
        <v>4112.01</v>
      </c>
      <c r="D248" s="28"/>
      <c r="E248" s="28">
        <f t="shared" si="45"/>
        <v>269.01</v>
      </c>
      <c r="F248" s="28">
        <f t="shared" si="46"/>
        <v>153.72</v>
      </c>
      <c r="G248" s="28">
        <f t="shared" si="47"/>
        <v>115.28999999999999</v>
      </c>
      <c r="H248" s="28">
        <f t="shared" si="39"/>
        <v>3843</v>
      </c>
      <c r="I248" s="28"/>
      <c r="J248" s="29"/>
      <c r="K248" s="29"/>
      <c r="L248" s="29"/>
      <c r="M248" s="29"/>
      <c r="N248" s="29"/>
      <c r="O248" s="28">
        <v>80753</v>
      </c>
      <c r="P248" s="28">
        <v>84596</v>
      </c>
      <c r="Q248" s="146"/>
      <c r="R248" s="439"/>
      <c r="S248" s="28">
        <v>1</v>
      </c>
      <c r="T248" s="28">
        <f t="shared" ref="T248:T254" si="48">P248-O248</f>
        <v>3843</v>
      </c>
      <c r="U248" s="31">
        <v>6398</v>
      </c>
      <c r="V248" s="804"/>
      <c r="W248" s="14" t="s">
        <v>48</v>
      </c>
      <c r="X248" s="7"/>
      <c r="Y248" s="7"/>
      <c r="Z248" s="7"/>
      <c r="AA248" s="7"/>
      <c r="AB248" s="7"/>
      <c r="AC248" s="7"/>
    </row>
    <row r="249" spans="1:29" ht="25.5">
      <c r="A249" s="19"/>
      <c r="B249" s="27" t="s">
        <v>907</v>
      </c>
      <c r="C249" s="28">
        <f t="shared" si="44"/>
        <v>1571.83</v>
      </c>
      <c r="D249" s="28"/>
      <c r="E249" s="28">
        <f t="shared" si="45"/>
        <v>102.83</v>
      </c>
      <c r="F249" s="28">
        <f t="shared" si="46"/>
        <v>58.76</v>
      </c>
      <c r="G249" s="28">
        <f t="shared" si="47"/>
        <v>44.07</v>
      </c>
      <c r="H249" s="28">
        <f t="shared" si="39"/>
        <v>1469</v>
      </c>
      <c r="I249" s="28"/>
      <c r="J249" s="29"/>
      <c r="K249" s="29"/>
      <c r="L249" s="29"/>
      <c r="M249" s="29"/>
      <c r="N249" s="29"/>
      <c r="O249" s="28">
        <v>80982</v>
      </c>
      <c r="P249" s="28">
        <v>82451</v>
      </c>
      <c r="Q249" s="146"/>
      <c r="R249" s="439"/>
      <c r="S249" s="28">
        <v>1</v>
      </c>
      <c r="T249" s="28">
        <f t="shared" si="48"/>
        <v>1469</v>
      </c>
      <c r="U249" s="31" t="s">
        <v>302</v>
      </c>
      <c r="V249" s="676" t="s">
        <v>779</v>
      </c>
      <c r="W249" s="14" t="s">
        <v>48</v>
      </c>
      <c r="X249" s="7"/>
      <c r="Y249" s="7"/>
      <c r="Z249" s="7"/>
      <c r="AA249" s="7"/>
      <c r="AB249" s="7"/>
      <c r="AC249" s="7"/>
    </row>
    <row r="250" spans="1:29" ht="30.75" customHeight="1">
      <c r="A250" s="19"/>
      <c r="B250" s="27" t="s">
        <v>303</v>
      </c>
      <c r="C250" s="28">
        <f t="shared" si="44"/>
        <v>2559.44</v>
      </c>
      <c r="D250" s="28"/>
      <c r="E250" s="28">
        <f t="shared" si="45"/>
        <v>167.44</v>
      </c>
      <c r="F250" s="28">
        <f t="shared" si="46"/>
        <v>95.68</v>
      </c>
      <c r="G250" s="28">
        <f t="shared" si="47"/>
        <v>71.759999999999991</v>
      </c>
      <c r="H250" s="28">
        <f t="shared" si="39"/>
        <v>2392</v>
      </c>
      <c r="I250" s="28"/>
      <c r="J250" s="29"/>
      <c r="K250" s="29"/>
      <c r="L250" s="29"/>
      <c r="M250" s="29"/>
      <c r="N250" s="29"/>
      <c r="O250" s="28">
        <v>87352</v>
      </c>
      <c r="P250" s="28">
        <v>89744</v>
      </c>
      <c r="Q250" s="146"/>
      <c r="R250" s="439"/>
      <c r="S250" s="28">
        <v>1</v>
      </c>
      <c r="T250" s="28">
        <f t="shared" si="48"/>
        <v>2392</v>
      </c>
      <c r="U250" s="31">
        <v>2943</v>
      </c>
      <c r="V250" s="676" t="s">
        <v>304</v>
      </c>
      <c r="W250" s="14" t="s">
        <v>48</v>
      </c>
      <c r="X250" s="7"/>
      <c r="Y250" s="7"/>
      <c r="Z250" s="7"/>
      <c r="AA250" s="7"/>
      <c r="AB250" s="7"/>
      <c r="AC250" s="7"/>
    </row>
    <row r="251" spans="1:29" ht="26.25">
      <c r="A251" s="19"/>
      <c r="B251" s="440"/>
      <c r="C251" s="419">
        <f t="shared" si="44"/>
        <v>0</v>
      </c>
      <c r="D251" s="419"/>
      <c r="E251" s="419">
        <f t="shared" si="45"/>
        <v>0</v>
      </c>
      <c r="F251" s="419">
        <f t="shared" si="46"/>
        <v>0</v>
      </c>
      <c r="G251" s="419">
        <f t="shared" si="47"/>
        <v>0</v>
      </c>
      <c r="H251" s="419">
        <f t="shared" si="39"/>
        <v>0</v>
      </c>
      <c r="I251" s="419"/>
      <c r="J251" s="684"/>
      <c r="K251" s="684"/>
      <c r="L251" s="684"/>
      <c r="M251" s="684"/>
      <c r="N251" s="684"/>
      <c r="O251" s="419">
        <v>0</v>
      </c>
      <c r="P251" s="419">
        <v>0</v>
      </c>
      <c r="Q251" s="685"/>
      <c r="R251" s="686"/>
      <c r="S251" s="419">
        <v>1</v>
      </c>
      <c r="T251" s="419">
        <f t="shared" si="48"/>
        <v>0</v>
      </c>
      <c r="U251" s="31"/>
      <c r="V251" s="676"/>
      <c r="W251" s="14" t="s">
        <v>48</v>
      </c>
      <c r="X251" s="7"/>
      <c r="Y251" s="7"/>
      <c r="Z251" s="7"/>
      <c r="AA251" s="7"/>
      <c r="AB251" s="7"/>
      <c r="AC251" s="7"/>
    </row>
    <row r="252" spans="1:29" ht="27.75" customHeight="1">
      <c r="A252" s="19"/>
      <c r="B252" s="375" t="s">
        <v>305</v>
      </c>
      <c r="C252" s="349">
        <f t="shared" si="44"/>
        <v>323.14</v>
      </c>
      <c r="D252" s="349"/>
      <c r="E252" s="349">
        <f t="shared" si="45"/>
        <v>21.14</v>
      </c>
      <c r="F252" s="349">
        <f t="shared" si="46"/>
        <v>12.08</v>
      </c>
      <c r="G252" s="349">
        <f t="shared" si="47"/>
        <v>9.06</v>
      </c>
      <c r="H252" s="349">
        <f t="shared" si="39"/>
        <v>302</v>
      </c>
      <c r="I252" s="349"/>
      <c r="J252" s="29"/>
      <c r="K252" s="29"/>
      <c r="L252" s="29"/>
      <c r="M252" s="29"/>
      <c r="N252" s="29" t="s">
        <v>271</v>
      </c>
      <c r="O252" s="349">
        <v>22149</v>
      </c>
      <c r="P252" s="349">
        <v>22451</v>
      </c>
      <c r="Q252" s="146"/>
      <c r="R252" s="425"/>
      <c r="S252" s="349">
        <v>1</v>
      </c>
      <c r="T252" s="349">
        <f t="shared" si="48"/>
        <v>302</v>
      </c>
      <c r="U252" s="31" t="s">
        <v>306</v>
      </c>
      <c r="V252" s="676" t="s">
        <v>307</v>
      </c>
      <c r="W252" s="14" t="s">
        <v>48</v>
      </c>
      <c r="X252" s="7"/>
      <c r="Y252" s="7"/>
      <c r="Z252" s="7"/>
      <c r="AA252" s="7"/>
      <c r="AB252" s="7"/>
      <c r="AC252" s="7"/>
    </row>
    <row r="253" spans="1:29" ht="27.75" customHeight="1">
      <c r="A253" s="19"/>
      <c r="B253" s="375" t="s">
        <v>308</v>
      </c>
      <c r="C253" s="349">
        <f t="shared" si="44"/>
        <v>223.63</v>
      </c>
      <c r="D253" s="349"/>
      <c r="E253" s="349">
        <f t="shared" si="45"/>
        <v>14.629999999999999</v>
      </c>
      <c r="F253" s="349">
        <f t="shared" si="46"/>
        <v>8.36</v>
      </c>
      <c r="G253" s="349">
        <f t="shared" si="47"/>
        <v>6.27</v>
      </c>
      <c r="H253" s="349">
        <f t="shared" si="39"/>
        <v>209</v>
      </c>
      <c r="I253" s="349"/>
      <c r="J253" s="29"/>
      <c r="K253" s="29"/>
      <c r="L253" s="29"/>
      <c r="M253" s="29"/>
      <c r="N253" s="29" t="s">
        <v>271</v>
      </c>
      <c r="O253" s="349">
        <v>4916</v>
      </c>
      <c r="P253" s="349">
        <v>5125</v>
      </c>
      <c r="Q253" s="146"/>
      <c r="R253" s="425"/>
      <c r="S253" s="349">
        <v>1</v>
      </c>
      <c r="T253" s="349">
        <f t="shared" si="48"/>
        <v>209</v>
      </c>
      <c r="U253" s="31"/>
      <c r="V253" s="676" t="s">
        <v>309</v>
      </c>
      <c r="W253" s="14" t="s">
        <v>82</v>
      </c>
      <c r="X253" s="7"/>
      <c r="Y253" s="7"/>
      <c r="Z253" s="7"/>
      <c r="AA253" s="7"/>
      <c r="AB253" s="7"/>
      <c r="AC253" s="7"/>
    </row>
    <row r="254" spans="1:29" ht="27">
      <c r="A254" s="19"/>
      <c r="B254" s="441" t="s">
        <v>310</v>
      </c>
      <c r="C254" s="349">
        <f t="shared" si="44"/>
        <v>298.52999999999997</v>
      </c>
      <c r="D254" s="349"/>
      <c r="E254" s="349">
        <f t="shared" si="45"/>
        <v>19.53</v>
      </c>
      <c r="F254" s="349">
        <f t="shared" si="46"/>
        <v>11.16</v>
      </c>
      <c r="G254" s="349">
        <f t="shared" si="47"/>
        <v>8.3699999999999992</v>
      </c>
      <c r="H254" s="349">
        <f t="shared" si="39"/>
        <v>279</v>
      </c>
      <c r="I254" s="349"/>
      <c r="J254" s="29"/>
      <c r="K254" s="29"/>
      <c r="L254" s="29"/>
      <c r="M254" s="29"/>
      <c r="N254" s="29" t="s">
        <v>271</v>
      </c>
      <c r="O254" s="349">
        <v>13007</v>
      </c>
      <c r="P254" s="349">
        <v>13286</v>
      </c>
      <c r="Q254" s="146"/>
      <c r="R254" s="425"/>
      <c r="S254" s="349">
        <v>1</v>
      </c>
      <c r="T254" s="349">
        <f t="shared" si="48"/>
        <v>279</v>
      </c>
      <c r="U254" s="442">
        <v>6292</v>
      </c>
      <c r="V254" s="676" t="s">
        <v>311</v>
      </c>
      <c r="W254" s="14" t="s">
        <v>82</v>
      </c>
      <c r="X254" s="7"/>
      <c r="Y254" s="7"/>
      <c r="Z254" s="7"/>
      <c r="AA254" s="7"/>
      <c r="AB254" s="7"/>
      <c r="AC254" s="7"/>
    </row>
    <row r="255" spans="1:29" ht="25.5">
      <c r="A255" s="19"/>
      <c r="B255" s="443" t="s">
        <v>312</v>
      </c>
      <c r="C255" s="28">
        <f t="shared" si="44"/>
        <v>1141.69</v>
      </c>
      <c r="D255" s="28"/>
      <c r="E255" s="28">
        <f t="shared" si="45"/>
        <v>74.69</v>
      </c>
      <c r="F255" s="28">
        <f t="shared" si="46"/>
        <v>42.68</v>
      </c>
      <c r="G255" s="28">
        <f t="shared" si="47"/>
        <v>32.01</v>
      </c>
      <c r="H255" s="28">
        <f t="shared" si="39"/>
        <v>1067</v>
      </c>
      <c r="I255" s="28"/>
      <c r="J255" s="348"/>
      <c r="K255" s="348"/>
      <c r="L255" s="348"/>
      <c r="M255" s="348"/>
      <c r="N255" s="348"/>
      <c r="O255" s="28">
        <v>76176</v>
      </c>
      <c r="P255" s="28">
        <v>77243</v>
      </c>
      <c r="Q255" s="61"/>
      <c r="R255" s="71"/>
      <c r="S255" s="28">
        <v>1</v>
      </c>
      <c r="T255" s="28">
        <f>P255-O255</f>
        <v>1067</v>
      </c>
      <c r="U255" s="31">
        <v>3092</v>
      </c>
      <c r="V255" s="676" t="s">
        <v>313</v>
      </c>
      <c r="W255" s="14" t="s">
        <v>48</v>
      </c>
      <c r="X255" s="7"/>
      <c r="Y255" s="7"/>
      <c r="Z255" s="7"/>
      <c r="AA255" s="7"/>
      <c r="AB255" s="7"/>
      <c r="AC255" s="7"/>
    </row>
    <row r="256" spans="1:29" ht="25.5">
      <c r="A256" s="19"/>
      <c r="B256" s="27" t="s">
        <v>314</v>
      </c>
      <c r="C256" s="382">
        <f t="shared" si="44"/>
        <v>988.68000000000006</v>
      </c>
      <c r="D256" s="382"/>
      <c r="E256" s="382">
        <f t="shared" si="45"/>
        <v>64.680000000000007</v>
      </c>
      <c r="F256" s="382">
        <f t="shared" si="46"/>
        <v>36.96</v>
      </c>
      <c r="G256" s="382">
        <f t="shared" si="47"/>
        <v>27.72</v>
      </c>
      <c r="H256" s="382">
        <f t="shared" si="39"/>
        <v>924</v>
      </c>
      <c r="I256" s="382"/>
      <c r="J256" s="29"/>
      <c r="K256" s="29"/>
      <c r="L256" s="29"/>
      <c r="M256" s="29"/>
      <c r="N256" s="29"/>
      <c r="O256" s="382">
        <v>55411</v>
      </c>
      <c r="P256" s="382">
        <v>56335</v>
      </c>
      <c r="Q256" s="146"/>
      <c r="R256" s="444"/>
      <c r="S256" s="382">
        <v>1</v>
      </c>
      <c r="T256" s="382">
        <f>P256-O256</f>
        <v>924</v>
      </c>
      <c r="U256" s="31">
        <v>3370</v>
      </c>
      <c r="V256" s="676" t="s">
        <v>315</v>
      </c>
      <c r="W256" s="14" t="s">
        <v>48</v>
      </c>
      <c r="X256" s="7"/>
      <c r="Y256" s="7"/>
      <c r="Z256" s="7"/>
      <c r="AA256" s="7"/>
      <c r="AB256" s="7"/>
      <c r="AC256" s="7"/>
    </row>
    <row r="257" spans="1:29" ht="25.5">
      <c r="A257" s="19"/>
      <c r="B257" s="27" t="s">
        <v>316</v>
      </c>
      <c r="C257" s="28">
        <f t="shared" si="44"/>
        <v>277.13</v>
      </c>
      <c r="D257" s="28"/>
      <c r="E257" s="28">
        <f>F257+G257</f>
        <v>18.13</v>
      </c>
      <c r="F257" s="28">
        <f t="shared" si="46"/>
        <v>10.36</v>
      </c>
      <c r="G257" s="28">
        <f>0.03*H257</f>
        <v>7.77</v>
      </c>
      <c r="H257" s="28">
        <f>T257</f>
        <v>259</v>
      </c>
      <c r="I257" s="28"/>
      <c r="J257" s="29"/>
      <c r="K257" s="29"/>
      <c r="L257" s="29"/>
      <c r="M257" s="29"/>
      <c r="N257" s="29"/>
      <c r="O257" s="28">
        <v>27284</v>
      </c>
      <c r="P257" s="28">
        <v>27543</v>
      </c>
      <c r="Q257" s="146"/>
      <c r="R257" s="71"/>
      <c r="S257" s="28">
        <v>1</v>
      </c>
      <c r="T257" s="28">
        <f>P257-O257</f>
        <v>259</v>
      </c>
      <c r="U257" s="31">
        <v>3300</v>
      </c>
      <c r="V257" s="676" t="s">
        <v>317</v>
      </c>
      <c r="W257" s="14" t="s">
        <v>48</v>
      </c>
      <c r="X257" s="7"/>
      <c r="Y257" s="7"/>
      <c r="Z257" s="7"/>
      <c r="AA257" s="7"/>
      <c r="AB257" s="7"/>
      <c r="AC257" s="7"/>
    </row>
    <row r="258" spans="1:29" ht="25.5">
      <c r="A258" s="19"/>
      <c r="B258" s="27" t="s">
        <v>318</v>
      </c>
      <c r="C258" s="28">
        <f t="shared" si="44"/>
        <v>1037.9000000000001</v>
      </c>
      <c r="D258" s="28"/>
      <c r="E258" s="28">
        <f>F258+G258</f>
        <v>67.900000000000006</v>
      </c>
      <c r="F258" s="28">
        <f>0.04*H258</f>
        <v>38.800000000000004</v>
      </c>
      <c r="G258" s="28">
        <f>0.03*H258</f>
        <v>29.099999999999998</v>
      </c>
      <c r="H258" s="28">
        <f>T258</f>
        <v>970</v>
      </c>
      <c r="I258" s="28"/>
      <c r="J258" s="29"/>
      <c r="K258" s="29"/>
      <c r="L258" s="29"/>
      <c r="M258" s="29"/>
      <c r="N258" s="29"/>
      <c r="O258" s="28">
        <v>80057</v>
      </c>
      <c r="P258" s="28">
        <v>81027</v>
      </c>
      <c r="Q258" s="146"/>
      <c r="R258" s="71"/>
      <c r="S258" s="28">
        <v>1</v>
      </c>
      <c r="T258" s="28">
        <f>P258-O258</f>
        <v>970</v>
      </c>
      <c r="U258" s="31">
        <v>3920</v>
      </c>
      <c r="V258" s="676" t="s">
        <v>317</v>
      </c>
      <c r="W258" s="14" t="s">
        <v>48</v>
      </c>
      <c r="X258" s="7"/>
      <c r="Y258" s="7"/>
      <c r="Z258" s="7"/>
      <c r="AA258" s="7"/>
      <c r="AB258" s="7"/>
      <c r="AC258" s="7"/>
    </row>
    <row r="259" spans="1:29" ht="25.5">
      <c r="A259" s="19"/>
      <c r="B259" s="27" t="s">
        <v>319</v>
      </c>
      <c r="C259" s="28">
        <f t="shared" si="44"/>
        <v>1158.81</v>
      </c>
      <c r="D259" s="28"/>
      <c r="E259" s="28">
        <f>F259+G259</f>
        <v>75.81</v>
      </c>
      <c r="F259" s="28">
        <f t="shared" si="46"/>
        <v>43.32</v>
      </c>
      <c r="G259" s="28">
        <f t="shared" si="47"/>
        <v>32.49</v>
      </c>
      <c r="H259" s="28">
        <f t="shared" si="39"/>
        <v>1083</v>
      </c>
      <c r="I259" s="28"/>
      <c r="J259" s="29"/>
      <c r="K259" s="29"/>
      <c r="L259" s="29"/>
      <c r="M259" s="29"/>
      <c r="N259" s="29"/>
      <c r="O259" s="28">
        <v>110990</v>
      </c>
      <c r="P259" s="28">
        <v>112073</v>
      </c>
      <c r="Q259" s="146"/>
      <c r="R259" s="71"/>
      <c r="S259" s="28">
        <v>1</v>
      </c>
      <c r="T259" s="28">
        <f>P259-O259</f>
        <v>1083</v>
      </c>
      <c r="U259" s="31">
        <v>3665</v>
      </c>
      <c r="V259" s="676" t="s">
        <v>320</v>
      </c>
      <c r="W259" s="14" t="s">
        <v>82</v>
      </c>
      <c r="X259" s="7"/>
      <c r="Y259" s="7"/>
      <c r="Z259" s="7"/>
      <c r="AA259" s="7"/>
      <c r="AB259" s="7"/>
      <c r="AC259" s="7"/>
    </row>
    <row r="260" spans="1:29" ht="25.5">
      <c r="A260" s="19"/>
      <c r="B260" s="27" t="s">
        <v>321</v>
      </c>
      <c r="C260" s="28">
        <f t="shared" si="44"/>
        <v>1068.93</v>
      </c>
      <c r="D260" s="28"/>
      <c r="E260" s="28">
        <f t="shared" si="45"/>
        <v>69.930000000000007</v>
      </c>
      <c r="F260" s="28">
        <f t="shared" si="46"/>
        <v>39.96</v>
      </c>
      <c r="G260" s="28">
        <f t="shared" si="47"/>
        <v>29.97</v>
      </c>
      <c r="H260" s="28">
        <f t="shared" si="39"/>
        <v>999</v>
      </c>
      <c r="I260" s="28">
        <f t="shared" ref="I260:I273" si="49">0.6*C260</f>
        <v>641.35800000000006</v>
      </c>
      <c r="J260" s="29"/>
      <c r="K260" s="29"/>
      <c r="L260" s="29"/>
      <c r="M260" s="29"/>
      <c r="N260" s="29"/>
      <c r="O260" s="445">
        <v>18115</v>
      </c>
      <c r="P260" s="445">
        <v>19114</v>
      </c>
      <c r="Q260" s="29"/>
      <c r="R260" s="348"/>
      <c r="S260" s="54">
        <v>1</v>
      </c>
      <c r="T260" s="28">
        <f t="shared" ref="T260:T273" si="50">(P260-O260)*S260</f>
        <v>999</v>
      </c>
      <c r="U260" s="31">
        <v>34431</v>
      </c>
      <c r="V260" s="676" t="s">
        <v>322</v>
      </c>
      <c r="W260" s="14" t="s">
        <v>82</v>
      </c>
      <c r="X260" s="7"/>
      <c r="Y260" s="7"/>
      <c r="Z260" s="7"/>
      <c r="AA260" s="7"/>
      <c r="AB260" s="7"/>
      <c r="AC260" s="7"/>
    </row>
    <row r="261" spans="1:29" ht="25.5">
      <c r="A261" s="19"/>
      <c r="B261" s="446" t="s">
        <v>323</v>
      </c>
      <c r="C261" s="28">
        <f t="shared" si="44"/>
        <v>1276.51</v>
      </c>
      <c r="D261" s="28"/>
      <c r="E261" s="28">
        <f t="shared" si="45"/>
        <v>83.509999999999991</v>
      </c>
      <c r="F261" s="28">
        <f t="shared" si="46"/>
        <v>47.72</v>
      </c>
      <c r="G261" s="28">
        <f t="shared" si="47"/>
        <v>35.79</v>
      </c>
      <c r="H261" s="28">
        <f t="shared" si="39"/>
        <v>1193</v>
      </c>
      <c r="I261" s="28">
        <f t="shared" si="49"/>
        <v>765.90599999999995</v>
      </c>
      <c r="J261" s="29"/>
      <c r="K261" s="29"/>
      <c r="L261" s="29"/>
      <c r="M261" s="29"/>
      <c r="N261" s="29"/>
      <c r="O261" s="445">
        <v>64617</v>
      </c>
      <c r="P261" s="445">
        <v>65810</v>
      </c>
      <c r="Q261" s="29"/>
      <c r="R261" s="348"/>
      <c r="S261" s="54">
        <v>1</v>
      </c>
      <c r="T261" s="28">
        <f>(P261-O261)*S261</f>
        <v>1193</v>
      </c>
      <c r="U261" s="31">
        <v>6272</v>
      </c>
      <c r="V261" s="676" t="s">
        <v>324</v>
      </c>
      <c r="W261" s="14" t="s">
        <v>82</v>
      </c>
      <c r="X261" s="7"/>
      <c r="Y261" s="7"/>
      <c r="Z261" s="7"/>
      <c r="AA261" s="7"/>
      <c r="AB261" s="7"/>
      <c r="AC261" s="7"/>
    </row>
    <row r="262" spans="1:29" ht="54.75" customHeight="1">
      <c r="A262" s="19"/>
      <c r="B262" s="27" t="s">
        <v>292</v>
      </c>
      <c r="C262" s="28">
        <f t="shared" si="44"/>
        <v>649.49</v>
      </c>
      <c r="D262" s="28"/>
      <c r="E262" s="28">
        <f t="shared" si="45"/>
        <v>42.49</v>
      </c>
      <c r="F262" s="28">
        <f t="shared" si="46"/>
        <v>24.28</v>
      </c>
      <c r="G262" s="28">
        <f t="shared" si="47"/>
        <v>18.21</v>
      </c>
      <c r="H262" s="28">
        <f t="shared" si="39"/>
        <v>607</v>
      </c>
      <c r="I262" s="28">
        <f t="shared" si="49"/>
        <v>389.69400000000002</v>
      </c>
      <c r="J262" s="29"/>
      <c r="K262" s="29"/>
      <c r="L262" s="29"/>
      <c r="M262" s="29"/>
      <c r="N262" s="29"/>
      <c r="O262" s="445">
        <v>31680</v>
      </c>
      <c r="P262" s="445">
        <v>32287</v>
      </c>
      <c r="Q262" s="29"/>
      <c r="R262" s="348"/>
      <c r="S262" s="54">
        <v>1</v>
      </c>
      <c r="T262" s="28">
        <f>(P262-O262)*S262</f>
        <v>607</v>
      </c>
      <c r="U262" s="447">
        <v>6090</v>
      </c>
      <c r="V262" s="676" t="s">
        <v>325</v>
      </c>
      <c r="W262" s="14" t="s">
        <v>82</v>
      </c>
      <c r="X262" s="7"/>
      <c r="Y262" s="7"/>
      <c r="Z262" s="7"/>
      <c r="AA262" s="7"/>
      <c r="AB262" s="7"/>
      <c r="AC262" s="7"/>
    </row>
    <row r="263" spans="1:29" ht="25.5">
      <c r="A263" s="19"/>
      <c r="B263" s="83" t="s">
        <v>749</v>
      </c>
      <c r="C263" s="28">
        <f t="shared" si="44"/>
        <v>833.53</v>
      </c>
      <c r="D263" s="28"/>
      <c r="E263" s="28">
        <f t="shared" si="45"/>
        <v>54.53</v>
      </c>
      <c r="F263" s="28">
        <f t="shared" si="46"/>
        <v>31.16</v>
      </c>
      <c r="G263" s="28">
        <f t="shared" si="47"/>
        <v>23.369999999999997</v>
      </c>
      <c r="H263" s="28">
        <f t="shared" si="39"/>
        <v>779</v>
      </c>
      <c r="I263" s="28">
        <f t="shared" si="49"/>
        <v>500.11799999999994</v>
      </c>
      <c r="J263" s="29"/>
      <c r="K263" s="29"/>
      <c r="L263" s="29"/>
      <c r="M263" s="29"/>
      <c r="N263" s="29"/>
      <c r="O263" s="445">
        <v>36785</v>
      </c>
      <c r="P263" s="445">
        <v>37564</v>
      </c>
      <c r="Q263" s="29"/>
      <c r="R263" s="348"/>
      <c r="S263" s="54">
        <v>1</v>
      </c>
      <c r="T263" s="28">
        <f t="shared" si="50"/>
        <v>779</v>
      </c>
      <c r="U263" s="31"/>
      <c r="V263" s="676" t="s">
        <v>326</v>
      </c>
      <c r="W263" s="14" t="s">
        <v>82</v>
      </c>
      <c r="X263" s="7"/>
      <c r="Y263" s="7"/>
      <c r="Z263" s="7"/>
      <c r="AA263" s="7"/>
      <c r="AB263" s="7"/>
      <c r="AC263" s="7"/>
    </row>
    <row r="264" spans="1:29" ht="25.5">
      <c r="A264" s="19"/>
      <c r="B264" s="446" t="s">
        <v>693</v>
      </c>
      <c r="C264" s="84">
        <f t="shared" si="44"/>
        <v>1067.8599999999999</v>
      </c>
      <c r="D264" s="84"/>
      <c r="E264" s="84">
        <f t="shared" si="45"/>
        <v>69.86</v>
      </c>
      <c r="F264" s="84">
        <f t="shared" si="46"/>
        <v>39.92</v>
      </c>
      <c r="G264" s="84">
        <f t="shared" si="47"/>
        <v>29.939999999999998</v>
      </c>
      <c r="H264" s="84">
        <f t="shared" si="39"/>
        <v>998</v>
      </c>
      <c r="I264" s="84">
        <f t="shared" si="49"/>
        <v>640.71599999999989</v>
      </c>
      <c r="J264" s="130"/>
      <c r="K264" s="130"/>
      <c r="L264" s="130"/>
      <c r="M264" s="130"/>
      <c r="N264" s="130"/>
      <c r="O264" s="84">
        <v>61299</v>
      </c>
      <c r="P264" s="84">
        <v>62297</v>
      </c>
      <c r="Q264" s="130"/>
      <c r="R264" s="385"/>
      <c r="S264" s="156">
        <v>1</v>
      </c>
      <c r="T264" s="84">
        <f t="shared" si="50"/>
        <v>998</v>
      </c>
      <c r="U264" s="88">
        <v>6088</v>
      </c>
      <c r="V264" s="89" t="s">
        <v>327</v>
      </c>
      <c r="W264" s="14" t="s">
        <v>82</v>
      </c>
      <c r="X264" s="7"/>
      <c r="Y264" s="7"/>
      <c r="Z264" s="7"/>
      <c r="AA264" s="7"/>
      <c r="AB264" s="7"/>
      <c r="AC264" s="7"/>
    </row>
    <row r="265" spans="1:29" ht="25.5">
      <c r="A265" s="194"/>
      <c r="B265" s="363" t="s">
        <v>908</v>
      </c>
      <c r="C265" s="28">
        <f t="shared" si="44"/>
        <v>1432.73</v>
      </c>
      <c r="D265" s="28"/>
      <c r="E265" s="28">
        <f t="shared" si="45"/>
        <v>93.73</v>
      </c>
      <c r="F265" s="28">
        <f t="shared" si="46"/>
        <v>53.56</v>
      </c>
      <c r="G265" s="28">
        <f t="shared" si="47"/>
        <v>40.17</v>
      </c>
      <c r="H265" s="28">
        <f t="shared" si="39"/>
        <v>1339</v>
      </c>
      <c r="I265" s="28">
        <f t="shared" si="49"/>
        <v>859.63800000000003</v>
      </c>
      <c r="J265" s="29"/>
      <c r="K265" s="29"/>
      <c r="L265" s="29"/>
      <c r="M265" s="29"/>
      <c r="N265" s="29"/>
      <c r="O265" s="445">
        <v>73632</v>
      </c>
      <c r="P265" s="445">
        <v>74971</v>
      </c>
      <c r="Q265" s="29"/>
      <c r="R265" s="348"/>
      <c r="S265" s="54">
        <v>1</v>
      </c>
      <c r="T265" s="28">
        <f t="shared" si="50"/>
        <v>1339</v>
      </c>
      <c r="U265" s="31">
        <v>6209</v>
      </c>
      <c r="V265" s="676" t="s">
        <v>811</v>
      </c>
      <c r="W265" s="14" t="s">
        <v>82</v>
      </c>
      <c r="X265" s="7"/>
      <c r="Y265" s="7"/>
      <c r="Z265" s="7"/>
      <c r="AA265" s="7"/>
      <c r="AB265" s="7"/>
      <c r="AC265" s="7"/>
    </row>
    <row r="266" spans="1:29" ht="25.5">
      <c r="A266" s="19"/>
      <c r="B266" s="27" t="s">
        <v>909</v>
      </c>
      <c r="C266" s="28">
        <f t="shared" si="44"/>
        <v>833.53</v>
      </c>
      <c r="D266" s="28"/>
      <c r="E266" s="28">
        <f>F266+G266</f>
        <v>54.53</v>
      </c>
      <c r="F266" s="28">
        <f>0.04*H266</f>
        <v>31.16</v>
      </c>
      <c r="G266" s="28">
        <f>0.03*H266</f>
        <v>23.369999999999997</v>
      </c>
      <c r="H266" s="28">
        <f>T266</f>
        <v>779</v>
      </c>
      <c r="I266" s="28">
        <f>0.5*C266</f>
        <v>416.76499999999999</v>
      </c>
      <c r="J266" s="29"/>
      <c r="K266" s="29"/>
      <c r="L266" s="29"/>
      <c r="M266" s="29"/>
      <c r="N266" s="29"/>
      <c r="O266" s="414">
        <v>16698</v>
      </c>
      <c r="P266" s="414">
        <v>17477</v>
      </c>
      <c r="Q266" s="146"/>
      <c r="R266" s="147"/>
      <c r="S266" s="54">
        <v>1</v>
      </c>
      <c r="T266" s="28">
        <f>(P266-O266)*S266</f>
        <v>779</v>
      </c>
      <c r="U266" s="31">
        <v>4369</v>
      </c>
      <c r="V266" s="676" t="s">
        <v>381</v>
      </c>
      <c r="W266" s="14" t="s">
        <v>82</v>
      </c>
      <c r="X266" s="7"/>
      <c r="Y266" s="7"/>
      <c r="Z266" s="7"/>
      <c r="AA266" s="7"/>
      <c r="AB266" s="7"/>
      <c r="AC266" s="7"/>
    </row>
    <row r="267" spans="1:29" ht="25.5">
      <c r="A267" s="19"/>
      <c r="B267" s="27" t="s">
        <v>329</v>
      </c>
      <c r="C267" s="28">
        <f t="shared" si="44"/>
        <v>1053.95</v>
      </c>
      <c r="D267" s="28"/>
      <c r="E267" s="28">
        <f t="shared" si="45"/>
        <v>68.949999999999989</v>
      </c>
      <c r="F267" s="28">
        <f t="shared" si="46"/>
        <v>39.4</v>
      </c>
      <c r="G267" s="28">
        <f t="shared" si="47"/>
        <v>29.549999999999997</v>
      </c>
      <c r="H267" s="28">
        <f t="shared" si="39"/>
        <v>985</v>
      </c>
      <c r="I267" s="28">
        <f t="shared" si="49"/>
        <v>632.37</v>
      </c>
      <c r="J267" s="29"/>
      <c r="K267" s="29"/>
      <c r="L267" s="29"/>
      <c r="M267" s="29"/>
      <c r="N267" s="29"/>
      <c r="O267" s="445">
        <v>63767</v>
      </c>
      <c r="P267" s="445">
        <v>64752</v>
      </c>
      <c r="Q267" s="29"/>
      <c r="R267" s="348"/>
      <c r="S267" s="54">
        <v>1</v>
      </c>
      <c r="T267" s="28">
        <f t="shared" si="50"/>
        <v>985</v>
      </c>
      <c r="U267" s="31"/>
      <c r="V267" s="676" t="s">
        <v>330</v>
      </c>
      <c r="W267" s="14" t="s">
        <v>82</v>
      </c>
      <c r="X267" s="7"/>
      <c r="Y267" s="7"/>
      <c r="Z267" s="7"/>
      <c r="AA267" s="7"/>
      <c r="AB267" s="7"/>
      <c r="AC267" s="7"/>
    </row>
    <row r="268" spans="1:29" ht="25.5">
      <c r="A268" s="19"/>
      <c r="B268" s="27" t="s">
        <v>331</v>
      </c>
      <c r="C268" s="28">
        <f t="shared" si="44"/>
        <v>770.4</v>
      </c>
      <c r="D268" s="28"/>
      <c r="E268" s="28">
        <f t="shared" si="45"/>
        <v>50.4</v>
      </c>
      <c r="F268" s="28">
        <f t="shared" si="46"/>
        <v>28.8</v>
      </c>
      <c r="G268" s="28">
        <f t="shared" si="47"/>
        <v>21.599999999999998</v>
      </c>
      <c r="H268" s="28">
        <f t="shared" si="39"/>
        <v>720</v>
      </c>
      <c r="I268" s="28">
        <f t="shared" si="49"/>
        <v>462.23999999999995</v>
      </c>
      <c r="J268" s="29"/>
      <c r="K268" s="29"/>
      <c r="L268" s="29"/>
      <c r="M268" s="29"/>
      <c r="N268" s="29"/>
      <c r="O268" s="445">
        <v>37650</v>
      </c>
      <c r="P268" s="445">
        <v>38370</v>
      </c>
      <c r="Q268" s="29"/>
      <c r="R268" s="348"/>
      <c r="S268" s="54">
        <v>1</v>
      </c>
      <c r="T268" s="28">
        <f t="shared" si="50"/>
        <v>720</v>
      </c>
      <c r="U268" s="31"/>
      <c r="V268" s="676" t="s">
        <v>332</v>
      </c>
      <c r="W268" s="14" t="s">
        <v>82</v>
      </c>
      <c r="X268" s="7"/>
      <c r="Y268" s="7"/>
      <c r="Z268" s="7"/>
      <c r="AA268" s="7"/>
      <c r="AB268" s="7"/>
      <c r="AC268" s="7"/>
    </row>
    <row r="269" spans="1:29" ht="25.5">
      <c r="A269" s="19"/>
      <c r="B269" s="27"/>
      <c r="C269" s="28"/>
      <c r="D269" s="28"/>
      <c r="E269" s="28"/>
      <c r="F269" s="28"/>
      <c r="G269" s="28"/>
      <c r="H269" s="28"/>
      <c r="I269" s="28"/>
      <c r="J269" s="29"/>
      <c r="K269" s="29"/>
      <c r="L269" s="29"/>
      <c r="M269" s="29"/>
      <c r="N269" s="29"/>
      <c r="O269" s="28"/>
      <c r="P269" s="28"/>
      <c r="Q269" s="29"/>
      <c r="R269" s="348"/>
      <c r="S269" s="54"/>
      <c r="T269" s="28"/>
      <c r="U269" s="31"/>
      <c r="V269" s="676"/>
      <c r="W269" s="14"/>
      <c r="X269" s="7"/>
      <c r="Y269" s="7"/>
      <c r="Z269" s="7"/>
      <c r="AA269" s="7"/>
      <c r="AB269" s="7"/>
      <c r="AC269" s="7"/>
    </row>
    <row r="270" spans="1:29" ht="25.5">
      <c r="A270" s="19"/>
      <c r="B270" s="363" t="s">
        <v>910</v>
      </c>
      <c r="C270" s="28">
        <f>H270+E270</f>
        <v>27.82</v>
      </c>
      <c r="D270" s="28"/>
      <c r="E270" s="28">
        <f t="shared" si="45"/>
        <v>1.82</v>
      </c>
      <c r="F270" s="28">
        <f t="shared" si="46"/>
        <v>1.04</v>
      </c>
      <c r="G270" s="28">
        <f t="shared" si="47"/>
        <v>0.78</v>
      </c>
      <c r="H270" s="28">
        <f t="shared" si="39"/>
        <v>26</v>
      </c>
      <c r="I270" s="28">
        <f t="shared" si="49"/>
        <v>16.692</v>
      </c>
      <c r="J270" s="29"/>
      <c r="K270" s="29"/>
      <c r="L270" s="29"/>
      <c r="M270" s="29"/>
      <c r="N270" s="29"/>
      <c r="O270" s="28">
        <v>376761</v>
      </c>
      <c r="P270" s="28">
        <v>376787</v>
      </c>
      <c r="Q270" s="29" t="s">
        <v>33</v>
      </c>
      <c r="R270" s="348"/>
      <c r="S270" s="28">
        <v>1</v>
      </c>
      <c r="T270" s="28">
        <f t="shared" si="50"/>
        <v>26</v>
      </c>
      <c r="U270" s="31" t="s">
        <v>334</v>
      </c>
      <c r="V270" s="676" t="s">
        <v>812</v>
      </c>
      <c r="W270" s="14" t="s">
        <v>57</v>
      </c>
      <c r="X270" s="7"/>
      <c r="Y270" s="7"/>
      <c r="Z270" s="7"/>
      <c r="AA270" s="7"/>
      <c r="AB270" s="7"/>
      <c r="AC270" s="7"/>
    </row>
    <row r="271" spans="1:29" ht="25.5">
      <c r="A271" s="19"/>
      <c r="B271" s="448" t="s">
        <v>399</v>
      </c>
      <c r="C271" s="84">
        <f t="shared" ref="C271" si="51">H271+E271</f>
        <v>0</v>
      </c>
      <c r="D271" s="84"/>
      <c r="E271" s="84">
        <f t="shared" si="45"/>
        <v>0</v>
      </c>
      <c r="F271" s="84">
        <f t="shared" si="46"/>
        <v>0</v>
      </c>
      <c r="G271" s="84">
        <f t="shared" si="47"/>
        <v>0</v>
      </c>
      <c r="H271" s="84">
        <f t="shared" si="39"/>
        <v>0</v>
      </c>
      <c r="I271" s="84">
        <f t="shared" si="49"/>
        <v>0</v>
      </c>
      <c r="J271" s="130"/>
      <c r="K271" s="130"/>
      <c r="L271" s="130"/>
      <c r="M271" s="130"/>
      <c r="N271" s="130"/>
      <c r="O271" s="84">
        <v>38296</v>
      </c>
      <c r="P271" s="84">
        <v>38296</v>
      </c>
      <c r="Q271" s="389"/>
      <c r="R271" s="390"/>
      <c r="S271" s="156">
        <v>1</v>
      </c>
      <c r="T271" s="84">
        <f>(P271-O271)*S271</f>
        <v>0</v>
      </c>
      <c r="U271" s="88"/>
      <c r="V271" s="89" t="s">
        <v>400</v>
      </c>
      <c r="W271" s="14"/>
      <c r="X271" s="7"/>
      <c r="Y271" s="7"/>
      <c r="Z271" s="7"/>
      <c r="AA271" s="7"/>
      <c r="AB271" s="7"/>
      <c r="AC271" s="7"/>
    </row>
    <row r="272" spans="1:29" ht="27.75" customHeight="1">
      <c r="A272" s="19"/>
      <c r="B272" s="148"/>
      <c r="C272" s="91"/>
      <c r="D272" s="91"/>
      <c r="E272" s="91"/>
      <c r="F272" s="91"/>
      <c r="G272" s="91"/>
      <c r="H272" s="91"/>
      <c r="I272" s="91"/>
      <c r="J272" s="22"/>
      <c r="K272" s="22"/>
      <c r="L272" s="22"/>
      <c r="M272" s="22"/>
      <c r="N272" s="22"/>
      <c r="O272" s="91"/>
      <c r="P272" s="91"/>
      <c r="Q272" s="122"/>
      <c r="R272" s="173"/>
      <c r="S272" s="91"/>
      <c r="T272" s="91"/>
      <c r="U272" s="95"/>
      <c r="V272" s="673"/>
      <c r="W272" s="14" t="s">
        <v>57</v>
      </c>
      <c r="X272" s="7"/>
      <c r="Y272" s="7"/>
      <c r="Z272" s="7"/>
      <c r="AA272" s="7"/>
      <c r="AB272" s="7"/>
      <c r="AC272" s="7"/>
    </row>
    <row r="273" spans="1:29" ht="51" customHeight="1">
      <c r="A273" s="19"/>
      <c r="B273" s="494" t="s">
        <v>911</v>
      </c>
      <c r="C273" s="219">
        <v>50</v>
      </c>
      <c r="D273" s="219"/>
      <c r="E273" s="219">
        <f t="shared" si="45"/>
        <v>0</v>
      </c>
      <c r="F273" s="219">
        <f t="shared" si="46"/>
        <v>0</v>
      </c>
      <c r="G273" s="219">
        <f t="shared" si="47"/>
        <v>0</v>
      </c>
      <c r="H273" s="219">
        <v>0</v>
      </c>
      <c r="I273" s="219">
        <f t="shared" si="49"/>
        <v>30</v>
      </c>
      <c r="J273" s="220"/>
      <c r="K273" s="220"/>
      <c r="L273" s="220"/>
      <c r="M273" s="220"/>
      <c r="N273" s="220"/>
      <c r="O273" s="514"/>
      <c r="P273" s="514"/>
      <c r="Q273" s="515"/>
      <c r="R273" s="516"/>
      <c r="S273" s="514"/>
      <c r="T273" s="219">
        <f t="shared" si="50"/>
        <v>0</v>
      </c>
      <c r="U273" s="221" t="s">
        <v>336</v>
      </c>
      <c r="V273" s="222" t="s">
        <v>337</v>
      </c>
      <c r="W273" s="14"/>
      <c r="X273" s="7"/>
      <c r="Y273" s="7"/>
      <c r="Z273" s="7"/>
      <c r="AA273" s="7"/>
      <c r="AB273" s="7"/>
      <c r="AC273" s="7"/>
    </row>
    <row r="274" spans="1:29" ht="26.25">
      <c r="A274" s="19"/>
      <c r="B274" s="201"/>
      <c r="C274" s="202"/>
      <c r="D274" s="202"/>
      <c r="E274" s="202"/>
      <c r="F274" s="202"/>
      <c r="G274" s="202"/>
      <c r="H274" s="202"/>
      <c r="I274" s="202"/>
      <c r="J274" s="203"/>
      <c r="K274" s="203"/>
      <c r="L274" s="203"/>
      <c r="M274" s="203"/>
      <c r="N274" s="203"/>
      <c r="O274" s="204"/>
      <c r="P274" s="204"/>
      <c r="Q274" s="203"/>
      <c r="R274" s="205"/>
      <c r="S274" s="202"/>
      <c r="T274" s="206"/>
      <c r="U274" s="95"/>
      <c r="V274" s="673"/>
      <c r="W274" s="14"/>
      <c r="X274" s="7"/>
      <c r="Y274" s="7"/>
      <c r="Z274" s="7"/>
      <c r="AA274" s="7"/>
      <c r="AB274" s="7"/>
      <c r="AC274" s="7"/>
    </row>
    <row r="275" spans="1:29" ht="26.25">
      <c r="A275" s="19"/>
      <c r="B275" s="207"/>
      <c r="C275" s="202"/>
      <c r="D275" s="202"/>
      <c r="E275" s="208"/>
      <c r="F275" s="202"/>
      <c r="G275" s="202"/>
      <c r="H275" s="202"/>
      <c r="I275" s="202"/>
      <c r="J275" s="203"/>
      <c r="K275" s="203"/>
      <c r="L275" s="203"/>
      <c r="M275" s="203"/>
      <c r="N275" s="203"/>
      <c r="O275" s="204"/>
      <c r="P275" s="204"/>
      <c r="Q275" s="203"/>
      <c r="R275" s="205"/>
      <c r="S275" s="202"/>
      <c r="T275" s="206"/>
      <c r="U275" s="95"/>
      <c r="V275" s="673"/>
      <c r="W275" s="14"/>
      <c r="X275" s="7"/>
      <c r="Y275" s="7"/>
      <c r="Z275" s="7"/>
      <c r="AA275" s="7"/>
      <c r="AB275" s="7"/>
      <c r="AC275" s="7"/>
    </row>
    <row r="276" spans="1:29" ht="26.25">
      <c r="A276" s="19"/>
      <c r="B276" s="209"/>
      <c r="C276" s="115"/>
      <c r="D276" s="115"/>
      <c r="E276" s="112"/>
      <c r="F276" s="115"/>
      <c r="G276" s="115"/>
      <c r="H276" s="115"/>
      <c r="I276" s="115"/>
      <c r="J276" s="164"/>
      <c r="K276" s="164"/>
      <c r="L276" s="164"/>
      <c r="M276" s="164"/>
      <c r="N276" s="164"/>
      <c r="O276" s="210"/>
      <c r="P276" s="210"/>
      <c r="Q276" s="149"/>
      <c r="R276" s="211"/>
      <c r="S276" s="115"/>
      <c r="T276" s="91"/>
      <c r="U276" s="95"/>
      <c r="V276" s="673"/>
      <c r="W276" s="14"/>
      <c r="X276" s="7"/>
      <c r="Y276" s="7"/>
      <c r="Z276" s="7"/>
      <c r="AA276" s="7"/>
      <c r="AB276" s="7"/>
      <c r="AC276" s="7"/>
    </row>
    <row r="277" spans="1:29" ht="26.25">
      <c r="A277" s="19"/>
      <c r="B277" s="680" t="s">
        <v>338</v>
      </c>
      <c r="C277" s="681">
        <f>'Яблоко и ТП-7февраль    '!B73</f>
        <v>95750.07999999437</v>
      </c>
      <c r="D277" s="72"/>
      <c r="E277" s="682"/>
      <c r="F277" s="72"/>
      <c r="G277" s="72"/>
      <c r="H277" s="72"/>
      <c r="I277" s="72"/>
      <c r="J277" s="81"/>
      <c r="K277" s="81"/>
      <c r="L277" s="81"/>
      <c r="M277" s="81"/>
      <c r="N277" s="81"/>
      <c r="O277" s="683"/>
      <c r="P277" s="683"/>
      <c r="Q277" s="146"/>
      <c r="R277" s="165"/>
      <c r="S277" s="171"/>
      <c r="T277" s="28"/>
      <c r="U277" s="31"/>
      <c r="V277" s="676"/>
      <c r="W277" s="14" t="s">
        <v>82</v>
      </c>
      <c r="X277" s="7"/>
      <c r="Y277" s="7"/>
      <c r="Z277" s="7"/>
      <c r="AA277" s="7"/>
      <c r="AB277" s="7"/>
      <c r="AC277" s="7"/>
    </row>
    <row r="278" spans="1:29" ht="26.25">
      <c r="A278" s="19"/>
      <c r="B278" s="367" t="s">
        <v>339</v>
      </c>
      <c r="C278" s="681">
        <f>'Яблоко и ТП-7февраль    '!B62</f>
        <v>156014.79999999999</v>
      </c>
      <c r="D278" s="28"/>
      <c r="E278" s="28"/>
      <c r="F278" s="28"/>
      <c r="G278" s="28"/>
      <c r="H278" s="28"/>
      <c r="I278" s="28"/>
      <c r="J278" s="29"/>
      <c r="K278" s="29"/>
      <c r="L278" s="29"/>
      <c r="M278" s="29"/>
      <c r="N278" s="29"/>
      <c r="O278" s="28"/>
      <c r="P278" s="28"/>
      <c r="Q278" s="30"/>
      <c r="R278" s="71"/>
      <c r="S278" s="54"/>
      <c r="T278" s="28"/>
      <c r="U278" s="31"/>
      <c r="V278" s="676" t="s">
        <v>82</v>
      </c>
      <c r="W278" s="14" t="s">
        <v>82</v>
      </c>
      <c r="X278" s="7"/>
      <c r="Y278" s="7"/>
      <c r="Z278" s="7"/>
      <c r="AA278" s="7"/>
      <c r="AB278" s="7"/>
      <c r="AC278" s="7"/>
    </row>
    <row r="279" spans="1:29" ht="46.5">
      <c r="A279" s="19"/>
      <c r="B279" s="363" t="s">
        <v>340</v>
      </c>
      <c r="C279" s="28">
        <f t="shared" ref="C279:C284" si="52">H279+E279</f>
        <v>409.81</v>
      </c>
      <c r="D279" s="28"/>
      <c r="E279" s="28">
        <f>G279+F279</f>
        <v>26.810000000000002</v>
      </c>
      <c r="F279" s="28">
        <f t="shared" ref="F279:F284" si="53">0.04*H279</f>
        <v>15.32</v>
      </c>
      <c r="G279" s="28">
        <f t="shared" ref="G279:G284" si="54">0.03*H279</f>
        <v>11.49</v>
      </c>
      <c r="H279" s="28">
        <f t="shared" ref="H279:H284" si="55">T279</f>
        <v>383</v>
      </c>
      <c r="I279" s="28">
        <f t="shared" ref="I279:I284" si="56">0.6*C279</f>
        <v>245.886</v>
      </c>
      <c r="J279" s="29"/>
      <c r="K279" s="29"/>
      <c r="L279" s="29"/>
      <c r="M279" s="29"/>
      <c r="N279" s="29"/>
      <c r="O279" s="28">
        <v>50407</v>
      </c>
      <c r="P279" s="28">
        <v>50790</v>
      </c>
      <c r="Q279" s="30"/>
      <c r="R279" s="71"/>
      <c r="S279" s="54">
        <v>1</v>
      </c>
      <c r="T279" s="28">
        <f>(P279-O279)*S279</f>
        <v>383</v>
      </c>
      <c r="U279" s="31" t="s">
        <v>341</v>
      </c>
      <c r="V279" s="676" t="s">
        <v>342</v>
      </c>
      <c r="W279" s="14" t="s">
        <v>57</v>
      </c>
      <c r="X279" s="7"/>
      <c r="Y279" s="7"/>
      <c r="Z279" s="7"/>
      <c r="AA279" s="7"/>
      <c r="AB279" s="7"/>
      <c r="AC279" s="7"/>
    </row>
    <row r="280" spans="1:29" ht="25.5">
      <c r="A280" s="19"/>
      <c r="B280" s="27" t="s">
        <v>343</v>
      </c>
      <c r="C280" s="28">
        <f t="shared" si="52"/>
        <v>0</v>
      </c>
      <c r="D280" s="28"/>
      <c r="E280" s="28">
        <f t="shared" ref="E280:E326" si="57">F280+G280</f>
        <v>0</v>
      </c>
      <c r="F280" s="28">
        <f t="shared" si="53"/>
        <v>0</v>
      </c>
      <c r="G280" s="28">
        <f t="shared" si="54"/>
        <v>0</v>
      </c>
      <c r="H280" s="28">
        <f t="shared" si="55"/>
        <v>0</v>
      </c>
      <c r="I280" s="28">
        <f t="shared" si="56"/>
        <v>0</v>
      </c>
      <c r="J280" s="29"/>
      <c r="K280" s="29"/>
      <c r="L280" s="29"/>
      <c r="M280" s="29"/>
      <c r="N280" s="29"/>
      <c r="O280" s="28">
        <v>19323</v>
      </c>
      <c r="P280" s="28">
        <v>19323</v>
      </c>
      <c r="Q280" s="146"/>
      <c r="R280" s="61"/>
      <c r="S280" s="54">
        <v>1</v>
      </c>
      <c r="T280" s="28">
        <f>(P280-O280)*S280</f>
        <v>0</v>
      </c>
      <c r="U280" s="31">
        <v>282335</v>
      </c>
      <c r="V280" s="676" t="s">
        <v>344</v>
      </c>
      <c r="W280" s="14" t="s">
        <v>57</v>
      </c>
      <c r="X280" s="7"/>
      <c r="Y280" s="7"/>
      <c r="Z280" s="7"/>
      <c r="AA280" s="7"/>
      <c r="AB280" s="7"/>
      <c r="AC280" s="7"/>
    </row>
    <row r="281" spans="1:29" ht="24.75" customHeight="1">
      <c r="A281" s="19"/>
      <c r="B281" s="380"/>
      <c r="C281" s="28"/>
      <c r="D281" s="28"/>
      <c r="E281" s="28"/>
      <c r="F281" s="28"/>
      <c r="G281" s="28"/>
      <c r="H281" s="28"/>
      <c r="I281" s="28"/>
      <c r="J281" s="29"/>
      <c r="K281" s="29"/>
      <c r="L281" s="29"/>
      <c r="M281" s="29"/>
      <c r="N281" s="29"/>
      <c r="O281" s="28"/>
      <c r="P281" s="28"/>
      <c r="Q281" s="146"/>
      <c r="R281" s="61"/>
      <c r="S281" s="54"/>
      <c r="T281" s="28"/>
      <c r="U281" s="31"/>
      <c r="V281" s="676"/>
      <c r="W281" s="14"/>
      <c r="X281" s="7"/>
      <c r="Y281" s="7"/>
      <c r="Z281" s="7"/>
      <c r="AA281" s="7"/>
      <c r="AB281" s="7"/>
      <c r="AC281" s="7"/>
    </row>
    <row r="282" spans="1:29" ht="25.5">
      <c r="A282" s="19"/>
      <c r="B282" s="380"/>
      <c r="C282" s="28"/>
      <c r="D282" s="28"/>
      <c r="E282" s="28"/>
      <c r="F282" s="28"/>
      <c r="G282" s="28"/>
      <c r="H282" s="28"/>
      <c r="I282" s="28"/>
      <c r="J282" s="29"/>
      <c r="K282" s="29"/>
      <c r="L282" s="29"/>
      <c r="M282" s="29"/>
      <c r="N282" s="29"/>
      <c r="O282" s="28"/>
      <c r="P282" s="28"/>
      <c r="Q282" s="146"/>
      <c r="R282" s="61"/>
      <c r="S282" s="54"/>
      <c r="T282" s="28"/>
      <c r="U282" s="31"/>
      <c r="V282" s="676"/>
      <c r="W282" s="14" t="s">
        <v>48</v>
      </c>
      <c r="X282" s="7"/>
      <c r="Y282" s="7"/>
      <c r="Z282" s="7"/>
      <c r="AA282" s="7"/>
      <c r="AB282" s="7"/>
      <c r="AC282" s="7"/>
    </row>
    <row r="283" spans="1:29" ht="25.5">
      <c r="A283" s="19"/>
      <c r="B283" s="380"/>
      <c r="C283" s="28"/>
      <c r="D283" s="28"/>
      <c r="E283" s="28"/>
      <c r="F283" s="28"/>
      <c r="G283" s="28"/>
      <c r="H283" s="28"/>
      <c r="I283" s="28"/>
      <c r="J283" s="29"/>
      <c r="K283" s="29"/>
      <c r="L283" s="29"/>
      <c r="M283" s="29"/>
      <c r="N283" s="29"/>
      <c r="O283" s="28"/>
      <c r="P283" s="28"/>
      <c r="Q283" s="146"/>
      <c r="R283" s="61"/>
      <c r="S283" s="54"/>
      <c r="T283" s="28"/>
      <c r="U283" s="31"/>
      <c r="V283" s="676"/>
      <c r="W283" s="14"/>
      <c r="X283" s="7"/>
      <c r="Y283" s="7"/>
      <c r="Z283" s="7"/>
      <c r="AA283" s="7"/>
      <c r="AB283" s="7"/>
      <c r="AC283" s="7"/>
    </row>
    <row r="284" spans="1:29" ht="25.5">
      <c r="A284" s="19"/>
      <c r="B284" s="380" t="s">
        <v>696</v>
      </c>
      <c r="C284" s="28">
        <f t="shared" si="52"/>
        <v>27.82</v>
      </c>
      <c r="D284" s="28"/>
      <c r="E284" s="28">
        <f t="shared" si="57"/>
        <v>1.82</v>
      </c>
      <c r="F284" s="28">
        <f t="shared" si="53"/>
        <v>1.04</v>
      </c>
      <c r="G284" s="28">
        <f t="shared" si="54"/>
        <v>0.78</v>
      </c>
      <c r="H284" s="28">
        <f t="shared" si="55"/>
        <v>26</v>
      </c>
      <c r="I284" s="28">
        <f t="shared" si="56"/>
        <v>16.692</v>
      </c>
      <c r="J284" s="29"/>
      <c r="K284" s="29"/>
      <c r="L284" s="29"/>
      <c r="M284" s="29"/>
      <c r="N284" s="29"/>
      <c r="O284" s="28">
        <v>13978</v>
      </c>
      <c r="P284" s="28">
        <v>14004</v>
      </c>
      <c r="Q284" s="146"/>
      <c r="R284" s="61"/>
      <c r="S284" s="54">
        <v>1</v>
      </c>
      <c r="T284" s="28">
        <f>(P284-O284)*S284</f>
        <v>26</v>
      </c>
      <c r="U284" s="31">
        <v>1507</v>
      </c>
      <c r="V284" s="676" t="s">
        <v>345</v>
      </c>
      <c r="W284" s="14" t="s">
        <v>57</v>
      </c>
      <c r="X284" s="7"/>
      <c r="Y284" s="7"/>
      <c r="Z284" s="7"/>
      <c r="AA284" s="7"/>
      <c r="AB284" s="7"/>
      <c r="AC284" s="7"/>
    </row>
    <row r="285" spans="1:29" ht="26.25">
      <c r="A285" s="19"/>
      <c r="B285" s="214" t="s">
        <v>346</v>
      </c>
      <c r="C285" s="124"/>
      <c r="D285" s="124"/>
      <c r="E285" s="124"/>
      <c r="F285" s="124"/>
      <c r="G285" s="124"/>
      <c r="H285" s="124"/>
      <c r="I285" s="97"/>
      <c r="J285" s="126"/>
      <c r="K285" s="126"/>
      <c r="L285" s="126"/>
      <c r="M285" s="126"/>
      <c r="N285" s="126"/>
      <c r="O285" s="124"/>
      <c r="P285" s="124"/>
      <c r="Q285" s="138"/>
      <c r="R285" s="215"/>
      <c r="S285" s="140"/>
      <c r="T285" s="124"/>
      <c r="U285" s="127"/>
      <c r="V285" s="128"/>
      <c r="W285" s="14"/>
      <c r="X285" s="7"/>
      <c r="Y285" s="7"/>
      <c r="Z285" s="7"/>
      <c r="AA285" s="7"/>
      <c r="AB285" s="7"/>
      <c r="AC285" s="7"/>
    </row>
    <row r="286" spans="1:29" ht="26.25">
      <c r="A286" s="19"/>
      <c r="B286" s="463"/>
      <c r="C286" s="84">
        <f>H286+E286</f>
        <v>2022.3</v>
      </c>
      <c r="D286" s="84"/>
      <c r="E286" s="84">
        <f>F286+G286</f>
        <v>132.30000000000001</v>
      </c>
      <c r="F286" s="84">
        <f>0.04*H286</f>
        <v>75.600000000000009</v>
      </c>
      <c r="G286" s="84">
        <f>0.03*H286</f>
        <v>56.699999999999996</v>
      </c>
      <c r="H286" s="84">
        <f>T286</f>
        <v>1890</v>
      </c>
      <c r="I286" s="84">
        <f>0.6*C286</f>
        <v>1213.3799999999999</v>
      </c>
      <c r="J286" s="130"/>
      <c r="K286" s="130"/>
      <c r="L286" s="130"/>
      <c r="M286" s="130"/>
      <c r="N286" s="130"/>
      <c r="O286" s="84">
        <v>94092</v>
      </c>
      <c r="P286" s="84">
        <v>95982</v>
      </c>
      <c r="Q286" s="389"/>
      <c r="R286" s="390"/>
      <c r="S286" s="156">
        <v>1</v>
      </c>
      <c r="T286" s="84">
        <f t="shared" ref="T286:T322" si="58">(P286-O286)*S286</f>
        <v>1890</v>
      </c>
      <c r="U286" s="88">
        <v>7347</v>
      </c>
      <c r="V286" s="89" t="s">
        <v>347</v>
      </c>
      <c r="W286" s="14" t="s">
        <v>82</v>
      </c>
      <c r="X286" s="7"/>
      <c r="Y286" s="7"/>
      <c r="Z286" s="7"/>
      <c r="AA286" s="7"/>
      <c r="AB286" s="7"/>
      <c r="AC286" s="7"/>
    </row>
    <row r="287" spans="1:29" ht="25.5">
      <c r="A287" s="19"/>
      <c r="B287" s="464" t="s">
        <v>348</v>
      </c>
      <c r="C287" s="84">
        <f>H287+E287</f>
        <v>1126.71</v>
      </c>
      <c r="D287" s="84"/>
      <c r="E287" s="84">
        <f>F287+G287</f>
        <v>73.709999999999994</v>
      </c>
      <c r="F287" s="84">
        <f>0.04*H287</f>
        <v>42.12</v>
      </c>
      <c r="G287" s="84">
        <f>0.03*H287</f>
        <v>31.59</v>
      </c>
      <c r="H287" s="84">
        <f>T287</f>
        <v>1053</v>
      </c>
      <c r="I287" s="84">
        <f>0.6*C287</f>
        <v>676.02599999999995</v>
      </c>
      <c r="J287" s="130"/>
      <c r="K287" s="130"/>
      <c r="L287" s="130"/>
      <c r="M287" s="130"/>
      <c r="N287" s="130"/>
      <c r="O287" s="84">
        <v>319842</v>
      </c>
      <c r="P287" s="84">
        <v>320895</v>
      </c>
      <c r="Q287" s="389"/>
      <c r="R287" s="390"/>
      <c r="S287" s="156">
        <v>1</v>
      </c>
      <c r="T287" s="84">
        <f t="shared" si="58"/>
        <v>1053</v>
      </c>
      <c r="U287" s="88">
        <v>2706</v>
      </c>
      <c r="V287" s="465" t="s">
        <v>349</v>
      </c>
      <c r="W287" s="14" t="s">
        <v>82</v>
      </c>
      <c r="X287" s="7"/>
      <c r="Y287" s="7"/>
      <c r="Z287" s="7"/>
      <c r="AA287" s="7"/>
      <c r="AB287" s="7"/>
      <c r="AC287" s="7"/>
    </row>
    <row r="288" spans="1:29" ht="25.5">
      <c r="A288" s="19"/>
      <c r="B288" s="466" t="s">
        <v>350</v>
      </c>
      <c r="C288" s="84">
        <f>H288+E288</f>
        <v>8130.93</v>
      </c>
      <c r="D288" s="84"/>
      <c r="E288" s="84">
        <f t="shared" si="57"/>
        <v>531.92999999999995</v>
      </c>
      <c r="F288" s="84">
        <f>0.04*H288</f>
        <v>303.95999999999998</v>
      </c>
      <c r="G288" s="84">
        <f>0.03*H288</f>
        <v>227.97</v>
      </c>
      <c r="H288" s="84">
        <f>T288</f>
        <v>7599</v>
      </c>
      <c r="I288" s="84">
        <f>0.6*C288</f>
        <v>4878.558</v>
      </c>
      <c r="J288" s="130"/>
      <c r="K288" s="130"/>
      <c r="L288" s="130"/>
      <c r="M288" s="130"/>
      <c r="N288" s="130"/>
      <c r="O288" s="84">
        <v>348119</v>
      </c>
      <c r="P288" s="84">
        <v>355718</v>
      </c>
      <c r="Q288" s="389"/>
      <c r="R288" s="390"/>
      <c r="S288" s="156">
        <v>1</v>
      </c>
      <c r="T288" s="84">
        <f t="shared" si="58"/>
        <v>7599</v>
      </c>
      <c r="U288" s="88">
        <v>526</v>
      </c>
      <c r="V288" s="465" t="s">
        <v>351</v>
      </c>
      <c r="W288" s="14" t="s">
        <v>82</v>
      </c>
      <c r="X288" s="7"/>
      <c r="Y288" s="7"/>
      <c r="Z288" s="7"/>
      <c r="AA288" s="7"/>
      <c r="AB288" s="7"/>
      <c r="AC288" s="7"/>
    </row>
    <row r="289" spans="1:29" ht="25.5">
      <c r="A289" s="19"/>
      <c r="B289" s="464" t="s">
        <v>352</v>
      </c>
      <c r="C289" s="84">
        <f t="shared" ref="C289:C326" si="59">H289+E289</f>
        <v>16756.2</v>
      </c>
      <c r="D289" s="84"/>
      <c r="E289" s="84">
        <f t="shared" si="57"/>
        <v>1096.1999999999998</v>
      </c>
      <c r="F289" s="84">
        <f t="shared" ref="F289:F326" si="60">0.04*H289</f>
        <v>626.4</v>
      </c>
      <c r="G289" s="84">
        <f t="shared" ref="G289:G326" si="61">0.03*H289</f>
        <v>469.79999999999995</v>
      </c>
      <c r="H289" s="84">
        <f t="shared" ref="H289:H326" si="62">T289</f>
        <v>15660</v>
      </c>
      <c r="I289" s="84">
        <f t="shared" ref="I289:I328" si="63">0.6*C289</f>
        <v>10053.719999999999</v>
      </c>
      <c r="J289" s="130"/>
      <c r="K289" s="130"/>
      <c r="L289" s="130"/>
      <c r="M289" s="130"/>
      <c r="N289" s="130"/>
      <c r="O289" s="84">
        <v>12477</v>
      </c>
      <c r="P289" s="84">
        <v>12733</v>
      </c>
      <c r="Q289" s="389"/>
      <c r="R289" s="390"/>
      <c r="S289" s="156">
        <v>60</v>
      </c>
      <c r="T289" s="84">
        <f>(P289-O289)*S289+300</f>
        <v>15660</v>
      </c>
      <c r="U289" s="88"/>
      <c r="V289" s="465" t="s">
        <v>353</v>
      </c>
      <c r="W289" s="14" t="s">
        <v>82</v>
      </c>
      <c r="X289" s="7"/>
      <c r="Y289" s="7"/>
      <c r="Z289" s="7"/>
      <c r="AA289" s="7"/>
      <c r="AB289" s="7"/>
      <c r="AC289" s="7"/>
    </row>
    <row r="290" spans="1:29" ht="25.5">
      <c r="A290" s="19"/>
      <c r="B290" s="464" t="s">
        <v>354</v>
      </c>
      <c r="C290" s="84">
        <f t="shared" si="59"/>
        <v>307.08999999999997</v>
      </c>
      <c r="D290" s="84"/>
      <c r="E290" s="84">
        <f t="shared" si="57"/>
        <v>20.09</v>
      </c>
      <c r="F290" s="84">
        <f t="shared" si="60"/>
        <v>11.48</v>
      </c>
      <c r="G290" s="84">
        <f t="shared" si="61"/>
        <v>8.61</v>
      </c>
      <c r="H290" s="84">
        <f t="shared" si="62"/>
        <v>287</v>
      </c>
      <c r="I290" s="84">
        <f t="shared" si="63"/>
        <v>184.25399999999999</v>
      </c>
      <c r="J290" s="130"/>
      <c r="K290" s="130"/>
      <c r="L290" s="130"/>
      <c r="M290" s="130"/>
      <c r="N290" s="130"/>
      <c r="O290" s="84">
        <v>124290</v>
      </c>
      <c r="P290" s="84">
        <v>124577</v>
      </c>
      <c r="Q290" s="389"/>
      <c r="R290" s="390"/>
      <c r="S290" s="156">
        <v>1</v>
      </c>
      <c r="T290" s="84">
        <f t="shared" si="58"/>
        <v>287</v>
      </c>
      <c r="U290" s="88"/>
      <c r="V290" s="678" t="s">
        <v>355</v>
      </c>
      <c r="W290" s="14" t="s">
        <v>82</v>
      </c>
      <c r="X290" s="7"/>
      <c r="Y290" s="7"/>
      <c r="Z290" s="7"/>
      <c r="AA290" s="7"/>
      <c r="AB290" s="7"/>
      <c r="AC290" s="7"/>
    </row>
    <row r="291" spans="1:29" ht="25.5">
      <c r="A291" s="19"/>
      <c r="B291" s="464" t="s">
        <v>356</v>
      </c>
      <c r="C291" s="84">
        <f t="shared" si="59"/>
        <v>646.28</v>
      </c>
      <c r="D291" s="84"/>
      <c r="E291" s="84">
        <f t="shared" si="57"/>
        <v>42.28</v>
      </c>
      <c r="F291" s="84">
        <f t="shared" si="60"/>
        <v>24.16</v>
      </c>
      <c r="G291" s="84">
        <f t="shared" si="61"/>
        <v>18.12</v>
      </c>
      <c r="H291" s="84">
        <f t="shared" si="62"/>
        <v>604</v>
      </c>
      <c r="I291" s="84">
        <f t="shared" si="63"/>
        <v>387.76799999999997</v>
      </c>
      <c r="J291" s="130"/>
      <c r="K291" s="130"/>
      <c r="L291" s="130"/>
      <c r="M291" s="130"/>
      <c r="N291" s="130"/>
      <c r="O291" s="84">
        <v>41581</v>
      </c>
      <c r="P291" s="84">
        <v>42185</v>
      </c>
      <c r="Q291" s="389"/>
      <c r="R291" s="390"/>
      <c r="S291" s="156">
        <v>1</v>
      </c>
      <c r="T291" s="84">
        <f t="shared" si="58"/>
        <v>604</v>
      </c>
      <c r="U291" s="88">
        <v>437</v>
      </c>
      <c r="V291" s="465" t="s">
        <v>357</v>
      </c>
      <c r="W291" s="14" t="s">
        <v>82</v>
      </c>
      <c r="X291" s="7"/>
      <c r="Y291" s="7"/>
      <c r="Z291" s="7"/>
      <c r="AA291" s="7"/>
      <c r="AB291" s="7"/>
      <c r="AC291" s="7"/>
    </row>
    <row r="292" spans="1:29" ht="28.5" customHeight="1">
      <c r="A292" s="19"/>
      <c r="B292" s="467" t="s">
        <v>358</v>
      </c>
      <c r="C292" s="84">
        <f t="shared" si="59"/>
        <v>0</v>
      </c>
      <c r="D292" s="84"/>
      <c r="E292" s="84">
        <f t="shared" si="57"/>
        <v>0</v>
      </c>
      <c r="F292" s="84">
        <f t="shared" si="60"/>
        <v>0</v>
      </c>
      <c r="G292" s="84">
        <f t="shared" si="61"/>
        <v>0</v>
      </c>
      <c r="H292" s="84">
        <f t="shared" si="62"/>
        <v>0</v>
      </c>
      <c r="I292" s="84">
        <f t="shared" si="63"/>
        <v>0</v>
      </c>
      <c r="J292" s="130"/>
      <c r="K292" s="130"/>
      <c r="L292" s="130"/>
      <c r="M292" s="130"/>
      <c r="N292" s="130"/>
      <c r="O292" s="84">
        <v>153727</v>
      </c>
      <c r="P292" s="84">
        <v>153727</v>
      </c>
      <c r="Q292" s="389"/>
      <c r="R292" s="390"/>
      <c r="S292" s="156">
        <v>1</v>
      </c>
      <c r="T292" s="84">
        <f t="shared" si="58"/>
        <v>0</v>
      </c>
      <c r="U292" s="88">
        <v>5006</v>
      </c>
      <c r="V292" s="465" t="s">
        <v>928</v>
      </c>
      <c r="W292" s="14" t="s">
        <v>82</v>
      </c>
      <c r="X292" s="7"/>
      <c r="Y292" s="7"/>
      <c r="Z292" s="7"/>
      <c r="AA292" s="7"/>
      <c r="AB292" s="7"/>
      <c r="AC292" s="7"/>
    </row>
    <row r="293" spans="1:29" ht="25.5">
      <c r="A293" s="19"/>
      <c r="B293" s="464"/>
      <c r="C293" s="84"/>
      <c r="D293" s="84"/>
      <c r="E293" s="84"/>
      <c r="F293" s="84"/>
      <c r="G293" s="84"/>
      <c r="H293" s="84"/>
      <c r="I293" s="84"/>
      <c r="J293" s="130"/>
      <c r="K293" s="130"/>
      <c r="L293" s="130"/>
      <c r="M293" s="130"/>
      <c r="N293" s="130"/>
      <c r="O293" s="84"/>
      <c r="P293" s="84"/>
      <c r="Q293" s="389"/>
      <c r="R293" s="390"/>
      <c r="S293" s="156"/>
      <c r="T293" s="84"/>
      <c r="U293" s="88"/>
      <c r="V293" s="465"/>
      <c r="W293" s="14" t="s">
        <v>82</v>
      </c>
      <c r="X293" s="7"/>
      <c r="Y293" s="7"/>
      <c r="Z293" s="7"/>
      <c r="AA293" s="7"/>
      <c r="AB293" s="7"/>
      <c r="AC293" s="7"/>
    </row>
    <row r="294" spans="1:29" ht="24.75" customHeight="1">
      <c r="A294" s="19"/>
      <c r="B294" s="464" t="s">
        <v>912</v>
      </c>
      <c r="C294" s="84">
        <f t="shared" si="59"/>
        <v>402.32</v>
      </c>
      <c r="D294" s="84"/>
      <c r="E294" s="84">
        <f t="shared" si="57"/>
        <v>26.32</v>
      </c>
      <c r="F294" s="84">
        <f t="shared" si="60"/>
        <v>15.040000000000001</v>
      </c>
      <c r="G294" s="84">
        <f t="shared" si="61"/>
        <v>11.28</v>
      </c>
      <c r="H294" s="84">
        <f t="shared" si="62"/>
        <v>376</v>
      </c>
      <c r="I294" s="84">
        <f t="shared" si="63"/>
        <v>241.392</v>
      </c>
      <c r="J294" s="130"/>
      <c r="K294" s="130"/>
      <c r="L294" s="130"/>
      <c r="M294" s="130"/>
      <c r="N294" s="130"/>
      <c r="O294" s="84">
        <v>2525</v>
      </c>
      <c r="P294" s="84">
        <v>2901</v>
      </c>
      <c r="Q294" s="389"/>
      <c r="R294" s="390"/>
      <c r="S294" s="156">
        <v>1</v>
      </c>
      <c r="T294" s="84">
        <f t="shared" si="58"/>
        <v>376</v>
      </c>
      <c r="U294" s="88">
        <v>3233</v>
      </c>
      <c r="V294" s="465" t="s">
        <v>802</v>
      </c>
      <c r="W294" s="14" t="s">
        <v>82</v>
      </c>
      <c r="X294" s="7"/>
      <c r="Y294" s="7"/>
      <c r="Z294" s="7"/>
      <c r="AA294" s="7"/>
      <c r="AB294" s="7"/>
      <c r="AC294" s="7"/>
    </row>
    <row r="295" spans="1:29" ht="25.5">
      <c r="A295" s="19"/>
      <c r="B295" s="464" t="s">
        <v>361</v>
      </c>
      <c r="C295" s="84">
        <f t="shared" si="59"/>
        <v>3432.56</v>
      </c>
      <c r="D295" s="84"/>
      <c r="E295" s="84">
        <f t="shared" si="57"/>
        <v>224.56</v>
      </c>
      <c r="F295" s="84">
        <f t="shared" si="60"/>
        <v>128.32</v>
      </c>
      <c r="G295" s="84">
        <f t="shared" si="61"/>
        <v>96.24</v>
      </c>
      <c r="H295" s="84">
        <f t="shared" si="62"/>
        <v>3208</v>
      </c>
      <c r="I295" s="84">
        <f t="shared" si="63"/>
        <v>2059.5360000000001</v>
      </c>
      <c r="J295" s="130"/>
      <c r="K295" s="130"/>
      <c r="L295" s="130"/>
      <c r="M295" s="130"/>
      <c r="N295" s="130"/>
      <c r="O295" s="84">
        <v>449926</v>
      </c>
      <c r="P295" s="84">
        <v>453134</v>
      </c>
      <c r="Q295" s="389"/>
      <c r="R295" s="390"/>
      <c r="S295" s="156">
        <v>1</v>
      </c>
      <c r="T295" s="84">
        <f t="shared" si="58"/>
        <v>3208</v>
      </c>
      <c r="U295" s="88">
        <v>4506</v>
      </c>
      <c r="V295" s="465" t="s">
        <v>362</v>
      </c>
      <c r="W295" s="14" t="s">
        <v>82</v>
      </c>
      <c r="X295" s="7"/>
      <c r="Y295" s="7"/>
      <c r="Z295" s="7"/>
      <c r="AA295" s="7"/>
      <c r="AB295" s="7"/>
      <c r="AC295" s="7"/>
    </row>
    <row r="296" spans="1:29" ht="25.5">
      <c r="A296" s="19"/>
      <c r="B296" s="464" t="s">
        <v>363</v>
      </c>
      <c r="C296" s="84">
        <f t="shared" si="59"/>
        <v>8796.4699999999993</v>
      </c>
      <c r="D296" s="84"/>
      <c r="E296" s="84">
        <f t="shared" si="57"/>
        <v>575.47</v>
      </c>
      <c r="F296" s="84">
        <f t="shared" si="60"/>
        <v>328.84000000000003</v>
      </c>
      <c r="G296" s="84">
        <f t="shared" si="61"/>
        <v>246.63</v>
      </c>
      <c r="H296" s="84">
        <f t="shared" si="62"/>
        <v>8221</v>
      </c>
      <c r="I296" s="84">
        <f t="shared" si="63"/>
        <v>5277.8819999999996</v>
      </c>
      <c r="J296" s="130"/>
      <c r="K296" s="130"/>
      <c r="L296" s="130"/>
      <c r="M296" s="130"/>
      <c r="N296" s="130"/>
      <c r="O296" s="84">
        <v>518197</v>
      </c>
      <c r="P296" s="84">
        <v>526418</v>
      </c>
      <c r="Q296" s="389"/>
      <c r="R296" s="390"/>
      <c r="S296" s="156">
        <v>1</v>
      </c>
      <c r="T296" s="84">
        <f t="shared" si="58"/>
        <v>8221</v>
      </c>
      <c r="U296" s="88">
        <v>361</v>
      </c>
      <c r="V296" s="465" t="s">
        <v>364</v>
      </c>
      <c r="W296" s="14" t="s">
        <v>82</v>
      </c>
      <c r="X296" s="7"/>
      <c r="Y296" s="7"/>
      <c r="Z296" s="7"/>
      <c r="AA296" s="7"/>
      <c r="AB296" s="7"/>
      <c r="AC296" s="7"/>
    </row>
    <row r="297" spans="1:29" ht="25.5">
      <c r="A297" s="19"/>
      <c r="B297" s="464" t="s">
        <v>913</v>
      </c>
      <c r="C297" s="469">
        <f t="shared" si="59"/>
        <v>6423.21</v>
      </c>
      <c r="D297" s="84"/>
      <c r="E297" s="84">
        <f t="shared" si="57"/>
        <v>420.21000000000004</v>
      </c>
      <c r="F297" s="84">
        <f t="shared" si="60"/>
        <v>240.12</v>
      </c>
      <c r="G297" s="84">
        <f t="shared" si="61"/>
        <v>180.09</v>
      </c>
      <c r="H297" s="84">
        <f t="shared" si="62"/>
        <v>6003</v>
      </c>
      <c r="I297" s="84">
        <f t="shared" si="63"/>
        <v>3853.9259999999999</v>
      </c>
      <c r="J297" s="130"/>
      <c r="K297" s="130"/>
      <c r="L297" s="130"/>
      <c r="M297" s="130"/>
      <c r="N297" s="130"/>
      <c r="O297" s="84">
        <f>28095+1465</f>
        <v>29560</v>
      </c>
      <c r="P297" s="84">
        <f>33501+2062</f>
        <v>35563</v>
      </c>
      <c r="Q297" s="389"/>
      <c r="R297" s="390"/>
      <c r="S297" s="156">
        <v>1</v>
      </c>
      <c r="T297" s="84">
        <f t="shared" si="58"/>
        <v>6003</v>
      </c>
      <c r="U297" s="88">
        <v>9263</v>
      </c>
      <c r="V297" s="465" t="s">
        <v>803</v>
      </c>
      <c r="W297" s="14" t="s">
        <v>82</v>
      </c>
      <c r="X297" s="7"/>
      <c r="Y297" s="7"/>
      <c r="Z297" s="7"/>
      <c r="AA297" s="7"/>
      <c r="AB297" s="7"/>
      <c r="AC297" s="7"/>
    </row>
    <row r="298" spans="1:29" ht="25.5">
      <c r="A298" s="19"/>
      <c r="B298" s="464" t="s">
        <v>365</v>
      </c>
      <c r="C298" s="84">
        <f t="shared" si="59"/>
        <v>2096.13</v>
      </c>
      <c r="D298" s="84"/>
      <c r="E298" s="84">
        <f t="shared" si="57"/>
        <v>137.13</v>
      </c>
      <c r="F298" s="84">
        <f t="shared" si="60"/>
        <v>78.36</v>
      </c>
      <c r="G298" s="84">
        <f t="shared" si="61"/>
        <v>58.769999999999996</v>
      </c>
      <c r="H298" s="84">
        <f t="shared" si="62"/>
        <v>1959</v>
      </c>
      <c r="I298" s="84">
        <f t="shared" si="63"/>
        <v>1257.6780000000001</v>
      </c>
      <c r="J298" s="130"/>
      <c r="K298" s="130"/>
      <c r="L298" s="130"/>
      <c r="M298" s="130"/>
      <c r="N298" s="130"/>
      <c r="O298" s="84">
        <v>280191</v>
      </c>
      <c r="P298" s="84">
        <v>282150</v>
      </c>
      <c r="Q298" s="389"/>
      <c r="R298" s="390"/>
      <c r="S298" s="156">
        <v>1</v>
      </c>
      <c r="T298" s="84">
        <f t="shared" si="58"/>
        <v>1959</v>
      </c>
      <c r="U298" s="88">
        <v>776</v>
      </c>
      <c r="V298" s="465" t="s">
        <v>366</v>
      </c>
      <c r="W298" s="14" t="s">
        <v>82</v>
      </c>
      <c r="X298" s="7"/>
      <c r="Y298" s="7"/>
      <c r="Z298" s="7"/>
      <c r="AA298" s="7"/>
      <c r="AB298" s="7"/>
      <c r="AC298" s="7"/>
    </row>
    <row r="299" spans="1:29" ht="25.5">
      <c r="A299" s="19"/>
      <c r="B299" s="464" t="s">
        <v>695</v>
      </c>
      <c r="C299" s="84">
        <f t="shared" si="59"/>
        <v>1532.24</v>
      </c>
      <c r="D299" s="84"/>
      <c r="E299" s="84">
        <f t="shared" si="57"/>
        <v>100.24000000000001</v>
      </c>
      <c r="F299" s="84">
        <f t="shared" si="60"/>
        <v>57.28</v>
      </c>
      <c r="G299" s="84">
        <f t="shared" si="61"/>
        <v>42.96</v>
      </c>
      <c r="H299" s="84">
        <f t="shared" si="62"/>
        <v>1432</v>
      </c>
      <c r="I299" s="84">
        <f t="shared" si="63"/>
        <v>919.34399999999994</v>
      </c>
      <c r="J299" s="130"/>
      <c r="K299" s="130"/>
      <c r="L299" s="130"/>
      <c r="M299" s="130"/>
      <c r="N299" s="130"/>
      <c r="O299" s="84">
        <v>86804</v>
      </c>
      <c r="P299" s="84">
        <v>88236</v>
      </c>
      <c r="Q299" s="389"/>
      <c r="R299" s="390"/>
      <c r="S299" s="156">
        <v>1</v>
      </c>
      <c r="T299" s="84">
        <f t="shared" si="58"/>
        <v>1432</v>
      </c>
      <c r="U299" s="88">
        <v>4291</v>
      </c>
      <c r="V299" s="465" t="s">
        <v>367</v>
      </c>
      <c r="W299" s="14" t="s">
        <v>82</v>
      </c>
      <c r="X299" s="7"/>
      <c r="Y299" s="7"/>
      <c r="Z299" s="7"/>
      <c r="AA299" s="7"/>
      <c r="AB299" s="7"/>
      <c r="AC299" s="7"/>
    </row>
    <row r="300" spans="1:29" ht="25.5">
      <c r="A300" s="19"/>
      <c r="B300" s="464" t="s">
        <v>368</v>
      </c>
      <c r="C300" s="84">
        <f t="shared" si="59"/>
        <v>933.04</v>
      </c>
      <c r="D300" s="84"/>
      <c r="E300" s="84">
        <f t="shared" si="57"/>
        <v>61.040000000000006</v>
      </c>
      <c r="F300" s="84">
        <f t="shared" si="60"/>
        <v>34.880000000000003</v>
      </c>
      <c r="G300" s="84">
        <f t="shared" si="61"/>
        <v>26.16</v>
      </c>
      <c r="H300" s="84">
        <f t="shared" si="62"/>
        <v>872</v>
      </c>
      <c r="I300" s="84">
        <f t="shared" si="63"/>
        <v>559.82399999999996</v>
      </c>
      <c r="J300" s="130"/>
      <c r="K300" s="130"/>
      <c r="L300" s="130"/>
      <c r="M300" s="130"/>
      <c r="N300" s="130"/>
      <c r="O300" s="84">
        <v>36639</v>
      </c>
      <c r="P300" s="84">
        <v>37511</v>
      </c>
      <c r="Q300" s="389"/>
      <c r="R300" s="390"/>
      <c r="S300" s="156">
        <v>1</v>
      </c>
      <c r="T300" s="84">
        <f t="shared" si="58"/>
        <v>872</v>
      </c>
      <c r="U300" s="88">
        <v>101522115</v>
      </c>
      <c r="V300" s="465" t="s">
        <v>369</v>
      </c>
      <c r="W300" s="14" t="s">
        <v>82</v>
      </c>
      <c r="X300" s="7"/>
      <c r="Y300" s="7"/>
      <c r="Z300" s="7"/>
      <c r="AA300" s="7"/>
      <c r="AB300" s="7"/>
      <c r="AC300" s="7"/>
    </row>
    <row r="301" spans="1:29" ht="25.5">
      <c r="A301" s="19"/>
      <c r="B301" s="464" t="s">
        <v>697</v>
      </c>
      <c r="C301" s="84">
        <f t="shared" si="59"/>
        <v>283.55</v>
      </c>
      <c r="D301" s="84"/>
      <c r="E301" s="84">
        <f t="shared" si="57"/>
        <v>18.549999999999997</v>
      </c>
      <c r="F301" s="84">
        <f t="shared" si="60"/>
        <v>10.6</v>
      </c>
      <c r="G301" s="84">
        <f t="shared" si="61"/>
        <v>7.9499999999999993</v>
      </c>
      <c r="H301" s="84">
        <f t="shared" si="62"/>
        <v>265</v>
      </c>
      <c r="I301" s="84">
        <f t="shared" si="63"/>
        <v>170.13</v>
      </c>
      <c r="J301" s="130"/>
      <c r="K301" s="130"/>
      <c r="L301" s="130"/>
      <c r="M301" s="130"/>
      <c r="N301" s="130"/>
      <c r="O301" s="84">
        <v>18403</v>
      </c>
      <c r="P301" s="84">
        <v>18668</v>
      </c>
      <c r="Q301" s="389"/>
      <c r="R301" s="390"/>
      <c r="S301" s="156">
        <v>1</v>
      </c>
      <c r="T301" s="84">
        <f t="shared" si="58"/>
        <v>265</v>
      </c>
      <c r="U301" s="88">
        <v>1116</v>
      </c>
      <c r="V301" s="465" t="s">
        <v>370</v>
      </c>
      <c r="W301" s="14" t="s">
        <v>82</v>
      </c>
      <c r="X301" s="7"/>
      <c r="Y301" s="7"/>
      <c r="Z301" s="7"/>
      <c r="AA301" s="7"/>
      <c r="AB301" s="7"/>
      <c r="AC301" s="7"/>
    </row>
    <row r="302" spans="1:29" ht="25.5">
      <c r="A302" s="19"/>
      <c r="B302" s="464" t="s">
        <v>371</v>
      </c>
      <c r="C302" s="84">
        <f t="shared" si="59"/>
        <v>357.38</v>
      </c>
      <c r="D302" s="84"/>
      <c r="E302" s="84">
        <f t="shared" si="57"/>
        <v>23.38</v>
      </c>
      <c r="F302" s="84">
        <f t="shared" si="60"/>
        <v>13.36</v>
      </c>
      <c r="G302" s="84">
        <f t="shared" si="61"/>
        <v>10.02</v>
      </c>
      <c r="H302" s="84">
        <f t="shared" si="62"/>
        <v>334</v>
      </c>
      <c r="I302" s="84">
        <f t="shared" si="63"/>
        <v>214.428</v>
      </c>
      <c r="J302" s="130"/>
      <c r="K302" s="130"/>
      <c r="L302" s="130"/>
      <c r="M302" s="130"/>
      <c r="N302" s="130"/>
      <c r="O302" s="84">
        <v>25801</v>
      </c>
      <c r="P302" s="84">
        <v>26135</v>
      </c>
      <c r="Q302" s="389"/>
      <c r="R302" s="390"/>
      <c r="S302" s="156">
        <v>1</v>
      </c>
      <c r="T302" s="84">
        <f t="shared" si="58"/>
        <v>334</v>
      </c>
      <c r="U302" s="88">
        <v>7838</v>
      </c>
      <c r="V302" s="465" t="s">
        <v>771</v>
      </c>
      <c r="W302" s="14" t="s">
        <v>82</v>
      </c>
      <c r="X302" s="7"/>
      <c r="Y302" s="7"/>
      <c r="Z302" s="7"/>
      <c r="AA302" s="7"/>
      <c r="AB302" s="7"/>
      <c r="AC302" s="7"/>
    </row>
    <row r="303" spans="1:29" ht="25.5">
      <c r="A303" s="19"/>
      <c r="B303" s="464" t="s">
        <v>372</v>
      </c>
      <c r="C303" s="84">
        <f t="shared" si="59"/>
        <v>1393.1399999999999</v>
      </c>
      <c r="D303" s="84"/>
      <c r="E303" s="84">
        <f t="shared" si="57"/>
        <v>91.139999999999986</v>
      </c>
      <c r="F303" s="84">
        <f t="shared" si="60"/>
        <v>52.08</v>
      </c>
      <c r="G303" s="84">
        <f t="shared" si="61"/>
        <v>39.059999999999995</v>
      </c>
      <c r="H303" s="84">
        <f t="shared" si="62"/>
        <v>1302</v>
      </c>
      <c r="I303" s="84">
        <f t="shared" si="63"/>
        <v>835.8839999999999</v>
      </c>
      <c r="J303" s="130"/>
      <c r="K303" s="130"/>
      <c r="L303" s="130"/>
      <c r="M303" s="130"/>
      <c r="N303" s="130"/>
      <c r="O303" s="84">
        <v>244174</v>
      </c>
      <c r="P303" s="84">
        <v>245476</v>
      </c>
      <c r="Q303" s="389"/>
      <c r="R303" s="390"/>
      <c r="S303" s="156">
        <v>1</v>
      </c>
      <c r="T303" s="84">
        <f t="shared" si="58"/>
        <v>1302</v>
      </c>
      <c r="U303" s="88">
        <v>8906</v>
      </c>
      <c r="V303" s="465" t="s">
        <v>373</v>
      </c>
      <c r="W303" s="14" t="s">
        <v>82</v>
      </c>
      <c r="X303" s="7"/>
      <c r="Y303" s="7"/>
      <c r="Z303" s="7"/>
      <c r="AA303" s="7"/>
      <c r="AB303" s="7"/>
      <c r="AC303" s="7"/>
    </row>
    <row r="304" spans="1:29" ht="25.5">
      <c r="A304" s="19"/>
      <c r="B304" s="464" t="s">
        <v>374</v>
      </c>
      <c r="C304" s="84">
        <f t="shared" si="59"/>
        <v>4623.47</v>
      </c>
      <c r="D304" s="84"/>
      <c r="E304" s="84">
        <f t="shared" si="57"/>
        <v>302.47000000000003</v>
      </c>
      <c r="F304" s="84">
        <f t="shared" si="60"/>
        <v>172.84</v>
      </c>
      <c r="G304" s="84">
        <f t="shared" si="61"/>
        <v>129.63</v>
      </c>
      <c r="H304" s="84">
        <f t="shared" si="62"/>
        <v>4321</v>
      </c>
      <c r="I304" s="84">
        <f t="shared" si="63"/>
        <v>2774.0819999999999</v>
      </c>
      <c r="J304" s="130"/>
      <c r="K304" s="130"/>
      <c r="L304" s="130"/>
      <c r="M304" s="130"/>
      <c r="N304" s="130"/>
      <c r="O304" s="84">
        <v>384046</v>
      </c>
      <c r="P304" s="84">
        <v>388367</v>
      </c>
      <c r="Q304" s="389"/>
      <c r="R304" s="390"/>
      <c r="S304" s="156">
        <v>1</v>
      </c>
      <c r="T304" s="84">
        <f t="shared" si="58"/>
        <v>4321</v>
      </c>
      <c r="U304" s="88">
        <v>4786</v>
      </c>
      <c r="V304" s="465" t="s">
        <v>375</v>
      </c>
      <c r="W304" s="14" t="s">
        <v>82</v>
      </c>
      <c r="X304" s="7"/>
      <c r="Y304" s="7"/>
      <c r="Z304" s="7"/>
      <c r="AA304" s="7"/>
      <c r="AB304" s="7"/>
      <c r="AC304" s="7"/>
    </row>
    <row r="305" spans="1:29" ht="25.5">
      <c r="A305" s="19"/>
      <c r="B305" s="464" t="s">
        <v>914</v>
      </c>
      <c r="C305" s="84">
        <f t="shared" si="59"/>
        <v>240.75</v>
      </c>
      <c r="D305" s="84"/>
      <c r="E305" s="84">
        <f t="shared" si="57"/>
        <v>15.75</v>
      </c>
      <c r="F305" s="84">
        <f t="shared" si="60"/>
        <v>9</v>
      </c>
      <c r="G305" s="84">
        <f t="shared" si="61"/>
        <v>6.75</v>
      </c>
      <c r="H305" s="84">
        <f t="shared" si="62"/>
        <v>225</v>
      </c>
      <c r="I305" s="84">
        <f t="shared" si="63"/>
        <v>144.44999999999999</v>
      </c>
      <c r="J305" s="130"/>
      <c r="K305" s="130"/>
      <c r="L305" s="130"/>
      <c r="M305" s="130"/>
      <c r="N305" s="130"/>
      <c r="O305" s="84">
        <v>79915</v>
      </c>
      <c r="P305" s="84">
        <v>80140</v>
      </c>
      <c r="Q305" s="389"/>
      <c r="R305" s="390"/>
      <c r="S305" s="156">
        <v>1</v>
      </c>
      <c r="T305" s="84">
        <f t="shared" si="58"/>
        <v>225</v>
      </c>
      <c r="U305" s="88">
        <v>3506</v>
      </c>
      <c r="V305" s="465" t="s">
        <v>804</v>
      </c>
      <c r="W305" s="14" t="s">
        <v>82</v>
      </c>
      <c r="X305" s="7"/>
      <c r="Y305" s="7"/>
      <c r="Z305" s="7"/>
      <c r="AA305" s="7"/>
      <c r="AB305" s="7"/>
      <c r="AC305" s="7"/>
    </row>
    <row r="306" spans="1:29" ht="25.5">
      <c r="A306" s="19"/>
      <c r="B306" s="464" t="s">
        <v>376</v>
      </c>
      <c r="C306" s="84">
        <f t="shared" si="59"/>
        <v>685.87</v>
      </c>
      <c r="D306" s="84"/>
      <c r="E306" s="84">
        <f t="shared" si="57"/>
        <v>44.870000000000005</v>
      </c>
      <c r="F306" s="84">
        <f t="shared" si="60"/>
        <v>25.64</v>
      </c>
      <c r="G306" s="84">
        <f t="shared" si="61"/>
        <v>19.23</v>
      </c>
      <c r="H306" s="84">
        <f t="shared" si="62"/>
        <v>641</v>
      </c>
      <c r="I306" s="84">
        <f t="shared" si="63"/>
        <v>411.52199999999999</v>
      </c>
      <c r="J306" s="130"/>
      <c r="K306" s="130"/>
      <c r="L306" s="130"/>
      <c r="M306" s="130"/>
      <c r="N306" s="130"/>
      <c r="O306" s="84">
        <v>198691</v>
      </c>
      <c r="P306" s="84">
        <v>199332</v>
      </c>
      <c r="Q306" s="389"/>
      <c r="R306" s="390"/>
      <c r="S306" s="156">
        <v>1</v>
      </c>
      <c r="T306" s="84">
        <f t="shared" si="58"/>
        <v>641</v>
      </c>
      <c r="U306" s="88">
        <v>2406</v>
      </c>
      <c r="V306" s="465" t="s">
        <v>377</v>
      </c>
      <c r="W306" s="14" t="s">
        <v>82</v>
      </c>
      <c r="X306" s="7"/>
      <c r="Y306" s="7"/>
      <c r="Z306" s="7"/>
      <c r="AA306" s="7"/>
      <c r="AB306" s="7"/>
      <c r="AC306" s="7"/>
    </row>
    <row r="307" spans="1:29" ht="25.5">
      <c r="A307" s="19"/>
      <c r="B307" s="464" t="s">
        <v>378</v>
      </c>
      <c r="C307" s="84">
        <f t="shared" si="59"/>
        <v>1190.9100000000001</v>
      </c>
      <c r="D307" s="84"/>
      <c r="E307" s="84">
        <f t="shared" si="57"/>
        <v>77.91</v>
      </c>
      <c r="F307" s="84">
        <f t="shared" si="60"/>
        <v>44.52</v>
      </c>
      <c r="G307" s="84">
        <f t="shared" si="61"/>
        <v>33.39</v>
      </c>
      <c r="H307" s="84">
        <f t="shared" si="62"/>
        <v>1113</v>
      </c>
      <c r="I307" s="84">
        <f t="shared" si="63"/>
        <v>714.54600000000005</v>
      </c>
      <c r="J307" s="130"/>
      <c r="K307" s="130"/>
      <c r="L307" s="130"/>
      <c r="M307" s="130"/>
      <c r="N307" s="130"/>
      <c r="O307" s="84">
        <v>343379</v>
      </c>
      <c r="P307" s="84">
        <v>344492</v>
      </c>
      <c r="Q307" s="389"/>
      <c r="R307" s="390"/>
      <c r="S307" s="156">
        <v>1</v>
      </c>
      <c r="T307" s="84">
        <f t="shared" si="58"/>
        <v>1113</v>
      </c>
      <c r="U307" s="88">
        <v>4306</v>
      </c>
      <c r="V307" s="465" t="s">
        <v>379</v>
      </c>
      <c r="W307" s="14" t="s">
        <v>82</v>
      </c>
      <c r="X307" s="7"/>
      <c r="Y307" s="7"/>
      <c r="Z307" s="7"/>
      <c r="AA307" s="7"/>
      <c r="AB307" s="7"/>
      <c r="AC307" s="7"/>
    </row>
    <row r="308" spans="1:29" ht="25.5">
      <c r="A308" s="19"/>
      <c r="B308" s="464"/>
      <c r="C308" s="84"/>
      <c r="D308" s="84"/>
      <c r="E308" s="84"/>
      <c r="F308" s="84"/>
      <c r="G308" s="84"/>
      <c r="H308" s="84"/>
      <c r="I308" s="84"/>
      <c r="J308" s="130"/>
      <c r="K308" s="130"/>
      <c r="L308" s="130"/>
      <c r="M308" s="130"/>
      <c r="N308" s="130"/>
      <c r="O308" s="84"/>
      <c r="P308" s="84"/>
      <c r="Q308" s="389"/>
      <c r="R308" s="390"/>
      <c r="S308" s="156"/>
      <c r="T308" s="84"/>
      <c r="U308" s="88"/>
      <c r="V308" s="465"/>
      <c r="W308" s="14" t="s">
        <v>82</v>
      </c>
      <c r="X308" s="7"/>
      <c r="Y308" s="7"/>
      <c r="Z308" s="7"/>
      <c r="AA308" s="7"/>
      <c r="AB308" s="7"/>
      <c r="AC308" s="7"/>
    </row>
    <row r="309" spans="1:29" ht="25.5">
      <c r="A309" s="19"/>
      <c r="B309" s="464" t="s">
        <v>380</v>
      </c>
      <c r="C309" s="84">
        <f t="shared" si="59"/>
        <v>0</v>
      </c>
      <c r="D309" s="84"/>
      <c r="E309" s="84">
        <f t="shared" si="57"/>
        <v>0</v>
      </c>
      <c r="F309" s="84">
        <f t="shared" si="60"/>
        <v>0</v>
      </c>
      <c r="G309" s="84">
        <f t="shared" si="61"/>
        <v>0</v>
      </c>
      <c r="H309" s="84">
        <f t="shared" si="62"/>
        <v>0</v>
      </c>
      <c r="I309" s="84">
        <f t="shared" si="63"/>
        <v>0</v>
      </c>
      <c r="J309" s="130"/>
      <c r="K309" s="130"/>
      <c r="L309" s="130"/>
      <c r="M309" s="130"/>
      <c r="N309" s="130"/>
      <c r="O309" s="84">
        <v>392079</v>
      </c>
      <c r="P309" s="84">
        <v>392079</v>
      </c>
      <c r="Q309" s="389"/>
      <c r="R309" s="390"/>
      <c r="S309" s="156">
        <v>1</v>
      </c>
      <c r="T309" s="84">
        <f t="shared" si="58"/>
        <v>0</v>
      </c>
      <c r="U309" s="88">
        <v>806</v>
      </c>
      <c r="V309" s="465" t="s">
        <v>929</v>
      </c>
      <c r="W309" s="14" t="s">
        <v>82</v>
      </c>
      <c r="X309" s="7"/>
      <c r="Y309" s="7"/>
      <c r="Z309" s="7"/>
      <c r="AA309" s="7"/>
      <c r="AB309" s="7"/>
      <c r="AC309" s="7"/>
    </row>
    <row r="310" spans="1:29" ht="26.25" customHeight="1">
      <c r="A310" s="19"/>
      <c r="B310" s="464" t="s">
        <v>382</v>
      </c>
      <c r="C310" s="84">
        <f t="shared" si="59"/>
        <v>2936.08</v>
      </c>
      <c r="D310" s="84"/>
      <c r="E310" s="84">
        <f t="shared" si="57"/>
        <v>192.07999999999998</v>
      </c>
      <c r="F310" s="84">
        <f t="shared" si="60"/>
        <v>109.76</v>
      </c>
      <c r="G310" s="84">
        <f t="shared" si="61"/>
        <v>82.32</v>
      </c>
      <c r="H310" s="84">
        <f t="shared" si="62"/>
        <v>2744</v>
      </c>
      <c r="I310" s="84">
        <f t="shared" si="63"/>
        <v>1761.6479999999999</v>
      </c>
      <c r="J310" s="130"/>
      <c r="K310" s="130"/>
      <c r="L310" s="130"/>
      <c r="M310" s="130"/>
      <c r="N310" s="130"/>
      <c r="O310" s="84">
        <v>120465</v>
      </c>
      <c r="P310" s="84">
        <v>123209</v>
      </c>
      <c r="Q310" s="389"/>
      <c r="R310" s="390"/>
      <c r="S310" s="156">
        <v>1</v>
      </c>
      <c r="T310" s="84">
        <f t="shared" si="58"/>
        <v>2744</v>
      </c>
      <c r="U310" s="88">
        <v>1131</v>
      </c>
      <c r="V310" s="465" t="s">
        <v>383</v>
      </c>
      <c r="W310" s="14" t="s">
        <v>82</v>
      </c>
      <c r="X310" s="7"/>
      <c r="Y310" s="7"/>
      <c r="Z310" s="7"/>
      <c r="AA310" s="7"/>
      <c r="AB310" s="7"/>
      <c r="AC310" s="7"/>
    </row>
    <row r="311" spans="1:29" ht="25.5">
      <c r="A311" s="19"/>
      <c r="B311" s="464" t="s">
        <v>384</v>
      </c>
      <c r="C311" s="84">
        <f t="shared" si="59"/>
        <v>128.4</v>
      </c>
      <c r="D311" s="84"/>
      <c r="E311" s="84">
        <f t="shared" si="57"/>
        <v>8.3999999999999986</v>
      </c>
      <c r="F311" s="84">
        <f t="shared" si="60"/>
        <v>4.8</v>
      </c>
      <c r="G311" s="84">
        <f t="shared" si="61"/>
        <v>3.5999999999999996</v>
      </c>
      <c r="H311" s="84">
        <f t="shared" si="62"/>
        <v>120</v>
      </c>
      <c r="I311" s="84">
        <f t="shared" si="63"/>
        <v>77.040000000000006</v>
      </c>
      <c r="J311" s="130"/>
      <c r="K311" s="130"/>
      <c r="L311" s="130"/>
      <c r="M311" s="130"/>
      <c r="N311" s="130"/>
      <c r="O311" s="84">
        <v>28990</v>
      </c>
      <c r="P311" s="84">
        <v>29110</v>
      </c>
      <c r="Q311" s="389"/>
      <c r="R311" s="390"/>
      <c r="S311" s="156">
        <v>1</v>
      </c>
      <c r="T311" s="84">
        <f t="shared" si="58"/>
        <v>120</v>
      </c>
      <c r="U311" s="88">
        <v>2125</v>
      </c>
      <c r="V311" s="465" t="s">
        <v>772</v>
      </c>
      <c r="W311" s="14" t="s">
        <v>82</v>
      </c>
      <c r="X311" s="7"/>
      <c r="Y311" s="7"/>
      <c r="Z311" s="7"/>
      <c r="AA311" s="7"/>
      <c r="AB311" s="7"/>
      <c r="AC311" s="7"/>
    </row>
    <row r="312" spans="1:29" ht="25.5">
      <c r="A312" s="19"/>
      <c r="B312" s="464"/>
      <c r="C312" s="469"/>
      <c r="D312" s="84"/>
      <c r="E312" s="84"/>
      <c r="F312" s="84"/>
      <c r="G312" s="84"/>
      <c r="H312" s="84"/>
      <c r="I312" s="84"/>
      <c r="J312" s="130"/>
      <c r="K312" s="130"/>
      <c r="L312" s="130"/>
      <c r="M312" s="130"/>
      <c r="N312" s="130"/>
      <c r="O312" s="84"/>
      <c r="P312" s="84"/>
      <c r="Q312" s="389"/>
      <c r="R312" s="390"/>
      <c r="S312" s="156"/>
      <c r="T312" s="84"/>
      <c r="U312" s="88"/>
      <c r="V312" s="465"/>
      <c r="W312" s="14" t="s">
        <v>82</v>
      </c>
      <c r="X312" s="7"/>
      <c r="Y312" s="7"/>
      <c r="Z312" s="7"/>
      <c r="AA312" s="7"/>
      <c r="AB312" s="7"/>
      <c r="AC312" s="7"/>
    </row>
    <row r="313" spans="1:29" ht="25.5">
      <c r="A313" s="19"/>
      <c r="B313" s="468" t="s">
        <v>915</v>
      </c>
      <c r="C313" s="84">
        <f t="shared" si="59"/>
        <v>175.48</v>
      </c>
      <c r="D313" s="84"/>
      <c r="E313" s="84">
        <f t="shared" si="57"/>
        <v>11.48</v>
      </c>
      <c r="F313" s="84">
        <f t="shared" si="60"/>
        <v>6.5600000000000005</v>
      </c>
      <c r="G313" s="84">
        <f t="shared" si="61"/>
        <v>4.92</v>
      </c>
      <c r="H313" s="84">
        <f t="shared" si="62"/>
        <v>164</v>
      </c>
      <c r="I313" s="84">
        <f t="shared" si="63"/>
        <v>105.288</v>
      </c>
      <c r="J313" s="130"/>
      <c r="K313" s="130"/>
      <c r="L313" s="130"/>
      <c r="M313" s="130"/>
      <c r="N313" s="130"/>
      <c r="O313" s="84">
        <v>85688</v>
      </c>
      <c r="P313" s="84">
        <v>85852</v>
      </c>
      <c r="Q313" s="389"/>
      <c r="R313" s="390"/>
      <c r="S313" s="156">
        <v>1</v>
      </c>
      <c r="T313" s="84">
        <f t="shared" si="58"/>
        <v>164</v>
      </c>
      <c r="U313" s="88">
        <v>2831</v>
      </c>
      <c r="V313" s="465" t="s">
        <v>805</v>
      </c>
      <c r="W313" s="14" t="s">
        <v>82</v>
      </c>
      <c r="X313" s="7"/>
      <c r="Y313" s="7"/>
      <c r="Z313" s="7"/>
      <c r="AA313" s="7"/>
      <c r="AB313" s="7"/>
      <c r="AC313" s="7"/>
    </row>
    <row r="314" spans="1:29" ht="25.5">
      <c r="A314" s="19"/>
      <c r="B314" s="464" t="s">
        <v>699</v>
      </c>
      <c r="C314" s="84">
        <f t="shared" si="59"/>
        <v>966.21</v>
      </c>
      <c r="D314" s="84"/>
      <c r="E314" s="84">
        <f t="shared" si="57"/>
        <v>63.209999999999994</v>
      </c>
      <c r="F314" s="84">
        <f t="shared" si="60"/>
        <v>36.119999999999997</v>
      </c>
      <c r="G314" s="84">
        <f t="shared" si="61"/>
        <v>27.09</v>
      </c>
      <c r="H314" s="84">
        <f t="shared" si="62"/>
        <v>903</v>
      </c>
      <c r="I314" s="84">
        <f t="shared" si="63"/>
        <v>579.726</v>
      </c>
      <c r="J314" s="130"/>
      <c r="K314" s="130"/>
      <c r="L314" s="130"/>
      <c r="M314" s="130"/>
      <c r="N314" s="130"/>
      <c r="O314" s="84">
        <v>289784</v>
      </c>
      <c r="P314" s="84">
        <v>290687</v>
      </c>
      <c r="Q314" s="389"/>
      <c r="R314" s="390"/>
      <c r="S314" s="156">
        <v>1</v>
      </c>
      <c r="T314" s="84">
        <f t="shared" si="58"/>
        <v>903</v>
      </c>
      <c r="U314" s="88">
        <v>506</v>
      </c>
      <c r="V314" s="465" t="s">
        <v>387</v>
      </c>
      <c r="W314" s="14" t="s">
        <v>82</v>
      </c>
      <c r="X314" s="7"/>
      <c r="Y314" s="7"/>
      <c r="Z314" s="7"/>
      <c r="AA314" s="7"/>
      <c r="AB314" s="7"/>
      <c r="AC314" s="7"/>
    </row>
    <row r="315" spans="1:29" ht="25.5">
      <c r="A315" s="19"/>
      <c r="B315" s="464"/>
      <c r="C315" s="84"/>
      <c r="D315" s="84"/>
      <c r="E315" s="84"/>
      <c r="F315" s="84"/>
      <c r="G315" s="84"/>
      <c r="H315" s="84"/>
      <c r="I315" s="84"/>
      <c r="J315" s="130"/>
      <c r="K315" s="130"/>
      <c r="L315" s="130"/>
      <c r="M315" s="130"/>
      <c r="N315" s="130"/>
      <c r="O315" s="84"/>
      <c r="P315" s="84"/>
      <c r="Q315" s="389"/>
      <c r="R315" s="390"/>
      <c r="S315" s="156"/>
      <c r="T315" s="84"/>
      <c r="U315" s="88"/>
      <c r="V315" s="465"/>
      <c r="W315" s="14" t="s">
        <v>82</v>
      </c>
      <c r="X315" s="7"/>
      <c r="Y315" s="7"/>
      <c r="Z315" s="7"/>
      <c r="AA315" s="7"/>
      <c r="AB315" s="7"/>
      <c r="AC315" s="7"/>
    </row>
    <row r="316" spans="1:29" ht="25.5">
      <c r="A316" s="19"/>
      <c r="B316" s="464" t="s">
        <v>388</v>
      </c>
      <c r="C316" s="84">
        <f t="shared" si="59"/>
        <v>14659</v>
      </c>
      <c r="D316" s="84"/>
      <c r="E316" s="84">
        <f t="shared" si="57"/>
        <v>959</v>
      </c>
      <c r="F316" s="84">
        <f t="shared" si="60"/>
        <v>548</v>
      </c>
      <c r="G316" s="84">
        <f t="shared" si="61"/>
        <v>411</v>
      </c>
      <c r="H316" s="84">
        <f t="shared" si="62"/>
        <v>13700</v>
      </c>
      <c r="I316" s="84">
        <f t="shared" si="63"/>
        <v>8795.4</v>
      </c>
      <c r="J316" s="130"/>
      <c r="K316" s="130"/>
      <c r="L316" s="130"/>
      <c r="M316" s="130"/>
      <c r="N316" s="130"/>
      <c r="O316" s="84">
        <v>19111</v>
      </c>
      <c r="P316" s="84">
        <v>19796</v>
      </c>
      <c r="Q316" s="389"/>
      <c r="R316" s="390"/>
      <c r="S316" s="156">
        <v>20</v>
      </c>
      <c r="T316" s="84">
        <f t="shared" si="58"/>
        <v>13700</v>
      </c>
      <c r="U316" s="88">
        <v>1064</v>
      </c>
      <c r="V316" s="465" t="s">
        <v>389</v>
      </c>
      <c r="W316" s="14" t="s">
        <v>82</v>
      </c>
      <c r="X316" s="7"/>
      <c r="Y316" s="7"/>
      <c r="Z316" s="7"/>
      <c r="AA316" s="7"/>
      <c r="AB316" s="7"/>
      <c r="AC316" s="7"/>
    </row>
    <row r="317" spans="1:29" ht="25.5">
      <c r="A317" s="19"/>
      <c r="B317" s="464" t="s">
        <v>390</v>
      </c>
      <c r="C317" s="84">
        <f>H317+E317</f>
        <v>8500.08</v>
      </c>
      <c r="D317" s="84"/>
      <c r="E317" s="84">
        <f t="shared" si="57"/>
        <v>556.07999999999993</v>
      </c>
      <c r="F317" s="84">
        <f t="shared" si="60"/>
        <v>317.76</v>
      </c>
      <c r="G317" s="84">
        <f t="shared" si="61"/>
        <v>238.32</v>
      </c>
      <c r="H317" s="84">
        <f t="shared" si="62"/>
        <v>7944</v>
      </c>
      <c r="I317" s="84">
        <f t="shared" si="63"/>
        <v>5100.0479999999998</v>
      </c>
      <c r="J317" s="130"/>
      <c r="K317" s="130"/>
      <c r="L317" s="130"/>
      <c r="M317" s="130"/>
      <c r="N317" s="130"/>
      <c r="O317" s="84">
        <v>230795</v>
      </c>
      <c r="P317" s="84">
        <v>238739</v>
      </c>
      <c r="Q317" s="389"/>
      <c r="R317" s="390"/>
      <c r="S317" s="156">
        <v>1</v>
      </c>
      <c r="T317" s="84">
        <f t="shared" si="58"/>
        <v>7944</v>
      </c>
      <c r="U317" s="88">
        <v>1173</v>
      </c>
      <c r="V317" s="465" t="s">
        <v>391</v>
      </c>
      <c r="W317" s="14" t="s">
        <v>82</v>
      </c>
      <c r="X317" s="7"/>
      <c r="Y317" s="7"/>
      <c r="Z317" s="7"/>
      <c r="AA317" s="7"/>
      <c r="AB317" s="7"/>
      <c r="AC317" s="7"/>
    </row>
    <row r="318" spans="1:29" ht="25.5">
      <c r="A318" s="19"/>
      <c r="B318" s="466" t="s">
        <v>916</v>
      </c>
      <c r="C318" s="84">
        <f t="shared" si="59"/>
        <v>3551.33</v>
      </c>
      <c r="D318" s="84"/>
      <c r="E318" s="84">
        <f t="shared" si="57"/>
        <v>232.32999999999998</v>
      </c>
      <c r="F318" s="84">
        <f t="shared" si="60"/>
        <v>132.76</v>
      </c>
      <c r="G318" s="84">
        <f t="shared" si="61"/>
        <v>99.57</v>
      </c>
      <c r="H318" s="84">
        <f t="shared" si="62"/>
        <v>3319</v>
      </c>
      <c r="I318" s="84">
        <f t="shared" si="63"/>
        <v>2130.7979999999998</v>
      </c>
      <c r="J318" s="130"/>
      <c r="K318" s="130"/>
      <c r="L318" s="130"/>
      <c r="M318" s="130"/>
      <c r="N318" s="130"/>
      <c r="O318" s="84">
        <v>560051</v>
      </c>
      <c r="P318" s="84">
        <v>563370</v>
      </c>
      <c r="Q318" s="389"/>
      <c r="R318" s="390"/>
      <c r="S318" s="156">
        <v>1</v>
      </c>
      <c r="T318" s="84">
        <f t="shared" si="58"/>
        <v>3319</v>
      </c>
      <c r="U318" s="88">
        <v>35821</v>
      </c>
      <c r="V318" s="89" t="s">
        <v>759</v>
      </c>
      <c r="W318" s="14" t="s">
        <v>82</v>
      </c>
      <c r="X318" s="7"/>
      <c r="Y318" s="7"/>
      <c r="Z318" s="7"/>
      <c r="AA318" s="7"/>
      <c r="AB318" s="7"/>
      <c r="AC318" s="7"/>
    </row>
    <row r="319" spans="1:29" ht="25.5">
      <c r="A319" s="19"/>
      <c r="B319" s="83" t="s">
        <v>314</v>
      </c>
      <c r="C319" s="84">
        <f t="shared" si="59"/>
        <v>889.17</v>
      </c>
      <c r="D319" s="84"/>
      <c r="E319" s="84">
        <f t="shared" si="57"/>
        <v>58.17</v>
      </c>
      <c r="F319" s="84">
        <f t="shared" si="60"/>
        <v>33.24</v>
      </c>
      <c r="G319" s="84">
        <f t="shared" si="61"/>
        <v>24.93</v>
      </c>
      <c r="H319" s="84">
        <f t="shared" si="62"/>
        <v>831</v>
      </c>
      <c r="I319" s="84">
        <f t="shared" si="63"/>
        <v>533.50199999999995</v>
      </c>
      <c r="J319" s="130"/>
      <c r="K319" s="130"/>
      <c r="L319" s="130"/>
      <c r="M319" s="130"/>
      <c r="N319" s="130"/>
      <c r="O319" s="84">
        <v>26811</v>
      </c>
      <c r="P319" s="84">
        <v>27642</v>
      </c>
      <c r="Q319" s="389"/>
      <c r="R319" s="390"/>
      <c r="S319" s="156">
        <v>1</v>
      </c>
      <c r="T319" s="84">
        <f t="shared" si="58"/>
        <v>831</v>
      </c>
      <c r="U319" s="88">
        <v>103473542</v>
      </c>
      <c r="V319" s="89" t="s">
        <v>393</v>
      </c>
      <c r="W319" s="14" t="s">
        <v>82</v>
      </c>
      <c r="X319" s="7"/>
      <c r="Y319" s="7"/>
      <c r="Z319" s="7"/>
      <c r="AA319" s="7"/>
      <c r="AB319" s="7"/>
      <c r="AC319" s="7"/>
    </row>
    <row r="320" spans="1:29" ht="25.5">
      <c r="A320" s="19"/>
      <c r="B320" s="466" t="s">
        <v>365</v>
      </c>
      <c r="C320" s="84">
        <f t="shared" si="59"/>
        <v>701.92</v>
      </c>
      <c r="D320" s="84"/>
      <c r="E320" s="84">
        <f t="shared" si="57"/>
        <v>45.92</v>
      </c>
      <c r="F320" s="84">
        <f t="shared" si="60"/>
        <v>26.240000000000002</v>
      </c>
      <c r="G320" s="84">
        <f t="shared" si="61"/>
        <v>19.68</v>
      </c>
      <c r="H320" s="84">
        <f t="shared" si="62"/>
        <v>656</v>
      </c>
      <c r="I320" s="84">
        <f t="shared" si="63"/>
        <v>421.15199999999999</v>
      </c>
      <c r="J320" s="130"/>
      <c r="K320" s="130"/>
      <c r="L320" s="130"/>
      <c r="M320" s="130"/>
      <c r="N320" s="130"/>
      <c r="O320" s="84">
        <v>23329</v>
      </c>
      <c r="P320" s="84">
        <v>23985</v>
      </c>
      <c r="Q320" s="389"/>
      <c r="R320" s="390"/>
      <c r="S320" s="156">
        <v>1</v>
      </c>
      <c r="T320" s="84">
        <f t="shared" si="58"/>
        <v>656</v>
      </c>
      <c r="U320" s="88">
        <v>103095559</v>
      </c>
      <c r="V320" s="89" t="s">
        <v>394</v>
      </c>
      <c r="W320" s="14" t="s">
        <v>82</v>
      </c>
      <c r="X320" s="7"/>
      <c r="Y320" s="7"/>
      <c r="Z320" s="7"/>
      <c r="AA320" s="7"/>
      <c r="AB320" s="7"/>
      <c r="AC320" s="7"/>
    </row>
    <row r="321" spans="1:29" ht="25.5">
      <c r="A321" s="19"/>
      <c r="B321" s="466" t="s">
        <v>831</v>
      </c>
      <c r="C321" s="84">
        <f t="shared" si="59"/>
        <v>1042.18</v>
      </c>
      <c r="D321" s="84"/>
      <c r="E321" s="84">
        <f t="shared" si="57"/>
        <v>68.180000000000007</v>
      </c>
      <c r="F321" s="84">
        <f t="shared" si="60"/>
        <v>38.96</v>
      </c>
      <c r="G321" s="84">
        <f t="shared" si="61"/>
        <v>29.22</v>
      </c>
      <c r="H321" s="84">
        <f t="shared" si="62"/>
        <v>974</v>
      </c>
      <c r="I321" s="84">
        <f t="shared" si="63"/>
        <v>625.30799999999999</v>
      </c>
      <c r="J321" s="130"/>
      <c r="K321" s="130"/>
      <c r="L321" s="130"/>
      <c r="M321" s="130"/>
      <c r="N321" s="130"/>
      <c r="O321" s="84">
        <v>41002</v>
      </c>
      <c r="P321" s="84">
        <v>41976</v>
      </c>
      <c r="Q321" s="389"/>
      <c r="R321" s="390"/>
      <c r="S321" s="156">
        <v>1</v>
      </c>
      <c r="T321" s="84">
        <f t="shared" si="58"/>
        <v>974</v>
      </c>
      <c r="U321" s="88"/>
      <c r="V321" s="89" t="s">
        <v>395</v>
      </c>
      <c r="W321" s="14" t="s">
        <v>82</v>
      </c>
      <c r="X321" s="7"/>
      <c r="Y321" s="7"/>
      <c r="Z321" s="7"/>
      <c r="AA321" s="7"/>
      <c r="AB321" s="7"/>
      <c r="AC321" s="7"/>
    </row>
    <row r="322" spans="1:29" ht="25.5">
      <c r="A322" s="19"/>
      <c r="B322" s="448" t="s">
        <v>396</v>
      </c>
      <c r="C322" s="84">
        <f t="shared" si="59"/>
        <v>1460.55</v>
      </c>
      <c r="D322" s="84"/>
      <c r="E322" s="84">
        <f t="shared" si="57"/>
        <v>95.55</v>
      </c>
      <c r="F322" s="84">
        <f t="shared" si="60"/>
        <v>54.6</v>
      </c>
      <c r="G322" s="84">
        <f t="shared" si="61"/>
        <v>40.949999999999996</v>
      </c>
      <c r="H322" s="84">
        <f t="shared" si="62"/>
        <v>1365</v>
      </c>
      <c r="I322" s="84">
        <f t="shared" si="63"/>
        <v>876.32999999999993</v>
      </c>
      <c r="J322" s="130"/>
      <c r="K322" s="130"/>
      <c r="L322" s="130"/>
      <c r="M322" s="130"/>
      <c r="N322" s="130"/>
      <c r="O322" s="84">
        <v>57698</v>
      </c>
      <c r="P322" s="84">
        <v>59063</v>
      </c>
      <c r="Q322" s="389"/>
      <c r="R322" s="390"/>
      <c r="S322" s="156">
        <v>1</v>
      </c>
      <c r="T322" s="84">
        <f t="shared" si="58"/>
        <v>1365</v>
      </c>
      <c r="U322" s="88">
        <v>4616</v>
      </c>
      <c r="V322" s="89" t="s">
        <v>397</v>
      </c>
      <c r="W322" s="14" t="s">
        <v>82</v>
      </c>
      <c r="X322" s="7"/>
      <c r="Y322" s="7"/>
      <c r="Z322" s="7"/>
      <c r="AA322" s="7"/>
      <c r="AB322" s="7"/>
      <c r="AC322" s="7"/>
    </row>
    <row r="323" spans="1:29" ht="25.5">
      <c r="A323" s="19"/>
      <c r="B323" s="448" t="s">
        <v>806</v>
      </c>
      <c r="C323" s="84">
        <f>H323+E323</f>
        <v>15465.78</v>
      </c>
      <c r="D323" s="84"/>
      <c r="E323" s="84">
        <f t="shared" si="57"/>
        <v>1011.78</v>
      </c>
      <c r="F323" s="84">
        <f t="shared" si="60"/>
        <v>578.16</v>
      </c>
      <c r="G323" s="84">
        <f t="shared" si="61"/>
        <v>433.62</v>
      </c>
      <c r="H323" s="84">
        <f t="shared" si="62"/>
        <v>14454</v>
      </c>
      <c r="I323" s="84">
        <f t="shared" si="63"/>
        <v>9279.4680000000008</v>
      </c>
      <c r="J323" s="130"/>
      <c r="K323" s="130"/>
      <c r="L323" s="130"/>
      <c r="M323" s="130"/>
      <c r="N323" s="130"/>
      <c r="O323" s="84">
        <v>61197</v>
      </c>
      <c r="P323" s="84">
        <v>63419</v>
      </c>
      <c r="Q323" s="389"/>
      <c r="R323" s="390"/>
      <c r="S323" s="156">
        <v>20</v>
      </c>
      <c r="T323" s="84">
        <f>(P323-O323)*S323-T326-C327-T286-T317-T324-T325-T167-T168-T173</f>
        <v>14454</v>
      </c>
      <c r="U323" s="88"/>
      <c r="V323" s="89" t="s">
        <v>806</v>
      </c>
      <c r="W323" s="14" t="s">
        <v>82</v>
      </c>
      <c r="X323" s="7"/>
      <c r="Y323" s="7"/>
      <c r="Z323" s="7"/>
      <c r="AA323" s="7"/>
      <c r="AB323" s="7"/>
      <c r="AC323" s="7"/>
    </row>
    <row r="324" spans="1:29" ht="25.5">
      <c r="A324" s="19"/>
      <c r="B324" s="448" t="s">
        <v>763</v>
      </c>
      <c r="C324" s="84">
        <f>H324+E324</f>
        <v>6436.05</v>
      </c>
      <c r="D324" s="84"/>
      <c r="E324" s="84">
        <f t="shared" si="57"/>
        <v>421.04999999999995</v>
      </c>
      <c r="F324" s="84">
        <f t="shared" si="60"/>
        <v>240.6</v>
      </c>
      <c r="G324" s="84">
        <f t="shared" si="61"/>
        <v>180.45</v>
      </c>
      <c r="H324" s="84">
        <f t="shared" si="62"/>
        <v>6015</v>
      </c>
      <c r="I324" s="84">
        <f t="shared" si="63"/>
        <v>3861.63</v>
      </c>
      <c r="J324" s="130"/>
      <c r="K324" s="130"/>
      <c r="L324" s="130"/>
      <c r="M324" s="130"/>
      <c r="N324" s="130"/>
      <c r="O324" s="84">
        <v>44433</v>
      </c>
      <c r="P324" s="84">
        <v>50448</v>
      </c>
      <c r="Q324" s="389"/>
      <c r="R324" s="390"/>
      <c r="S324" s="156">
        <v>1</v>
      </c>
      <c r="T324" s="84">
        <f>(P324-O324)*S324</f>
        <v>6015</v>
      </c>
      <c r="U324" s="88">
        <v>286</v>
      </c>
      <c r="V324" s="89" t="s">
        <v>769</v>
      </c>
      <c r="W324" s="14" t="s">
        <v>82</v>
      </c>
      <c r="X324" s="7"/>
      <c r="Y324" s="7"/>
      <c r="Z324" s="7"/>
      <c r="AA324" s="7"/>
      <c r="AB324" s="7"/>
      <c r="AC324" s="7"/>
    </row>
    <row r="325" spans="1:29" ht="25.5">
      <c r="A325" s="19"/>
      <c r="B325" s="448"/>
      <c r="C325" s="84">
        <f>H325+E325</f>
        <v>778.96</v>
      </c>
      <c r="D325" s="84"/>
      <c r="E325" s="84">
        <f t="shared" si="57"/>
        <v>50.96</v>
      </c>
      <c r="F325" s="84">
        <f t="shared" si="60"/>
        <v>29.12</v>
      </c>
      <c r="G325" s="84">
        <f t="shared" si="61"/>
        <v>21.84</v>
      </c>
      <c r="H325" s="84">
        <f t="shared" si="62"/>
        <v>728</v>
      </c>
      <c r="I325" s="84">
        <f t="shared" si="63"/>
        <v>467.37599999999998</v>
      </c>
      <c r="J325" s="130"/>
      <c r="K325" s="130"/>
      <c r="L325" s="130"/>
      <c r="M325" s="130"/>
      <c r="N325" s="130"/>
      <c r="O325" s="84">
        <v>14345</v>
      </c>
      <c r="P325" s="84">
        <v>15073</v>
      </c>
      <c r="Q325" s="389"/>
      <c r="R325" s="390"/>
      <c r="S325" s="156">
        <v>1</v>
      </c>
      <c r="T325" s="84">
        <f>(P325-O325)*S325</f>
        <v>728</v>
      </c>
      <c r="U325" s="88"/>
      <c r="V325" s="89" t="s">
        <v>398</v>
      </c>
      <c r="W325" s="14" t="s">
        <v>82</v>
      </c>
      <c r="X325" s="7"/>
      <c r="Y325" s="7"/>
      <c r="Z325" s="7"/>
      <c r="AA325" s="7"/>
      <c r="AB325" s="7"/>
      <c r="AC325" s="7"/>
    </row>
    <row r="326" spans="1:29" ht="25.5">
      <c r="A326" s="19"/>
      <c r="B326" s="448" t="s">
        <v>763</v>
      </c>
      <c r="C326" s="84">
        <f t="shared" si="59"/>
        <v>1081.77</v>
      </c>
      <c r="D326" s="84"/>
      <c r="E326" s="84">
        <f t="shared" si="57"/>
        <v>70.77</v>
      </c>
      <c r="F326" s="84">
        <f t="shared" si="60"/>
        <v>40.44</v>
      </c>
      <c r="G326" s="84">
        <f t="shared" si="61"/>
        <v>30.33</v>
      </c>
      <c r="H326" s="84">
        <f t="shared" si="62"/>
        <v>1011</v>
      </c>
      <c r="I326" s="84">
        <f t="shared" si="63"/>
        <v>649.06200000000001</v>
      </c>
      <c r="J326" s="130"/>
      <c r="K326" s="130"/>
      <c r="L326" s="130"/>
      <c r="M326" s="130"/>
      <c r="N326" s="130"/>
      <c r="O326" s="84">
        <v>8723</v>
      </c>
      <c r="P326" s="84">
        <v>9734</v>
      </c>
      <c r="Q326" s="389"/>
      <c r="R326" s="390"/>
      <c r="S326" s="156">
        <v>1</v>
      </c>
      <c r="T326" s="84">
        <f>(P326-O326)*S326</f>
        <v>1011</v>
      </c>
      <c r="U326" s="88"/>
      <c r="V326" s="89" t="s">
        <v>770</v>
      </c>
      <c r="W326" s="14" t="s">
        <v>82</v>
      </c>
      <c r="X326" s="7"/>
      <c r="Y326" s="7"/>
      <c r="Z326" s="7"/>
      <c r="AA326" s="7"/>
      <c r="AB326" s="7"/>
      <c r="AC326" s="7"/>
    </row>
    <row r="327" spans="1:29" ht="25.5">
      <c r="A327" s="19"/>
      <c r="B327" s="466"/>
      <c r="C327" s="84">
        <v>12000</v>
      </c>
      <c r="D327" s="84"/>
      <c r="E327" s="84"/>
      <c r="F327" s="84"/>
      <c r="G327" s="84"/>
      <c r="H327" s="84"/>
      <c r="I327" s="84"/>
      <c r="J327" s="130"/>
      <c r="K327" s="130"/>
      <c r="L327" s="130"/>
      <c r="M327" s="130"/>
      <c r="N327" s="130"/>
      <c r="O327" s="84"/>
      <c r="P327" s="84"/>
      <c r="Q327" s="389"/>
      <c r="R327" s="390"/>
      <c r="S327" s="156"/>
      <c r="T327" s="84">
        <v>0</v>
      </c>
      <c r="U327" s="88"/>
      <c r="V327" s="89" t="s">
        <v>401</v>
      </c>
      <c r="W327" s="14" t="s">
        <v>82</v>
      </c>
      <c r="X327" s="7"/>
      <c r="Y327" s="7"/>
      <c r="Z327" s="7"/>
      <c r="AA327" s="7"/>
      <c r="AB327" s="7"/>
      <c r="AC327" s="7"/>
    </row>
    <row r="328" spans="1:29" ht="26.25">
      <c r="A328" s="19"/>
      <c r="B328" s="213" t="s">
        <v>402</v>
      </c>
      <c r="C328" s="97">
        <f>SUM(C286:C327)</f>
        <v>132153.51</v>
      </c>
      <c r="D328" s="91"/>
      <c r="E328" s="91"/>
      <c r="F328" s="91"/>
      <c r="G328" s="91"/>
      <c r="H328" s="91"/>
      <c r="I328" s="124">
        <f t="shared" si="63"/>
        <v>79292.106</v>
      </c>
      <c r="J328" s="22"/>
      <c r="K328" s="22"/>
      <c r="L328" s="22"/>
      <c r="M328" s="22"/>
      <c r="N328" s="22"/>
      <c r="O328" s="91"/>
      <c r="P328" s="91"/>
      <c r="Q328" s="149"/>
      <c r="R328" s="161"/>
      <c r="S328" s="151"/>
      <c r="T328" s="91"/>
      <c r="U328" s="95"/>
      <c r="V328" s="673"/>
      <c r="W328" s="14"/>
      <c r="X328" s="7"/>
      <c r="Y328" s="7"/>
      <c r="Z328" s="7"/>
      <c r="AA328" s="7"/>
      <c r="AB328" s="7"/>
      <c r="AC328" s="7"/>
    </row>
    <row r="329" spans="1:29" ht="27.75">
      <c r="A329" s="19"/>
      <c r="B329" s="216" t="s">
        <v>403</v>
      </c>
      <c r="C329" s="97">
        <f>SUM(C166:C327)</f>
        <v>512631.5457999949</v>
      </c>
      <c r="D329" s="91"/>
      <c r="E329" s="113"/>
      <c r="F329" s="91"/>
      <c r="G329" s="91"/>
      <c r="H329" s="91"/>
      <c r="I329" s="115"/>
      <c r="J329" s="22"/>
      <c r="K329" s="22"/>
      <c r="L329" s="22"/>
      <c r="M329" s="22"/>
      <c r="N329" s="22"/>
      <c r="O329" s="91"/>
      <c r="P329" s="91"/>
      <c r="Q329" s="149"/>
      <c r="R329" s="161"/>
      <c r="S329" s="151"/>
      <c r="T329" s="91"/>
      <c r="U329" s="95"/>
      <c r="V329" s="673"/>
      <c r="W329" s="14"/>
      <c r="X329" s="7"/>
      <c r="Y329" s="7"/>
      <c r="Z329" s="7"/>
      <c r="AA329" s="7"/>
      <c r="AB329" s="7"/>
      <c r="AC329" s="7"/>
    </row>
    <row r="330" spans="1:29" ht="26.25">
      <c r="A330" s="19"/>
      <c r="B330" s="217"/>
      <c r="C330" s="115"/>
      <c r="D330" s="115"/>
      <c r="E330" s="112"/>
      <c r="F330" s="115"/>
      <c r="G330" s="115"/>
      <c r="H330" s="115"/>
      <c r="I330" s="115"/>
      <c r="J330" s="164"/>
      <c r="K330" s="164"/>
      <c r="L330" s="164"/>
      <c r="M330" s="164"/>
      <c r="N330" s="164"/>
      <c r="O330" s="210"/>
      <c r="P330" s="210"/>
      <c r="Q330" s="149"/>
      <c r="R330" s="211"/>
      <c r="S330" s="115"/>
      <c r="T330" s="91"/>
      <c r="U330" s="95"/>
      <c r="V330" s="673"/>
      <c r="W330" s="14"/>
      <c r="X330" s="7"/>
      <c r="Y330" s="7"/>
      <c r="Z330" s="7"/>
      <c r="AA330" s="7"/>
      <c r="AB330" s="7"/>
      <c r="AC330" s="7"/>
    </row>
    <row r="331" spans="1:29" ht="26.25">
      <c r="A331" s="19"/>
      <c r="B331" s="193" t="s">
        <v>404</v>
      </c>
      <c r="C331" s="91"/>
      <c r="D331" s="115"/>
      <c r="E331" s="115"/>
      <c r="F331" s="91"/>
      <c r="G331" s="91"/>
      <c r="H331" s="91"/>
      <c r="I331" s="91"/>
      <c r="J331" s="164"/>
      <c r="K331" s="164"/>
      <c r="L331" s="164"/>
      <c r="M331" s="164"/>
      <c r="N331" s="164"/>
      <c r="O331" s="91"/>
      <c r="P331" s="91"/>
      <c r="Q331" s="7"/>
      <c r="R331" s="94"/>
      <c r="S331" s="91"/>
      <c r="T331" s="91"/>
      <c r="U331" s="95"/>
      <c r="V331" s="673"/>
      <c r="W331" s="14"/>
      <c r="X331" s="7"/>
      <c r="Y331" s="7"/>
      <c r="Z331" s="7"/>
      <c r="AA331" s="7"/>
      <c r="AB331" s="7"/>
      <c r="AC331" s="7"/>
    </row>
    <row r="332" spans="1:29" ht="25.5">
      <c r="A332" s="19"/>
      <c r="B332" s="1"/>
      <c r="V332" s="673"/>
      <c r="W332" s="14"/>
      <c r="X332" s="7"/>
      <c r="Y332" s="7"/>
      <c r="Z332" s="7"/>
      <c r="AA332" s="7"/>
      <c r="AB332" s="7"/>
      <c r="AC332" s="7"/>
    </row>
    <row r="333" spans="1:29" ht="25.5">
      <c r="A333" s="19"/>
      <c r="B333" s="27" t="s">
        <v>405</v>
      </c>
      <c r="C333" s="28">
        <f t="shared" ref="C333:C354" si="64">H333+E333</f>
        <v>0</v>
      </c>
      <c r="D333" s="28"/>
      <c r="E333" s="28">
        <f t="shared" ref="E333:E355" si="65">F333+G333</f>
        <v>0</v>
      </c>
      <c r="F333" s="28">
        <f t="shared" ref="F333:F376" si="66">0.04*H333</f>
        <v>0</v>
      </c>
      <c r="G333" s="28">
        <f t="shared" ref="G333:G376" si="67">0.03*H333</f>
        <v>0</v>
      </c>
      <c r="H333" s="28">
        <f t="shared" ref="H333:H367" si="68">T333</f>
        <v>0</v>
      </c>
      <c r="I333" s="28">
        <f t="shared" ref="I333:I342" si="69">0.6*C333</f>
        <v>0</v>
      </c>
      <c r="J333" s="29"/>
      <c r="K333" s="29"/>
      <c r="L333" s="29"/>
      <c r="M333" s="29"/>
      <c r="N333" s="29"/>
      <c r="O333" s="28">
        <v>12350</v>
      </c>
      <c r="P333" s="28">
        <v>12350</v>
      </c>
      <c r="Q333" s="29"/>
      <c r="R333" s="348"/>
      <c r="S333" s="54">
        <v>1</v>
      </c>
      <c r="T333" s="28">
        <f t="shared" ref="T333:T348" si="70">(P333-O333)*S333</f>
        <v>0</v>
      </c>
      <c r="U333" s="31">
        <v>55953</v>
      </c>
      <c r="V333" s="677" t="s">
        <v>406</v>
      </c>
      <c r="W333" s="14" t="s">
        <v>212</v>
      </c>
      <c r="X333" s="7"/>
      <c r="Y333" s="7"/>
      <c r="Z333" s="7"/>
      <c r="AA333" s="7"/>
      <c r="AB333" s="7"/>
      <c r="AC333" s="7"/>
    </row>
    <row r="334" spans="1:29" ht="25.5">
      <c r="A334" s="19"/>
      <c r="B334" s="27" t="s">
        <v>407</v>
      </c>
      <c r="C334" s="28">
        <f t="shared" si="64"/>
        <v>166.92</v>
      </c>
      <c r="D334" s="28"/>
      <c r="E334" s="28">
        <f t="shared" si="65"/>
        <v>10.92</v>
      </c>
      <c r="F334" s="28">
        <f t="shared" si="66"/>
        <v>6.24</v>
      </c>
      <c r="G334" s="28">
        <f t="shared" si="67"/>
        <v>4.68</v>
      </c>
      <c r="H334" s="28">
        <f t="shared" si="68"/>
        <v>156</v>
      </c>
      <c r="I334" s="28">
        <f t="shared" si="69"/>
        <v>100.15199999999999</v>
      </c>
      <c r="J334" s="29"/>
      <c r="K334" s="29"/>
      <c r="L334" s="29"/>
      <c r="M334" s="29"/>
      <c r="N334" s="29"/>
      <c r="O334" s="28">
        <v>17292</v>
      </c>
      <c r="P334" s="28">
        <v>17448</v>
      </c>
      <c r="Q334" s="29"/>
      <c r="R334" s="348"/>
      <c r="S334" s="54">
        <v>1</v>
      </c>
      <c r="T334" s="28">
        <f t="shared" si="70"/>
        <v>156</v>
      </c>
      <c r="U334" s="31">
        <v>1485</v>
      </c>
      <c r="V334" s="689" t="s">
        <v>408</v>
      </c>
      <c r="W334" s="14" t="s">
        <v>212</v>
      </c>
      <c r="X334" s="7"/>
      <c r="Y334" s="7"/>
      <c r="Z334" s="7"/>
      <c r="AA334" s="7"/>
      <c r="AB334" s="7"/>
      <c r="AC334" s="7"/>
    </row>
    <row r="335" spans="1:29" ht="25.5">
      <c r="A335" s="19"/>
      <c r="B335" s="454" t="s">
        <v>826</v>
      </c>
      <c r="C335" s="28">
        <f t="shared" si="64"/>
        <v>23.54</v>
      </c>
      <c r="D335" s="28"/>
      <c r="E335" s="28">
        <f t="shared" si="65"/>
        <v>1.54</v>
      </c>
      <c r="F335" s="28">
        <f t="shared" si="66"/>
        <v>0.88</v>
      </c>
      <c r="G335" s="28">
        <f t="shared" si="67"/>
        <v>0.65999999999999992</v>
      </c>
      <c r="H335" s="28">
        <f t="shared" si="68"/>
        <v>22</v>
      </c>
      <c r="I335" s="28">
        <f t="shared" si="69"/>
        <v>14.123999999999999</v>
      </c>
      <c r="J335" s="29"/>
      <c r="K335" s="29"/>
      <c r="L335" s="29"/>
      <c r="M335" s="29"/>
      <c r="N335" s="29"/>
      <c r="O335" s="28">
        <v>15642</v>
      </c>
      <c r="P335" s="28">
        <v>15664</v>
      </c>
      <c r="Q335" s="29"/>
      <c r="R335" s="348"/>
      <c r="S335" s="54">
        <v>1</v>
      </c>
      <c r="T335" s="28">
        <f t="shared" si="70"/>
        <v>22</v>
      </c>
      <c r="U335" s="31"/>
      <c r="V335" s="677" t="s">
        <v>931</v>
      </c>
      <c r="W335" s="14" t="s">
        <v>212</v>
      </c>
      <c r="X335" s="7"/>
      <c r="Y335" s="7"/>
      <c r="Z335" s="7"/>
      <c r="AA335" s="7"/>
      <c r="AB335" s="7"/>
      <c r="AC335" s="7"/>
    </row>
    <row r="336" spans="1:29" ht="25.5">
      <c r="A336" s="19"/>
      <c r="B336" s="454" t="s">
        <v>409</v>
      </c>
      <c r="C336" s="28">
        <f t="shared" si="64"/>
        <v>1250.83</v>
      </c>
      <c r="D336" s="28"/>
      <c r="E336" s="28">
        <f t="shared" si="65"/>
        <v>81.83</v>
      </c>
      <c r="F336" s="28">
        <f t="shared" si="66"/>
        <v>46.76</v>
      </c>
      <c r="G336" s="28">
        <f t="shared" si="67"/>
        <v>35.07</v>
      </c>
      <c r="H336" s="28">
        <f t="shared" si="68"/>
        <v>1169</v>
      </c>
      <c r="I336" s="28">
        <f t="shared" si="69"/>
        <v>750.49799999999993</v>
      </c>
      <c r="J336" s="29"/>
      <c r="K336" s="29"/>
      <c r="L336" s="29"/>
      <c r="M336" s="29"/>
      <c r="N336" s="29"/>
      <c r="O336" s="414">
        <f>68689+5741+35812</f>
        <v>110242</v>
      </c>
      <c r="P336" s="414">
        <f>69506+5771+36134</f>
        <v>111411</v>
      </c>
      <c r="Q336" s="29"/>
      <c r="R336" s="348"/>
      <c r="S336" s="54">
        <v>1</v>
      </c>
      <c r="T336" s="28">
        <f t="shared" si="70"/>
        <v>1169</v>
      </c>
      <c r="U336" s="31"/>
      <c r="V336" s="677" t="s">
        <v>410</v>
      </c>
      <c r="W336" s="14" t="s">
        <v>212</v>
      </c>
      <c r="X336" s="7"/>
      <c r="Y336" s="7"/>
      <c r="Z336" s="7"/>
      <c r="AA336" s="7"/>
      <c r="AB336" s="7"/>
      <c r="AC336" s="7"/>
    </row>
    <row r="337" spans="1:29" ht="25.5">
      <c r="A337" s="19"/>
      <c r="B337" s="471" t="s">
        <v>411</v>
      </c>
      <c r="C337" s="28">
        <f t="shared" si="64"/>
        <v>143.38</v>
      </c>
      <c r="D337" s="28"/>
      <c r="E337" s="28">
        <f t="shared" si="65"/>
        <v>9.379999999999999</v>
      </c>
      <c r="F337" s="28">
        <f t="shared" si="66"/>
        <v>5.36</v>
      </c>
      <c r="G337" s="28">
        <f t="shared" si="67"/>
        <v>4.0199999999999996</v>
      </c>
      <c r="H337" s="28">
        <f t="shared" si="68"/>
        <v>134</v>
      </c>
      <c r="I337" s="28">
        <f t="shared" si="69"/>
        <v>86.027999999999992</v>
      </c>
      <c r="J337" s="29"/>
      <c r="K337" s="29"/>
      <c r="L337" s="29"/>
      <c r="M337" s="29"/>
      <c r="N337" s="29"/>
      <c r="O337" s="28">
        <v>1477</v>
      </c>
      <c r="P337" s="28">
        <v>1611</v>
      </c>
      <c r="Q337" s="29"/>
      <c r="R337" s="348"/>
      <c r="S337" s="54">
        <v>1</v>
      </c>
      <c r="T337" s="28">
        <f>(P337-O337)*S337</f>
        <v>134</v>
      </c>
      <c r="U337" s="455" t="s">
        <v>781</v>
      </c>
      <c r="V337" s="677" t="s">
        <v>780</v>
      </c>
      <c r="W337" s="14" t="s">
        <v>212</v>
      </c>
      <c r="X337" s="7"/>
      <c r="Y337" s="7"/>
      <c r="Z337" s="7"/>
      <c r="AA337" s="7"/>
      <c r="AB337" s="7"/>
      <c r="AC337" s="7"/>
    </row>
    <row r="338" spans="1:29" ht="25.5">
      <c r="A338" s="19"/>
      <c r="B338" s="472" t="s">
        <v>412</v>
      </c>
      <c r="C338" s="28">
        <f t="shared" si="64"/>
        <v>43.87</v>
      </c>
      <c r="D338" s="28"/>
      <c r="E338" s="28">
        <f t="shared" si="65"/>
        <v>2.87</v>
      </c>
      <c r="F338" s="28">
        <f t="shared" si="66"/>
        <v>1.6400000000000001</v>
      </c>
      <c r="G338" s="28">
        <f t="shared" si="67"/>
        <v>1.23</v>
      </c>
      <c r="H338" s="28">
        <f t="shared" si="68"/>
        <v>41</v>
      </c>
      <c r="I338" s="28">
        <f t="shared" si="69"/>
        <v>26.321999999999999</v>
      </c>
      <c r="J338" s="29"/>
      <c r="K338" s="29"/>
      <c r="L338" s="29"/>
      <c r="M338" s="29"/>
      <c r="N338" s="29"/>
      <c r="O338" s="28">
        <v>1356</v>
      </c>
      <c r="P338" s="28">
        <v>1397</v>
      </c>
      <c r="Q338" s="29"/>
      <c r="R338" s="348"/>
      <c r="S338" s="54">
        <v>1</v>
      </c>
      <c r="T338" s="28">
        <f>(P338-O338)*S338</f>
        <v>41</v>
      </c>
      <c r="U338" s="455" t="s">
        <v>782</v>
      </c>
      <c r="V338" s="677" t="s">
        <v>413</v>
      </c>
      <c r="W338" s="14" t="s">
        <v>212</v>
      </c>
      <c r="X338" s="7"/>
      <c r="Y338" s="7"/>
      <c r="Z338" s="7"/>
      <c r="AA338" s="7"/>
      <c r="AB338" s="7"/>
      <c r="AC338" s="7"/>
    </row>
    <row r="339" spans="1:29" ht="25.5">
      <c r="A339" s="19"/>
      <c r="B339" s="472" t="s">
        <v>414</v>
      </c>
      <c r="C339" s="28">
        <f t="shared" si="64"/>
        <v>118.77</v>
      </c>
      <c r="D339" s="28"/>
      <c r="E339" s="28">
        <f t="shared" si="65"/>
        <v>7.7700000000000005</v>
      </c>
      <c r="F339" s="28">
        <f t="shared" si="66"/>
        <v>4.4400000000000004</v>
      </c>
      <c r="G339" s="28">
        <f t="shared" si="67"/>
        <v>3.33</v>
      </c>
      <c r="H339" s="28">
        <f t="shared" si="68"/>
        <v>111</v>
      </c>
      <c r="I339" s="28">
        <f t="shared" si="69"/>
        <v>71.262</v>
      </c>
      <c r="J339" s="29"/>
      <c r="K339" s="29"/>
      <c r="L339" s="29"/>
      <c r="M339" s="29"/>
      <c r="N339" s="29"/>
      <c r="O339" s="28">
        <v>4268</v>
      </c>
      <c r="P339" s="28">
        <v>4379</v>
      </c>
      <c r="Q339" s="29"/>
      <c r="R339" s="348"/>
      <c r="S339" s="54">
        <v>1</v>
      </c>
      <c r="T339" s="28">
        <f>(P339-O339)*S339</f>
        <v>111</v>
      </c>
      <c r="U339" s="455" t="s">
        <v>783</v>
      </c>
      <c r="V339" s="677" t="s">
        <v>415</v>
      </c>
      <c r="W339" s="14" t="s">
        <v>212</v>
      </c>
      <c r="X339" s="7"/>
      <c r="Y339" s="7"/>
      <c r="Z339" s="7"/>
      <c r="AA339" s="7"/>
      <c r="AB339" s="7"/>
      <c r="AC339" s="7"/>
    </row>
    <row r="340" spans="1:29" ht="25.5">
      <c r="A340" s="19"/>
      <c r="B340" s="534" t="s">
        <v>828</v>
      </c>
      <c r="C340" s="28">
        <f t="shared" si="64"/>
        <v>111.28</v>
      </c>
      <c r="D340" s="28"/>
      <c r="E340" s="28">
        <f t="shared" si="65"/>
        <v>7.28</v>
      </c>
      <c r="F340" s="28">
        <f t="shared" si="66"/>
        <v>4.16</v>
      </c>
      <c r="G340" s="28">
        <f t="shared" si="67"/>
        <v>3.12</v>
      </c>
      <c r="H340" s="28">
        <f t="shared" si="68"/>
        <v>104</v>
      </c>
      <c r="I340" s="28">
        <f t="shared" si="69"/>
        <v>66.768000000000001</v>
      </c>
      <c r="J340" s="29"/>
      <c r="K340" s="29"/>
      <c r="L340" s="29"/>
      <c r="M340" s="29"/>
      <c r="N340" s="29"/>
      <c r="O340" s="28">
        <v>1142</v>
      </c>
      <c r="P340" s="28">
        <v>1246</v>
      </c>
      <c r="Q340" s="29"/>
      <c r="R340" s="348"/>
      <c r="S340" s="54">
        <v>1</v>
      </c>
      <c r="T340" s="28">
        <f>(P340-O340)*S340</f>
        <v>104</v>
      </c>
      <c r="U340" s="455" t="s">
        <v>784</v>
      </c>
      <c r="V340" s="677" t="s">
        <v>819</v>
      </c>
      <c r="W340" s="14" t="s">
        <v>212</v>
      </c>
      <c r="X340" s="7"/>
      <c r="Y340" s="7"/>
      <c r="Z340" s="7"/>
      <c r="AA340" s="7"/>
      <c r="AB340" s="7"/>
      <c r="AC340" s="7"/>
    </row>
    <row r="341" spans="1:29" ht="27" customHeight="1">
      <c r="A341" s="19"/>
      <c r="B341" s="413" t="s">
        <v>416</v>
      </c>
      <c r="C341" s="414">
        <f t="shared" si="64"/>
        <v>631.29999999999995</v>
      </c>
      <c r="D341" s="414"/>
      <c r="E341" s="414">
        <f t="shared" si="65"/>
        <v>41.3</v>
      </c>
      <c r="F341" s="414">
        <f t="shared" si="66"/>
        <v>23.6</v>
      </c>
      <c r="G341" s="414">
        <f t="shared" si="67"/>
        <v>17.7</v>
      </c>
      <c r="H341" s="414">
        <f t="shared" si="68"/>
        <v>590</v>
      </c>
      <c r="I341" s="414">
        <f t="shared" si="69"/>
        <v>378.78</v>
      </c>
      <c r="J341" s="415"/>
      <c r="K341" s="415"/>
      <c r="L341" s="415"/>
      <c r="M341" s="415"/>
      <c r="N341" s="415" t="s">
        <v>417</v>
      </c>
      <c r="O341" s="414">
        <f>5664+33484+32167</f>
        <v>71315</v>
      </c>
      <c r="P341" s="414">
        <f>5903+33619+32383</f>
        <v>71905</v>
      </c>
      <c r="Q341" s="422"/>
      <c r="R341" s="473"/>
      <c r="S341" s="414">
        <v>1</v>
      </c>
      <c r="T341" s="414">
        <f>(P341-O341)*S341</f>
        <v>590</v>
      </c>
      <c r="U341" s="31">
        <v>9516</v>
      </c>
      <c r="V341" s="677" t="s">
        <v>820</v>
      </c>
      <c r="W341" s="14" t="s">
        <v>212</v>
      </c>
      <c r="X341" s="7"/>
      <c r="Y341" s="7"/>
      <c r="Z341" s="7"/>
      <c r="AA341" s="7"/>
      <c r="AB341" s="7"/>
      <c r="AC341" s="7"/>
    </row>
    <row r="342" spans="1:29" s="195" customFormat="1" ht="26.25" customHeight="1">
      <c r="A342" s="194"/>
      <c r="B342" s="454" t="s">
        <v>827</v>
      </c>
      <c r="C342" s="28">
        <f t="shared" si="64"/>
        <v>186.18</v>
      </c>
      <c r="D342" s="28"/>
      <c r="E342" s="28">
        <f t="shared" si="65"/>
        <v>12.18</v>
      </c>
      <c r="F342" s="360">
        <f t="shared" si="66"/>
        <v>6.96</v>
      </c>
      <c r="G342" s="28">
        <f t="shared" si="67"/>
        <v>5.22</v>
      </c>
      <c r="H342" s="28">
        <f t="shared" si="68"/>
        <v>174</v>
      </c>
      <c r="I342" s="28">
        <f t="shared" si="69"/>
        <v>111.708</v>
      </c>
      <c r="J342" s="29"/>
      <c r="K342" s="29"/>
      <c r="L342" s="29"/>
      <c r="M342" s="29"/>
      <c r="N342" s="29"/>
      <c r="O342" s="28">
        <v>53935</v>
      </c>
      <c r="P342" s="28">
        <v>54109</v>
      </c>
      <c r="Q342" s="30"/>
      <c r="R342" s="71"/>
      <c r="S342" s="54">
        <v>1</v>
      </c>
      <c r="T342" s="28">
        <f t="shared" si="70"/>
        <v>174</v>
      </c>
      <c r="U342" s="31"/>
      <c r="V342" s="677" t="s">
        <v>821</v>
      </c>
      <c r="W342" s="191" t="s">
        <v>212</v>
      </c>
      <c r="X342" s="86"/>
      <c r="Y342" s="86"/>
      <c r="Z342" s="86"/>
      <c r="AA342" s="86"/>
      <c r="AB342" s="86"/>
      <c r="AC342" s="86"/>
    </row>
    <row r="343" spans="1:29" ht="25.5">
      <c r="A343" s="19"/>
      <c r="B343" s="27" t="s">
        <v>825</v>
      </c>
      <c r="C343" s="28">
        <f t="shared" si="64"/>
        <v>4975.5</v>
      </c>
      <c r="D343" s="28"/>
      <c r="E343" s="28">
        <f t="shared" si="65"/>
        <v>325.5</v>
      </c>
      <c r="F343" s="360">
        <f t="shared" si="66"/>
        <v>186</v>
      </c>
      <c r="G343" s="28">
        <f t="shared" si="67"/>
        <v>139.5</v>
      </c>
      <c r="H343" s="28">
        <f t="shared" si="68"/>
        <v>4650</v>
      </c>
      <c r="I343" s="28">
        <f>0.5*C343</f>
        <v>2487.75</v>
      </c>
      <c r="J343" s="29"/>
      <c r="K343" s="29"/>
      <c r="L343" s="29"/>
      <c r="M343" s="29"/>
      <c r="N343" s="29"/>
      <c r="O343" s="28">
        <f>105821+1489+345914</f>
        <v>453224</v>
      </c>
      <c r="P343" s="28">
        <f>106679+1506+349689</f>
        <v>457874</v>
      </c>
      <c r="Q343" s="30"/>
      <c r="R343" s="71"/>
      <c r="S343" s="54">
        <v>1</v>
      </c>
      <c r="T343" s="28">
        <f t="shared" si="70"/>
        <v>4650</v>
      </c>
      <c r="U343" s="31" t="s">
        <v>418</v>
      </c>
      <c r="V343" s="677" t="s">
        <v>419</v>
      </c>
      <c r="W343" s="14" t="s">
        <v>212</v>
      </c>
      <c r="X343" s="7"/>
      <c r="Y343" s="7"/>
      <c r="Z343" s="7"/>
      <c r="AA343" s="7"/>
      <c r="AB343" s="7"/>
      <c r="AC343" s="7"/>
    </row>
    <row r="344" spans="1:29" ht="25.5">
      <c r="A344" s="19"/>
      <c r="B344" s="27" t="s">
        <v>829</v>
      </c>
      <c r="C344" s="28">
        <f t="shared" si="64"/>
        <v>260.01</v>
      </c>
      <c r="D344" s="28"/>
      <c r="E344" s="28">
        <f t="shared" si="65"/>
        <v>17.010000000000002</v>
      </c>
      <c r="F344" s="360">
        <f t="shared" si="66"/>
        <v>9.7200000000000006</v>
      </c>
      <c r="G344" s="28">
        <f t="shared" si="67"/>
        <v>7.29</v>
      </c>
      <c r="H344" s="28">
        <f t="shared" si="68"/>
        <v>243</v>
      </c>
      <c r="I344" s="28">
        <f>0.5*C344</f>
        <v>130.005</v>
      </c>
      <c r="J344" s="29"/>
      <c r="K344" s="29"/>
      <c r="L344" s="29"/>
      <c r="M344" s="29"/>
      <c r="N344" s="29"/>
      <c r="O344" s="28">
        <v>5677</v>
      </c>
      <c r="P344" s="28">
        <v>5920</v>
      </c>
      <c r="Q344" s="30"/>
      <c r="R344" s="71"/>
      <c r="S344" s="54">
        <v>1</v>
      </c>
      <c r="T344" s="28">
        <f t="shared" si="70"/>
        <v>243</v>
      </c>
      <c r="U344" s="31"/>
      <c r="V344" s="474" t="s">
        <v>822</v>
      </c>
      <c r="W344" s="14" t="s">
        <v>212</v>
      </c>
      <c r="X344" s="7"/>
      <c r="Y344" s="7"/>
      <c r="Z344" s="7"/>
      <c r="AA344" s="7"/>
      <c r="AB344" s="7"/>
      <c r="AC344" s="7"/>
    </row>
    <row r="345" spans="1:29" ht="25.5">
      <c r="A345" s="19"/>
      <c r="B345" s="27" t="s">
        <v>420</v>
      </c>
      <c r="C345" s="28">
        <f t="shared" si="64"/>
        <v>325.27999999999997</v>
      </c>
      <c r="D345" s="28"/>
      <c r="E345" s="28">
        <f t="shared" si="65"/>
        <v>21.28</v>
      </c>
      <c r="F345" s="28">
        <f t="shared" si="66"/>
        <v>12.16</v>
      </c>
      <c r="G345" s="28">
        <f t="shared" si="67"/>
        <v>9.1199999999999992</v>
      </c>
      <c r="H345" s="28">
        <f t="shared" si="68"/>
        <v>304</v>
      </c>
      <c r="I345" s="28">
        <f>0.6*C345</f>
        <v>195.16799999999998</v>
      </c>
      <c r="J345" s="29"/>
      <c r="K345" s="29"/>
      <c r="L345" s="29"/>
      <c r="M345" s="29"/>
      <c r="N345" s="29" t="s">
        <v>421</v>
      </c>
      <c r="O345" s="28">
        <f>32869+68452</f>
        <v>101321</v>
      </c>
      <c r="P345" s="28">
        <f>32988+68637</f>
        <v>101625</v>
      </c>
      <c r="Q345" s="146"/>
      <c r="R345" s="61"/>
      <c r="S345" s="54">
        <v>1</v>
      </c>
      <c r="T345" s="28">
        <f t="shared" si="70"/>
        <v>304</v>
      </c>
      <c r="U345" s="475" t="s">
        <v>422</v>
      </c>
      <c r="V345" s="474" t="s">
        <v>423</v>
      </c>
      <c r="W345" s="14" t="s">
        <v>212</v>
      </c>
      <c r="X345" s="7"/>
      <c r="Y345" s="7"/>
      <c r="Z345" s="7"/>
      <c r="AA345" s="7"/>
      <c r="AB345" s="7"/>
      <c r="AC345" s="7"/>
    </row>
    <row r="346" spans="1:29" ht="25.5">
      <c r="A346" s="19"/>
      <c r="B346" s="27" t="s">
        <v>424</v>
      </c>
      <c r="C346" s="28">
        <f t="shared" si="64"/>
        <v>65.27</v>
      </c>
      <c r="D346" s="28"/>
      <c r="E346" s="28">
        <f t="shared" si="65"/>
        <v>4.2699999999999996</v>
      </c>
      <c r="F346" s="470">
        <f t="shared" si="66"/>
        <v>2.44</v>
      </c>
      <c r="G346" s="28">
        <f t="shared" si="67"/>
        <v>1.8299999999999998</v>
      </c>
      <c r="H346" s="28">
        <f t="shared" si="68"/>
        <v>61</v>
      </c>
      <c r="I346" s="28">
        <f>0.6*C346</f>
        <v>39.161999999999999</v>
      </c>
      <c r="J346" s="29"/>
      <c r="K346" s="29"/>
      <c r="L346" s="29"/>
      <c r="M346" s="29"/>
      <c r="N346" s="29"/>
      <c r="O346" s="28">
        <v>11412</v>
      </c>
      <c r="P346" s="28">
        <v>11473</v>
      </c>
      <c r="Q346" s="30"/>
      <c r="R346" s="71"/>
      <c r="S346" s="54">
        <v>1</v>
      </c>
      <c r="T346" s="28">
        <f t="shared" si="70"/>
        <v>61</v>
      </c>
      <c r="U346" s="31"/>
      <c r="V346" s="677" t="s">
        <v>425</v>
      </c>
      <c r="W346" s="14" t="s">
        <v>212</v>
      </c>
      <c r="X346" s="7"/>
      <c r="Y346" s="7"/>
      <c r="Z346" s="7"/>
      <c r="AA346" s="7"/>
      <c r="AB346" s="7"/>
      <c r="AC346" s="7"/>
    </row>
    <row r="347" spans="1:29" ht="25.5">
      <c r="A347" s="19"/>
      <c r="B347" s="476" t="s">
        <v>426</v>
      </c>
      <c r="C347" s="43">
        <f t="shared" si="64"/>
        <v>64.2</v>
      </c>
      <c r="D347" s="43"/>
      <c r="E347" s="43">
        <f t="shared" si="65"/>
        <v>4.1999999999999993</v>
      </c>
      <c r="F347" s="43">
        <f t="shared" si="66"/>
        <v>2.4</v>
      </c>
      <c r="G347" s="43">
        <f t="shared" si="67"/>
        <v>1.7999999999999998</v>
      </c>
      <c r="H347" s="43">
        <f t="shared" si="68"/>
        <v>60</v>
      </c>
      <c r="I347" s="43">
        <f>0.4*C347</f>
        <v>25.680000000000003</v>
      </c>
      <c r="J347" s="355"/>
      <c r="K347" s="355"/>
      <c r="L347" s="355"/>
      <c r="M347" s="355"/>
      <c r="N347" s="355"/>
      <c r="O347" s="43">
        <v>2664</v>
      </c>
      <c r="P347" s="43">
        <v>2724</v>
      </c>
      <c r="Q347" s="436"/>
      <c r="R347" s="356"/>
      <c r="S347" s="477">
        <v>1</v>
      </c>
      <c r="T347" s="43">
        <f t="shared" si="70"/>
        <v>60</v>
      </c>
      <c r="U347" s="55"/>
      <c r="V347" s="478" t="s">
        <v>427</v>
      </c>
      <c r="W347" s="14" t="s">
        <v>212</v>
      </c>
      <c r="X347" s="7"/>
      <c r="Y347" s="7"/>
      <c r="Z347" s="7"/>
      <c r="AA347" s="7"/>
      <c r="AB347" s="7"/>
      <c r="AC347" s="7"/>
    </row>
    <row r="348" spans="1:29" ht="24" customHeight="1">
      <c r="A348" s="19"/>
      <c r="B348" s="148" t="s">
        <v>428</v>
      </c>
      <c r="C348" s="91">
        <f t="shared" si="64"/>
        <v>0</v>
      </c>
      <c r="D348" s="91"/>
      <c r="E348" s="91">
        <f t="shared" si="65"/>
        <v>0</v>
      </c>
      <c r="F348" s="91">
        <f t="shared" si="66"/>
        <v>0</v>
      </c>
      <c r="G348" s="91">
        <f t="shared" si="67"/>
        <v>0</v>
      </c>
      <c r="H348" s="91">
        <f t="shared" si="68"/>
        <v>0</v>
      </c>
      <c r="I348" s="91">
        <f>0.6*C348</f>
        <v>0</v>
      </c>
      <c r="J348" s="22"/>
      <c r="K348" s="22"/>
      <c r="L348" s="22"/>
      <c r="M348" s="22"/>
      <c r="N348" s="22"/>
      <c r="O348" s="91">
        <v>3295</v>
      </c>
      <c r="P348" s="91">
        <v>3295</v>
      </c>
      <c r="Q348" s="22"/>
      <c r="R348" s="142"/>
      <c r="S348" s="91">
        <v>1</v>
      </c>
      <c r="T348" s="91">
        <f t="shared" si="70"/>
        <v>0</v>
      </c>
      <c r="U348" s="95"/>
      <c r="V348" s="343" t="s">
        <v>429</v>
      </c>
      <c r="W348" s="14" t="s">
        <v>212</v>
      </c>
      <c r="X348" s="7"/>
      <c r="Y348" s="7"/>
      <c r="Z348" s="7"/>
      <c r="AA348" s="7"/>
      <c r="AB348" s="7"/>
      <c r="AC348" s="7"/>
    </row>
    <row r="349" spans="1:29" s="195" customFormat="1" ht="25.5">
      <c r="A349" s="194"/>
      <c r="B349" s="148" t="s">
        <v>430</v>
      </c>
      <c r="C349" s="91">
        <f>H349+E349</f>
        <v>17.12</v>
      </c>
      <c r="D349" s="91"/>
      <c r="E349" s="91">
        <f t="shared" si="65"/>
        <v>1.1200000000000001</v>
      </c>
      <c r="F349" s="91">
        <f t="shared" si="66"/>
        <v>0.64</v>
      </c>
      <c r="G349" s="91">
        <f t="shared" si="67"/>
        <v>0.48</v>
      </c>
      <c r="H349" s="91">
        <f>T349</f>
        <v>16</v>
      </c>
      <c r="I349" s="91">
        <f>0.6*C349</f>
        <v>10.272</v>
      </c>
      <c r="J349" s="22"/>
      <c r="K349" s="22"/>
      <c r="L349" s="22"/>
      <c r="M349" s="22"/>
      <c r="N349" s="22"/>
      <c r="O349" s="91">
        <v>6902</v>
      </c>
      <c r="P349" s="91">
        <v>6978</v>
      </c>
      <c r="Q349" s="22"/>
      <c r="R349" s="142"/>
      <c r="S349" s="91">
        <v>1</v>
      </c>
      <c r="T349" s="91">
        <f>(P349-O349)*S349-T347</f>
        <v>16</v>
      </c>
      <c r="U349" s="95">
        <v>6099</v>
      </c>
      <c r="V349" s="673" t="s">
        <v>431</v>
      </c>
      <c r="W349" s="191" t="s">
        <v>212</v>
      </c>
      <c r="X349" s="86"/>
      <c r="Y349" s="86"/>
      <c r="Z349" s="86"/>
      <c r="AA349" s="86"/>
      <c r="AB349" s="86"/>
      <c r="AC349" s="86"/>
    </row>
    <row r="350" spans="1:29" s="195" customFormat="1" ht="25.5">
      <c r="A350" s="194"/>
      <c r="B350" s="148" t="s">
        <v>934</v>
      </c>
      <c r="C350" s="91">
        <f>H350+E350</f>
        <v>0</v>
      </c>
      <c r="D350" s="91"/>
      <c r="E350" s="91">
        <f t="shared" si="65"/>
        <v>0</v>
      </c>
      <c r="F350" s="91">
        <f t="shared" si="66"/>
        <v>0</v>
      </c>
      <c r="G350" s="91">
        <f t="shared" si="67"/>
        <v>0</v>
      </c>
      <c r="H350" s="91">
        <f t="shared" si="68"/>
        <v>0</v>
      </c>
      <c r="I350" s="91">
        <f>0.6*C350</f>
        <v>0</v>
      </c>
      <c r="J350" s="22"/>
      <c r="K350" s="22"/>
      <c r="L350" s="22"/>
      <c r="M350" s="22"/>
      <c r="N350" s="22"/>
      <c r="O350" s="91">
        <v>1050</v>
      </c>
      <c r="P350" s="91">
        <v>1050</v>
      </c>
      <c r="Q350" s="22" t="s">
        <v>37</v>
      </c>
      <c r="R350" s="142"/>
      <c r="S350" s="151">
        <v>1</v>
      </c>
      <c r="T350" s="91">
        <f t="shared" ref="T350:T361" si="71">(P350-O350)*S350</f>
        <v>0</v>
      </c>
      <c r="U350" s="95">
        <v>451396</v>
      </c>
      <c r="V350" s="673" t="s">
        <v>885</v>
      </c>
      <c r="W350" s="191" t="s">
        <v>212</v>
      </c>
      <c r="X350" s="86"/>
      <c r="Y350" s="86"/>
      <c r="Z350" s="86"/>
      <c r="AA350" s="86"/>
      <c r="AB350" s="86"/>
      <c r="AC350" s="86"/>
    </row>
    <row r="351" spans="1:29" ht="25.5">
      <c r="A351" s="19"/>
      <c r="B351" s="27" t="s">
        <v>830</v>
      </c>
      <c r="C351" s="28">
        <f t="shared" si="64"/>
        <v>10.7</v>
      </c>
      <c r="D351" s="28"/>
      <c r="E351" s="28">
        <f t="shared" si="65"/>
        <v>0.7</v>
      </c>
      <c r="F351" s="28">
        <f t="shared" si="66"/>
        <v>0.4</v>
      </c>
      <c r="G351" s="28">
        <f t="shared" si="67"/>
        <v>0.3</v>
      </c>
      <c r="H351" s="28">
        <f t="shared" si="68"/>
        <v>10</v>
      </c>
      <c r="I351" s="28">
        <f>0.6*C351</f>
        <v>6.419999999999999</v>
      </c>
      <c r="J351" s="29"/>
      <c r="K351" s="29"/>
      <c r="L351" s="29"/>
      <c r="M351" s="29"/>
      <c r="N351" s="29"/>
      <c r="O351" s="28">
        <v>6931</v>
      </c>
      <c r="P351" s="28">
        <v>6941</v>
      </c>
      <c r="Q351" s="29" t="s">
        <v>37</v>
      </c>
      <c r="R351" s="348"/>
      <c r="S351" s="54">
        <v>1</v>
      </c>
      <c r="T351" s="28">
        <f t="shared" si="71"/>
        <v>10</v>
      </c>
      <c r="U351" s="31">
        <v>451396</v>
      </c>
      <c r="V351" s="689" t="s">
        <v>434</v>
      </c>
      <c r="W351" s="14" t="s">
        <v>212</v>
      </c>
      <c r="X351" s="7"/>
      <c r="Y351" s="7"/>
      <c r="Z351" s="7"/>
      <c r="AA351" s="7"/>
      <c r="AB351" s="7"/>
      <c r="AC351" s="7"/>
    </row>
    <row r="352" spans="1:29" ht="25.5">
      <c r="A352" s="19"/>
      <c r="B352" s="472" t="s">
        <v>689</v>
      </c>
      <c r="C352" s="28">
        <f>H352+E352</f>
        <v>22.47</v>
      </c>
      <c r="D352" s="28"/>
      <c r="E352" s="28">
        <f>F352+G352</f>
        <v>1.47</v>
      </c>
      <c r="F352" s="28">
        <f>0.04*H352</f>
        <v>0.84</v>
      </c>
      <c r="G352" s="28">
        <f>0.03*H352</f>
        <v>0.63</v>
      </c>
      <c r="H352" s="28">
        <f>T352</f>
        <v>21</v>
      </c>
      <c r="I352" s="28">
        <f>0.6*C352</f>
        <v>13.481999999999999</v>
      </c>
      <c r="J352" s="29"/>
      <c r="K352" s="29"/>
      <c r="L352" s="29"/>
      <c r="M352" s="29"/>
      <c r="N352" s="29"/>
      <c r="O352" s="28">
        <v>10338</v>
      </c>
      <c r="P352" s="28">
        <v>10359</v>
      </c>
      <c r="Q352" s="29"/>
      <c r="R352" s="348"/>
      <c r="S352" s="54">
        <v>1</v>
      </c>
      <c r="T352" s="28">
        <f>(P352-O352)*S352</f>
        <v>21</v>
      </c>
      <c r="U352" s="31"/>
      <c r="V352" s="689" t="s">
        <v>435</v>
      </c>
      <c r="W352" s="14" t="s">
        <v>212</v>
      </c>
      <c r="X352" s="7"/>
      <c r="Y352" s="7"/>
      <c r="Z352" s="7"/>
      <c r="AA352" s="7"/>
      <c r="AB352" s="7"/>
      <c r="AC352" s="7"/>
    </row>
    <row r="353" spans="1:29" ht="25.5">
      <c r="A353" s="19"/>
      <c r="B353" s="27" t="s">
        <v>436</v>
      </c>
      <c r="C353" s="28">
        <f t="shared" si="64"/>
        <v>0</v>
      </c>
      <c r="D353" s="28"/>
      <c r="E353" s="28">
        <f t="shared" si="65"/>
        <v>0</v>
      </c>
      <c r="F353" s="28">
        <f t="shared" si="66"/>
        <v>0</v>
      </c>
      <c r="G353" s="28">
        <f t="shared" si="67"/>
        <v>0</v>
      </c>
      <c r="H353" s="28">
        <f t="shared" si="68"/>
        <v>0</v>
      </c>
      <c r="I353" s="28">
        <f>0.4*C353</f>
        <v>0</v>
      </c>
      <c r="J353" s="29"/>
      <c r="K353" s="29"/>
      <c r="L353" s="29"/>
      <c r="M353" s="29"/>
      <c r="N353" s="29"/>
      <c r="O353" s="28">
        <v>10404</v>
      </c>
      <c r="P353" s="28">
        <v>10404</v>
      </c>
      <c r="Q353" s="30"/>
      <c r="R353" s="351"/>
      <c r="S353" s="54">
        <v>1</v>
      </c>
      <c r="T353" s="28">
        <f t="shared" si="71"/>
        <v>0</v>
      </c>
      <c r="U353" s="31">
        <v>382548</v>
      </c>
      <c r="V353" s="689" t="s">
        <v>437</v>
      </c>
      <c r="W353" s="14" t="s">
        <v>212</v>
      </c>
      <c r="X353" s="7"/>
      <c r="Y353" s="7"/>
      <c r="Z353" s="7"/>
      <c r="AA353" s="7"/>
      <c r="AB353" s="7"/>
      <c r="AC353" s="7"/>
    </row>
    <row r="354" spans="1:29" s="195" customFormat="1" ht="25.5">
      <c r="A354" s="194"/>
      <c r="B354" s="27" t="s">
        <v>438</v>
      </c>
      <c r="C354" s="28">
        <f t="shared" si="64"/>
        <v>112.35</v>
      </c>
      <c r="D354" s="28"/>
      <c r="E354" s="28">
        <f t="shared" si="65"/>
        <v>7.35</v>
      </c>
      <c r="F354" s="28">
        <f t="shared" si="66"/>
        <v>4.2</v>
      </c>
      <c r="G354" s="28">
        <f t="shared" si="67"/>
        <v>3.15</v>
      </c>
      <c r="H354" s="28">
        <f t="shared" si="68"/>
        <v>105</v>
      </c>
      <c r="I354" s="28">
        <f>0.4*C354</f>
        <v>44.94</v>
      </c>
      <c r="J354" s="29"/>
      <c r="K354" s="29"/>
      <c r="L354" s="29"/>
      <c r="M354" s="29"/>
      <c r="N354" s="29"/>
      <c r="O354" s="28">
        <v>1764</v>
      </c>
      <c r="P354" s="28">
        <v>1869</v>
      </c>
      <c r="Q354" s="30"/>
      <c r="R354" s="351"/>
      <c r="S354" s="54">
        <v>1</v>
      </c>
      <c r="T354" s="28">
        <f t="shared" si="71"/>
        <v>105</v>
      </c>
      <c r="U354" s="31"/>
      <c r="V354" s="677" t="s">
        <v>439</v>
      </c>
      <c r="W354" s="191" t="s">
        <v>212</v>
      </c>
      <c r="X354" s="86"/>
      <c r="Y354" s="86"/>
      <c r="Z354" s="86"/>
      <c r="AA354" s="86"/>
      <c r="AB354" s="86"/>
      <c r="AC354" s="86"/>
    </row>
    <row r="355" spans="1:29" ht="25.5">
      <c r="A355" s="19"/>
      <c r="B355" s="27" t="s">
        <v>440</v>
      </c>
      <c r="C355" s="28">
        <f>E355+H355</f>
        <v>201.16</v>
      </c>
      <c r="D355" s="28"/>
      <c r="E355" s="28">
        <f t="shared" si="65"/>
        <v>13.16</v>
      </c>
      <c r="F355" s="28">
        <f t="shared" si="66"/>
        <v>7.5200000000000005</v>
      </c>
      <c r="G355" s="28">
        <f t="shared" si="67"/>
        <v>5.64</v>
      </c>
      <c r="H355" s="28">
        <f t="shared" si="68"/>
        <v>188</v>
      </c>
      <c r="I355" s="28">
        <f>H355*0.5</f>
        <v>94</v>
      </c>
      <c r="J355" s="458"/>
      <c r="K355" s="458"/>
      <c r="L355" s="458"/>
      <c r="M355" s="458"/>
      <c r="N355" s="458"/>
      <c r="O355" s="28">
        <v>3867</v>
      </c>
      <c r="P355" s="28">
        <v>4055</v>
      </c>
      <c r="Q355" s="458"/>
      <c r="R355" s="77"/>
      <c r="S355" s="54">
        <v>1</v>
      </c>
      <c r="T355" s="28">
        <f t="shared" si="71"/>
        <v>188</v>
      </c>
      <c r="U355" s="31" t="s">
        <v>441</v>
      </c>
      <c r="V355" s="677" t="s">
        <v>823</v>
      </c>
      <c r="W355" s="14" t="s">
        <v>212</v>
      </c>
      <c r="X355" s="7"/>
      <c r="Y355" s="7"/>
      <c r="Z355" s="7"/>
      <c r="AA355" s="7"/>
      <c r="AB355" s="7"/>
      <c r="AC355" s="7"/>
    </row>
    <row r="356" spans="1:29" ht="69.75">
      <c r="A356" s="19"/>
      <c r="B356" s="363" t="s">
        <v>442</v>
      </c>
      <c r="C356" s="414">
        <f>H356+E356</f>
        <v>280.33999999999997</v>
      </c>
      <c r="D356" s="414"/>
      <c r="E356" s="414">
        <f>G356+F356</f>
        <v>18.34</v>
      </c>
      <c r="F356" s="414">
        <f t="shared" si="66"/>
        <v>10.48</v>
      </c>
      <c r="G356" s="414">
        <f t="shared" si="67"/>
        <v>7.8599999999999994</v>
      </c>
      <c r="H356" s="414">
        <f t="shared" si="68"/>
        <v>262</v>
      </c>
      <c r="I356" s="414">
        <f>0.6*C356</f>
        <v>168.20399999999998</v>
      </c>
      <c r="J356" s="415"/>
      <c r="K356" s="415"/>
      <c r="L356" s="415"/>
      <c r="M356" s="415"/>
      <c r="N356" s="415"/>
      <c r="O356" s="414">
        <v>35314</v>
      </c>
      <c r="P356" s="414">
        <v>35576</v>
      </c>
      <c r="Q356" s="416"/>
      <c r="R356" s="417"/>
      <c r="S356" s="418">
        <v>1</v>
      </c>
      <c r="T356" s="414">
        <f t="shared" si="71"/>
        <v>262</v>
      </c>
      <c r="U356" s="31">
        <v>492280</v>
      </c>
      <c r="V356" s="677" t="s">
        <v>443</v>
      </c>
      <c r="W356" s="14" t="s">
        <v>212</v>
      </c>
      <c r="X356" s="7"/>
      <c r="Y356" s="7"/>
      <c r="Z356" s="7"/>
      <c r="AA356" s="7"/>
      <c r="AB356" s="7"/>
      <c r="AC356" s="7"/>
    </row>
    <row r="357" spans="1:29" ht="25.5">
      <c r="A357" s="19"/>
      <c r="B357" s="27" t="s">
        <v>444</v>
      </c>
      <c r="C357" s="28">
        <f>H357+E357</f>
        <v>297.45999999999998</v>
      </c>
      <c r="D357" s="28"/>
      <c r="E357" s="28">
        <f>G357+F357</f>
        <v>19.46</v>
      </c>
      <c r="F357" s="28">
        <f t="shared" si="66"/>
        <v>11.120000000000001</v>
      </c>
      <c r="G357" s="28">
        <f t="shared" si="67"/>
        <v>8.34</v>
      </c>
      <c r="H357" s="28">
        <f t="shared" si="68"/>
        <v>278</v>
      </c>
      <c r="I357" s="28">
        <f>0.6*C357</f>
        <v>178.47599999999997</v>
      </c>
      <c r="J357" s="29"/>
      <c r="K357" s="29"/>
      <c r="L357" s="29"/>
      <c r="M357" s="29"/>
      <c r="N357" s="29"/>
      <c r="O357" s="28">
        <v>61726</v>
      </c>
      <c r="P357" s="28">
        <v>62004</v>
      </c>
      <c r="Q357" s="146"/>
      <c r="R357" s="61"/>
      <c r="S357" s="54">
        <v>1</v>
      </c>
      <c r="T357" s="28">
        <f t="shared" si="71"/>
        <v>278</v>
      </c>
      <c r="U357" s="31">
        <v>38602</v>
      </c>
      <c r="V357" s="677" t="s">
        <v>445</v>
      </c>
      <c r="W357" s="14" t="s">
        <v>212</v>
      </c>
      <c r="X357" s="7"/>
      <c r="Y357" s="7"/>
      <c r="Z357" s="7"/>
      <c r="AA357" s="7"/>
      <c r="AB357" s="7"/>
      <c r="AC357" s="7"/>
    </row>
    <row r="358" spans="1:29" ht="25.5">
      <c r="A358" s="19"/>
      <c r="B358" s="27" t="s">
        <v>446</v>
      </c>
      <c r="C358" s="28">
        <f>H358+E358</f>
        <v>396.97</v>
      </c>
      <c r="D358" s="28"/>
      <c r="E358" s="28">
        <f t="shared" ref="E358:E369" si="72">F358+G358</f>
        <v>25.97</v>
      </c>
      <c r="F358" s="28">
        <f t="shared" si="66"/>
        <v>14.84</v>
      </c>
      <c r="G358" s="28">
        <f t="shared" si="67"/>
        <v>11.129999999999999</v>
      </c>
      <c r="H358" s="28">
        <f t="shared" si="68"/>
        <v>371</v>
      </c>
      <c r="I358" s="28">
        <f>0.6*C358</f>
        <v>238.18200000000002</v>
      </c>
      <c r="J358" s="29"/>
      <c r="K358" s="29"/>
      <c r="L358" s="29"/>
      <c r="M358" s="29"/>
      <c r="N358" s="29"/>
      <c r="O358" s="28">
        <v>26625</v>
      </c>
      <c r="P358" s="28">
        <v>26996</v>
      </c>
      <c r="Q358" s="30"/>
      <c r="R358" s="351"/>
      <c r="S358" s="28">
        <v>1</v>
      </c>
      <c r="T358" s="28">
        <f t="shared" si="71"/>
        <v>371</v>
      </c>
      <c r="U358" s="31">
        <v>5978</v>
      </c>
      <c r="V358" s="677" t="s">
        <v>447</v>
      </c>
      <c r="W358" s="14" t="s">
        <v>212</v>
      </c>
      <c r="X358" s="7"/>
      <c r="Y358" s="7"/>
      <c r="Z358" s="7"/>
      <c r="AA358" s="7"/>
      <c r="AB358" s="7"/>
      <c r="AC358" s="7"/>
    </row>
    <row r="359" spans="1:29" ht="25.5">
      <c r="A359" s="19"/>
      <c r="B359" s="27" t="s">
        <v>691</v>
      </c>
      <c r="C359" s="28">
        <f>E359+H359</f>
        <v>683.73</v>
      </c>
      <c r="D359" s="28"/>
      <c r="E359" s="28">
        <f t="shared" si="72"/>
        <v>44.730000000000004</v>
      </c>
      <c r="F359" s="28">
        <f t="shared" si="66"/>
        <v>25.560000000000002</v>
      </c>
      <c r="G359" s="28">
        <f t="shared" si="67"/>
        <v>19.169999999999998</v>
      </c>
      <c r="H359" s="28">
        <f t="shared" si="68"/>
        <v>639</v>
      </c>
      <c r="I359" s="28">
        <f>H359*0.5</f>
        <v>319.5</v>
      </c>
      <c r="J359" s="458"/>
      <c r="K359" s="458"/>
      <c r="L359" s="458"/>
      <c r="M359" s="458"/>
      <c r="N359" s="458"/>
      <c r="O359" s="28">
        <v>72939</v>
      </c>
      <c r="P359" s="28">
        <v>73578</v>
      </c>
      <c r="Q359" s="458"/>
      <c r="R359" s="77"/>
      <c r="S359" s="54">
        <v>1</v>
      </c>
      <c r="T359" s="28">
        <f t="shared" si="71"/>
        <v>639</v>
      </c>
      <c r="U359" s="31" t="s">
        <v>441</v>
      </c>
      <c r="V359" s="677" t="s">
        <v>448</v>
      </c>
      <c r="W359" s="14" t="s">
        <v>212</v>
      </c>
      <c r="X359" s="7"/>
      <c r="Y359" s="7"/>
      <c r="Z359" s="7"/>
      <c r="AA359" s="7"/>
      <c r="AB359" s="7"/>
      <c r="AC359" s="7"/>
    </row>
    <row r="360" spans="1:29" ht="25.5">
      <c r="A360" s="19"/>
      <c r="B360" s="420" t="s">
        <v>449</v>
      </c>
      <c r="C360" s="28">
        <f t="shared" ref="C360:C366" si="73">H360+E360</f>
        <v>421.58</v>
      </c>
      <c r="D360" s="28"/>
      <c r="E360" s="28">
        <f t="shared" si="72"/>
        <v>27.58</v>
      </c>
      <c r="F360" s="28">
        <f t="shared" si="66"/>
        <v>15.76</v>
      </c>
      <c r="G360" s="28">
        <f t="shared" si="67"/>
        <v>11.82</v>
      </c>
      <c r="H360" s="28">
        <f t="shared" si="68"/>
        <v>394</v>
      </c>
      <c r="I360" s="28">
        <f t="shared" ref="I360:I367" si="74">0.6*C360</f>
        <v>252.94799999999998</v>
      </c>
      <c r="J360" s="29"/>
      <c r="K360" s="29"/>
      <c r="L360" s="29"/>
      <c r="M360" s="29"/>
      <c r="N360" s="29"/>
      <c r="O360" s="28">
        <v>22724</v>
      </c>
      <c r="P360" s="28">
        <v>23118</v>
      </c>
      <c r="Q360" s="30"/>
      <c r="R360" s="351"/>
      <c r="S360" s="54">
        <v>1</v>
      </c>
      <c r="T360" s="28">
        <f t="shared" si="71"/>
        <v>394</v>
      </c>
      <c r="U360" s="31"/>
      <c r="V360" s="677" t="s">
        <v>450</v>
      </c>
      <c r="W360" s="14" t="s">
        <v>212</v>
      </c>
      <c r="X360" s="7"/>
      <c r="Y360" s="7"/>
      <c r="Z360" s="7"/>
      <c r="AA360" s="7"/>
      <c r="AB360" s="7"/>
      <c r="AC360" s="7"/>
    </row>
    <row r="361" spans="1:29" ht="25.5">
      <c r="A361" s="19"/>
      <c r="B361" s="420" t="s">
        <v>449</v>
      </c>
      <c r="C361" s="28">
        <f t="shared" si="73"/>
        <v>428</v>
      </c>
      <c r="D361" s="28"/>
      <c r="E361" s="28">
        <f t="shared" si="72"/>
        <v>28</v>
      </c>
      <c r="F361" s="28">
        <f t="shared" si="66"/>
        <v>16</v>
      </c>
      <c r="G361" s="28">
        <f t="shared" si="67"/>
        <v>12</v>
      </c>
      <c r="H361" s="28">
        <f t="shared" si="68"/>
        <v>400</v>
      </c>
      <c r="I361" s="28">
        <f t="shared" si="74"/>
        <v>256.8</v>
      </c>
      <c r="J361" s="29"/>
      <c r="K361" s="29"/>
      <c r="L361" s="29"/>
      <c r="M361" s="29"/>
      <c r="N361" s="29"/>
      <c r="O361" s="28">
        <v>9057</v>
      </c>
      <c r="P361" s="28">
        <v>9457</v>
      </c>
      <c r="Q361" s="30"/>
      <c r="R361" s="351"/>
      <c r="S361" s="54">
        <v>1</v>
      </c>
      <c r="T361" s="28">
        <f t="shared" si="71"/>
        <v>400</v>
      </c>
      <c r="U361" s="31"/>
      <c r="V361" s="677" t="s">
        <v>690</v>
      </c>
      <c r="W361" s="14"/>
      <c r="X361" s="7"/>
      <c r="Y361" s="7"/>
      <c r="Z361" s="7"/>
      <c r="AA361" s="7"/>
      <c r="AB361" s="7"/>
      <c r="AC361" s="7"/>
    </row>
    <row r="362" spans="1:29" ht="30" customHeight="1">
      <c r="A362" s="19"/>
      <c r="B362" s="421" t="s">
        <v>451</v>
      </c>
      <c r="C362" s="28">
        <f>H362+E362</f>
        <v>1669.2</v>
      </c>
      <c r="D362" s="28"/>
      <c r="E362" s="28">
        <f t="shared" si="72"/>
        <v>109.19999999999999</v>
      </c>
      <c r="F362" s="28">
        <f t="shared" si="66"/>
        <v>62.4</v>
      </c>
      <c r="G362" s="28">
        <f t="shared" si="67"/>
        <v>46.8</v>
      </c>
      <c r="H362" s="28">
        <f t="shared" si="68"/>
        <v>1560</v>
      </c>
      <c r="I362" s="28">
        <f>0.6*C362</f>
        <v>1001.52</v>
      </c>
      <c r="J362" s="29"/>
      <c r="K362" s="29"/>
      <c r="L362" s="29"/>
      <c r="M362" s="29"/>
      <c r="N362" s="29"/>
      <c r="O362" s="28">
        <f>5920+48200+19600</f>
        <v>73720</v>
      </c>
      <c r="P362" s="28">
        <f>6280+48600+20400</f>
        <v>75280</v>
      </c>
      <c r="Q362" s="30"/>
      <c r="R362" s="351"/>
      <c r="S362" s="28">
        <v>1</v>
      </c>
      <c r="T362" s="28">
        <f>(P362-O362)*S362</f>
        <v>1560</v>
      </c>
      <c r="U362" s="31" t="s">
        <v>452</v>
      </c>
      <c r="V362" s="677" t="s">
        <v>886</v>
      </c>
      <c r="W362" s="14" t="s">
        <v>212</v>
      </c>
      <c r="X362" s="7"/>
      <c r="Y362" s="7"/>
      <c r="Z362" s="7"/>
      <c r="AA362" s="7"/>
      <c r="AB362" s="7"/>
      <c r="AC362" s="7"/>
    </row>
    <row r="363" spans="1:29" ht="29.25" customHeight="1">
      <c r="A363" s="19"/>
      <c r="B363" s="27"/>
      <c r="C363" s="28">
        <f t="shared" si="73"/>
        <v>0</v>
      </c>
      <c r="D363" s="28"/>
      <c r="E363" s="28">
        <f t="shared" si="72"/>
        <v>0</v>
      </c>
      <c r="F363" s="28">
        <f t="shared" si="66"/>
        <v>0</v>
      </c>
      <c r="G363" s="28">
        <f t="shared" si="67"/>
        <v>0</v>
      </c>
      <c r="H363" s="28">
        <f t="shared" si="68"/>
        <v>0</v>
      </c>
      <c r="I363" s="28">
        <f>0.6*C363</f>
        <v>0</v>
      </c>
      <c r="J363" s="29"/>
      <c r="K363" s="29"/>
      <c r="L363" s="29"/>
      <c r="M363" s="29"/>
      <c r="N363" s="29"/>
      <c r="O363" s="28">
        <v>18584</v>
      </c>
      <c r="P363" s="28">
        <v>18584</v>
      </c>
      <c r="Q363" s="146"/>
      <c r="R363" s="61"/>
      <c r="S363" s="54">
        <v>1</v>
      </c>
      <c r="T363" s="28">
        <f>(P363-O363)*S363</f>
        <v>0</v>
      </c>
      <c r="U363" s="28">
        <f>560+40550+11760+8365</f>
        <v>61235</v>
      </c>
      <c r="V363" s="677" t="s">
        <v>454</v>
      </c>
      <c r="W363" s="14" t="s">
        <v>212</v>
      </c>
      <c r="X363" s="7"/>
      <c r="Y363" s="7"/>
      <c r="Z363" s="7"/>
      <c r="AA363" s="7"/>
      <c r="AB363" s="7"/>
      <c r="AC363" s="7"/>
    </row>
    <row r="364" spans="1:29" ht="24" customHeight="1">
      <c r="A364" s="19"/>
      <c r="B364" s="27"/>
      <c r="C364" s="28">
        <f t="shared" si="73"/>
        <v>0</v>
      </c>
      <c r="D364" s="28"/>
      <c r="E364" s="28">
        <f t="shared" si="72"/>
        <v>0</v>
      </c>
      <c r="F364" s="28">
        <f t="shared" si="66"/>
        <v>0</v>
      </c>
      <c r="G364" s="28">
        <f t="shared" si="67"/>
        <v>0</v>
      </c>
      <c r="H364" s="28">
        <f t="shared" si="68"/>
        <v>0</v>
      </c>
      <c r="I364" s="28">
        <f t="shared" si="74"/>
        <v>0</v>
      </c>
      <c r="J364" s="29"/>
      <c r="K364" s="29"/>
      <c r="L364" s="29"/>
      <c r="M364" s="29"/>
      <c r="N364" s="29"/>
      <c r="O364" s="28">
        <v>12992</v>
      </c>
      <c r="P364" s="28">
        <v>12992</v>
      </c>
      <c r="Q364" s="29" t="s">
        <v>33</v>
      </c>
      <c r="R364" s="348"/>
      <c r="S364" s="28">
        <v>1</v>
      </c>
      <c r="T364" s="28">
        <f>P364-O364</f>
        <v>0</v>
      </c>
      <c r="U364" s="31">
        <v>1591</v>
      </c>
      <c r="V364" s="677" t="s">
        <v>455</v>
      </c>
      <c r="W364" s="14" t="s">
        <v>212</v>
      </c>
      <c r="X364" s="7"/>
      <c r="Y364" s="7"/>
      <c r="Z364" s="7"/>
      <c r="AA364" s="7"/>
      <c r="AB364" s="7"/>
      <c r="AC364" s="7"/>
    </row>
    <row r="365" spans="1:29" ht="26.25" customHeight="1">
      <c r="A365" s="19"/>
      <c r="B365" s="688" t="s">
        <v>889</v>
      </c>
      <c r="C365" s="28">
        <f t="shared" si="73"/>
        <v>237.54</v>
      </c>
      <c r="D365" s="28"/>
      <c r="E365" s="28">
        <f t="shared" si="72"/>
        <v>15.540000000000001</v>
      </c>
      <c r="F365" s="28">
        <f t="shared" si="66"/>
        <v>8.8800000000000008</v>
      </c>
      <c r="G365" s="28">
        <f t="shared" si="67"/>
        <v>6.66</v>
      </c>
      <c r="H365" s="28">
        <f t="shared" si="68"/>
        <v>222</v>
      </c>
      <c r="I365" s="28">
        <f t="shared" si="74"/>
        <v>142.524</v>
      </c>
      <c r="J365" s="29"/>
      <c r="K365" s="29"/>
      <c r="L365" s="29"/>
      <c r="M365" s="29"/>
      <c r="N365" s="29"/>
      <c r="O365" s="28">
        <v>9128</v>
      </c>
      <c r="P365" s="28">
        <v>9350</v>
      </c>
      <c r="Q365" s="29" t="s">
        <v>33</v>
      </c>
      <c r="R365" s="348"/>
      <c r="S365" s="28">
        <v>1</v>
      </c>
      <c r="T365" s="28">
        <f>P365-O365</f>
        <v>222</v>
      </c>
      <c r="U365" s="31"/>
      <c r="V365" s="677" t="s">
        <v>887</v>
      </c>
      <c r="W365" s="14" t="s">
        <v>212</v>
      </c>
      <c r="X365" s="7"/>
      <c r="Y365" s="7"/>
      <c r="Z365" s="7"/>
      <c r="AA365" s="7"/>
      <c r="AB365" s="7"/>
      <c r="AC365" s="7"/>
    </row>
    <row r="366" spans="1:29" ht="25.5">
      <c r="A366" s="19"/>
      <c r="B366" s="472" t="s">
        <v>457</v>
      </c>
      <c r="C366" s="28">
        <f t="shared" si="73"/>
        <v>190.46</v>
      </c>
      <c r="D366" s="28"/>
      <c r="E366" s="28">
        <f t="shared" si="72"/>
        <v>12.46</v>
      </c>
      <c r="F366" s="28">
        <f t="shared" si="66"/>
        <v>7.12</v>
      </c>
      <c r="G366" s="28">
        <f t="shared" si="67"/>
        <v>5.34</v>
      </c>
      <c r="H366" s="28">
        <f t="shared" si="68"/>
        <v>178</v>
      </c>
      <c r="I366" s="28">
        <f t="shared" si="74"/>
        <v>114.276</v>
      </c>
      <c r="J366" s="29"/>
      <c r="K366" s="29"/>
      <c r="L366" s="29"/>
      <c r="M366" s="29"/>
      <c r="N366" s="29"/>
      <c r="O366" s="28">
        <v>15551</v>
      </c>
      <c r="P366" s="28">
        <v>15729</v>
      </c>
      <c r="Q366" s="29"/>
      <c r="R366" s="348"/>
      <c r="S366" s="28">
        <v>1</v>
      </c>
      <c r="T366" s="28">
        <f t="shared" ref="T366:T377" si="75">(P366-O366)*S366</f>
        <v>178</v>
      </c>
      <c r="U366" s="31">
        <v>783398</v>
      </c>
      <c r="V366" s="677" t="s">
        <v>458</v>
      </c>
      <c r="W366" s="14" t="s">
        <v>212</v>
      </c>
      <c r="X366" s="7"/>
      <c r="Y366" s="7"/>
      <c r="Z366" s="7"/>
      <c r="AA366" s="7"/>
      <c r="AB366" s="7"/>
      <c r="AC366" s="7"/>
    </row>
    <row r="367" spans="1:29" ht="25.5">
      <c r="A367" s="19"/>
      <c r="B367" s="27" t="s">
        <v>459</v>
      </c>
      <c r="C367" s="28">
        <f>H367+E367</f>
        <v>33.17</v>
      </c>
      <c r="D367" s="28"/>
      <c r="E367" s="28">
        <f t="shared" si="72"/>
        <v>2.17</v>
      </c>
      <c r="F367" s="28">
        <f t="shared" si="66"/>
        <v>1.24</v>
      </c>
      <c r="G367" s="28">
        <f t="shared" si="67"/>
        <v>0.92999999999999994</v>
      </c>
      <c r="H367" s="28">
        <f t="shared" si="68"/>
        <v>31</v>
      </c>
      <c r="I367" s="28">
        <f t="shared" si="74"/>
        <v>19.902000000000001</v>
      </c>
      <c r="J367" s="29"/>
      <c r="K367" s="29"/>
      <c r="L367" s="29"/>
      <c r="M367" s="29"/>
      <c r="N367" s="29" t="s">
        <v>460</v>
      </c>
      <c r="O367" s="470">
        <v>27896</v>
      </c>
      <c r="P367" s="470">
        <v>27927</v>
      </c>
      <c r="Q367" s="30"/>
      <c r="R367" s="351"/>
      <c r="S367" s="54">
        <v>1</v>
      </c>
      <c r="T367" s="28">
        <f t="shared" si="75"/>
        <v>31</v>
      </c>
      <c r="U367" s="31">
        <v>540368</v>
      </c>
      <c r="V367" s="689" t="s">
        <v>461</v>
      </c>
      <c r="W367" s="14" t="s">
        <v>212</v>
      </c>
      <c r="X367" s="7"/>
      <c r="Y367" s="7"/>
      <c r="Z367" s="7"/>
      <c r="AA367" s="7"/>
      <c r="AB367" s="7"/>
      <c r="AC367" s="7"/>
    </row>
    <row r="368" spans="1:29" ht="26.25">
      <c r="A368" s="19"/>
      <c r="B368" s="559" t="s">
        <v>462</v>
      </c>
      <c r="C368" s="549">
        <f>H368+E368</f>
        <v>0</v>
      </c>
      <c r="D368" s="549"/>
      <c r="E368" s="549">
        <f t="shared" si="72"/>
        <v>0</v>
      </c>
      <c r="F368" s="549">
        <f t="shared" si="66"/>
        <v>0</v>
      </c>
      <c r="G368" s="549">
        <f t="shared" si="67"/>
        <v>0</v>
      </c>
      <c r="H368" s="549">
        <f>T368</f>
        <v>0</v>
      </c>
      <c r="I368" s="560">
        <f>0.5*C368</f>
        <v>0</v>
      </c>
      <c r="J368" s="550"/>
      <c r="K368" s="550"/>
      <c r="L368" s="550"/>
      <c r="M368" s="550"/>
      <c r="N368" s="550"/>
      <c r="O368" s="549">
        <v>9</v>
      </c>
      <c r="P368" s="549">
        <v>9</v>
      </c>
      <c r="Q368" s="561"/>
      <c r="R368" s="562"/>
      <c r="S368" s="563">
        <v>1</v>
      </c>
      <c r="T368" s="549">
        <f t="shared" si="75"/>
        <v>0</v>
      </c>
      <c r="U368" s="551"/>
      <c r="V368" s="552" t="s">
        <v>463</v>
      </c>
      <c r="W368" s="14" t="s">
        <v>212</v>
      </c>
      <c r="X368" s="7"/>
      <c r="Y368" s="7"/>
      <c r="Z368" s="7"/>
      <c r="AA368" s="7"/>
      <c r="AB368" s="7"/>
      <c r="AC368" s="7"/>
    </row>
    <row r="369" spans="1:29" ht="26.25">
      <c r="A369" s="19"/>
      <c r="B369" s="27" t="s">
        <v>464</v>
      </c>
      <c r="C369" s="28">
        <f t="shared" ref="C369:C376" si="76">H369+E369</f>
        <v>19.260000000000002</v>
      </c>
      <c r="D369" s="28"/>
      <c r="E369" s="28">
        <f t="shared" si="72"/>
        <v>1.26</v>
      </c>
      <c r="F369" s="28">
        <f t="shared" si="66"/>
        <v>0.72</v>
      </c>
      <c r="G369" s="28">
        <f t="shared" si="67"/>
        <v>0.54</v>
      </c>
      <c r="H369" s="28">
        <f>T369</f>
        <v>18</v>
      </c>
      <c r="I369" s="28">
        <f>0.5*C369</f>
        <v>9.6300000000000008</v>
      </c>
      <c r="J369" s="29"/>
      <c r="K369" s="29"/>
      <c r="L369" s="29"/>
      <c r="M369" s="29"/>
      <c r="N369" s="29"/>
      <c r="O369" s="28">
        <v>4844</v>
      </c>
      <c r="P369" s="28">
        <v>4862</v>
      </c>
      <c r="Q369" s="30"/>
      <c r="R369" s="351"/>
      <c r="S369" s="171">
        <v>1</v>
      </c>
      <c r="T369" s="28">
        <f t="shared" si="75"/>
        <v>18</v>
      </c>
      <c r="U369" s="31">
        <v>421550</v>
      </c>
      <c r="V369" s="677" t="s">
        <v>465</v>
      </c>
      <c r="W369" s="14" t="s">
        <v>212</v>
      </c>
      <c r="X369" s="7"/>
      <c r="Y369" s="7"/>
      <c r="Z369" s="7"/>
      <c r="AA369" s="7"/>
      <c r="AB369" s="7"/>
      <c r="AC369" s="7"/>
    </row>
    <row r="370" spans="1:29" s="195" customFormat="1" ht="25.5">
      <c r="A370" s="194"/>
      <c r="B370" s="27" t="s">
        <v>692</v>
      </c>
      <c r="C370" s="28">
        <f t="shared" si="76"/>
        <v>153.01</v>
      </c>
      <c r="D370" s="28"/>
      <c r="E370" s="28">
        <f>G370+F370</f>
        <v>10.01</v>
      </c>
      <c r="F370" s="28">
        <f t="shared" si="66"/>
        <v>5.72</v>
      </c>
      <c r="G370" s="28">
        <f t="shared" si="67"/>
        <v>4.29</v>
      </c>
      <c r="H370" s="28">
        <f>T370</f>
        <v>143</v>
      </c>
      <c r="I370" s="28">
        <f>0.6*C370</f>
        <v>91.805999999999997</v>
      </c>
      <c r="J370" s="29"/>
      <c r="K370" s="29"/>
      <c r="L370" s="29"/>
      <c r="M370" s="29"/>
      <c r="N370" s="29"/>
      <c r="O370" s="28">
        <v>33637</v>
      </c>
      <c r="P370" s="28">
        <v>33780</v>
      </c>
      <c r="Q370" s="146"/>
      <c r="R370" s="61"/>
      <c r="S370" s="54">
        <v>1</v>
      </c>
      <c r="T370" s="28">
        <f t="shared" si="75"/>
        <v>143</v>
      </c>
      <c r="U370" s="31">
        <v>78402</v>
      </c>
      <c r="V370" s="689" t="s">
        <v>466</v>
      </c>
      <c r="W370" s="14" t="s">
        <v>212</v>
      </c>
      <c r="X370" s="86"/>
      <c r="Y370" s="86"/>
      <c r="Z370" s="86"/>
      <c r="AA370" s="86"/>
      <c r="AB370" s="86"/>
      <c r="AC370" s="86"/>
    </row>
    <row r="371" spans="1:29" s="195" customFormat="1" ht="25.5">
      <c r="A371" s="194"/>
      <c r="B371" s="27" t="s">
        <v>785</v>
      </c>
      <c r="C371" s="28">
        <f t="shared" si="76"/>
        <v>0</v>
      </c>
      <c r="D371" s="28"/>
      <c r="E371" s="28">
        <f>F371+G371</f>
        <v>0</v>
      </c>
      <c r="F371" s="28">
        <f t="shared" si="66"/>
        <v>0</v>
      </c>
      <c r="G371" s="28">
        <f t="shared" si="67"/>
        <v>0</v>
      </c>
      <c r="H371" s="28">
        <f>T371</f>
        <v>0</v>
      </c>
      <c r="I371" s="28">
        <f>0.4*C371</f>
        <v>0</v>
      </c>
      <c r="J371" s="29"/>
      <c r="K371" s="29"/>
      <c r="L371" s="29"/>
      <c r="M371" s="29"/>
      <c r="N371" s="29" t="s">
        <v>467</v>
      </c>
      <c r="O371" s="28">
        <v>7055</v>
      </c>
      <c r="P371" s="28">
        <v>7055</v>
      </c>
      <c r="Q371" s="29" t="s">
        <v>28</v>
      </c>
      <c r="R371" s="348"/>
      <c r="S371" s="54">
        <v>1</v>
      </c>
      <c r="T371" s="28">
        <f t="shared" si="75"/>
        <v>0</v>
      </c>
      <c r="U371" s="31">
        <v>295380</v>
      </c>
      <c r="V371" s="677" t="s">
        <v>468</v>
      </c>
      <c r="W371" s="191" t="s">
        <v>212</v>
      </c>
      <c r="X371" s="86"/>
      <c r="Y371" s="86"/>
      <c r="Z371" s="86"/>
      <c r="AA371" s="86"/>
      <c r="AB371" s="86"/>
      <c r="AC371" s="86"/>
    </row>
    <row r="372" spans="1:29" ht="51">
      <c r="A372" s="19"/>
      <c r="B372" s="148" t="s">
        <v>935</v>
      </c>
      <c r="C372" s="91">
        <f t="shared" si="76"/>
        <v>0</v>
      </c>
      <c r="D372" s="91"/>
      <c r="E372" s="91">
        <f>F372+G372</f>
        <v>0</v>
      </c>
      <c r="F372" s="91">
        <f t="shared" si="66"/>
        <v>0</v>
      </c>
      <c r="G372" s="91">
        <f t="shared" si="67"/>
        <v>0</v>
      </c>
      <c r="H372" s="91">
        <f t="shared" ref="H372:H377" si="77">T372</f>
        <v>0</v>
      </c>
      <c r="I372" s="91">
        <f>0.4*C372</f>
        <v>0</v>
      </c>
      <c r="J372" s="22"/>
      <c r="K372" s="22"/>
      <c r="L372" s="22"/>
      <c r="M372" s="22"/>
      <c r="N372" s="22"/>
      <c r="O372" s="91">
        <v>6962</v>
      </c>
      <c r="P372" s="91">
        <v>6962</v>
      </c>
      <c r="Q372" s="122"/>
      <c r="R372" s="173"/>
      <c r="S372" s="151">
        <v>1</v>
      </c>
      <c r="T372" s="91">
        <f t="shared" si="75"/>
        <v>0</v>
      </c>
      <c r="U372" s="95">
        <v>2302221</v>
      </c>
      <c r="V372" s="673" t="s">
        <v>888</v>
      </c>
      <c r="W372" s="14" t="s">
        <v>212</v>
      </c>
      <c r="X372" s="7"/>
      <c r="Y372" s="7"/>
      <c r="Z372" s="7"/>
      <c r="AA372" s="7"/>
      <c r="AB372" s="7"/>
      <c r="AC372" s="7"/>
    </row>
    <row r="373" spans="1:29" s="195" customFormat="1" ht="29.25" customHeight="1">
      <c r="A373" s="194"/>
      <c r="B373" s="27" t="s">
        <v>471</v>
      </c>
      <c r="C373" s="28">
        <f t="shared" si="76"/>
        <v>231.12</v>
      </c>
      <c r="D373" s="28"/>
      <c r="E373" s="28">
        <f>F373+G373</f>
        <v>15.120000000000001</v>
      </c>
      <c r="F373" s="28">
        <f t="shared" si="66"/>
        <v>8.64</v>
      </c>
      <c r="G373" s="28">
        <f t="shared" si="67"/>
        <v>6.4799999999999995</v>
      </c>
      <c r="H373" s="28">
        <f t="shared" si="77"/>
        <v>216</v>
      </c>
      <c r="I373" s="28">
        <f>0.6*C373</f>
        <v>138.672</v>
      </c>
      <c r="J373" s="29"/>
      <c r="K373" s="29"/>
      <c r="L373" s="29"/>
      <c r="M373" s="29"/>
      <c r="N373" s="29"/>
      <c r="O373" s="28">
        <v>9926</v>
      </c>
      <c r="P373" s="28">
        <v>10142</v>
      </c>
      <c r="Q373" s="146"/>
      <c r="R373" s="61"/>
      <c r="S373" s="28">
        <v>1</v>
      </c>
      <c r="T373" s="28">
        <f t="shared" si="75"/>
        <v>216</v>
      </c>
      <c r="U373" s="31">
        <v>3224</v>
      </c>
      <c r="V373" s="677" t="s">
        <v>472</v>
      </c>
      <c r="W373" s="191" t="s">
        <v>212</v>
      </c>
      <c r="X373" s="30"/>
      <c r="Y373" s="86"/>
      <c r="Z373" s="86"/>
      <c r="AA373" s="86"/>
      <c r="AB373" s="86"/>
      <c r="AC373" s="86"/>
    </row>
    <row r="374" spans="1:29" ht="25.5">
      <c r="A374" s="19"/>
      <c r="B374" s="27" t="s">
        <v>456</v>
      </c>
      <c r="C374" s="28">
        <f>H374+E374+64</f>
        <v>91.82</v>
      </c>
      <c r="D374" s="28"/>
      <c r="E374" s="28">
        <f>F374+G374</f>
        <v>1.82</v>
      </c>
      <c r="F374" s="28">
        <f>0.04*H374</f>
        <v>1.04</v>
      </c>
      <c r="G374" s="28">
        <f>0.03*H374</f>
        <v>0.78</v>
      </c>
      <c r="H374" s="28">
        <f>T374</f>
        <v>26</v>
      </c>
      <c r="I374" s="28">
        <v>649</v>
      </c>
      <c r="J374" s="29"/>
      <c r="K374" s="29"/>
      <c r="L374" s="29"/>
      <c r="M374" s="29"/>
      <c r="N374" s="29"/>
      <c r="O374" s="28">
        <f>2172+60</f>
        <v>2232</v>
      </c>
      <c r="P374" s="28">
        <f>2198+60</f>
        <v>2258</v>
      </c>
      <c r="Q374" s="146"/>
      <c r="R374" s="61"/>
      <c r="S374" s="28">
        <v>1</v>
      </c>
      <c r="T374" s="28">
        <f t="shared" si="75"/>
        <v>26</v>
      </c>
      <c r="U374" s="31">
        <v>429663</v>
      </c>
      <c r="V374" s="689" t="s">
        <v>824</v>
      </c>
      <c r="W374" s="14" t="s">
        <v>212</v>
      </c>
      <c r="X374" s="7"/>
      <c r="Y374" s="7"/>
      <c r="Z374" s="7"/>
      <c r="AA374" s="7"/>
      <c r="AB374" s="7"/>
      <c r="AC374" s="7"/>
    </row>
    <row r="375" spans="1:29" s="195" customFormat="1" ht="29.25" customHeight="1">
      <c r="A375" s="194"/>
      <c r="B375" s="420" t="s">
        <v>473</v>
      </c>
      <c r="C375" s="28">
        <f t="shared" si="76"/>
        <v>22.47</v>
      </c>
      <c r="D375" s="28"/>
      <c r="E375" s="28">
        <f>F375+G375</f>
        <v>1.47</v>
      </c>
      <c r="F375" s="28">
        <f t="shared" si="66"/>
        <v>0.84</v>
      </c>
      <c r="G375" s="28">
        <f t="shared" si="67"/>
        <v>0.63</v>
      </c>
      <c r="H375" s="28">
        <f t="shared" si="77"/>
        <v>21</v>
      </c>
      <c r="I375" s="28">
        <f>0.6*C375</f>
        <v>13.481999999999999</v>
      </c>
      <c r="J375" s="29"/>
      <c r="K375" s="29"/>
      <c r="L375" s="29"/>
      <c r="M375" s="29"/>
      <c r="N375" s="29"/>
      <c r="O375" s="28">
        <v>16606</v>
      </c>
      <c r="P375" s="28">
        <v>16627</v>
      </c>
      <c r="Q375" s="146"/>
      <c r="R375" s="61"/>
      <c r="S375" s="28">
        <v>1</v>
      </c>
      <c r="T375" s="28">
        <f t="shared" si="75"/>
        <v>21</v>
      </c>
      <c r="U375" s="31"/>
      <c r="V375" s="677" t="s">
        <v>474</v>
      </c>
      <c r="W375" s="14" t="s">
        <v>212</v>
      </c>
      <c r="X375" s="86"/>
      <c r="Y375" s="86"/>
      <c r="Z375" s="86"/>
      <c r="AA375" s="86"/>
      <c r="AB375" s="86"/>
      <c r="AC375" s="86"/>
    </row>
    <row r="376" spans="1:29" s="225" customFormat="1" ht="25.5">
      <c r="A376" s="223"/>
      <c r="B376" s="27" t="s">
        <v>475</v>
      </c>
      <c r="C376" s="28">
        <f t="shared" si="76"/>
        <v>3452.89</v>
      </c>
      <c r="D376" s="28"/>
      <c r="E376" s="28">
        <f>F376++G376</f>
        <v>225.89000000000001</v>
      </c>
      <c r="F376" s="28">
        <f t="shared" si="66"/>
        <v>129.08000000000001</v>
      </c>
      <c r="G376" s="28">
        <f t="shared" si="67"/>
        <v>96.81</v>
      </c>
      <c r="H376" s="28">
        <f t="shared" si="77"/>
        <v>3227</v>
      </c>
      <c r="I376" s="28">
        <f>0.6*C376</f>
        <v>2071.7339999999999</v>
      </c>
      <c r="J376" s="29"/>
      <c r="K376" s="29"/>
      <c r="L376" s="29"/>
      <c r="M376" s="29"/>
      <c r="N376" s="29"/>
      <c r="O376" s="28">
        <v>393521</v>
      </c>
      <c r="P376" s="28">
        <v>396748</v>
      </c>
      <c r="Q376" s="30"/>
      <c r="R376" s="351"/>
      <c r="S376" s="54">
        <v>1</v>
      </c>
      <c r="T376" s="28">
        <f t="shared" si="75"/>
        <v>3227</v>
      </c>
      <c r="U376" s="31">
        <v>69776</v>
      </c>
      <c r="V376" s="677" t="s">
        <v>476</v>
      </c>
      <c r="W376" s="14" t="s">
        <v>212</v>
      </c>
      <c r="X376" s="224"/>
      <c r="Y376" s="224"/>
      <c r="Z376" s="224"/>
      <c r="AA376" s="224"/>
      <c r="AB376" s="224"/>
      <c r="AC376" s="224"/>
    </row>
    <row r="377" spans="1:29" ht="25.5">
      <c r="A377" s="19"/>
      <c r="B377" s="27" t="s">
        <v>477</v>
      </c>
      <c r="C377" s="28">
        <f>H377+E377</f>
        <v>1598.58</v>
      </c>
      <c r="D377" s="28"/>
      <c r="E377" s="28">
        <f>G377+F377</f>
        <v>104.58</v>
      </c>
      <c r="F377" s="28">
        <f>0.04*H377</f>
        <v>59.76</v>
      </c>
      <c r="G377" s="28">
        <f>0.03*H377</f>
        <v>44.82</v>
      </c>
      <c r="H377" s="28">
        <f t="shared" si="77"/>
        <v>1494</v>
      </c>
      <c r="I377" s="28">
        <f>0.6*C377</f>
        <v>959.14799999999991</v>
      </c>
      <c r="J377" s="29"/>
      <c r="K377" s="29"/>
      <c r="L377" s="29"/>
      <c r="M377" s="29"/>
      <c r="N377" s="29"/>
      <c r="O377" s="28">
        <v>182021</v>
      </c>
      <c r="P377" s="28">
        <v>183515</v>
      </c>
      <c r="Q377" s="146"/>
      <c r="R377" s="61"/>
      <c r="S377" s="54">
        <v>1</v>
      </c>
      <c r="T377" s="28">
        <f t="shared" si="75"/>
        <v>1494</v>
      </c>
      <c r="U377" s="31">
        <v>3868</v>
      </c>
      <c r="V377" s="677" t="s">
        <v>478</v>
      </c>
      <c r="W377" s="14" t="s">
        <v>212</v>
      </c>
      <c r="X377" s="7"/>
      <c r="Y377" s="7"/>
      <c r="Z377" s="7"/>
      <c r="AA377" s="7"/>
      <c r="AB377" s="7"/>
      <c r="AC377" s="7"/>
    </row>
    <row r="378" spans="1:29" ht="25.5">
      <c r="A378" s="19"/>
      <c r="B378" s="27"/>
      <c r="C378" s="28"/>
      <c r="D378" s="28"/>
      <c r="E378" s="28"/>
      <c r="F378" s="28"/>
      <c r="G378" s="28"/>
      <c r="H378" s="28"/>
      <c r="I378" s="28"/>
      <c r="J378" s="29"/>
      <c r="K378" s="29"/>
      <c r="L378" s="29"/>
      <c r="M378" s="29"/>
      <c r="N378" s="29"/>
      <c r="O378" s="28"/>
      <c r="P378" s="28"/>
      <c r="Q378" s="146"/>
      <c r="R378" s="61"/>
      <c r="S378" s="28"/>
      <c r="T378" s="28"/>
      <c r="U378" s="31"/>
      <c r="V378" s="668"/>
      <c r="W378" s="14"/>
      <c r="X378" s="7"/>
      <c r="Y378" s="7"/>
      <c r="Z378" s="7"/>
      <c r="AA378" s="7"/>
      <c r="AB378" s="7"/>
      <c r="AC378" s="7"/>
    </row>
    <row r="379" spans="1:29" ht="26.25">
      <c r="A379" s="19"/>
      <c r="B379" s="226" t="s">
        <v>479</v>
      </c>
      <c r="C379" s="115">
        <f>SUM(C333:C378)</f>
        <v>18937.730000000003</v>
      </c>
      <c r="D379" s="115"/>
      <c r="E379" s="115"/>
      <c r="F379" s="115"/>
      <c r="G379" s="115"/>
      <c r="H379" s="115"/>
      <c r="I379" s="115"/>
      <c r="J379" s="98"/>
      <c r="K379" s="98"/>
      <c r="L379" s="98"/>
      <c r="M379" s="98"/>
      <c r="N379" s="98"/>
      <c r="O379" s="94"/>
      <c r="P379" s="94"/>
      <c r="Q379" s="227"/>
      <c r="R379" s="228"/>
      <c r="S379" s="92"/>
      <c r="T379" s="91"/>
      <c r="U379" s="1"/>
      <c r="V379" s="1"/>
      <c r="W379" s="14"/>
      <c r="X379" s="7"/>
      <c r="Y379" s="7"/>
      <c r="Z379" s="7"/>
      <c r="AA379" s="7"/>
      <c r="AB379" s="7"/>
      <c r="AC379" s="7" t="s">
        <v>15</v>
      </c>
    </row>
    <row r="380" spans="1:29" ht="30" customHeight="1">
      <c r="A380" s="19"/>
      <c r="B380" s="143"/>
      <c r="C380" s="115"/>
      <c r="D380" s="115"/>
      <c r="E380" s="115"/>
      <c r="F380" s="115"/>
      <c r="G380" s="115"/>
      <c r="H380" s="115"/>
      <c r="I380" s="115"/>
      <c r="J380" s="98"/>
      <c r="K380" s="98"/>
      <c r="L380" s="98"/>
      <c r="M380" s="98"/>
      <c r="N380" s="98"/>
      <c r="O380" s="94"/>
      <c r="P380" s="94"/>
      <c r="Q380" s="227"/>
      <c r="R380" s="228"/>
      <c r="S380" s="92"/>
      <c r="T380" s="91"/>
      <c r="U380" s="1"/>
      <c r="V380" s="1"/>
      <c r="W380" s="14"/>
      <c r="X380" s="7"/>
      <c r="Y380" s="7"/>
      <c r="Z380" s="7"/>
      <c r="AA380" s="7"/>
      <c r="AB380" s="7"/>
      <c r="AC380" s="7"/>
    </row>
    <row r="381" spans="1:29" ht="26.25" hidden="1">
      <c r="A381" s="19"/>
      <c r="B381" s="90" t="s">
        <v>480</v>
      </c>
      <c r="C381" s="28"/>
      <c r="D381" s="28"/>
      <c r="E381" s="28"/>
      <c r="F381" s="28"/>
      <c r="G381" s="28"/>
      <c r="H381" s="28"/>
      <c r="I381" s="72"/>
      <c r="J381" s="29"/>
      <c r="K381" s="29"/>
      <c r="L381" s="29"/>
      <c r="M381" s="29"/>
      <c r="N381" s="29"/>
      <c r="O381" s="28"/>
      <c r="P381" s="28"/>
      <c r="Q381" s="146"/>
      <c r="R381" s="61"/>
      <c r="S381" s="54"/>
      <c r="T381" s="28"/>
      <c r="U381" s="31"/>
      <c r="V381" s="668"/>
      <c r="W381" s="14"/>
      <c r="X381" s="7"/>
      <c r="Y381" s="7"/>
      <c r="Z381" s="7"/>
      <c r="AA381" s="7"/>
      <c r="AB381" s="7"/>
      <c r="AC381" s="7"/>
    </row>
    <row r="382" spans="1:29" ht="9.75" hidden="1" customHeight="1">
      <c r="A382" s="19" t="s">
        <v>481</v>
      </c>
      <c r="B382" s="148" t="s">
        <v>482</v>
      </c>
      <c r="C382" s="91">
        <f>H382+E382</f>
        <v>0</v>
      </c>
      <c r="D382" s="115"/>
      <c r="E382" s="91">
        <f>F382+G382</f>
        <v>0</v>
      </c>
      <c r="F382" s="91">
        <f>0.04*H382</f>
        <v>0</v>
      </c>
      <c r="G382" s="91">
        <f>0.03*H382</f>
        <v>0</v>
      </c>
      <c r="H382" s="91">
        <f>T382</f>
        <v>0</v>
      </c>
      <c r="I382" s="91">
        <f>0.5*C382</f>
        <v>0</v>
      </c>
      <c r="J382" s="22"/>
      <c r="K382" s="22"/>
      <c r="L382" s="22"/>
      <c r="M382" s="22"/>
      <c r="N382" s="22"/>
      <c r="O382" s="229">
        <v>10678</v>
      </c>
      <c r="P382" s="229">
        <v>10678</v>
      </c>
      <c r="Q382" s="149"/>
      <c r="R382" s="161"/>
      <c r="S382" s="151">
        <v>1</v>
      </c>
      <c r="T382" s="91">
        <f>(P382-O382)*S382</f>
        <v>0</v>
      </c>
      <c r="U382" s="95">
        <v>2262538</v>
      </c>
      <c r="V382" s="673" t="s">
        <v>483</v>
      </c>
      <c r="W382" s="14"/>
      <c r="X382" s="7"/>
      <c r="Y382" s="7"/>
      <c r="Z382" s="7"/>
      <c r="AA382" s="7"/>
      <c r="AB382" s="7"/>
      <c r="AC382" s="7"/>
    </row>
    <row r="383" spans="1:29" ht="25.5" hidden="1">
      <c r="A383" s="19"/>
      <c r="B383" s="148"/>
      <c r="C383" s="91"/>
      <c r="D383" s="91"/>
      <c r="E383" s="91"/>
      <c r="F383" s="91"/>
      <c r="G383" s="91"/>
      <c r="H383" s="91"/>
      <c r="I383" s="91"/>
      <c r="J383" s="22"/>
      <c r="K383" s="22"/>
      <c r="L383" s="22"/>
      <c r="M383" s="22"/>
      <c r="N383" s="22"/>
      <c r="O383" s="91"/>
      <c r="P383" s="91"/>
      <c r="Q383" s="22"/>
      <c r="R383" s="142"/>
      <c r="S383" s="91"/>
      <c r="T383" s="91"/>
      <c r="U383" s="95"/>
      <c r="V383" s="673"/>
      <c r="W383" s="14"/>
      <c r="X383" s="7"/>
      <c r="Y383" s="7"/>
      <c r="Z383" s="7"/>
      <c r="AA383" s="7"/>
      <c r="AB383" s="7"/>
      <c r="AC383" s="7"/>
    </row>
    <row r="384" spans="1:29" ht="25.5" hidden="1" customHeight="1">
      <c r="A384" s="19">
        <v>35</v>
      </c>
      <c r="B384" s="1"/>
      <c r="U384" s="1"/>
      <c r="V384" s="1"/>
      <c r="W384" s="14"/>
      <c r="X384" s="7"/>
      <c r="Y384" s="7"/>
      <c r="Z384" s="7"/>
      <c r="AA384" s="7"/>
      <c r="AB384" s="7"/>
      <c r="AC384" s="7"/>
    </row>
    <row r="385" spans="1:29" ht="27" hidden="1" customHeight="1">
      <c r="A385" s="19">
        <v>36</v>
      </c>
      <c r="B385" s="148"/>
      <c r="C385" s="91"/>
      <c r="D385" s="91"/>
      <c r="E385" s="91"/>
      <c r="F385" s="91"/>
      <c r="G385" s="91"/>
      <c r="H385" s="91"/>
      <c r="I385" s="91"/>
      <c r="J385" s="22"/>
      <c r="K385" s="22"/>
      <c r="L385" s="22"/>
      <c r="M385" s="22"/>
      <c r="N385" s="22"/>
      <c r="O385" s="91"/>
      <c r="P385" s="91"/>
      <c r="Q385" s="149"/>
      <c r="R385" s="161"/>
      <c r="S385" s="91"/>
      <c r="T385" s="91"/>
      <c r="U385" s="95"/>
      <c r="V385" s="673"/>
      <c r="W385" s="14"/>
      <c r="X385" s="7"/>
      <c r="Y385" s="7"/>
      <c r="Z385" s="7"/>
      <c r="AA385" s="7"/>
      <c r="AB385" s="7"/>
      <c r="AC385" s="7"/>
    </row>
    <row r="386" spans="1:29" ht="25.5" hidden="1">
      <c r="A386" s="19">
        <v>37</v>
      </c>
      <c r="U386" s="95"/>
      <c r="V386" s="673"/>
      <c r="W386" s="14"/>
      <c r="X386" s="7"/>
      <c r="Y386" s="7"/>
      <c r="Z386" s="7"/>
      <c r="AA386" s="7"/>
      <c r="AB386" s="7"/>
      <c r="AC386" s="7"/>
    </row>
    <row r="387" spans="1:29" ht="25.5" hidden="1">
      <c r="A387" s="19">
        <v>38</v>
      </c>
      <c r="B387" s="148"/>
      <c r="C387" s="91"/>
      <c r="D387" s="91"/>
      <c r="E387" s="91"/>
      <c r="F387" s="91"/>
      <c r="G387" s="91"/>
      <c r="H387" s="91"/>
      <c r="I387" s="91"/>
      <c r="J387" s="22"/>
      <c r="K387" s="22"/>
      <c r="L387" s="22"/>
      <c r="M387" s="22"/>
      <c r="N387" s="22"/>
      <c r="O387" s="91"/>
      <c r="P387" s="91"/>
      <c r="Q387" s="149"/>
      <c r="R387" s="161"/>
      <c r="S387" s="91"/>
      <c r="T387" s="91"/>
      <c r="U387" s="95"/>
      <c r="V387" s="673"/>
      <c r="W387" s="14"/>
      <c r="X387" s="7"/>
      <c r="Y387" s="7"/>
      <c r="Z387" s="149"/>
      <c r="AA387" s="149"/>
      <c r="AB387" s="149"/>
      <c r="AC387" s="149"/>
    </row>
    <row r="388" spans="1:29" ht="25.5" hidden="1">
      <c r="A388" s="19">
        <v>40</v>
      </c>
      <c r="B388" s="148"/>
      <c r="C388" s="91"/>
      <c r="D388" s="91"/>
      <c r="E388" s="91"/>
      <c r="F388" s="91"/>
      <c r="G388" s="91"/>
      <c r="H388" s="91"/>
      <c r="I388" s="91"/>
      <c r="J388" s="22"/>
      <c r="K388" s="22"/>
      <c r="L388" s="22"/>
      <c r="M388" s="22"/>
      <c r="N388" s="22"/>
      <c r="O388" s="91"/>
      <c r="P388" s="91"/>
      <c r="Q388" s="22"/>
      <c r="R388" s="142"/>
      <c r="S388" s="91"/>
      <c r="T388" s="91"/>
      <c r="U388" s="95"/>
      <c r="V388" s="673"/>
      <c r="W388" s="14"/>
      <c r="X388" s="7"/>
      <c r="Y388" s="7"/>
      <c r="Z388" s="7"/>
      <c r="AA388" s="7"/>
      <c r="AB388" s="7"/>
      <c r="AC388" s="7"/>
    </row>
    <row r="389" spans="1:29" ht="56.25" hidden="1" customHeight="1">
      <c r="A389" s="19">
        <v>41</v>
      </c>
      <c r="B389" s="1"/>
      <c r="U389" s="95"/>
      <c r="V389" s="673"/>
      <c r="W389" s="14"/>
      <c r="X389" s="7"/>
      <c r="Y389" s="7"/>
      <c r="Z389" s="7"/>
      <c r="AA389" s="7"/>
      <c r="AB389" s="7"/>
      <c r="AC389" s="7"/>
    </row>
    <row r="390" spans="1:29" ht="26.25" hidden="1" customHeight="1">
      <c r="A390" s="19">
        <v>42</v>
      </c>
      <c r="U390" s="95"/>
      <c r="V390" s="673"/>
      <c r="W390" s="14"/>
      <c r="X390" s="7"/>
      <c r="Y390" s="7"/>
      <c r="Z390" s="7"/>
      <c r="AA390" s="7"/>
      <c r="AB390" s="7"/>
      <c r="AC390" s="7"/>
    </row>
    <row r="391" spans="1:29" ht="29.25" hidden="1" customHeight="1">
      <c r="A391" s="19">
        <v>43</v>
      </c>
      <c r="U391" s="95"/>
      <c r="V391" s="673"/>
      <c r="W391" s="14"/>
      <c r="X391" s="7"/>
      <c r="Y391" s="7"/>
      <c r="Z391" s="7"/>
      <c r="AA391" s="7"/>
      <c r="AB391" s="7"/>
      <c r="AC391" s="7"/>
    </row>
    <row r="392" spans="1:29" ht="28.5" hidden="1" customHeight="1">
      <c r="A392" s="230">
        <v>44</v>
      </c>
      <c r="B392" s="158"/>
      <c r="C392" s="124"/>
      <c r="D392" s="124"/>
      <c r="E392" s="124"/>
      <c r="F392" s="124"/>
      <c r="G392" s="124"/>
      <c r="H392" s="124"/>
      <c r="I392" s="124"/>
      <c r="J392" s="126"/>
      <c r="K392" s="126"/>
      <c r="L392" s="126"/>
      <c r="M392" s="126"/>
      <c r="N392" s="126"/>
      <c r="O392" s="124"/>
      <c r="P392" s="124"/>
      <c r="Q392" s="7"/>
      <c r="R392" s="159"/>
      <c r="S392" s="124"/>
      <c r="T392" s="124"/>
      <c r="U392" s="127"/>
      <c r="V392" s="128"/>
      <c r="W392" s="14"/>
      <c r="X392" s="7"/>
      <c r="Y392" s="7"/>
      <c r="Z392" s="7"/>
      <c r="AA392" s="7"/>
      <c r="AB392" s="7"/>
      <c r="AC392" s="7"/>
    </row>
    <row r="393" spans="1:29" ht="26.25" hidden="1" customHeight="1">
      <c r="A393" s="19">
        <v>45</v>
      </c>
      <c r="B393" s="1"/>
      <c r="U393" s="95"/>
      <c r="V393" s="673"/>
      <c r="W393" s="14"/>
      <c r="X393" s="7"/>
      <c r="Y393" s="7"/>
      <c r="Z393" s="7"/>
      <c r="AA393" s="7"/>
      <c r="AB393" s="7"/>
      <c r="AC393" s="7"/>
    </row>
    <row r="394" spans="1:29" ht="24.75" hidden="1" customHeight="1">
      <c r="A394" s="19">
        <v>46</v>
      </c>
      <c r="B394" s="1"/>
      <c r="U394" s="95"/>
      <c r="V394" s="673"/>
      <c r="W394" s="134"/>
      <c r="X394" s="149"/>
      <c r="Y394" s="149"/>
      <c r="Z394" s="7"/>
      <c r="AA394" s="7"/>
      <c r="AB394" s="7"/>
      <c r="AC394" s="7"/>
    </row>
    <row r="395" spans="1:29" ht="23.25" hidden="1" customHeight="1">
      <c r="A395" s="19">
        <v>47</v>
      </c>
      <c r="U395" s="95"/>
      <c r="V395" s="673"/>
      <c r="W395" s="14"/>
      <c r="X395" s="7"/>
      <c r="Y395" s="7"/>
      <c r="Z395" s="7"/>
      <c r="AA395" s="7"/>
      <c r="AB395" s="7"/>
      <c r="AC395" s="7"/>
    </row>
    <row r="396" spans="1:29" ht="28.5" hidden="1" customHeight="1">
      <c r="A396" s="19">
        <v>48</v>
      </c>
      <c r="U396" s="95"/>
      <c r="V396" s="673"/>
      <c r="W396" s="14"/>
      <c r="X396" s="7"/>
      <c r="Y396" s="7"/>
      <c r="Z396" s="7"/>
      <c r="AA396" s="7"/>
      <c r="AB396" s="7"/>
      <c r="AC396" s="7"/>
    </row>
    <row r="397" spans="1:29" ht="31.5" hidden="1" customHeight="1">
      <c r="A397" s="19">
        <v>49</v>
      </c>
      <c r="B397" s="1"/>
      <c r="U397" s="1"/>
      <c r="V397" s="1"/>
      <c r="W397" s="78"/>
      <c r="X397" s="7"/>
      <c r="Y397" s="7"/>
      <c r="Z397" s="7"/>
      <c r="AA397" s="7"/>
      <c r="AB397" s="7"/>
      <c r="AC397" s="7"/>
    </row>
    <row r="398" spans="1:29" ht="25.5" hidden="1">
      <c r="A398" s="19">
        <v>50</v>
      </c>
      <c r="U398" s="95"/>
      <c r="V398" s="673"/>
      <c r="W398" s="14" t="s">
        <v>484</v>
      </c>
      <c r="X398" s="7"/>
      <c r="Y398" s="7"/>
      <c r="Z398" s="7"/>
      <c r="AA398" s="7"/>
      <c r="AB398" s="7"/>
      <c r="AC398" s="7"/>
    </row>
    <row r="399" spans="1:29" ht="25.5" hidden="1">
      <c r="A399" s="19">
        <v>51</v>
      </c>
      <c r="U399" s="95"/>
      <c r="V399" s="673"/>
      <c r="W399" s="14"/>
      <c r="X399" s="7"/>
      <c r="Y399" s="7"/>
      <c r="Z399" s="7"/>
      <c r="AA399" s="7"/>
      <c r="AB399" s="7"/>
      <c r="AC399" s="7"/>
    </row>
    <row r="400" spans="1:29" ht="25.5" hidden="1" customHeight="1">
      <c r="A400" s="231">
        <v>52</v>
      </c>
      <c r="B400" s="1"/>
      <c r="U400" s="1"/>
      <c r="V400" s="1"/>
      <c r="W400" s="14">
        <v>176</v>
      </c>
      <c r="X400" s="7">
        <v>1764.636</v>
      </c>
      <c r="Y400" s="7"/>
      <c r="Z400" s="7"/>
      <c r="AA400" s="7"/>
      <c r="AB400" s="7"/>
      <c r="AC400" s="7"/>
    </row>
    <row r="401" spans="1:29" ht="25.5" hidden="1" customHeight="1">
      <c r="A401" s="19">
        <v>53</v>
      </c>
      <c r="B401" s="1"/>
      <c r="U401" s="1"/>
      <c r="V401" s="1"/>
      <c r="W401" s="14"/>
      <c r="X401" s="7"/>
      <c r="Y401" s="7"/>
      <c r="Z401" s="7"/>
      <c r="AA401" s="7"/>
      <c r="AB401" s="7"/>
      <c r="AC401" s="7"/>
    </row>
    <row r="402" spans="1:29" ht="23.25" hidden="1" customHeight="1">
      <c r="A402" s="19">
        <v>54</v>
      </c>
      <c r="U402" s="95"/>
      <c r="V402" s="673"/>
      <c r="W402" s="14"/>
      <c r="X402" s="7"/>
      <c r="Y402" s="7"/>
      <c r="Z402" s="7"/>
      <c r="AA402" s="7"/>
      <c r="AB402" s="7"/>
      <c r="AC402" s="7"/>
    </row>
    <row r="403" spans="1:29" ht="76.5" hidden="1">
      <c r="A403" s="19" t="s">
        <v>485</v>
      </c>
      <c r="B403" s="1"/>
      <c r="U403" s="1"/>
      <c r="V403" s="1"/>
      <c r="W403" s="14"/>
      <c r="X403" s="7"/>
      <c r="Y403" s="7"/>
      <c r="Z403" s="7"/>
      <c r="AA403" s="7"/>
      <c r="AB403" s="7"/>
      <c r="AC403" s="7"/>
    </row>
    <row r="404" spans="1:29" ht="27" hidden="1" customHeight="1">
      <c r="A404" s="19">
        <v>55</v>
      </c>
      <c r="B404" s="1"/>
      <c r="U404" s="95"/>
      <c r="V404" s="673"/>
      <c r="W404" s="14">
        <v>3160</v>
      </c>
      <c r="X404" s="7"/>
      <c r="Y404" s="7"/>
      <c r="Z404" s="7"/>
      <c r="AA404" s="7"/>
      <c r="AB404" s="7"/>
      <c r="AC404" s="7"/>
    </row>
    <row r="405" spans="1:29" ht="30" hidden="1" customHeight="1">
      <c r="A405" s="19">
        <v>56</v>
      </c>
      <c r="U405" s="95"/>
      <c r="V405" s="673"/>
      <c r="W405" s="14"/>
      <c r="X405" s="7"/>
      <c r="Y405" s="7"/>
      <c r="Z405" s="7"/>
      <c r="AA405" s="7"/>
      <c r="AB405" s="7"/>
      <c r="AC405" s="7"/>
    </row>
    <row r="406" spans="1:29" ht="76.5" hidden="1">
      <c r="A406" s="19" t="s">
        <v>486</v>
      </c>
      <c r="B406" s="148"/>
      <c r="C406" s="91"/>
      <c r="D406" s="91"/>
      <c r="E406" s="91"/>
      <c r="F406" s="91"/>
      <c r="G406" s="91"/>
      <c r="H406" s="91"/>
      <c r="I406" s="91"/>
      <c r="J406" s="22"/>
      <c r="K406" s="22"/>
      <c r="L406" s="22"/>
      <c r="M406" s="22"/>
      <c r="N406" s="22"/>
      <c r="O406" s="91"/>
      <c r="P406" s="91"/>
      <c r="Q406" s="22"/>
      <c r="R406" s="142"/>
      <c r="S406" s="91"/>
      <c r="T406" s="91">
        <f>(P406-O406)*S406</f>
        <v>0</v>
      </c>
      <c r="U406" s="95"/>
      <c r="V406" s="673"/>
      <c r="W406" s="14"/>
      <c r="X406" s="7"/>
      <c r="Y406" s="7"/>
      <c r="Z406" s="7"/>
      <c r="AA406" s="7"/>
      <c r="AB406" s="7"/>
      <c r="AC406" s="7"/>
    </row>
    <row r="407" spans="1:29" ht="23.25" hidden="1" customHeight="1">
      <c r="A407" s="19">
        <v>57</v>
      </c>
      <c r="U407" s="95"/>
      <c r="V407" s="673"/>
      <c r="W407" s="14"/>
      <c r="X407" s="7"/>
      <c r="Y407" s="7"/>
      <c r="Z407" s="7"/>
      <c r="AA407" s="7"/>
      <c r="AB407" s="7"/>
      <c r="AC407" s="7"/>
    </row>
    <row r="408" spans="1:29" ht="25.5" hidden="1">
      <c r="A408" s="19">
        <v>58</v>
      </c>
      <c r="B408" s="1"/>
      <c r="U408" s="1"/>
      <c r="V408" s="1"/>
      <c r="W408" s="14"/>
      <c r="X408" s="7"/>
      <c r="Y408" s="7"/>
      <c r="Z408" s="7"/>
      <c r="AA408" s="7"/>
      <c r="AB408" s="7"/>
      <c r="AC408" s="7"/>
    </row>
    <row r="409" spans="1:29" ht="25.5" hidden="1">
      <c r="A409" s="19"/>
      <c r="B409" s="1"/>
      <c r="U409" s="1"/>
      <c r="V409" s="1"/>
      <c r="W409" s="14"/>
      <c r="X409" s="7"/>
      <c r="Y409" s="7"/>
      <c r="Z409" s="7"/>
      <c r="AA409" s="7"/>
      <c r="AB409" s="7"/>
      <c r="AC409" s="7"/>
    </row>
    <row r="410" spans="1:29" ht="14.25" hidden="1" customHeight="1">
      <c r="A410" s="19"/>
      <c r="B410" s="1"/>
      <c r="U410" s="1"/>
      <c r="V410" s="1"/>
      <c r="W410" s="14"/>
      <c r="X410" s="7"/>
      <c r="Y410" s="7"/>
      <c r="Z410" s="7"/>
      <c r="AA410" s="7"/>
      <c r="AB410" s="7"/>
      <c r="AC410" s="7"/>
    </row>
    <row r="411" spans="1:29" ht="31.5" hidden="1" customHeight="1">
      <c r="A411" s="19"/>
      <c r="B411" s="1"/>
      <c r="U411" s="1"/>
      <c r="V411" s="1"/>
      <c r="W411" s="14"/>
      <c r="X411" s="7"/>
      <c r="Y411" s="7"/>
      <c r="Z411" s="7"/>
      <c r="AA411" s="7"/>
      <c r="AB411" s="7"/>
      <c r="AC411" s="7"/>
    </row>
    <row r="412" spans="1:29" ht="31.5" hidden="1" customHeight="1">
      <c r="A412" s="19"/>
      <c r="B412" s="1"/>
      <c r="U412" s="1"/>
      <c r="V412" s="1"/>
      <c r="W412" s="14"/>
      <c r="X412" s="7"/>
      <c r="Y412" s="7"/>
      <c r="Z412" s="7"/>
      <c r="AA412" s="7"/>
      <c r="AB412" s="7"/>
      <c r="AC412" s="7"/>
    </row>
    <row r="413" spans="1:29" ht="25.5" hidden="1">
      <c r="A413" s="19"/>
      <c r="B413" s="148"/>
      <c r="C413" s="91"/>
      <c r="D413" s="91"/>
      <c r="E413" s="91"/>
      <c r="F413" s="91"/>
      <c r="G413" s="91"/>
      <c r="H413" s="91"/>
      <c r="I413" s="91"/>
      <c r="J413" s="22"/>
      <c r="K413" s="22"/>
      <c r="L413" s="22"/>
      <c r="M413" s="22"/>
      <c r="N413" s="22"/>
      <c r="O413" s="91"/>
      <c r="P413" s="91"/>
      <c r="Q413" s="149"/>
      <c r="R413" s="200"/>
      <c r="S413" s="91"/>
      <c r="T413" s="91">
        <f t="shared" ref="T413:T418" si="78">(P413-O413)*S413</f>
        <v>0</v>
      </c>
      <c r="U413" s="95"/>
      <c r="V413" s="673"/>
      <c r="W413" s="14"/>
      <c r="X413" s="7"/>
      <c r="Y413" s="7"/>
      <c r="Z413" s="7"/>
      <c r="AA413" s="7"/>
      <c r="AB413" s="7"/>
      <c r="AC413" s="7"/>
    </row>
    <row r="414" spans="1:29" ht="25.5" hidden="1">
      <c r="A414" s="19"/>
      <c r="B414" s="148"/>
      <c r="C414" s="91"/>
      <c r="D414" s="91"/>
      <c r="E414" s="91"/>
      <c r="F414" s="91"/>
      <c r="G414" s="91"/>
      <c r="H414" s="91"/>
      <c r="I414" s="91"/>
      <c r="J414" s="22"/>
      <c r="K414" s="22"/>
      <c r="L414" s="22"/>
      <c r="M414" s="22"/>
      <c r="N414" s="22"/>
      <c r="O414" s="91"/>
      <c r="P414" s="91"/>
      <c r="Q414" s="149"/>
      <c r="R414" s="200"/>
      <c r="S414" s="91"/>
      <c r="T414" s="91">
        <f t="shared" si="78"/>
        <v>0</v>
      </c>
      <c r="U414" s="95"/>
      <c r="V414" s="673"/>
      <c r="W414" s="14"/>
      <c r="X414" s="7"/>
      <c r="Y414" s="7"/>
      <c r="Z414" s="7"/>
      <c r="AA414" s="7"/>
      <c r="AB414" s="7"/>
      <c r="AC414" s="7"/>
    </row>
    <row r="415" spans="1:29" ht="25.5" hidden="1">
      <c r="A415" s="19"/>
      <c r="B415" s="148"/>
      <c r="C415" s="91"/>
      <c r="D415" s="91"/>
      <c r="E415" s="91"/>
      <c r="F415" s="91"/>
      <c r="G415" s="91"/>
      <c r="H415" s="91"/>
      <c r="I415" s="91"/>
      <c r="J415" s="22"/>
      <c r="K415" s="22"/>
      <c r="L415" s="22"/>
      <c r="M415" s="22"/>
      <c r="N415" s="22"/>
      <c r="O415" s="91"/>
      <c r="P415" s="91"/>
      <c r="Q415" s="149"/>
      <c r="R415" s="200"/>
      <c r="S415" s="91"/>
      <c r="T415" s="91">
        <f t="shared" si="78"/>
        <v>0</v>
      </c>
      <c r="U415" s="95"/>
      <c r="V415" s="673"/>
      <c r="W415" s="14"/>
      <c r="X415" s="7"/>
      <c r="Y415" s="7"/>
      <c r="Z415" s="7"/>
      <c r="AA415" s="7"/>
      <c r="AB415" s="7"/>
      <c r="AC415" s="7"/>
    </row>
    <row r="416" spans="1:29" ht="25.5" hidden="1">
      <c r="A416" s="19"/>
      <c r="B416" s="148"/>
      <c r="C416" s="91"/>
      <c r="D416" s="91"/>
      <c r="E416" s="91"/>
      <c r="F416" s="91"/>
      <c r="G416" s="91"/>
      <c r="H416" s="91"/>
      <c r="I416" s="91"/>
      <c r="J416" s="22"/>
      <c r="K416" s="22"/>
      <c r="L416" s="22"/>
      <c r="M416" s="22"/>
      <c r="N416" s="22"/>
      <c r="O416" s="91"/>
      <c r="P416" s="91"/>
      <c r="Q416" s="149"/>
      <c r="R416" s="200"/>
      <c r="S416" s="91"/>
      <c r="T416" s="91">
        <f t="shared" si="78"/>
        <v>0</v>
      </c>
      <c r="U416" s="95"/>
      <c r="V416" s="673"/>
      <c r="W416" s="14"/>
      <c r="X416" s="7"/>
      <c r="Y416" s="7"/>
      <c r="Z416" s="7"/>
      <c r="AA416" s="7"/>
      <c r="AB416" s="7"/>
      <c r="AC416" s="7"/>
    </row>
    <row r="417" spans="1:29" ht="25.5" hidden="1">
      <c r="A417" s="19"/>
      <c r="B417" s="148"/>
      <c r="C417" s="91"/>
      <c r="D417" s="91"/>
      <c r="E417" s="91"/>
      <c r="F417" s="91"/>
      <c r="G417" s="91"/>
      <c r="H417" s="91"/>
      <c r="I417" s="91"/>
      <c r="J417" s="22"/>
      <c r="K417" s="22"/>
      <c r="L417" s="22"/>
      <c r="M417" s="22"/>
      <c r="N417" s="22"/>
      <c r="O417" s="91"/>
      <c r="P417" s="91"/>
      <c r="Q417" s="149"/>
      <c r="R417" s="200"/>
      <c r="S417" s="91"/>
      <c r="T417" s="91">
        <f t="shared" si="78"/>
        <v>0</v>
      </c>
      <c r="U417" s="95"/>
      <c r="V417" s="673"/>
      <c r="W417" s="14"/>
      <c r="X417" s="7"/>
      <c r="Y417" s="7"/>
      <c r="Z417" s="7"/>
      <c r="AA417" s="7"/>
      <c r="AB417" s="7"/>
      <c r="AC417" s="7"/>
    </row>
    <row r="418" spans="1:29" ht="25.5" hidden="1">
      <c r="A418" s="19">
        <v>59</v>
      </c>
      <c r="B418" s="148"/>
      <c r="C418" s="91"/>
      <c r="D418" s="91"/>
      <c r="E418" s="91"/>
      <c r="F418" s="91"/>
      <c r="G418" s="91"/>
      <c r="H418" s="91"/>
      <c r="I418" s="91"/>
      <c r="J418" s="22"/>
      <c r="K418" s="22"/>
      <c r="L418" s="22"/>
      <c r="M418" s="22"/>
      <c r="N418" s="22"/>
      <c r="O418" s="91"/>
      <c r="P418" s="91"/>
      <c r="Q418" s="149"/>
      <c r="R418" s="232"/>
      <c r="S418" s="91"/>
      <c r="T418" s="91">
        <f t="shared" si="78"/>
        <v>0</v>
      </c>
      <c r="U418" s="95"/>
      <c r="V418" s="673"/>
      <c r="W418" s="14"/>
      <c r="X418" s="7"/>
      <c r="Y418" s="7"/>
      <c r="Z418" s="7"/>
      <c r="AA418" s="7"/>
      <c r="AB418" s="7"/>
      <c r="AC418" s="7"/>
    </row>
    <row r="419" spans="1:29" ht="25.5" hidden="1">
      <c r="A419" s="19">
        <v>60</v>
      </c>
      <c r="B419" s="148"/>
      <c r="C419" s="91"/>
      <c r="D419" s="91"/>
      <c r="E419" s="91"/>
      <c r="F419" s="91"/>
      <c r="G419" s="91"/>
      <c r="H419" s="91"/>
      <c r="I419" s="91"/>
      <c r="J419" s="22"/>
      <c r="K419" s="22"/>
      <c r="L419" s="22"/>
      <c r="M419" s="22"/>
      <c r="N419" s="22"/>
      <c r="O419" s="91"/>
      <c r="P419" s="91"/>
      <c r="Q419" s="149"/>
      <c r="R419" s="232"/>
      <c r="S419" s="91"/>
      <c r="T419" s="91"/>
      <c r="U419" s="95"/>
      <c r="V419" s="673"/>
      <c r="W419" s="14"/>
      <c r="X419" s="7"/>
      <c r="Y419" s="7"/>
      <c r="Z419" s="7"/>
      <c r="AA419" s="7"/>
      <c r="AB419" s="7"/>
      <c r="AC419" s="7"/>
    </row>
    <row r="420" spans="1:29" ht="25.5" hidden="1">
      <c r="A420" s="19">
        <v>61.1</v>
      </c>
      <c r="B420" s="1"/>
      <c r="U420" s="95"/>
      <c r="V420" s="673"/>
      <c r="W420" s="14"/>
      <c r="X420" s="7"/>
      <c r="Y420" s="7"/>
      <c r="Z420" s="7"/>
      <c r="AA420" s="7"/>
      <c r="AB420" s="7"/>
      <c r="AC420" s="7"/>
    </row>
    <row r="421" spans="1:29" ht="25.5" hidden="1">
      <c r="A421" s="19">
        <v>61.2</v>
      </c>
      <c r="B421" s="1"/>
      <c r="U421" s="95"/>
      <c r="V421" s="673"/>
      <c r="W421" s="14"/>
      <c r="X421" s="7"/>
      <c r="Y421" s="7"/>
      <c r="Z421" s="7"/>
      <c r="AA421" s="7"/>
      <c r="AB421" s="7"/>
      <c r="AC421" s="7"/>
    </row>
    <row r="422" spans="1:29" ht="25.5" hidden="1">
      <c r="A422" s="19">
        <v>61.3</v>
      </c>
      <c r="B422" s="1"/>
      <c r="U422" s="95"/>
      <c r="V422" s="673"/>
      <c r="W422" s="14"/>
      <c r="X422" s="7"/>
      <c r="Y422" s="7"/>
      <c r="Z422" s="7"/>
      <c r="AA422" s="7"/>
      <c r="AB422" s="7"/>
      <c r="AC422" s="7"/>
    </row>
    <row r="423" spans="1:29" ht="25.5" hidden="1">
      <c r="A423" s="19">
        <v>61.4</v>
      </c>
      <c r="B423" s="1"/>
      <c r="U423" s="95"/>
      <c r="V423" s="673"/>
      <c r="W423" s="14"/>
      <c r="X423" s="7"/>
      <c r="Y423" s="7"/>
      <c r="Z423" s="7"/>
      <c r="AA423" s="7"/>
      <c r="AB423" s="7"/>
      <c r="AC423" s="7"/>
    </row>
    <row r="424" spans="1:29" ht="36" hidden="1" customHeight="1">
      <c r="A424" s="19">
        <v>61.5</v>
      </c>
      <c r="B424" s="1"/>
      <c r="U424" s="95"/>
      <c r="V424" s="673"/>
      <c r="W424" s="14"/>
      <c r="X424" s="7"/>
      <c r="Y424" s="7"/>
      <c r="Z424" s="7"/>
      <c r="AA424" s="7"/>
      <c r="AB424" s="7"/>
      <c r="AC424" s="7"/>
    </row>
    <row r="425" spans="1:29" ht="25.5" hidden="1">
      <c r="A425" s="19">
        <v>61.6</v>
      </c>
      <c r="B425" s="1"/>
      <c r="U425" s="95"/>
      <c r="V425" s="673"/>
      <c r="W425" s="14"/>
      <c r="X425" s="7"/>
      <c r="Y425" s="7"/>
      <c r="Z425" s="7"/>
      <c r="AA425" s="7"/>
      <c r="AB425" s="7"/>
      <c r="AC425" s="7"/>
    </row>
    <row r="426" spans="1:29" ht="31.5" hidden="1" customHeight="1">
      <c r="A426" s="19">
        <v>61.7</v>
      </c>
      <c r="B426" s="1"/>
      <c r="U426" s="95"/>
      <c r="V426" s="673"/>
      <c r="W426" s="14"/>
      <c r="X426" s="7"/>
      <c r="Y426" s="7"/>
      <c r="Z426" s="7"/>
      <c r="AA426" s="7"/>
      <c r="AB426" s="7"/>
      <c r="AC426" s="7"/>
    </row>
    <row r="427" spans="1:29" ht="30" hidden="1" customHeight="1">
      <c r="A427" s="19">
        <v>61.8</v>
      </c>
      <c r="B427" s="1"/>
      <c r="U427" s="95"/>
      <c r="V427" s="673"/>
      <c r="W427" s="14"/>
      <c r="X427" s="7"/>
      <c r="Y427" s="7"/>
      <c r="Z427" s="7"/>
      <c r="AA427" s="7"/>
      <c r="AB427" s="7"/>
      <c r="AC427" s="7"/>
    </row>
    <row r="428" spans="1:29" ht="25.5" hidden="1">
      <c r="A428" s="19">
        <v>61.9</v>
      </c>
      <c r="B428" s="1"/>
      <c r="U428" s="95"/>
      <c r="V428" s="673"/>
      <c r="W428" s="14"/>
      <c r="X428" s="7"/>
      <c r="Y428" s="7"/>
      <c r="Z428" s="7"/>
      <c r="AA428" s="7"/>
      <c r="AB428" s="7"/>
      <c r="AC428" s="7"/>
    </row>
    <row r="429" spans="1:29" s="234" customFormat="1" ht="28.5" hidden="1" customHeight="1">
      <c r="A429" s="233">
        <v>61.1</v>
      </c>
      <c r="U429" s="235"/>
      <c r="V429" s="235"/>
      <c r="W429" s="14"/>
      <c r="X429" s="236"/>
      <c r="Y429" s="236"/>
      <c r="Z429" s="236"/>
      <c r="AA429" s="236"/>
      <c r="AB429" s="236"/>
      <c r="AC429" s="236"/>
    </row>
    <row r="430" spans="1:29" ht="28.5" hidden="1" customHeight="1">
      <c r="A430" s="19">
        <v>61.11</v>
      </c>
      <c r="B430" s="1"/>
      <c r="U430" s="95"/>
      <c r="V430" s="673"/>
      <c r="W430" s="14"/>
      <c r="X430" s="7"/>
      <c r="Y430" s="7"/>
      <c r="Z430" s="7"/>
      <c r="AA430" s="7"/>
      <c r="AB430" s="7"/>
      <c r="AC430" s="7"/>
    </row>
    <row r="431" spans="1:29" ht="25.5" hidden="1">
      <c r="A431" s="19">
        <v>61.12</v>
      </c>
      <c r="B431" s="1"/>
      <c r="U431" s="95"/>
      <c r="V431" s="673"/>
      <c r="W431" s="14"/>
      <c r="X431" s="7"/>
      <c r="Y431" s="7"/>
      <c r="Z431" s="7"/>
      <c r="AA431" s="7"/>
      <c r="AB431" s="7"/>
      <c r="AC431" s="7"/>
    </row>
    <row r="432" spans="1:29" ht="30" hidden="1" customHeight="1">
      <c r="A432" s="19">
        <v>61.13</v>
      </c>
      <c r="B432" s="1"/>
      <c r="U432" s="95"/>
      <c r="V432" s="673"/>
      <c r="W432" s="14"/>
      <c r="X432" s="7"/>
      <c r="Y432" s="7"/>
      <c r="Z432" s="7"/>
      <c r="AA432" s="7"/>
      <c r="AB432" s="7"/>
      <c r="AC432" s="7"/>
    </row>
    <row r="433" spans="1:29" ht="28.5" hidden="1" customHeight="1">
      <c r="A433" s="19">
        <v>61.14</v>
      </c>
      <c r="B433" s="1"/>
      <c r="U433" s="95"/>
      <c r="V433" s="673"/>
      <c r="W433" s="14"/>
      <c r="X433" s="7"/>
      <c r="Y433" s="7"/>
      <c r="Z433" s="7"/>
      <c r="AA433" s="7"/>
      <c r="AB433" s="7"/>
      <c r="AC433" s="7"/>
    </row>
    <row r="434" spans="1:29" ht="27" hidden="1" customHeight="1">
      <c r="A434" s="19">
        <v>61.15</v>
      </c>
      <c r="B434" s="1"/>
      <c r="U434" s="95"/>
      <c r="V434" s="673"/>
      <c r="W434" s="14"/>
      <c r="X434" s="7"/>
      <c r="Y434" s="7"/>
      <c r="Z434" s="7"/>
      <c r="AA434" s="7"/>
      <c r="AB434" s="7"/>
      <c r="AC434" s="7"/>
    </row>
    <row r="435" spans="1:29" ht="25.5" hidden="1">
      <c r="A435" s="19">
        <v>61.16</v>
      </c>
      <c r="B435" s="148"/>
      <c r="C435" s="91"/>
      <c r="D435" s="91"/>
      <c r="E435" s="91"/>
      <c r="F435" s="91"/>
      <c r="G435" s="91"/>
      <c r="H435" s="91"/>
      <c r="I435" s="91"/>
      <c r="J435" s="22"/>
      <c r="K435" s="22"/>
      <c r="L435" s="22"/>
      <c r="M435" s="22"/>
      <c r="N435" s="22"/>
      <c r="O435" s="91"/>
      <c r="P435" s="91"/>
      <c r="Q435" s="149"/>
      <c r="R435" s="200"/>
      <c r="S435" s="91"/>
      <c r="T435" s="91">
        <f>P435-O435</f>
        <v>0</v>
      </c>
      <c r="U435" s="95"/>
      <c r="V435" s="673"/>
      <c r="W435" s="14"/>
      <c r="X435" s="7"/>
      <c r="Y435" s="7"/>
      <c r="Z435" s="7"/>
      <c r="AA435" s="7"/>
      <c r="AB435" s="7"/>
      <c r="AC435" s="7"/>
    </row>
    <row r="436" spans="1:29" ht="28.5" hidden="1" customHeight="1">
      <c r="A436" s="19">
        <v>62</v>
      </c>
      <c r="B436" s="1"/>
      <c r="U436" s="95"/>
      <c r="V436" s="673"/>
      <c r="W436" s="14"/>
      <c r="X436" s="7"/>
      <c r="Y436" s="7"/>
      <c r="Z436" s="7"/>
      <c r="AA436" s="7"/>
      <c r="AB436" s="7"/>
      <c r="AC436" s="7"/>
    </row>
    <row r="437" spans="1:29" ht="25.5" hidden="1">
      <c r="A437" s="19">
        <v>63</v>
      </c>
      <c r="B437" s="148"/>
      <c r="C437" s="91"/>
      <c r="D437" s="91"/>
      <c r="E437" s="91"/>
      <c r="F437" s="91"/>
      <c r="G437" s="91"/>
      <c r="H437" s="91"/>
      <c r="I437" s="91"/>
      <c r="J437" s="22"/>
      <c r="K437" s="22"/>
      <c r="L437" s="22"/>
      <c r="M437" s="22"/>
      <c r="N437" s="22"/>
      <c r="O437" s="91"/>
      <c r="P437" s="91"/>
      <c r="Q437" s="22"/>
      <c r="R437" s="142"/>
      <c r="S437" s="91"/>
      <c r="T437" s="91">
        <f>(P437-O437)*S437</f>
        <v>0</v>
      </c>
      <c r="U437" s="95"/>
      <c r="V437" s="673"/>
      <c r="W437" s="14"/>
      <c r="X437" s="7"/>
      <c r="Y437" s="7"/>
      <c r="Z437" s="7"/>
      <c r="AA437" s="7"/>
      <c r="AB437" s="7"/>
      <c r="AC437" s="7"/>
    </row>
    <row r="438" spans="1:29" ht="27.75" hidden="1" customHeight="1">
      <c r="A438" s="19">
        <v>64</v>
      </c>
      <c r="U438" s="95"/>
      <c r="V438" s="673"/>
      <c r="W438" s="14"/>
      <c r="X438" s="7"/>
      <c r="Y438" s="7"/>
      <c r="Z438" s="7"/>
      <c r="AA438" s="7"/>
      <c r="AB438" s="7"/>
      <c r="AC438" s="7"/>
    </row>
    <row r="439" spans="1:29" ht="28.5" hidden="1" customHeight="1">
      <c r="A439" s="19">
        <v>65</v>
      </c>
      <c r="B439" s="148"/>
      <c r="C439" s="91"/>
      <c r="D439" s="91"/>
      <c r="E439" s="91"/>
      <c r="F439" s="91"/>
      <c r="G439" s="91"/>
      <c r="H439" s="91"/>
      <c r="I439" s="91"/>
      <c r="J439" s="22"/>
      <c r="K439" s="22"/>
      <c r="L439" s="22"/>
      <c r="M439" s="22"/>
      <c r="N439" s="22"/>
      <c r="O439" s="91"/>
      <c r="P439" s="91"/>
      <c r="Q439" s="22"/>
      <c r="R439" s="142"/>
      <c r="S439" s="91"/>
      <c r="T439" s="91"/>
      <c r="U439" s="95"/>
      <c r="V439" s="673"/>
      <c r="W439" s="14"/>
      <c r="X439" s="7"/>
      <c r="Y439" s="7"/>
      <c r="Z439" s="7"/>
      <c r="AA439" s="7"/>
      <c r="AB439" s="7"/>
      <c r="AC439" s="7"/>
    </row>
    <row r="440" spans="1:29" ht="31.5" hidden="1" customHeight="1">
      <c r="A440" s="19">
        <v>66</v>
      </c>
      <c r="U440" s="95"/>
      <c r="V440" s="673"/>
      <c r="W440" s="14" t="s">
        <v>487</v>
      </c>
      <c r="X440" s="7"/>
      <c r="Y440" s="7"/>
      <c r="Z440" s="7"/>
      <c r="AA440" s="7"/>
      <c r="AB440" s="7"/>
      <c r="AC440" s="7"/>
    </row>
    <row r="441" spans="1:29" ht="25.5" hidden="1">
      <c r="A441" s="19">
        <v>68</v>
      </c>
      <c r="U441" s="95"/>
      <c r="V441" s="673"/>
      <c r="W441" s="14"/>
      <c r="X441" s="7"/>
      <c r="Y441" s="7"/>
      <c r="Z441" s="149"/>
      <c r="AA441" s="149"/>
      <c r="AB441" s="149"/>
      <c r="AC441" s="149"/>
    </row>
    <row r="442" spans="1:29" ht="27.75" hidden="1" customHeight="1">
      <c r="A442" s="19">
        <v>70</v>
      </c>
      <c r="B442" s="1"/>
      <c r="U442" s="95"/>
      <c r="V442" s="673"/>
      <c r="W442" s="14"/>
      <c r="X442" s="7"/>
      <c r="Y442" s="7"/>
      <c r="Z442" s="149"/>
      <c r="AA442" s="149"/>
      <c r="AB442" s="149"/>
      <c r="AC442" s="149"/>
    </row>
    <row r="443" spans="1:29" ht="25.5" hidden="1">
      <c r="A443" s="19">
        <v>71</v>
      </c>
      <c r="U443" s="95"/>
      <c r="V443" s="673"/>
      <c r="W443" s="14"/>
      <c r="X443" s="7"/>
      <c r="Y443" s="7"/>
      <c r="Z443" s="149"/>
      <c r="AA443" s="149"/>
      <c r="AB443" s="149"/>
      <c r="AC443" s="149"/>
    </row>
    <row r="444" spans="1:29" ht="44.25" hidden="1" customHeight="1">
      <c r="A444" s="19">
        <v>72</v>
      </c>
      <c r="B444" s="1"/>
      <c r="U444" s="1"/>
      <c r="V444" s="1"/>
      <c r="W444" s="14">
        <v>16390</v>
      </c>
      <c r="X444" s="7"/>
      <c r="Y444" s="7"/>
      <c r="Z444" s="7"/>
      <c r="AA444" s="7"/>
      <c r="AB444" s="7"/>
      <c r="AC444" s="7"/>
    </row>
    <row r="445" spans="1:29" ht="25.5" hidden="1">
      <c r="A445" s="19">
        <v>73</v>
      </c>
      <c r="B445" s="1"/>
      <c r="U445" s="1"/>
      <c r="V445" s="1"/>
      <c r="W445" s="14">
        <v>19235</v>
      </c>
      <c r="X445" s="7"/>
      <c r="Y445" s="7"/>
      <c r="Z445" s="7"/>
      <c r="AA445" s="7"/>
      <c r="AB445" s="7"/>
      <c r="AC445" s="7"/>
    </row>
    <row r="446" spans="1:29" ht="25.5" hidden="1">
      <c r="A446" s="19">
        <v>74</v>
      </c>
      <c r="W446" s="14" t="s">
        <v>488</v>
      </c>
      <c r="X446" s="7"/>
      <c r="Y446" s="7"/>
      <c r="Z446" s="7"/>
      <c r="AA446" s="7"/>
      <c r="AB446" s="7"/>
      <c r="AC446" s="7"/>
    </row>
    <row r="447" spans="1:29" ht="28.5" hidden="1" customHeight="1">
      <c r="A447" s="19">
        <v>75</v>
      </c>
      <c r="B447" s="1"/>
      <c r="U447" s="1"/>
      <c r="V447" s="1"/>
      <c r="W447" s="14"/>
      <c r="X447" s="7"/>
      <c r="Y447" s="7"/>
      <c r="Z447" s="7"/>
      <c r="AA447" s="7"/>
      <c r="AB447" s="7"/>
      <c r="AC447" s="7"/>
    </row>
    <row r="448" spans="1:29" ht="22.5" hidden="1" customHeight="1">
      <c r="A448" s="19">
        <v>76</v>
      </c>
      <c r="U448" s="95"/>
      <c r="V448" s="673"/>
      <c r="W448" s="134">
        <v>590000</v>
      </c>
      <c r="X448" s="149"/>
      <c r="Y448" s="149"/>
      <c r="Z448" s="7"/>
      <c r="AA448" s="7"/>
      <c r="AB448" s="7"/>
      <c r="AC448" s="7"/>
    </row>
    <row r="449" spans="1:29" ht="34.5" hidden="1" customHeight="1">
      <c r="A449" s="19">
        <v>77</v>
      </c>
      <c r="U449" s="95"/>
      <c r="V449" s="673"/>
      <c r="W449" s="134"/>
      <c r="X449" s="149"/>
      <c r="Y449" s="149"/>
      <c r="Z449" s="7"/>
      <c r="AA449" s="7"/>
      <c r="AB449" s="7"/>
      <c r="AC449" s="7"/>
    </row>
    <row r="450" spans="1:29" ht="30" hidden="1" customHeight="1">
      <c r="A450" s="19">
        <v>78</v>
      </c>
      <c r="U450" s="95"/>
      <c r="V450" s="673"/>
      <c r="W450" s="134">
        <v>201022</v>
      </c>
      <c r="X450" s="149"/>
      <c r="Y450" s="149"/>
      <c r="Z450" s="7"/>
      <c r="AA450" s="7"/>
      <c r="AB450" s="7"/>
      <c r="AC450" s="7"/>
    </row>
    <row r="451" spans="1:29" ht="25.5" hidden="1" customHeight="1">
      <c r="A451" s="19">
        <v>79</v>
      </c>
      <c r="U451" s="95"/>
      <c r="V451" s="673"/>
      <c r="W451" s="14"/>
      <c r="X451" s="7"/>
      <c r="Y451" s="7"/>
      <c r="Z451" s="7"/>
      <c r="AA451" s="7"/>
      <c r="AB451" s="7"/>
      <c r="AC451" s="7"/>
    </row>
    <row r="452" spans="1:29" ht="33" hidden="1" customHeight="1">
      <c r="A452" s="19">
        <v>80</v>
      </c>
      <c r="B452" s="148"/>
      <c r="C452" s="91"/>
      <c r="D452" s="91"/>
      <c r="E452" s="91"/>
      <c r="F452" s="91"/>
      <c r="G452" s="91"/>
      <c r="H452" s="91"/>
      <c r="I452" s="91"/>
      <c r="J452" s="22"/>
      <c r="K452" s="22"/>
      <c r="L452" s="22"/>
      <c r="M452" s="22"/>
      <c r="N452" s="22"/>
      <c r="O452" s="91"/>
      <c r="P452" s="91"/>
      <c r="Q452" s="22"/>
      <c r="R452" s="142"/>
      <c r="S452" s="91"/>
      <c r="T452" s="91">
        <f>(P452-O452)*S452</f>
        <v>0</v>
      </c>
      <c r="U452" s="95"/>
      <c r="V452" s="673"/>
      <c r="W452" s="14"/>
      <c r="X452" s="7"/>
      <c r="Y452" s="7"/>
      <c r="Z452" s="7"/>
      <c r="AA452" s="7"/>
      <c r="AB452" s="7"/>
      <c r="AC452" s="7"/>
    </row>
    <row r="453" spans="1:29" ht="24.75" hidden="1" customHeight="1">
      <c r="A453" s="19">
        <v>81</v>
      </c>
      <c r="U453" s="95"/>
      <c r="V453" s="673"/>
      <c r="W453" s="14"/>
      <c r="X453" s="7"/>
      <c r="Y453" s="7"/>
      <c r="Z453" s="7"/>
      <c r="AA453" s="7"/>
      <c r="AB453" s="7"/>
      <c r="AC453" s="7"/>
    </row>
    <row r="454" spans="1:29" ht="26.25" hidden="1">
      <c r="A454" s="231">
        <v>82</v>
      </c>
      <c r="U454" s="95"/>
      <c r="V454" s="673"/>
      <c r="W454" s="14" t="s">
        <v>489</v>
      </c>
      <c r="X454" s="7"/>
      <c r="Y454" s="7"/>
      <c r="Z454" s="7"/>
      <c r="AA454" s="7"/>
      <c r="AB454" s="7"/>
      <c r="AC454" s="7"/>
    </row>
    <row r="455" spans="1:29" ht="26.25" hidden="1">
      <c r="A455" s="231"/>
      <c r="U455" s="95"/>
      <c r="V455" s="673"/>
      <c r="W455" s="14"/>
      <c r="X455" s="7"/>
      <c r="Y455" s="7"/>
      <c r="Z455" s="7"/>
      <c r="AA455" s="7"/>
      <c r="AB455" s="7"/>
      <c r="AC455" s="7"/>
    </row>
    <row r="456" spans="1:29" ht="26.25" hidden="1">
      <c r="A456" s="231"/>
      <c r="U456" s="95"/>
      <c r="V456" s="673"/>
      <c r="W456" s="14"/>
      <c r="X456" s="7"/>
      <c r="Y456" s="7"/>
      <c r="Z456" s="7"/>
      <c r="AA456" s="7"/>
      <c r="AB456" s="7"/>
      <c r="AC456" s="7"/>
    </row>
    <row r="457" spans="1:29" ht="26.25" hidden="1">
      <c r="A457" s="237">
        <v>83</v>
      </c>
      <c r="B457" s="1"/>
      <c r="U457" s="1"/>
      <c r="V457" s="1"/>
      <c r="W457" s="14"/>
      <c r="X457" s="7" t="s">
        <v>490</v>
      </c>
      <c r="Y457" s="7"/>
      <c r="Z457" s="7"/>
      <c r="AA457" s="7"/>
      <c r="AB457" s="7"/>
      <c r="AC457" s="7"/>
    </row>
    <row r="458" spans="1:29" ht="26.25" hidden="1">
      <c r="A458" s="231"/>
      <c r="B458" s="1"/>
      <c r="U458" s="1"/>
      <c r="V458" s="1"/>
      <c r="W458" s="14"/>
      <c r="X458" s="7"/>
      <c r="Y458" s="7"/>
      <c r="Z458" s="7"/>
      <c r="AA458" s="7"/>
      <c r="AB458" s="7"/>
      <c r="AC458" s="7"/>
    </row>
    <row r="459" spans="1:29" ht="31.5" hidden="1" customHeight="1">
      <c r="A459" s="19">
        <v>84</v>
      </c>
      <c r="U459" s="95"/>
      <c r="V459" s="673"/>
      <c r="W459" s="14"/>
      <c r="X459" s="7"/>
      <c r="Y459" s="7"/>
      <c r="Z459" s="7"/>
      <c r="AA459" s="7"/>
      <c r="AB459" s="7"/>
      <c r="AC459" s="7"/>
    </row>
    <row r="460" spans="1:29" ht="25.5" hidden="1">
      <c r="A460" s="19">
        <v>85</v>
      </c>
      <c r="B460" s="1"/>
      <c r="U460" s="1"/>
      <c r="V460" s="1"/>
      <c r="W460" s="14" t="s">
        <v>491</v>
      </c>
      <c r="X460" s="7"/>
      <c r="Y460" s="7"/>
      <c r="Z460" s="7"/>
      <c r="AA460" s="7"/>
      <c r="AB460" s="7"/>
      <c r="AC460" s="7"/>
    </row>
    <row r="461" spans="1:29" ht="26.25" hidden="1" customHeight="1">
      <c r="A461" s="19">
        <v>86</v>
      </c>
      <c r="U461" s="95"/>
      <c r="V461" s="673"/>
      <c r="W461" s="14" t="s">
        <v>492</v>
      </c>
      <c r="X461" s="7"/>
      <c r="Y461" s="7"/>
      <c r="Z461" s="7"/>
      <c r="AA461" s="7"/>
      <c r="AB461" s="7"/>
      <c r="AC461" s="7"/>
    </row>
    <row r="462" spans="1:29" ht="30" hidden="1" customHeight="1">
      <c r="A462" s="19">
        <v>87</v>
      </c>
      <c r="U462" s="95"/>
      <c r="V462" s="673"/>
      <c r="W462" s="14" t="s">
        <v>492</v>
      </c>
      <c r="X462" s="7"/>
      <c r="Y462" s="7"/>
      <c r="Z462" s="7"/>
      <c r="AA462" s="7"/>
      <c r="AB462" s="7"/>
      <c r="AC462" s="7"/>
    </row>
    <row r="463" spans="1:29" ht="26.25" hidden="1" customHeight="1">
      <c r="A463" s="19">
        <v>88</v>
      </c>
      <c r="B463" s="1"/>
      <c r="U463" s="1"/>
      <c r="V463" s="1"/>
      <c r="W463" s="14" t="s">
        <v>493</v>
      </c>
      <c r="X463" s="7"/>
      <c r="Y463" s="7"/>
      <c r="Z463" s="7"/>
      <c r="AA463" s="7"/>
      <c r="AB463" s="7"/>
      <c r="AC463" s="7"/>
    </row>
    <row r="464" spans="1:29" ht="26.25" hidden="1">
      <c r="A464" s="135">
        <v>89</v>
      </c>
      <c r="B464" s="1"/>
      <c r="U464" s="1"/>
      <c r="V464" s="1"/>
      <c r="W464" s="14"/>
      <c r="X464" s="7"/>
      <c r="Y464" s="7"/>
      <c r="Z464" s="7"/>
      <c r="AA464" s="7"/>
      <c r="AB464" s="7"/>
      <c r="AC464" s="7"/>
    </row>
    <row r="465" spans="1:29" ht="76.5" hidden="1">
      <c r="A465" s="19" t="s">
        <v>494</v>
      </c>
      <c r="B465" s="1"/>
      <c r="U465" s="1"/>
      <c r="V465" s="1"/>
      <c r="W465" s="14"/>
      <c r="X465" s="7"/>
      <c r="Y465" s="7"/>
      <c r="Z465" s="7"/>
      <c r="AA465" s="7"/>
      <c r="AB465" s="7"/>
      <c r="AC465" s="7"/>
    </row>
    <row r="466" spans="1:29" ht="25.5" hidden="1">
      <c r="A466" s="19">
        <v>90</v>
      </c>
      <c r="B466" s="1"/>
      <c r="U466" s="1"/>
      <c r="V466" s="1"/>
      <c r="W466" s="14"/>
      <c r="X466" s="7"/>
      <c r="Y466" s="7"/>
      <c r="Z466" s="7"/>
      <c r="AA466" s="7"/>
      <c r="AB466" s="7"/>
      <c r="AC466" s="7"/>
    </row>
    <row r="467" spans="1:29" ht="11.25" hidden="1" customHeight="1">
      <c r="A467" s="19">
        <v>91</v>
      </c>
      <c r="U467" s="95"/>
      <c r="V467" s="673"/>
      <c r="W467" s="14"/>
      <c r="X467" s="7"/>
      <c r="Y467" s="7"/>
      <c r="Z467" s="7"/>
      <c r="AA467" s="7"/>
      <c r="AB467" s="7"/>
      <c r="AC467" s="7"/>
    </row>
    <row r="468" spans="1:29" ht="54" hidden="1" customHeight="1">
      <c r="A468" s="19">
        <v>92</v>
      </c>
      <c r="B468" s="1"/>
      <c r="U468" s="95"/>
      <c r="V468" s="673"/>
      <c r="W468" s="14"/>
      <c r="X468" s="7"/>
      <c r="Y468" s="7"/>
      <c r="Z468" s="7"/>
      <c r="AA468" s="7"/>
      <c r="AB468" s="7"/>
      <c r="AC468" s="7"/>
    </row>
    <row r="469" spans="1:29" ht="30.75" hidden="1" customHeight="1">
      <c r="A469" s="19">
        <v>93</v>
      </c>
      <c r="B469" s="1"/>
      <c r="U469" s="95"/>
      <c r="V469" s="673"/>
      <c r="W469" s="14"/>
      <c r="X469" s="7"/>
      <c r="Y469" s="7"/>
      <c r="Z469" s="7"/>
      <c r="AA469" s="7"/>
      <c r="AB469" s="7"/>
      <c r="AC469" s="7"/>
    </row>
    <row r="470" spans="1:29" ht="57" hidden="1" customHeight="1">
      <c r="A470" s="19">
        <v>94</v>
      </c>
      <c r="B470" s="1"/>
      <c r="U470" s="95"/>
      <c r="V470" s="673"/>
      <c r="W470" s="14"/>
      <c r="X470" s="7"/>
      <c r="Y470" s="7"/>
      <c r="Z470" s="7"/>
      <c r="AA470" s="7"/>
      <c r="AB470" s="7"/>
      <c r="AC470" s="7"/>
    </row>
    <row r="471" spans="1:29" ht="28.5" hidden="1" customHeight="1">
      <c r="A471" s="19">
        <v>95</v>
      </c>
      <c r="B471" s="1"/>
      <c r="U471" s="95"/>
      <c r="V471" s="673"/>
      <c r="W471" s="14"/>
      <c r="X471" s="7"/>
      <c r="Y471" s="7"/>
      <c r="Z471" s="7"/>
      <c r="AA471" s="7"/>
      <c r="AB471" s="7"/>
      <c r="AC471" s="7"/>
    </row>
    <row r="472" spans="1:29" ht="30.75" hidden="1" customHeight="1">
      <c r="A472" s="19">
        <v>96</v>
      </c>
      <c r="B472" s="1"/>
      <c r="U472" s="95"/>
      <c r="V472" s="673"/>
      <c r="W472" s="14"/>
      <c r="X472" s="7"/>
      <c r="Y472" s="7"/>
      <c r="Z472" s="7"/>
      <c r="AA472" s="7"/>
      <c r="AB472" s="7"/>
      <c r="AC472" s="7"/>
    </row>
    <row r="473" spans="1:29" ht="30" hidden="1" customHeight="1">
      <c r="A473" s="19">
        <v>97</v>
      </c>
      <c r="B473" s="1"/>
      <c r="U473" s="95"/>
      <c r="V473" s="673"/>
      <c r="W473" s="14"/>
      <c r="X473" s="7"/>
      <c r="Y473" s="7"/>
      <c r="Z473" s="7"/>
      <c r="AA473" s="7"/>
      <c r="AB473" s="7"/>
      <c r="AC473" s="7"/>
    </row>
    <row r="474" spans="1:29" ht="27.75" hidden="1" customHeight="1">
      <c r="A474" s="19">
        <v>98</v>
      </c>
      <c r="U474" s="95"/>
      <c r="V474" s="673"/>
      <c r="W474" s="14"/>
      <c r="X474" s="7"/>
      <c r="Y474" s="7"/>
      <c r="Z474" s="7"/>
      <c r="AA474" s="7"/>
      <c r="AB474" s="7"/>
      <c r="AC474" s="7"/>
    </row>
    <row r="475" spans="1:29" ht="25.5" hidden="1">
      <c r="A475" s="19">
        <v>99</v>
      </c>
      <c r="U475" s="95"/>
      <c r="V475" s="673"/>
      <c r="W475" s="14"/>
      <c r="X475" s="7"/>
      <c r="Y475" s="7"/>
      <c r="Z475" s="7"/>
      <c r="AA475" s="7"/>
      <c r="AB475" s="7"/>
      <c r="AC475" s="7"/>
    </row>
    <row r="476" spans="1:29" ht="25.5" hidden="1">
      <c r="A476" s="19">
        <v>100</v>
      </c>
      <c r="B476" s="148"/>
      <c r="C476" s="91"/>
      <c r="D476" s="91"/>
      <c r="E476" s="91"/>
      <c r="F476" s="91"/>
      <c r="G476" s="91"/>
      <c r="H476" s="91"/>
      <c r="I476" s="91"/>
      <c r="J476" s="22"/>
      <c r="K476" s="22"/>
      <c r="L476" s="22"/>
      <c r="M476" s="22"/>
      <c r="N476" s="22"/>
      <c r="O476" s="91"/>
      <c r="P476" s="91"/>
      <c r="Q476" s="7"/>
      <c r="R476" s="200"/>
      <c r="S476" s="151"/>
      <c r="T476" s="91">
        <f>(P476-O476)*S476</f>
        <v>0</v>
      </c>
      <c r="U476" s="95"/>
      <c r="V476" s="673"/>
      <c r="W476" s="14"/>
      <c r="X476" s="7"/>
      <c r="Y476" s="7"/>
      <c r="Z476" s="7"/>
      <c r="AA476" s="7"/>
      <c r="AB476" s="7"/>
      <c r="AC476" s="7"/>
    </row>
    <row r="477" spans="1:29" ht="28.5" hidden="1" customHeight="1">
      <c r="A477" s="19">
        <v>101</v>
      </c>
      <c r="U477" s="95"/>
      <c r="V477" s="673"/>
      <c r="W477" s="14"/>
      <c r="X477" s="7"/>
      <c r="Y477" s="7"/>
      <c r="Z477" s="7"/>
      <c r="AA477" s="7"/>
      <c r="AB477" s="7"/>
      <c r="AC477" s="7"/>
    </row>
    <row r="478" spans="1:29" ht="26.25" hidden="1" customHeight="1">
      <c r="A478" s="19">
        <v>102</v>
      </c>
      <c r="U478" s="95"/>
      <c r="V478" s="673"/>
      <c r="W478" s="14">
        <v>752.1</v>
      </c>
      <c r="X478" s="238">
        <v>809.71</v>
      </c>
      <c r="Y478" s="7"/>
      <c r="Z478" s="149"/>
      <c r="AA478" s="149"/>
      <c r="AB478" s="149"/>
      <c r="AC478" s="149"/>
    </row>
    <row r="479" spans="1:29" ht="27.75" hidden="1" customHeight="1">
      <c r="A479" s="19" t="s">
        <v>495</v>
      </c>
      <c r="U479" s="95"/>
      <c r="V479" s="673"/>
      <c r="W479" s="14"/>
      <c r="X479" s="7"/>
      <c r="Y479" s="7"/>
      <c r="Z479" s="149"/>
      <c r="AA479" s="149"/>
      <c r="AB479" s="149"/>
      <c r="AC479" s="149"/>
    </row>
    <row r="480" spans="1:29" ht="31.5" hidden="1" customHeight="1">
      <c r="A480" s="19" t="s">
        <v>496</v>
      </c>
      <c r="U480" s="95"/>
      <c r="V480" s="673"/>
      <c r="W480" s="14"/>
      <c r="X480" s="7"/>
      <c r="Y480" s="7"/>
      <c r="Z480" s="7"/>
      <c r="AA480" s="7"/>
      <c r="AB480" s="7"/>
      <c r="AC480" s="7"/>
    </row>
    <row r="481" spans="1:29" ht="27.75" hidden="1" customHeight="1">
      <c r="A481" s="19">
        <v>103</v>
      </c>
      <c r="U481" s="95"/>
      <c r="V481" s="673"/>
      <c r="W481" s="14"/>
      <c r="X481" s="7"/>
      <c r="Y481" s="7"/>
      <c r="Z481" s="7"/>
      <c r="AA481" s="7"/>
      <c r="AB481" s="7"/>
      <c r="AC481" s="7"/>
    </row>
    <row r="482" spans="1:29" ht="30" hidden="1" customHeight="1">
      <c r="A482" s="19">
        <v>104</v>
      </c>
      <c r="U482" s="95"/>
      <c r="V482" s="673"/>
      <c r="W482" s="14"/>
      <c r="X482" s="7"/>
      <c r="Y482" s="7"/>
      <c r="Z482" s="7"/>
      <c r="AA482" s="7"/>
      <c r="AB482" s="7"/>
      <c r="AC482" s="7"/>
    </row>
    <row r="483" spans="1:29" ht="102" hidden="1">
      <c r="A483" s="19" t="s">
        <v>497</v>
      </c>
      <c r="B483" s="148"/>
      <c r="C483" s="199"/>
      <c r="D483" s="91"/>
      <c r="E483" s="91"/>
      <c r="F483" s="91"/>
      <c r="G483" s="91"/>
      <c r="H483" s="91"/>
      <c r="I483" s="91"/>
      <c r="J483" s="22"/>
      <c r="K483" s="22"/>
      <c r="L483" s="22"/>
      <c r="M483" s="22"/>
      <c r="N483" s="22"/>
      <c r="O483" s="91"/>
      <c r="P483" s="91"/>
      <c r="Q483" s="7"/>
      <c r="R483" s="200"/>
      <c r="S483" s="151"/>
      <c r="T483" s="91"/>
      <c r="U483" s="95"/>
      <c r="V483" s="673"/>
      <c r="W483" s="14"/>
      <c r="X483" s="7"/>
      <c r="Y483" s="7"/>
      <c r="Z483" s="7"/>
      <c r="AA483" s="7"/>
      <c r="AB483" s="7"/>
      <c r="AC483" s="7"/>
    </row>
    <row r="484" spans="1:29" ht="26.25" hidden="1">
      <c r="A484" s="231">
        <v>105</v>
      </c>
      <c r="B484" s="1"/>
      <c r="U484" s="1"/>
      <c r="V484" s="1"/>
      <c r="W484" s="14" t="s">
        <v>498</v>
      </c>
      <c r="X484" s="7">
        <v>6652</v>
      </c>
      <c r="Y484" s="7">
        <v>11490</v>
      </c>
      <c r="Z484" s="7"/>
      <c r="AA484" s="7"/>
      <c r="AB484" s="7"/>
      <c r="AC484" s="7"/>
    </row>
    <row r="485" spans="1:29" ht="25.5" hidden="1" customHeight="1">
      <c r="A485" s="19">
        <v>107</v>
      </c>
      <c r="B485" s="1"/>
      <c r="U485" s="1"/>
      <c r="V485" s="1"/>
      <c r="W485" s="134"/>
      <c r="X485" s="149"/>
      <c r="Y485" s="149"/>
      <c r="Z485" s="7"/>
      <c r="AA485" s="7"/>
      <c r="AB485" s="7"/>
      <c r="AC485" s="7"/>
    </row>
    <row r="486" spans="1:29" ht="27" hidden="1" customHeight="1">
      <c r="A486" s="19" t="s">
        <v>499</v>
      </c>
      <c r="B486" s="1"/>
      <c r="U486" s="1"/>
      <c r="V486" s="1"/>
      <c r="W486" s="134"/>
      <c r="X486" s="149"/>
      <c r="Y486" s="149"/>
      <c r="Z486" s="7"/>
      <c r="AA486" s="7"/>
      <c r="AB486" s="7"/>
      <c r="AC486" s="7"/>
    </row>
    <row r="487" spans="1:29" ht="28.5" hidden="1" customHeight="1">
      <c r="A487" s="19">
        <v>108</v>
      </c>
      <c r="B487" s="1"/>
      <c r="U487" s="1"/>
      <c r="V487" s="1"/>
      <c r="W487" s="14"/>
      <c r="X487" s="7"/>
      <c r="Y487" s="7"/>
      <c r="Z487" s="7"/>
      <c r="AA487" s="7"/>
      <c r="AB487" s="7"/>
      <c r="AC487" s="7"/>
    </row>
    <row r="488" spans="1:29" ht="25.5" hidden="1" customHeight="1">
      <c r="A488" s="19">
        <v>109</v>
      </c>
      <c r="B488" s="148"/>
      <c r="C488" s="91"/>
      <c r="D488" s="91"/>
      <c r="E488" s="91"/>
      <c r="F488" s="91"/>
      <c r="G488" s="91"/>
      <c r="H488" s="91"/>
      <c r="I488" s="91"/>
      <c r="J488" s="22"/>
      <c r="K488" s="22"/>
      <c r="L488" s="22"/>
      <c r="M488" s="22"/>
      <c r="N488" s="22"/>
      <c r="O488" s="91"/>
      <c r="P488" s="91"/>
      <c r="Q488" s="7"/>
      <c r="R488" s="94"/>
      <c r="S488" s="151"/>
      <c r="T488" s="91"/>
      <c r="U488" s="95"/>
      <c r="V488" s="673"/>
      <c r="W488" s="14"/>
      <c r="X488" s="7"/>
      <c r="Y488" s="7"/>
      <c r="Z488" s="7"/>
      <c r="AA488" s="7"/>
      <c r="AB488" s="7"/>
      <c r="AC488" s="7"/>
    </row>
    <row r="489" spans="1:29" ht="6.75" hidden="1" customHeight="1">
      <c r="A489" s="19">
        <v>110</v>
      </c>
      <c r="B489" s="1"/>
      <c r="U489" s="1"/>
      <c r="V489" s="1"/>
      <c r="W489" s="14"/>
      <c r="X489" s="7"/>
      <c r="Y489" s="7"/>
      <c r="Z489" s="7"/>
      <c r="AA489" s="7"/>
      <c r="AB489" s="7"/>
      <c r="AC489" s="7"/>
    </row>
    <row r="490" spans="1:29" ht="25.5" hidden="1">
      <c r="A490" s="19"/>
      <c r="B490" s="148"/>
      <c r="C490" s="91"/>
      <c r="D490" s="91"/>
      <c r="E490" s="91"/>
      <c r="F490" s="91"/>
      <c r="G490" s="91"/>
      <c r="H490" s="91"/>
      <c r="I490" s="91"/>
      <c r="J490" s="22"/>
      <c r="K490" s="22"/>
      <c r="L490" s="22"/>
      <c r="M490" s="22"/>
      <c r="N490" s="22"/>
      <c r="O490" s="91"/>
      <c r="P490" s="91"/>
      <c r="Q490" s="22"/>
      <c r="R490" s="142"/>
      <c r="S490" s="151"/>
      <c r="T490" s="91"/>
      <c r="U490" s="95"/>
      <c r="V490" s="673"/>
      <c r="W490" s="14"/>
      <c r="X490" s="7"/>
      <c r="Y490" s="7"/>
      <c r="Z490" s="7"/>
      <c r="AA490" s="7"/>
      <c r="AB490" s="7"/>
      <c r="AC490" s="7"/>
    </row>
    <row r="491" spans="1:29" ht="27" hidden="1" customHeight="1">
      <c r="A491" s="231">
        <v>111</v>
      </c>
      <c r="B491" s="1"/>
      <c r="U491" s="1"/>
      <c r="V491" s="1"/>
      <c r="W491" s="14"/>
      <c r="X491" s="7"/>
      <c r="Y491" s="7"/>
      <c r="Z491" s="7"/>
      <c r="AA491" s="7"/>
      <c r="AB491" s="7"/>
      <c r="AC491" s="7"/>
    </row>
    <row r="492" spans="1:29" ht="26.25" hidden="1">
      <c r="A492" s="231"/>
      <c r="B492" s="90"/>
      <c r="C492" s="91"/>
      <c r="D492" s="115"/>
      <c r="E492" s="115"/>
      <c r="F492" s="115"/>
      <c r="G492" s="115"/>
      <c r="H492" s="115"/>
      <c r="I492" s="115"/>
      <c r="J492" s="164"/>
      <c r="K492" s="164"/>
      <c r="L492" s="164"/>
      <c r="M492" s="164"/>
      <c r="N492" s="164"/>
      <c r="O492" s="91"/>
      <c r="P492" s="91"/>
      <c r="Q492" s="22"/>
      <c r="R492" s="142"/>
      <c r="S492" s="151"/>
      <c r="T492" s="91"/>
      <c r="U492" s="95"/>
      <c r="V492" s="673"/>
      <c r="W492" s="14"/>
      <c r="X492" s="7"/>
      <c r="Y492" s="7"/>
      <c r="Z492" s="7"/>
      <c r="AA492" s="7"/>
      <c r="AB492" s="7"/>
      <c r="AC492" s="7"/>
    </row>
    <row r="493" spans="1:29" ht="25.5" hidden="1">
      <c r="A493" s="19">
        <v>112</v>
      </c>
      <c r="B493" s="148"/>
      <c r="C493" s="91"/>
      <c r="D493" s="91"/>
      <c r="E493" s="91"/>
      <c r="F493" s="91"/>
      <c r="G493" s="91"/>
      <c r="H493" s="91"/>
      <c r="I493" s="91"/>
      <c r="J493" s="22"/>
      <c r="K493" s="22"/>
      <c r="L493" s="22"/>
      <c r="M493" s="22"/>
      <c r="N493" s="22"/>
      <c r="O493" s="91"/>
      <c r="P493" s="91"/>
      <c r="Q493" s="22"/>
      <c r="R493" s="142"/>
      <c r="S493" s="151"/>
      <c r="T493" s="91"/>
      <c r="U493" s="95"/>
      <c r="V493" s="673"/>
      <c r="W493" s="14"/>
      <c r="X493" s="7"/>
      <c r="Y493" s="7"/>
      <c r="Z493" s="7"/>
      <c r="AA493" s="7"/>
      <c r="AB493" s="7"/>
      <c r="AC493" s="7"/>
    </row>
    <row r="494" spans="1:29" ht="25.5" hidden="1">
      <c r="A494" s="19">
        <v>113</v>
      </c>
      <c r="B494" s="148"/>
      <c r="C494" s="91"/>
      <c r="D494" s="91"/>
      <c r="E494" s="91"/>
      <c r="F494" s="91"/>
      <c r="G494" s="91"/>
      <c r="H494" s="91"/>
      <c r="I494" s="91"/>
      <c r="J494" s="22"/>
      <c r="K494" s="22"/>
      <c r="L494" s="22"/>
      <c r="M494" s="22"/>
      <c r="N494" s="22"/>
      <c r="O494" s="91"/>
      <c r="P494" s="91"/>
      <c r="Q494" s="149"/>
      <c r="R494" s="161"/>
      <c r="S494" s="151"/>
      <c r="T494" s="91"/>
      <c r="U494" s="95"/>
      <c r="V494" s="673"/>
      <c r="W494" s="14"/>
      <c r="X494" s="7"/>
      <c r="Y494" s="7"/>
      <c r="Z494" s="7"/>
      <c r="AA494" s="7"/>
      <c r="AB494" s="7"/>
      <c r="AC494" s="7"/>
    </row>
    <row r="495" spans="1:29" ht="25.5" hidden="1">
      <c r="A495" s="19">
        <v>114</v>
      </c>
      <c r="B495" s="148"/>
      <c r="C495" s="91"/>
      <c r="D495" s="91"/>
      <c r="E495" s="91"/>
      <c r="F495" s="91"/>
      <c r="G495" s="91"/>
      <c r="H495" s="91"/>
      <c r="I495" s="91"/>
      <c r="J495" s="22"/>
      <c r="K495" s="22"/>
      <c r="L495" s="22"/>
      <c r="M495" s="22"/>
      <c r="N495" s="22"/>
      <c r="O495" s="91"/>
      <c r="P495" s="91"/>
      <c r="Q495" s="149"/>
      <c r="R495" s="161"/>
      <c r="S495" s="151"/>
      <c r="T495" s="91"/>
      <c r="U495" s="95"/>
      <c r="V495" s="673"/>
      <c r="W495" s="14"/>
      <c r="X495" s="7"/>
      <c r="Y495" s="7"/>
      <c r="Z495" s="7"/>
      <c r="AA495" s="7"/>
      <c r="AB495" s="7"/>
      <c r="AC495" s="7"/>
    </row>
    <row r="496" spans="1:29" ht="34.5" hidden="1" customHeight="1">
      <c r="A496" s="19">
        <v>115</v>
      </c>
      <c r="B496" s="1"/>
      <c r="U496" s="1"/>
      <c r="V496" s="1"/>
      <c r="W496" s="14">
        <f>20035+15857+13968</f>
        <v>49860</v>
      </c>
      <c r="X496" s="239">
        <f>27786+1606</f>
        <v>29392</v>
      </c>
      <c r="Y496" s="7"/>
      <c r="Z496" s="7"/>
      <c r="AA496" s="7"/>
      <c r="AB496" s="7"/>
      <c r="AC496" s="7"/>
    </row>
    <row r="497" spans="1:29" ht="25.5" hidden="1">
      <c r="A497" s="19">
        <v>116</v>
      </c>
      <c r="B497" s="148"/>
      <c r="C497" s="91"/>
      <c r="D497" s="91"/>
      <c r="E497" s="91"/>
      <c r="F497" s="91"/>
      <c r="G497" s="91"/>
      <c r="H497" s="91"/>
      <c r="I497" s="91"/>
      <c r="J497" s="22"/>
      <c r="K497" s="22"/>
      <c r="L497" s="22"/>
      <c r="M497" s="22"/>
      <c r="N497" s="22"/>
      <c r="O497" s="91"/>
      <c r="P497" s="91"/>
      <c r="Q497" s="22"/>
      <c r="R497" s="142"/>
      <c r="S497" s="151"/>
      <c r="T497" s="91"/>
      <c r="U497" s="95"/>
      <c r="V497" s="673"/>
      <c r="W497" s="14"/>
      <c r="X497" s="7"/>
      <c r="Y497" s="7"/>
      <c r="Z497" s="7"/>
      <c r="AA497" s="7"/>
      <c r="AB497" s="7"/>
      <c r="AC497" s="7"/>
    </row>
    <row r="498" spans="1:29" ht="25.5" hidden="1">
      <c r="A498" s="19">
        <v>117</v>
      </c>
      <c r="B498" s="1"/>
      <c r="U498" s="1"/>
      <c r="V498" s="1"/>
      <c r="W498" s="14"/>
      <c r="X498" s="7"/>
      <c r="Y498" s="7"/>
      <c r="Z498" s="7"/>
      <c r="AA498" s="7"/>
      <c r="AB498" s="7"/>
      <c r="AC498" s="7"/>
    </row>
    <row r="499" spans="1:29" ht="30.75" hidden="1" customHeight="1">
      <c r="A499" s="19">
        <v>118</v>
      </c>
      <c r="U499" s="95"/>
      <c r="V499" s="673"/>
      <c r="W499" s="14"/>
      <c r="X499" s="7"/>
      <c r="Y499" s="7"/>
      <c r="Z499" s="7"/>
      <c r="AA499" s="7"/>
      <c r="AB499" s="7"/>
      <c r="AC499" s="7"/>
    </row>
    <row r="500" spans="1:29" ht="25.5" hidden="1">
      <c r="A500" s="19">
        <v>119</v>
      </c>
      <c r="B500" s="1"/>
      <c r="U500" s="95"/>
      <c r="V500" s="673"/>
      <c r="W500" s="14"/>
      <c r="X500" s="7"/>
      <c r="Y500" s="7"/>
      <c r="Z500" s="7"/>
      <c r="AA500" s="7"/>
      <c r="AB500" s="7"/>
      <c r="AC500" s="7"/>
    </row>
    <row r="501" spans="1:29" ht="25.5" hidden="1">
      <c r="A501" s="19">
        <v>120</v>
      </c>
      <c r="B501" s="148"/>
      <c r="C501" s="91"/>
      <c r="D501" s="91"/>
      <c r="E501" s="91"/>
      <c r="F501" s="91"/>
      <c r="G501" s="91"/>
      <c r="H501" s="91"/>
      <c r="I501" s="91"/>
      <c r="J501" s="22"/>
      <c r="K501" s="22"/>
      <c r="L501" s="22"/>
      <c r="M501" s="22"/>
      <c r="N501" s="22"/>
      <c r="O501" s="91"/>
      <c r="P501" s="91"/>
      <c r="Q501" s="7"/>
      <c r="R501" s="200"/>
      <c r="S501" s="151"/>
      <c r="T501" s="91"/>
      <c r="U501" s="95"/>
      <c r="V501" s="673"/>
      <c r="W501" s="14"/>
      <c r="X501" s="7"/>
      <c r="Y501" s="7"/>
      <c r="Z501" s="7"/>
      <c r="AA501" s="7"/>
      <c r="AB501" s="7"/>
      <c r="AC501" s="7"/>
    </row>
    <row r="502" spans="1:29" ht="25.5" hidden="1">
      <c r="A502" s="19"/>
      <c r="B502" s="148"/>
      <c r="C502" s="91"/>
      <c r="D502" s="91"/>
      <c r="E502" s="91"/>
      <c r="F502" s="91"/>
      <c r="G502" s="91"/>
      <c r="H502" s="91"/>
      <c r="I502" s="91"/>
      <c r="J502" s="22"/>
      <c r="K502" s="22"/>
      <c r="L502" s="22"/>
      <c r="M502" s="22"/>
      <c r="N502" s="22"/>
      <c r="O502" s="91"/>
      <c r="P502" s="91"/>
      <c r="Q502" s="7"/>
      <c r="R502" s="200"/>
      <c r="S502" s="151"/>
      <c r="T502" s="91"/>
      <c r="U502" s="95"/>
      <c r="V502" s="673"/>
      <c r="W502" s="14"/>
      <c r="X502" s="7"/>
      <c r="Y502" s="7"/>
      <c r="Z502" s="7"/>
      <c r="AA502" s="7"/>
      <c r="AB502" s="7"/>
      <c r="AC502" s="7"/>
    </row>
    <row r="503" spans="1:29" ht="29.25" hidden="1" customHeight="1">
      <c r="A503" s="19">
        <v>121</v>
      </c>
      <c r="U503" s="95"/>
      <c r="V503" s="673"/>
      <c r="W503" s="14"/>
      <c r="X503" s="7"/>
      <c r="Y503" s="7"/>
      <c r="Z503" s="7"/>
      <c r="AA503" s="7"/>
      <c r="AB503" s="7"/>
      <c r="AC503" s="7"/>
    </row>
    <row r="504" spans="1:29" ht="25.5" hidden="1">
      <c r="A504" s="19">
        <v>122</v>
      </c>
      <c r="B504" s="148"/>
      <c r="C504" s="91"/>
      <c r="D504" s="91"/>
      <c r="E504" s="91"/>
      <c r="F504" s="91"/>
      <c r="G504" s="91"/>
      <c r="H504" s="91"/>
      <c r="I504" s="91"/>
      <c r="J504" s="22"/>
      <c r="K504" s="22"/>
      <c r="L504" s="22"/>
      <c r="M504" s="22"/>
      <c r="N504" s="22"/>
      <c r="O504" s="91"/>
      <c r="P504" s="91"/>
      <c r="Q504" s="122"/>
      <c r="R504" s="173"/>
      <c r="S504" s="151"/>
      <c r="T504" s="91"/>
      <c r="U504" s="95"/>
      <c r="V504" s="673"/>
      <c r="W504" s="14"/>
      <c r="X504" s="7"/>
      <c r="Y504" s="7"/>
      <c r="Z504" s="7"/>
      <c r="AA504" s="7"/>
      <c r="AB504" s="7"/>
      <c r="AC504" s="7"/>
    </row>
    <row r="505" spans="1:29" ht="36" hidden="1" customHeight="1">
      <c r="A505" s="19">
        <v>123</v>
      </c>
      <c r="B505" s="1"/>
      <c r="U505" s="1"/>
      <c r="V505" s="1"/>
      <c r="W505" s="14"/>
      <c r="X505" s="7"/>
      <c r="Y505" s="7"/>
      <c r="Z505" s="7"/>
      <c r="AA505" s="7"/>
      <c r="AB505" s="7"/>
      <c r="AC505" s="7"/>
    </row>
    <row r="506" spans="1:29" ht="25.5" hidden="1">
      <c r="A506" s="19"/>
      <c r="B506" s="1"/>
      <c r="U506" s="1"/>
      <c r="V506" s="1"/>
      <c r="W506" s="14"/>
      <c r="X506" s="7"/>
      <c r="Y506" s="7"/>
      <c r="Z506" s="7"/>
      <c r="AA506" s="7"/>
      <c r="AB506" s="7"/>
      <c r="AC506" s="7"/>
    </row>
    <row r="507" spans="1:29" ht="25.5" hidden="1">
      <c r="A507" s="19">
        <v>124</v>
      </c>
      <c r="B507" s="1"/>
      <c r="U507" s="95"/>
      <c r="V507" s="673"/>
      <c r="W507" s="14"/>
      <c r="X507" s="7"/>
      <c r="Y507" s="7"/>
      <c r="Z507" s="7"/>
      <c r="AA507" s="7"/>
      <c r="AB507" s="7"/>
      <c r="AC507" s="7"/>
    </row>
    <row r="508" spans="1:29" ht="25.5" hidden="1">
      <c r="A508" s="19">
        <v>125</v>
      </c>
      <c r="B508" s="148"/>
      <c r="C508" s="91"/>
      <c r="D508" s="91"/>
      <c r="E508" s="91"/>
      <c r="F508" s="91"/>
      <c r="G508" s="91"/>
      <c r="H508" s="91"/>
      <c r="I508" s="91"/>
      <c r="J508" s="22"/>
      <c r="K508" s="22"/>
      <c r="L508" s="22"/>
      <c r="M508" s="22"/>
      <c r="N508" s="22"/>
      <c r="O508" s="91"/>
      <c r="P508" s="91"/>
      <c r="Q508" s="7"/>
      <c r="R508" s="94"/>
      <c r="S508" s="151"/>
      <c r="T508" s="91"/>
      <c r="U508" s="95"/>
      <c r="V508" s="673"/>
      <c r="W508" s="14"/>
      <c r="X508" s="7"/>
      <c r="Y508" s="7"/>
      <c r="Z508" s="7"/>
      <c r="AA508" s="7"/>
      <c r="AB508" s="7"/>
      <c r="AC508" s="7"/>
    </row>
    <row r="509" spans="1:29" ht="20.25" hidden="1">
      <c r="B509" s="1"/>
      <c r="U509" s="1"/>
      <c r="V509" s="1"/>
      <c r="W509" s="14"/>
      <c r="X509" s="7"/>
      <c r="Y509" s="7"/>
      <c r="Z509" s="7"/>
      <c r="AA509" s="7"/>
      <c r="AB509" s="7"/>
      <c r="AC509" s="7"/>
    </row>
    <row r="510" spans="1:29" ht="30" hidden="1" customHeight="1">
      <c r="A510" s="19">
        <v>127</v>
      </c>
      <c r="B510" s="148"/>
      <c r="C510" s="91"/>
      <c r="D510" s="91"/>
      <c r="E510" s="91"/>
      <c r="F510" s="91"/>
      <c r="G510" s="91"/>
      <c r="H510" s="91"/>
      <c r="I510" s="91"/>
      <c r="J510" s="22"/>
      <c r="K510" s="22"/>
      <c r="L510" s="22"/>
      <c r="M510" s="22"/>
      <c r="N510" s="22"/>
      <c r="O510" s="91"/>
      <c r="P510" s="91"/>
      <c r="Q510" s="7"/>
      <c r="R510" s="94"/>
      <c r="S510" s="151"/>
      <c r="T510" s="91"/>
      <c r="U510" s="95"/>
      <c r="V510" s="673"/>
      <c r="W510" s="14"/>
      <c r="X510" s="7"/>
      <c r="Y510" s="7"/>
      <c r="Z510" s="7"/>
      <c r="AA510" s="7"/>
      <c r="AB510" s="7"/>
      <c r="AC510" s="7"/>
    </row>
    <row r="511" spans="1:29" ht="25.5" hidden="1">
      <c r="A511" s="19"/>
      <c r="B511" s="148"/>
      <c r="C511" s="91"/>
      <c r="D511" s="91"/>
      <c r="E511" s="91"/>
      <c r="F511" s="91"/>
      <c r="G511" s="91"/>
      <c r="H511" s="91"/>
      <c r="I511" s="91"/>
      <c r="J511" s="22"/>
      <c r="K511" s="22"/>
      <c r="L511" s="22"/>
      <c r="M511" s="22"/>
      <c r="N511" s="22"/>
      <c r="O511" s="91"/>
      <c r="P511" s="91"/>
      <c r="Q511" s="22"/>
      <c r="R511" s="142"/>
      <c r="S511" s="151"/>
      <c r="T511" s="91"/>
      <c r="U511" s="95"/>
      <c r="V511" s="673"/>
      <c r="W511" s="14"/>
      <c r="X511" s="7"/>
      <c r="Y511" s="7"/>
      <c r="Z511" s="7"/>
      <c r="AA511" s="7"/>
      <c r="AB511" s="7"/>
      <c r="AC511" s="7"/>
    </row>
    <row r="512" spans="1:29" ht="24.75" hidden="1" customHeight="1">
      <c r="A512" s="19">
        <v>129</v>
      </c>
      <c r="U512" s="95"/>
      <c r="V512" s="673"/>
      <c r="W512" s="14"/>
      <c r="X512" s="7"/>
      <c r="Y512" s="7"/>
      <c r="Z512" s="7"/>
      <c r="AA512" s="7"/>
      <c r="AB512" s="7"/>
      <c r="AC512" s="7"/>
    </row>
    <row r="513" spans="1:29" ht="27.75" hidden="1" customHeight="1">
      <c r="A513" s="19">
        <v>130</v>
      </c>
      <c r="B513" s="1"/>
      <c r="U513" s="95"/>
      <c r="V513" s="673"/>
      <c r="W513" s="14"/>
      <c r="X513" s="7"/>
      <c r="Y513" s="7"/>
      <c r="Z513" s="7"/>
      <c r="AA513" s="7"/>
      <c r="AB513" s="7"/>
      <c r="AC513" s="7"/>
    </row>
    <row r="514" spans="1:29" ht="19.5" hidden="1" customHeight="1">
      <c r="A514" s="19">
        <v>131</v>
      </c>
      <c r="B514" s="1"/>
      <c r="U514" s="1"/>
      <c r="V514" s="1"/>
      <c r="W514" s="14"/>
      <c r="X514" s="7"/>
      <c r="Y514" s="7"/>
      <c r="Z514" s="7"/>
      <c r="AA514" s="7"/>
      <c r="AB514" s="7"/>
      <c r="AC514" s="7"/>
    </row>
    <row r="515" spans="1:29" ht="25.5" hidden="1">
      <c r="A515" s="19"/>
      <c r="B515" s="1"/>
      <c r="U515" s="1"/>
      <c r="V515" s="1"/>
      <c r="W515" s="14"/>
      <c r="X515" s="7"/>
      <c r="Y515" s="7"/>
      <c r="Z515" s="7"/>
      <c r="AA515" s="7"/>
      <c r="AB515" s="7"/>
      <c r="AC515" s="7"/>
    </row>
    <row r="516" spans="1:29" ht="25.5" hidden="1">
      <c r="A516" s="19">
        <v>132</v>
      </c>
      <c r="U516" s="95"/>
      <c r="V516" s="673"/>
      <c r="W516" s="14"/>
      <c r="X516" s="7"/>
      <c r="Y516" s="7"/>
      <c r="Z516" s="7"/>
      <c r="AA516" s="7"/>
      <c r="AB516" s="7"/>
      <c r="AC516" s="7"/>
    </row>
    <row r="517" spans="1:29" ht="102" hidden="1">
      <c r="A517" s="19" t="s">
        <v>500</v>
      </c>
      <c r="U517" s="95"/>
      <c r="V517" s="673"/>
      <c r="W517" s="14"/>
      <c r="X517" s="7"/>
      <c r="Y517" s="7"/>
      <c r="Z517" s="7"/>
      <c r="AA517" s="7"/>
      <c r="AB517" s="7"/>
      <c r="AC517" s="7"/>
    </row>
    <row r="518" spans="1:29" ht="27" hidden="1">
      <c r="A518" s="135">
        <v>133</v>
      </c>
      <c r="B518" s="1"/>
      <c r="U518" s="1"/>
      <c r="V518" s="1"/>
      <c r="W518" s="14">
        <v>144.63999999999999</v>
      </c>
      <c r="X518" s="240">
        <v>166.05</v>
      </c>
      <c r="Y518" s="7"/>
      <c r="Z518" s="7"/>
      <c r="AA518" s="7"/>
      <c r="AB518" s="7"/>
      <c r="AC518" s="7"/>
    </row>
    <row r="519" spans="1:29" ht="25.5" hidden="1">
      <c r="A519" s="19">
        <v>134</v>
      </c>
      <c r="B519" s="1"/>
      <c r="U519" s="1"/>
      <c r="V519" s="1"/>
      <c r="W519" s="14"/>
      <c r="X519" s="7"/>
      <c r="Y519" s="7"/>
      <c r="Z519" s="7"/>
      <c r="AA519" s="7"/>
      <c r="AB519" s="7"/>
      <c r="AC519" s="7"/>
    </row>
    <row r="520" spans="1:29" ht="34.5" hidden="1" customHeight="1">
      <c r="A520" s="19" t="s">
        <v>501</v>
      </c>
      <c r="B520" s="1"/>
      <c r="U520" s="1"/>
      <c r="V520" s="1"/>
      <c r="W520" s="14"/>
      <c r="X520" s="7"/>
      <c r="Y520" s="7"/>
      <c r="Z520" s="7"/>
      <c r="AA520" s="7"/>
      <c r="AB520" s="7"/>
      <c r="AC520" s="7"/>
    </row>
    <row r="521" spans="1:29" ht="25.5" hidden="1" customHeight="1">
      <c r="A521" s="19" t="s">
        <v>502</v>
      </c>
      <c r="B521" s="1"/>
      <c r="U521" s="1"/>
      <c r="V521" s="1"/>
      <c r="W521" s="14"/>
      <c r="X521" s="7"/>
      <c r="Y521" s="7"/>
      <c r="Z521" s="7"/>
      <c r="AA521" s="7"/>
      <c r="AB521" s="7"/>
      <c r="AC521" s="7"/>
    </row>
    <row r="522" spans="1:29" ht="34.5" hidden="1" customHeight="1">
      <c r="A522" s="19" t="s">
        <v>503</v>
      </c>
      <c r="B522" s="148"/>
      <c r="C522" s="124"/>
      <c r="D522" s="124"/>
      <c r="E522" s="124"/>
      <c r="F522" s="124"/>
      <c r="G522" s="124"/>
      <c r="H522" s="124"/>
      <c r="I522" s="124"/>
      <c r="J522" s="126"/>
      <c r="K522" s="126"/>
      <c r="L522" s="126"/>
      <c r="M522" s="126"/>
      <c r="N522" s="126"/>
      <c r="O522" s="241"/>
      <c r="P522" s="241"/>
      <c r="Q522" s="7"/>
      <c r="R522" s="242"/>
      <c r="S522" s="140"/>
      <c r="T522" s="124"/>
      <c r="U522" s="127"/>
      <c r="V522" s="128"/>
      <c r="W522" s="14"/>
      <c r="X522" s="7"/>
      <c r="Y522" s="7"/>
      <c r="Z522" s="7"/>
      <c r="AA522" s="7"/>
      <c r="AB522" s="7"/>
      <c r="AC522" s="7"/>
    </row>
    <row r="523" spans="1:29" ht="102" hidden="1">
      <c r="A523" s="19" t="s">
        <v>504</v>
      </c>
      <c r="B523" s="1"/>
      <c r="U523" s="1"/>
      <c r="V523" s="1"/>
      <c r="W523" s="14"/>
      <c r="X523" s="7"/>
      <c r="Y523" s="7"/>
      <c r="Z523" s="7"/>
      <c r="AA523" s="7"/>
      <c r="AB523" s="7"/>
      <c r="AC523" s="7"/>
    </row>
    <row r="524" spans="1:29" ht="26.25" hidden="1">
      <c r="A524" s="19"/>
      <c r="B524" s="243"/>
      <c r="C524" s="124"/>
      <c r="D524" s="91"/>
      <c r="E524" s="124"/>
      <c r="F524" s="124"/>
      <c r="G524" s="124"/>
      <c r="H524" s="124"/>
      <c r="I524" s="124"/>
      <c r="J524" s="244"/>
      <c r="K524" s="244"/>
      <c r="L524" s="244"/>
      <c r="M524" s="244"/>
      <c r="N524" s="244"/>
      <c r="O524" s="115"/>
      <c r="P524" s="115"/>
      <c r="Q524" s="245"/>
      <c r="R524" s="246"/>
      <c r="S524" s="140"/>
      <c r="T524" s="124"/>
      <c r="U524" s="127"/>
      <c r="V524" s="128"/>
      <c r="W524" s="14"/>
      <c r="X524" s="7"/>
      <c r="Y524" s="7"/>
      <c r="Z524" s="7"/>
      <c r="AA524" s="7"/>
      <c r="AB524" s="7"/>
      <c r="AC524" s="7"/>
    </row>
    <row r="525" spans="1:29" ht="26.25" hidden="1">
      <c r="A525" s="135">
        <v>135</v>
      </c>
      <c r="B525" s="1"/>
      <c r="U525" s="1"/>
      <c r="V525" s="1"/>
      <c r="W525" s="14">
        <v>1687</v>
      </c>
      <c r="X525" s="48">
        <v>1800</v>
      </c>
      <c r="Y525" s="48">
        <v>60</v>
      </c>
      <c r="Z525" s="48">
        <f>(X525-W525)*Y525</f>
        <v>6780</v>
      </c>
      <c r="AA525" s="48"/>
      <c r="AB525" s="7"/>
      <c r="AC525" s="7"/>
    </row>
    <row r="526" spans="1:29" ht="30" hidden="1" customHeight="1">
      <c r="A526" s="19" t="s">
        <v>505</v>
      </c>
      <c r="B526" s="1"/>
      <c r="U526" s="95"/>
      <c r="V526" s="673"/>
      <c r="W526" s="14"/>
      <c r="X526" s="7"/>
      <c r="Y526" s="7"/>
      <c r="Z526" s="7"/>
      <c r="AA526" s="7"/>
      <c r="AB526" s="7"/>
      <c r="AC526" s="7"/>
    </row>
    <row r="527" spans="1:29" ht="30" hidden="1" customHeight="1">
      <c r="A527" s="19" t="s">
        <v>506</v>
      </c>
      <c r="U527" s="95"/>
      <c r="V527" s="673"/>
      <c r="W527" s="14"/>
      <c r="X527" s="7"/>
      <c r="Y527" s="7"/>
      <c r="Z527" s="7"/>
      <c r="AA527" s="7"/>
      <c r="AB527" s="7"/>
      <c r="AC527" s="7"/>
    </row>
    <row r="528" spans="1:29" ht="30" hidden="1" customHeight="1">
      <c r="A528" s="19" t="s">
        <v>507</v>
      </c>
      <c r="U528" s="95"/>
      <c r="V528" s="673"/>
      <c r="W528" s="14"/>
      <c r="X528" s="7"/>
      <c r="Y528" s="7"/>
      <c r="Z528" s="7"/>
      <c r="AA528" s="7"/>
      <c r="AB528" s="7"/>
      <c r="AC528" s="7"/>
    </row>
    <row r="529" spans="1:29" ht="30" hidden="1" customHeight="1">
      <c r="A529" s="19" t="s">
        <v>508</v>
      </c>
      <c r="U529" s="95"/>
      <c r="V529" s="673"/>
      <c r="W529" s="14"/>
      <c r="X529" s="7"/>
      <c r="Y529" s="7"/>
      <c r="Z529" s="7"/>
      <c r="AA529" s="7"/>
      <c r="AB529" s="7"/>
      <c r="AC529" s="7"/>
    </row>
    <row r="530" spans="1:29" ht="30" hidden="1" customHeight="1">
      <c r="A530" s="19" t="s">
        <v>509</v>
      </c>
      <c r="U530" s="95"/>
      <c r="V530" s="673"/>
      <c r="W530" s="14"/>
      <c r="X530" s="7"/>
      <c r="Y530" s="7"/>
      <c r="Z530" s="7"/>
      <c r="AA530" s="7"/>
      <c r="AB530" s="7"/>
      <c r="AC530" s="7"/>
    </row>
    <row r="531" spans="1:29" ht="30" hidden="1" customHeight="1">
      <c r="A531" s="19" t="s">
        <v>510</v>
      </c>
      <c r="U531" s="95"/>
      <c r="V531" s="673"/>
      <c r="W531" s="14"/>
      <c r="X531" s="7"/>
      <c r="Y531" s="7"/>
      <c r="Z531" s="7"/>
      <c r="AA531" s="7"/>
      <c r="AB531" s="7"/>
      <c r="AC531" s="7"/>
    </row>
    <row r="532" spans="1:29" ht="30" hidden="1" customHeight="1">
      <c r="A532" s="19" t="s">
        <v>511</v>
      </c>
      <c r="U532" s="95"/>
      <c r="V532" s="673"/>
      <c r="W532" s="14"/>
      <c r="X532" s="7"/>
      <c r="Y532" s="7"/>
      <c r="Z532" s="7"/>
      <c r="AA532" s="7"/>
      <c r="AB532" s="7"/>
      <c r="AC532" s="7"/>
    </row>
    <row r="533" spans="1:29" ht="30" hidden="1" customHeight="1">
      <c r="A533" s="19" t="s">
        <v>512</v>
      </c>
      <c r="U533" s="95"/>
      <c r="V533" s="673"/>
      <c r="W533" s="14"/>
      <c r="X533" s="7"/>
      <c r="Y533" s="7"/>
      <c r="Z533" s="7"/>
      <c r="AA533" s="7"/>
      <c r="AB533" s="7"/>
      <c r="AC533" s="7"/>
    </row>
    <row r="534" spans="1:29" ht="30" hidden="1" customHeight="1">
      <c r="A534" s="19" t="s">
        <v>513</v>
      </c>
      <c r="U534" s="95"/>
      <c r="V534" s="673"/>
      <c r="W534" s="14"/>
      <c r="X534" s="7"/>
      <c r="Y534" s="7"/>
      <c r="Z534" s="7"/>
      <c r="AA534" s="7"/>
      <c r="AB534" s="7"/>
      <c r="AC534" s="7"/>
    </row>
    <row r="535" spans="1:29" ht="28.5" hidden="1" customHeight="1">
      <c r="A535" s="19" t="s">
        <v>514</v>
      </c>
      <c r="U535" s="95"/>
      <c r="V535" s="673"/>
      <c r="W535" s="14"/>
      <c r="X535" s="7"/>
      <c r="Y535" s="7"/>
      <c r="Z535" s="7"/>
      <c r="AA535" s="7"/>
      <c r="AB535" s="7"/>
      <c r="AC535" s="7"/>
    </row>
    <row r="536" spans="1:29" ht="28.5" hidden="1" customHeight="1">
      <c r="A536" s="19"/>
      <c r="B536" s="148"/>
      <c r="C536" s="91"/>
      <c r="D536" s="91"/>
      <c r="E536" s="91"/>
      <c r="F536" s="91"/>
      <c r="G536" s="91"/>
      <c r="H536" s="91"/>
      <c r="I536" s="91"/>
      <c r="J536" s="22"/>
      <c r="K536" s="22"/>
      <c r="L536" s="22"/>
      <c r="M536" s="22"/>
      <c r="N536" s="22"/>
      <c r="O536" s="91"/>
      <c r="P536" s="91"/>
      <c r="Q536" s="7"/>
      <c r="R536" s="94"/>
      <c r="S536" s="151"/>
      <c r="T536" s="91"/>
      <c r="U536" s="95"/>
      <c r="V536" s="673"/>
      <c r="W536" s="14"/>
      <c r="X536" s="7"/>
      <c r="Y536" s="7"/>
      <c r="Z536" s="7"/>
      <c r="AA536" s="7"/>
      <c r="AB536" s="7"/>
      <c r="AC536" s="7"/>
    </row>
    <row r="537" spans="1:29" ht="25.5" hidden="1">
      <c r="A537" s="19">
        <v>137</v>
      </c>
      <c r="B537" s="1"/>
      <c r="U537" s="1"/>
      <c r="V537" s="1"/>
      <c r="W537" s="14"/>
      <c r="X537" s="7"/>
      <c r="Y537" s="7"/>
      <c r="Z537" s="7"/>
      <c r="AA537" s="7"/>
      <c r="AB537" s="7"/>
      <c r="AC537" s="7"/>
    </row>
    <row r="538" spans="1:29" ht="26.25" hidden="1" customHeight="1">
      <c r="A538" s="19">
        <v>138</v>
      </c>
      <c r="B538" s="1"/>
      <c r="U538" s="95"/>
      <c r="V538" s="673"/>
      <c r="W538" s="14"/>
      <c r="X538" s="7"/>
      <c r="Y538" s="7"/>
      <c r="Z538" s="7"/>
      <c r="AA538" s="7"/>
      <c r="AB538" s="7"/>
      <c r="AC538" s="7"/>
    </row>
    <row r="539" spans="1:29" ht="48" hidden="1" customHeight="1">
      <c r="A539" s="19">
        <v>139</v>
      </c>
      <c r="B539" s="1"/>
      <c r="U539" s="1"/>
      <c r="V539" s="1"/>
      <c r="W539" s="14"/>
      <c r="X539" s="7"/>
      <c r="Y539" s="7"/>
      <c r="Z539" s="7"/>
      <c r="AA539" s="7"/>
      <c r="AB539" s="7"/>
      <c r="AC539" s="7"/>
    </row>
    <row r="540" spans="1:29" ht="30" hidden="1" customHeight="1">
      <c r="A540" s="19" t="s">
        <v>515</v>
      </c>
      <c r="B540" s="1"/>
      <c r="U540" s="1"/>
      <c r="V540" s="1"/>
      <c r="W540" s="14"/>
      <c r="X540" s="7"/>
      <c r="Y540" s="7"/>
      <c r="Z540" s="7"/>
      <c r="AA540" s="7"/>
      <c r="AB540" s="7"/>
      <c r="AC540" s="7"/>
    </row>
    <row r="541" spans="1:29" ht="31.5" hidden="1" customHeight="1">
      <c r="A541" s="19">
        <v>140</v>
      </c>
      <c r="U541" s="95"/>
      <c r="V541" s="673"/>
      <c r="W541" s="14"/>
      <c r="X541" s="7"/>
      <c r="Y541" s="7"/>
      <c r="Z541" s="7"/>
      <c r="AA541" s="7"/>
      <c r="AB541" s="7"/>
      <c r="AC541" s="7"/>
    </row>
    <row r="542" spans="1:29" ht="28.5" hidden="1" customHeight="1">
      <c r="A542" s="19">
        <v>141</v>
      </c>
      <c r="B542" s="1"/>
      <c r="U542" s="1"/>
      <c r="V542" s="1"/>
      <c r="W542" s="14"/>
      <c r="X542" s="7"/>
      <c r="Y542" s="7"/>
      <c r="Z542" s="7"/>
      <c r="AA542" s="7"/>
      <c r="AB542" s="7"/>
      <c r="AC542" s="7"/>
    </row>
    <row r="543" spans="1:29" ht="25.5" hidden="1">
      <c r="A543" s="19">
        <v>142</v>
      </c>
      <c r="B543" s="1"/>
      <c r="U543" s="1"/>
      <c r="V543" s="1"/>
      <c r="W543" s="14"/>
      <c r="X543" s="7"/>
      <c r="Y543" s="7"/>
      <c r="Z543" s="7"/>
      <c r="AA543" s="7"/>
      <c r="AB543" s="7"/>
      <c r="AC543" s="7"/>
    </row>
    <row r="544" spans="1:29" ht="25.5" hidden="1">
      <c r="A544" s="19">
        <v>143</v>
      </c>
      <c r="B544" s="1"/>
      <c r="U544" s="95"/>
      <c r="V544" s="673"/>
      <c r="W544" s="14"/>
      <c r="X544" s="7"/>
      <c r="Y544" s="7"/>
      <c r="Z544" s="105"/>
      <c r="AA544" s="244"/>
      <c r="AB544" s="244"/>
      <c r="AC544" s="7"/>
    </row>
    <row r="545" spans="1:29" ht="30" hidden="1" customHeight="1">
      <c r="A545" s="19">
        <v>144</v>
      </c>
      <c r="B545" s="1"/>
      <c r="U545" s="95"/>
      <c r="V545" s="673"/>
      <c r="W545" s="14"/>
      <c r="X545" s="7"/>
      <c r="Y545" s="7"/>
      <c r="Z545" s="7"/>
      <c r="AA545" s="7"/>
      <c r="AB545" s="7"/>
      <c r="AC545" s="7"/>
    </row>
    <row r="546" spans="1:29" ht="25.5" hidden="1">
      <c r="A546" s="19">
        <v>145</v>
      </c>
      <c r="U546" s="95"/>
      <c r="V546" s="673"/>
      <c r="W546" s="14"/>
      <c r="X546" s="7"/>
      <c r="Y546" s="7"/>
      <c r="Z546" s="7"/>
      <c r="AA546" s="7"/>
      <c r="AB546" s="7"/>
      <c r="AC546" s="7"/>
    </row>
    <row r="547" spans="1:29" ht="25.5" hidden="1">
      <c r="A547" s="19">
        <v>146</v>
      </c>
      <c r="B547" s="148"/>
      <c r="C547" s="91"/>
      <c r="D547" s="91"/>
      <c r="E547" s="91"/>
      <c r="F547" s="91"/>
      <c r="G547" s="91"/>
      <c r="H547" s="91"/>
      <c r="I547" s="91"/>
      <c r="J547" s="22"/>
      <c r="K547" s="22"/>
      <c r="L547" s="22"/>
      <c r="M547" s="22"/>
      <c r="N547" s="22"/>
      <c r="O547" s="91"/>
      <c r="P547" s="91"/>
      <c r="Q547" s="149"/>
      <c r="R547" s="161"/>
      <c r="S547" s="151"/>
      <c r="T547" s="91">
        <f>(P547-O547)*S547</f>
        <v>0</v>
      </c>
      <c r="U547" s="95"/>
      <c r="V547" s="673"/>
      <c r="W547" s="134"/>
      <c r="X547" s="7"/>
      <c r="Y547" s="7"/>
      <c r="Z547" s="7"/>
      <c r="AA547" s="7"/>
      <c r="AB547" s="7"/>
      <c r="AC547" s="7"/>
    </row>
    <row r="548" spans="1:29" ht="25.5" hidden="1">
      <c r="A548" s="19">
        <v>147</v>
      </c>
      <c r="B548" s="1"/>
      <c r="U548" s="95"/>
      <c r="V548" s="673"/>
      <c r="W548" s="14"/>
      <c r="X548" s="7"/>
      <c r="Y548" s="7"/>
      <c r="Z548" s="7"/>
      <c r="AA548" s="7"/>
      <c r="AB548" s="7"/>
      <c r="AC548" s="7"/>
    </row>
    <row r="549" spans="1:29" ht="102" hidden="1">
      <c r="A549" s="19" t="s">
        <v>516</v>
      </c>
      <c r="U549" s="95"/>
      <c r="V549" s="673"/>
      <c r="W549" s="14"/>
      <c r="X549" s="7"/>
      <c r="Y549" s="7"/>
      <c r="Z549" s="7"/>
      <c r="AA549" s="7"/>
      <c r="AB549" s="7"/>
      <c r="AC549" s="7"/>
    </row>
    <row r="550" spans="1:29" ht="25.5" hidden="1">
      <c r="A550" s="19">
        <v>148</v>
      </c>
      <c r="U550" s="95"/>
      <c r="V550" s="673"/>
      <c r="W550" s="14"/>
      <c r="X550" s="7"/>
      <c r="Y550" s="7"/>
      <c r="Z550" s="7"/>
      <c r="AA550" s="7"/>
      <c r="AB550" s="7"/>
      <c r="AC550" s="7"/>
    </row>
    <row r="551" spans="1:29" ht="102" hidden="1">
      <c r="A551" s="19" t="s">
        <v>517</v>
      </c>
      <c r="B551" s="148"/>
      <c r="C551" s="91"/>
      <c r="D551" s="91"/>
      <c r="E551" s="91"/>
      <c r="F551" s="91"/>
      <c r="G551" s="91"/>
      <c r="H551" s="91"/>
      <c r="I551" s="91"/>
      <c r="J551" s="22"/>
      <c r="K551" s="22"/>
      <c r="L551" s="22"/>
      <c r="M551" s="22"/>
      <c r="N551" s="22"/>
      <c r="O551" s="91"/>
      <c r="P551" s="91"/>
      <c r="Q551" s="149"/>
      <c r="R551" s="161"/>
      <c r="S551" s="151"/>
      <c r="T551" s="91">
        <f>(P551-O551)*S551</f>
        <v>0</v>
      </c>
      <c r="U551" s="95"/>
      <c r="V551" s="673"/>
      <c r="W551" s="14"/>
      <c r="X551" s="244"/>
      <c r="Y551" s="244"/>
      <c r="Z551" s="7"/>
      <c r="AA551" s="7"/>
      <c r="AB551" s="7"/>
      <c r="AC551" s="7"/>
    </row>
    <row r="552" spans="1:29" ht="25.5" hidden="1">
      <c r="A552" s="19">
        <v>149</v>
      </c>
      <c r="B552" s="148"/>
      <c r="C552" s="91"/>
      <c r="D552" s="91"/>
      <c r="E552" s="91"/>
      <c r="F552" s="91"/>
      <c r="G552" s="91"/>
      <c r="H552" s="91"/>
      <c r="I552" s="91"/>
      <c r="J552" s="22"/>
      <c r="K552" s="22"/>
      <c r="L552" s="22"/>
      <c r="M552" s="22"/>
      <c r="N552" s="22"/>
      <c r="O552" s="91"/>
      <c r="P552" s="91"/>
      <c r="Q552" s="149"/>
      <c r="R552" s="161"/>
      <c r="S552" s="151"/>
      <c r="T552" s="91">
        <f>(P552-O552)*S552</f>
        <v>0</v>
      </c>
      <c r="U552" s="95"/>
      <c r="V552" s="673"/>
      <c r="W552" s="14"/>
      <c r="X552" s="7"/>
      <c r="Y552" s="7"/>
      <c r="Z552" s="7"/>
      <c r="AA552" s="7"/>
      <c r="AB552" s="7"/>
      <c r="AC552" s="7"/>
    </row>
    <row r="553" spans="1:29" ht="20.25" hidden="1" customHeight="1">
      <c r="A553" s="19">
        <v>150</v>
      </c>
      <c r="B553" s="148"/>
      <c r="C553" s="91"/>
      <c r="D553" s="91"/>
      <c r="E553" s="91"/>
      <c r="F553" s="91"/>
      <c r="G553" s="91"/>
      <c r="H553" s="91"/>
      <c r="I553" s="91"/>
      <c r="J553" s="22"/>
      <c r="K553" s="22"/>
      <c r="L553" s="22"/>
      <c r="M553" s="22"/>
      <c r="N553" s="22"/>
      <c r="O553" s="115"/>
      <c r="P553" s="115"/>
      <c r="Q553" s="149"/>
      <c r="R553" s="247"/>
      <c r="S553" s="248"/>
      <c r="T553" s="91">
        <f>(P553-O553)*S553</f>
        <v>0</v>
      </c>
      <c r="U553" s="95"/>
      <c r="V553" s="673"/>
      <c r="W553" s="134"/>
      <c r="X553" s="7"/>
      <c r="Y553" s="7"/>
      <c r="Z553" s="7"/>
      <c r="AA553" s="7"/>
      <c r="AB553" s="7"/>
      <c r="AC553" s="7"/>
    </row>
    <row r="554" spans="1:29" ht="25.5" hidden="1">
      <c r="A554" s="19">
        <v>151</v>
      </c>
      <c r="U554" s="95"/>
      <c r="V554" s="673"/>
      <c r="W554" s="14"/>
      <c r="X554" s="7"/>
      <c r="Y554" s="7"/>
      <c r="Z554" s="7"/>
      <c r="AA554" s="7"/>
      <c r="AB554" s="7"/>
      <c r="AC554" s="7"/>
    </row>
    <row r="555" spans="1:29" ht="102" hidden="1">
      <c r="A555" s="19" t="s">
        <v>518</v>
      </c>
      <c r="U555" s="95"/>
      <c r="V555" s="673"/>
      <c r="W555" s="134"/>
      <c r="X555" s="7"/>
      <c r="Y555" s="7"/>
      <c r="Z555" s="7"/>
      <c r="AA555" s="7"/>
      <c r="AB555" s="7"/>
      <c r="AC555" s="7"/>
    </row>
    <row r="556" spans="1:29" ht="102" hidden="1">
      <c r="A556" s="19" t="s">
        <v>519</v>
      </c>
      <c r="B556" s="1"/>
      <c r="U556" s="95"/>
      <c r="V556" s="673"/>
      <c r="W556" s="14"/>
      <c r="X556" s="7"/>
      <c r="Y556" s="7"/>
      <c r="Z556" s="7"/>
      <c r="AA556" s="7"/>
      <c r="AB556" s="7"/>
      <c r="AC556" s="7"/>
    </row>
    <row r="557" spans="1:29" ht="26.25" hidden="1">
      <c r="A557" s="231">
        <v>152</v>
      </c>
      <c r="B557" s="1"/>
      <c r="U557" s="1"/>
      <c r="V557" s="1"/>
      <c r="W557" s="14"/>
      <c r="X557" s="7"/>
      <c r="Y557" s="7"/>
      <c r="Z557" s="7"/>
      <c r="AA557" s="7"/>
      <c r="AB557" s="7"/>
      <c r="AC557" s="7"/>
    </row>
    <row r="558" spans="1:29" ht="28.5" hidden="1" customHeight="1">
      <c r="A558" s="19">
        <v>153</v>
      </c>
      <c r="U558" s="95"/>
      <c r="V558" s="673"/>
      <c r="W558" s="14"/>
      <c r="X558" s="7"/>
      <c r="Y558" s="7"/>
      <c r="Z558" s="7"/>
      <c r="AA558" s="7"/>
      <c r="AB558" s="7"/>
      <c r="AC558" s="7"/>
    </row>
    <row r="559" spans="1:29" ht="25.5" hidden="1">
      <c r="A559" s="19">
        <v>154</v>
      </c>
      <c r="B559" s="1"/>
      <c r="U559" s="95"/>
      <c r="V559" s="673"/>
      <c r="W559" s="14"/>
      <c r="X559" s="7"/>
      <c r="Y559" s="7"/>
      <c r="Z559" s="7"/>
      <c r="AA559" s="7"/>
      <c r="AB559" s="7"/>
      <c r="AC559" s="7"/>
    </row>
    <row r="560" spans="1:29" ht="25.5" hidden="1">
      <c r="A560" s="19">
        <v>155</v>
      </c>
      <c r="B560" s="1"/>
      <c r="U560" s="1"/>
      <c r="V560" s="1"/>
      <c r="W560" s="14"/>
      <c r="X560" s="7"/>
      <c r="Y560" s="7"/>
      <c r="Z560" s="7"/>
      <c r="AA560" s="7"/>
      <c r="AB560" s="7"/>
      <c r="AC560" s="7"/>
    </row>
    <row r="561" spans="1:29" ht="25.5" hidden="1">
      <c r="A561" s="19">
        <v>156</v>
      </c>
      <c r="B561" s="1"/>
      <c r="U561" s="1"/>
      <c r="V561" s="1"/>
      <c r="W561" s="14"/>
      <c r="X561" s="7"/>
      <c r="Y561" s="7"/>
      <c r="Z561" s="7"/>
      <c r="AA561" s="7"/>
      <c r="AB561" s="7"/>
      <c r="AC561" s="7"/>
    </row>
    <row r="562" spans="1:29" ht="25.5" hidden="1">
      <c r="A562" s="19"/>
      <c r="B562" s="1"/>
      <c r="U562" s="1"/>
      <c r="V562" s="1"/>
      <c r="W562" s="14"/>
      <c r="X562" s="7"/>
      <c r="Y562" s="7"/>
      <c r="Z562" s="7"/>
      <c r="AA562" s="7"/>
      <c r="AB562" s="7"/>
      <c r="AC562" s="7"/>
    </row>
    <row r="563" spans="1:29" ht="25.5" hidden="1">
      <c r="A563" s="19"/>
      <c r="B563" s="1"/>
      <c r="U563" s="1"/>
      <c r="V563" s="1"/>
      <c r="W563" s="14" t="s">
        <v>520</v>
      </c>
      <c r="X563" s="7"/>
      <c r="Y563" s="7"/>
      <c r="Z563" s="7"/>
      <c r="AA563" s="7"/>
      <c r="AB563" s="7"/>
      <c r="AC563" s="7"/>
    </row>
    <row r="564" spans="1:29" ht="25.5" hidden="1">
      <c r="A564" s="19"/>
      <c r="B564" s="1"/>
      <c r="U564" s="1"/>
      <c r="V564" s="1"/>
      <c r="W564" s="14"/>
      <c r="X564" s="7"/>
      <c r="Y564" s="7"/>
      <c r="Z564" s="7"/>
      <c r="AA564" s="7"/>
      <c r="AB564" s="7"/>
      <c r="AC564" s="7"/>
    </row>
    <row r="565" spans="1:29" ht="25.5" hidden="1">
      <c r="A565" s="19"/>
      <c r="B565" s="1"/>
      <c r="U565" s="1"/>
      <c r="V565" s="1"/>
      <c r="W565" s="14" t="s">
        <v>521</v>
      </c>
      <c r="X565" s="7"/>
      <c r="Y565" s="7"/>
      <c r="Z565" s="7"/>
      <c r="AA565" s="7"/>
      <c r="AB565" s="7"/>
      <c r="AC565" s="7"/>
    </row>
    <row r="566" spans="1:29" ht="25.5" hidden="1">
      <c r="A566" s="19"/>
      <c r="B566" s="1"/>
      <c r="U566" s="1"/>
      <c r="V566" s="1"/>
      <c r="W566" s="14" t="s">
        <v>522</v>
      </c>
      <c r="X566" s="7"/>
      <c r="Y566" s="7"/>
      <c r="Z566" s="7"/>
      <c r="AA566" s="7"/>
      <c r="AB566" s="7"/>
      <c r="AC566" s="7"/>
    </row>
    <row r="567" spans="1:29" ht="25.5" hidden="1">
      <c r="A567" s="19"/>
      <c r="B567" s="1"/>
      <c r="U567" s="1"/>
      <c r="V567" s="1"/>
      <c r="W567" s="14">
        <v>9462</v>
      </c>
      <c r="X567" s="7"/>
      <c r="Y567" s="7"/>
      <c r="Z567" s="7"/>
      <c r="AA567" s="7"/>
      <c r="AB567" s="7"/>
      <c r="AC567" s="7"/>
    </row>
    <row r="568" spans="1:29" ht="25.5" hidden="1">
      <c r="A568" s="19"/>
      <c r="B568" s="1"/>
      <c r="U568" s="1"/>
      <c r="V568" s="1"/>
      <c r="W568" s="14">
        <v>6899</v>
      </c>
      <c r="X568" s="48">
        <v>7486</v>
      </c>
      <c r="Y568" s="7"/>
      <c r="Z568" s="7"/>
      <c r="AA568" s="7"/>
      <c r="AB568" s="7"/>
      <c r="AC568" s="7"/>
    </row>
    <row r="569" spans="1:29" ht="26.25" hidden="1">
      <c r="A569" s="231">
        <v>157</v>
      </c>
      <c r="B569" s="90"/>
      <c r="C569" s="91"/>
      <c r="D569" s="115"/>
      <c r="E569" s="115"/>
      <c r="F569" s="249"/>
      <c r="G569" s="115"/>
      <c r="H569" s="115"/>
      <c r="I569" s="115"/>
      <c r="J569" s="22"/>
      <c r="K569" s="22"/>
      <c r="L569" s="22"/>
      <c r="M569" s="22"/>
      <c r="N569" s="22"/>
      <c r="O569" s="91"/>
      <c r="P569" s="91"/>
      <c r="Q569" s="7"/>
      <c r="R569" s="94"/>
      <c r="S569" s="151"/>
      <c r="T569" s="91"/>
      <c r="U569" s="95"/>
      <c r="V569" s="673"/>
      <c r="W569" s="14"/>
      <c r="X569" s="7"/>
      <c r="Y569" s="7"/>
      <c r="Z569" s="7"/>
      <c r="AA569" s="7"/>
      <c r="AB569" s="7"/>
      <c r="AC569" s="7"/>
    </row>
    <row r="570" spans="1:29" ht="25.5" hidden="1">
      <c r="A570" s="19">
        <v>158</v>
      </c>
      <c r="U570" s="95"/>
      <c r="V570" s="673"/>
      <c r="W570" s="14"/>
      <c r="X570" s="7"/>
      <c r="Y570" s="7"/>
      <c r="Z570" s="7"/>
      <c r="AA570" s="7"/>
      <c r="AB570" s="7"/>
      <c r="AC570" s="7"/>
    </row>
    <row r="571" spans="1:29" ht="26.25" hidden="1">
      <c r="A571" s="19"/>
      <c r="B571" s="148"/>
      <c r="C571" s="91"/>
      <c r="D571" s="91"/>
      <c r="E571" s="91"/>
      <c r="F571" s="91"/>
      <c r="G571" s="91"/>
      <c r="H571" s="91"/>
      <c r="I571" s="115"/>
      <c r="J571" s="22"/>
      <c r="K571" s="22"/>
      <c r="L571" s="22"/>
      <c r="M571" s="22"/>
      <c r="N571" s="22"/>
      <c r="O571" s="91"/>
      <c r="P571" s="91"/>
      <c r="Q571" s="22"/>
      <c r="R571" s="142"/>
      <c r="S571" s="151"/>
      <c r="T571" s="91"/>
      <c r="U571" s="95"/>
      <c r="V571" s="673"/>
      <c r="W571" s="14"/>
      <c r="X571" s="7"/>
      <c r="Y571" s="7"/>
      <c r="Z571" s="7"/>
      <c r="AA571" s="7"/>
      <c r="AB571" s="7"/>
      <c r="AC571" s="7"/>
    </row>
    <row r="572" spans="1:29" ht="25.5" hidden="1">
      <c r="A572" s="19">
        <v>160</v>
      </c>
      <c r="B572" s="1"/>
      <c r="U572" s="95"/>
      <c r="V572" s="673"/>
      <c r="W572" s="14"/>
      <c r="X572" s="7"/>
      <c r="Y572" s="7"/>
      <c r="Z572" s="7"/>
      <c r="AA572" s="7"/>
      <c r="AB572" s="7"/>
      <c r="AC572" s="7"/>
    </row>
    <row r="573" spans="1:29" ht="25.5" hidden="1">
      <c r="A573" s="19">
        <v>161</v>
      </c>
      <c r="B573" s="1"/>
      <c r="U573" s="1"/>
      <c r="V573" s="1"/>
      <c r="W573" s="14"/>
      <c r="X573" s="7"/>
      <c r="Y573" s="7"/>
      <c r="Z573" s="7"/>
      <c r="AA573" s="7"/>
      <c r="AB573" s="7"/>
      <c r="AC573" s="7"/>
    </row>
    <row r="574" spans="1:29" ht="20.25" hidden="1" customHeight="1">
      <c r="A574" s="19">
        <v>163</v>
      </c>
      <c r="B574" s="1"/>
      <c r="U574" s="1"/>
      <c r="V574" s="1"/>
      <c r="W574" s="14" t="s">
        <v>523</v>
      </c>
      <c r="X574" s="7"/>
      <c r="Y574" s="7"/>
      <c r="Z574" s="7"/>
      <c r="AA574" s="7"/>
      <c r="AB574" s="7"/>
      <c r="AC574" s="7"/>
    </row>
    <row r="575" spans="1:29" ht="26.25" hidden="1">
      <c r="A575" s="19"/>
      <c r="B575" s="148"/>
      <c r="C575" s="91"/>
      <c r="D575" s="91"/>
      <c r="E575" s="91"/>
      <c r="F575" s="250"/>
      <c r="G575" s="251"/>
      <c r="H575" s="91"/>
      <c r="I575" s="115"/>
      <c r="J575" s="22"/>
      <c r="K575" s="22"/>
      <c r="L575" s="22"/>
      <c r="M575" s="22"/>
      <c r="N575" s="22"/>
      <c r="O575" s="91"/>
      <c r="P575" s="91"/>
      <c r="Q575" s="22"/>
      <c r="R575" s="142"/>
      <c r="S575" s="151"/>
      <c r="T575" s="91"/>
      <c r="U575" s="95"/>
      <c r="V575" s="673"/>
      <c r="W575" s="14"/>
      <c r="X575" s="7"/>
      <c r="Y575" s="7"/>
      <c r="Z575" s="7"/>
      <c r="AA575" s="7"/>
      <c r="AB575" s="7"/>
      <c r="AC575" s="7"/>
    </row>
    <row r="576" spans="1:29" ht="25.5" hidden="1">
      <c r="A576" s="19">
        <v>164</v>
      </c>
      <c r="U576" s="95"/>
      <c r="V576" s="673"/>
      <c r="W576" s="14"/>
      <c r="X576" s="7"/>
      <c r="Y576" s="7"/>
      <c r="Z576" s="7"/>
      <c r="AA576" s="7"/>
      <c r="AB576" s="7"/>
      <c r="AC576" s="7"/>
    </row>
    <row r="577" spans="1:29" ht="32.25" hidden="1" customHeight="1">
      <c r="A577" s="19">
        <v>165</v>
      </c>
      <c r="U577" s="95"/>
      <c r="V577" s="673"/>
      <c r="W577" s="14"/>
      <c r="X577" s="7"/>
      <c r="Y577" s="7"/>
      <c r="Z577" s="7"/>
      <c r="AA577" s="7"/>
      <c r="AB577" s="7"/>
      <c r="AC577" s="7"/>
    </row>
    <row r="578" spans="1:29" ht="26.25" hidden="1">
      <c r="A578" s="19">
        <v>166</v>
      </c>
      <c r="B578" s="148"/>
      <c r="C578" s="91"/>
      <c r="D578" s="91"/>
      <c r="E578" s="91"/>
      <c r="F578" s="91"/>
      <c r="G578" s="91"/>
      <c r="H578" s="91"/>
      <c r="I578" s="115"/>
      <c r="J578" s="22"/>
      <c r="K578" s="22"/>
      <c r="L578" s="22"/>
      <c r="M578" s="22"/>
      <c r="N578" s="22"/>
      <c r="O578" s="91"/>
      <c r="P578" s="91"/>
      <c r="Q578" s="149"/>
      <c r="R578" s="161"/>
      <c r="S578" s="151"/>
      <c r="T578" s="91">
        <f>(P578-O578)*S578</f>
        <v>0</v>
      </c>
      <c r="U578" s="95"/>
      <c r="V578" s="673"/>
      <c r="W578" s="14"/>
      <c r="X578" s="7"/>
      <c r="Y578" s="7"/>
      <c r="Z578" s="7"/>
      <c r="AA578" s="7"/>
      <c r="AB578" s="7"/>
      <c r="AC578" s="7"/>
    </row>
    <row r="579" spans="1:29" ht="25.5" hidden="1">
      <c r="A579" s="19">
        <v>167</v>
      </c>
      <c r="U579" s="95"/>
      <c r="V579" s="673"/>
      <c r="W579" s="14"/>
      <c r="X579" s="7"/>
      <c r="Y579" s="7"/>
      <c r="Z579" s="7"/>
      <c r="AA579" s="7"/>
      <c r="AB579" s="7"/>
      <c r="AC579" s="7"/>
    </row>
    <row r="580" spans="1:29" ht="25.5" hidden="1">
      <c r="A580" s="19">
        <v>168</v>
      </c>
      <c r="B580" s="1"/>
      <c r="U580" s="1"/>
      <c r="V580" s="1"/>
      <c r="W580" s="14"/>
      <c r="X580" s="7"/>
      <c r="Y580" s="7"/>
      <c r="Z580" s="7"/>
      <c r="AA580" s="7"/>
      <c r="AB580" s="7"/>
      <c r="AC580" s="7"/>
    </row>
    <row r="581" spans="1:29" ht="27.75" hidden="1" customHeight="1">
      <c r="A581" s="19">
        <v>169</v>
      </c>
      <c r="U581" s="95"/>
      <c r="V581" s="673"/>
      <c r="W581" s="14"/>
      <c r="X581" s="7"/>
      <c r="Y581" s="7"/>
      <c r="Z581" s="7"/>
      <c r="AA581" s="7"/>
      <c r="AB581" s="7"/>
      <c r="AC581" s="7"/>
    </row>
    <row r="582" spans="1:29" ht="25.5" hidden="1">
      <c r="A582" s="19">
        <v>170</v>
      </c>
      <c r="B582" s="1"/>
      <c r="U582" s="1"/>
      <c r="V582" s="1"/>
      <c r="W582" s="14"/>
      <c r="X582" s="7"/>
      <c r="Y582" s="7"/>
      <c r="Z582" s="7"/>
      <c r="AA582" s="7"/>
      <c r="AB582" s="7"/>
      <c r="AC582" s="7"/>
    </row>
    <row r="583" spans="1:29" ht="26.25" hidden="1">
      <c r="A583" s="19">
        <v>171</v>
      </c>
      <c r="B583" s="148"/>
      <c r="C583" s="91"/>
      <c r="D583" s="91"/>
      <c r="E583" s="91"/>
      <c r="F583" s="91"/>
      <c r="G583" s="91"/>
      <c r="H583" s="91"/>
      <c r="I583" s="115"/>
      <c r="J583" s="22"/>
      <c r="K583" s="22"/>
      <c r="L583" s="22"/>
      <c r="M583" s="22"/>
      <c r="N583" s="22"/>
      <c r="O583" s="91"/>
      <c r="P583" s="91"/>
      <c r="Q583" s="22"/>
      <c r="R583" s="142"/>
      <c r="S583" s="151"/>
      <c r="T583" s="91">
        <f>(P583-O583)*S583</f>
        <v>0</v>
      </c>
      <c r="U583" s="95"/>
      <c r="V583" s="673"/>
      <c r="W583" s="14"/>
      <c r="X583" s="7"/>
      <c r="Y583" s="7"/>
      <c r="Z583" s="7"/>
      <c r="AA583" s="7"/>
      <c r="AB583" s="7"/>
      <c r="AC583" s="7"/>
    </row>
    <row r="584" spans="1:29" ht="36.75" hidden="1" customHeight="1">
      <c r="A584" s="19" t="s">
        <v>524</v>
      </c>
      <c r="B584" s="1"/>
      <c r="U584" s="1"/>
      <c r="V584" s="1"/>
      <c r="W584" s="14"/>
      <c r="X584" s="7"/>
      <c r="Y584" s="7"/>
      <c r="Z584" s="7"/>
      <c r="AA584" s="7"/>
      <c r="AB584" s="7"/>
      <c r="AC584" s="7"/>
    </row>
    <row r="585" spans="1:29" ht="23.25" hidden="1" customHeight="1">
      <c r="A585" s="19">
        <v>172</v>
      </c>
      <c r="B585" s="1"/>
      <c r="U585" s="1"/>
      <c r="V585" s="1"/>
      <c r="W585" s="14"/>
      <c r="X585" s="7"/>
      <c r="Y585" s="7"/>
      <c r="Z585" s="7"/>
      <c r="AA585" s="7"/>
      <c r="AB585" s="7"/>
      <c r="AC585" s="7"/>
    </row>
    <row r="586" spans="1:29" ht="25.5" hidden="1">
      <c r="A586" s="19"/>
      <c r="B586" s="1"/>
      <c r="U586" s="1"/>
      <c r="V586" s="1"/>
      <c r="W586" s="14" t="s">
        <v>525</v>
      </c>
      <c r="X586" s="7"/>
      <c r="Y586" s="7"/>
      <c r="Z586" s="7"/>
      <c r="AA586" s="7"/>
      <c r="AB586" s="7"/>
      <c r="AC586" s="7"/>
    </row>
    <row r="587" spans="1:29" ht="25.5" hidden="1">
      <c r="A587" s="19"/>
      <c r="B587" s="1"/>
      <c r="U587" s="1"/>
      <c r="V587" s="1"/>
      <c r="W587" s="14"/>
      <c r="X587" s="7"/>
      <c r="Y587" s="7"/>
      <c r="Z587" s="7"/>
      <c r="AA587" s="7"/>
      <c r="AB587" s="7"/>
      <c r="AC587" s="7"/>
    </row>
    <row r="588" spans="1:29" ht="25.5" hidden="1">
      <c r="A588" s="19"/>
      <c r="B588" s="1"/>
      <c r="U588" s="1"/>
      <c r="V588" s="1"/>
      <c r="W588" s="14"/>
      <c r="X588" s="7"/>
      <c r="Y588" s="7"/>
      <c r="Z588" s="7"/>
      <c r="AA588" s="7"/>
      <c r="AB588" s="7"/>
      <c r="AC588" s="7"/>
    </row>
    <row r="589" spans="1:29" ht="12" hidden="1" customHeight="1">
      <c r="A589" s="19"/>
      <c r="B589" s="1"/>
      <c r="U589" s="1"/>
      <c r="V589" s="1"/>
      <c r="W589" s="14" t="s">
        <v>526</v>
      </c>
      <c r="X589" s="7"/>
      <c r="Y589" s="7"/>
      <c r="Z589" s="7"/>
      <c r="AA589" s="7"/>
      <c r="AB589" s="7"/>
      <c r="AC589" s="7"/>
    </row>
    <row r="590" spans="1:29" ht="25.5" hidden="1">
      <c r="A590" s="19">
        <v>173</v>
      </c>
      <c r="B590" s="1"/>
      <c r="U590" s="1"/>
      <c r="V590" s="1"/>
      <c r="W590" s="14" t="s">
        <v>493</v>
      </c>
      <c r="X590" s="7"/>
      <c r="Y590" s="7"/>
      <c r="Z590" s="7"/>
      <c r="AA590" s="7"/>
      <c r="AB590" s="7"/>
      <c r="AC590" s="7"/>
    </row>
    <row r="591" spans="1:29" ht="26.25" hidden="1" customHeight="1">
      <c r="A591" s="19">
        <v>174</v>
      </c>
      <c r="B591" s="1"/>
      <c r="U591" s="1"/>
      <c r="V591" s="1"/>
      <c r="W591" s="14"/>
      <c r="X591" s="7"/>
      <c r="Y591" s="7"/>
      <c r="Z591" s="7"/>
      <c r="AA591" s="7"/>
      <c r="AB591" s="7"/>
      <c r="AC591" s="7"/>
    </row>
    <row r="592" spans="1:29" ht="68.25" hidden="1" customHeight="1">
      <c r="A592" s="19">
        <v>175</v>
      </c>
      <c r="U592" s="95"/>
      <c r="V592" s="673"/>
      <c r="W592" s="14"/>
      <c r="X592" s="7"/>
      <c r="Y592" s="7"/>
      <c r="Z592" s="7"/>
      <c r="AA592" s="7"/>
      <c r="AB592" s="7"/>
      <c r="AC592" s="7"/>
    </row>
    <row r="593" spans="1:29" ht="25.5" hidden="1">
      <c r="A593" s="19">
        <v>177</v>
      </c>
      <c r="U593" s="95"/>
      <c r="V593" s="673"/>
      <c r="W593" s="14">
        <v>126691</v>
      </c>
      <c r="X593" s="7"/>
      <c r="Y593" s="7"/>
      <c r="Z593" s="7"/>
      <c r="AA593" s="7"/>
      <c r="AB593" s="7"/>
      <c r="AC593" s="7"/>
    </row>
    <row r="594" spans="1:29" ht="32.25" hidden="1" customHeight="1">
      <c r="A594" s="19">
        <v>178</v>
      </c>
      <c r="U594" s="95"/>
      <c r="V594" s="673"/>
      <c r="W594" s="14"/>
      <c r="X594" s="7"/>
      <c r="Y594" s="7"/>
      <c r="Z594" s="7"/>
      <c r="AA594" s="7"/>
      <c r="AB594" s="7"/>
      <c r="AC594" s="7"/>
    </row>
    <row r="595" spans="1:29" ht="25.5" hidden="1">
      <c r="A595" s="19">
        <v>179</v>
      </c>
      <c r="B595" s="1"/>
      <c r="U595" s="1"/>
      <c r="V595" s="1"/>
      <c r="W595" s="14"/>
      <c r="X595" s="7"/>
      <c r="Y595" s="7"/>
      <c r="Z595" s="7"/>
      <c r="AA595" s="7"/>
      <c r="AB595" s="7"/>
      <c r="AC595" s="7"/>
    </row>
    <row r="596" spans="1:29" ht="27.75" hidden="1" customHeight="1">
      <c r="A596" s="19">
        <v>180</v>
      </c>
      <c r="B596" s="1"/>
      <c r="U596" s="95"/>
      <c r="V596" s="673"/>
      <c r="W596" s="14"/>
      <c r="X596" s="7"/>
      <c r="Y596" s="7"/>
      <c r="Z596" s="7"/>
      <c r="AA596" s="7"/>
      <c r="AB596" s="7"/>
      <c r="AC596" s="7"/>
    </row>
    <row r="597" spans="1:29" ht="25.5" hidden="1">
      <c r="A597" s="252">
        <v>181</v>
      </c>
      <c r="U597" s="95"/>
      <c r="V597" s="673"/>
      <c r="W597" s="14"/>
      <c r="X597" s="7"/>
      <c r="Y597" s="7"/>
      <c r="Z597" s="7"/>
      <c r="AA597" s="7"/>
      <c r="AB597" s="7"/>
      <c r="AC597" s="7"/>
    </row>
    <row r="598" spans="1:29" ht="25.5" hidden="1">
      <c r="A598" s="19">
        <v>182</v>
      </c>
      <c r="B598" s="1"/>
      <c r="U598" s="1"/>
      <c r="V598" s="1"/>
      <c r="W598" s="14"/>
      <c r="X598" s="7"/>
      <c r="Y598" s="7"/>
      <c r="Z598" s="7"/>
      <c r="AA598" s="7"/>
      <c r="AB598" s="7"/>
      <c r="AC598" s="7"/>
    </row>
    <row r="599" spans="1:29" ht="29.25" hidden="1" customHeight="1">
      <c r="A599" s="19">
        <v>183</v>
      </c>
      <c r="B599" s="1"/>
      <c r="U599" s="95"/>
      <c r="V599" s="673"/>
      <c r="W599" s="14"/>
      <c r="X599" s="7"/>
      <c r="Y599" s="7"/>
      <c r="Z599" s="7"/>
      <c r="AA599" s="7"/>
      <c r="AB599" s="7"/>
      <c r="AC599" s="7"/>
    </row>
    <row r="600" spans="1:29" ht="29.25" hidden="1" customHeight="1">
      <c r="A600" s="19">
        <v>184</v>
      </c>
      <c r="U600" s="95"/>
      <c r="V600" s="673"/>
      <c r="W600" s="14"/>
      <c r="X600" s="7"/>
      <c r="Y600" s="7"/>
      <c r="Z600" s="253"/>
      <c r="AA600" s="253"/>
      <c r="AB600" s="254"/>
      <c r="AC600" s="253"/>
    </row>
    <row r="601" spans="1:29" ht="26.25" hidden="1">
      <c r="A601" s="19">
        <v>185</v>
      </c>
      <c r="B601" s="148"/>
      <c r="C601" s="91"/>
      <c r="D601" s="91"/>
      <c r="E601" s="91"/>
      <c r="F601" s="91"/>
      <c r="G601" s="91"/>
      <c r="H601" s="91"/>
      <c r="I601" s="115"/>
      <c r="J601" s="22"/>
      <c r="K601" s="22"/>
      <c r="L601" s="22"/>
      <c r="M601" s="22"/>
      <c r="N601" s="22"/>
      <c r="O601" s="91"/>
      <c r="P601" s="91"/>
      <c r="Q601" s="122"/>
      <c r="R601" s="173"/>
      <c r="S601" s="151"/>
      <c r="T601" s="91"/>
      <c r="U601" s="95"/>
      <c r="V601" s="673"/>
      <c r="W601" s="14"/>
      <c r="X601" s="7"/>
      <c r="Y601" s="7"/>
      <c r="Z601" s="7"/>
      <c r="AA601" s="7"/>
      <c r="AB601" s="7"/>
      <c r="AC601" s="7"/>
    </row>
    <row r="602" spans="1:29" ht="32.25" hidden="1" customHeight="1">
      <c r="A602" s="19">
        <v>186</v>
      </c>
      <c r="U602" s="95"/>
      <c r="V602" s="673"/>
      <c r="W602" s="14"/>
      <c r="X602" s="7"/>
      <c r="Y602" s="7"/>
      <c r="Z602" s="7"/>
      <c r="AA602" s="7"/>
      <c r="AB602" s="7"/>
      <c r="AC602" s="7"/>
    </row>
    <row r="603" spans="1:29" ht="30" hidden="1" customHeight="1">
      <c r="A603" s="19">
        <v>187</v>
      </c>
      <c r="B603" s="1"/>
      <c r="U603" s="95"/>
      <c r="V603" s="673"/>
      <c r="W603" s="14"/>
      <c r="X603" s="7"/>
      <c r="Y603" s="7"/>
      <c r="Z603" s="7"/>
      <c r="AA603" s="7"/>
      <c r="AB603" s="7"/>
      <c r="AC603" s="7"/>
    </row>
    <row r="604" spans="1:29" ht="26.25" hidden="1">
      <c r="A604" s="19">
        <v>188</v>
      </c>
      <c r="B604" s="148"/>
      <c r="C604" s="91"/>
      <c r="D604" s="91"/>
      <c r="E604" s="91"/>
      <c r="F604" s="91"/>
      <c r="G604" s="91"/>
      <c r="H604" s="91"/>
      <c r="I604" s="115"/>
      <c r="J604" s="22"/>
      <c r="K604" s="22"/>
      <c r="L604" s="22"/>
      <c r="M604" s="22"/>
      <c r="N604" s="22"/>
      <c r="O604" s="91"/>
      <c r="P604" s="91"/>
      <c r="Q604" s="7"/>
      <c r="R604" s="200"/>
      <c r="S604" s="151"/>
      <c r="T604" s="91">
        <f>(P604-O604)*S604</f>
        <v>0</v>
      </c>
      <c r="U604" s="95"/>
      <c r="V604" s="673"/>
      <c r="W604" s="14"/>
      <c r="X604" s="7"/>
      <c r="Y604" s="7"/>
      <c r="Z604" s="7"/>
      <c r="AA604" s="7"/>
      <c r="AB604" s="7"/>
      <c r="AC604" s="7"/>
    </row>
    <row r="605" spans="1:29" ht="25.5" hidden="1">
      <c r="A605" s="19">
        <v>189</v>
      </c>
      <c r="B605" s="1"/>
      <c r="U605" s="95"/>
      <c r="V605" s="673"/>
      <c r="W605" s="14"/>
      <c r="X605" s="7"/>
      <c r="Y605" s="7"/>
      <c r="Z605" s="7"/>
      <c r="AA605" s="7"/>
      <c r="AB605" s="7"/>
      <c r="AC605" s="7"/>
    </row>
    <row r="606" spans="1:29" ht="26.25" hidden="1">
      <c r="A606" s="19">
        <v>190</v>
      </c>
      <c r="B606" s="148"/>
      <c r="C606" s="91"/>
      <c r="D606" s="91"/>
      <c r="E606" s="91"/>
      <c r="F606" s="91"/>
      <c r="G606" s="91"/>
      <c r="H606" s="91"/>
      <c r="I606" s="115"/>
      <c r="J606" s="22"/>
      <c r="K606" s="22"/>
      <c r="L606" s="22"/>
      <c r="M606" s="22"/>
      <c r="N606" s="22"/>
      <c r="O606" s="91"/>
      <c r="P606" s="91"/>
      <c r="Q606" s="7"/>
      <c r="R606" s="142"/>
      <c r="S606" s="151"/>
      <c r="T606" s="91">
        <f>(P606-O606)*S606</f>
        <v>0</v>
      </c>
      <c r="U606" s="95"/>
      <c r="V606" s="673"/>
      <c r="W606" s="14" t="s">
        <v>527</v>
      </c>
      <c r="X606" s="7"/>
      <c r="Y606" s="7"/>
      <c r="Z606" s="7"/>
      <c r="AA606" s="7"/>
      <c r="AB606" s="7"/>
      <c r="AC606" s="7"/>
    </row>
    <row r="607" spans="1:29" ht="26.25" hidden="1" customHeight="1">
      <c r="A607" s="19">
        <v>191</v>
      </c>
      <c r="U607" s="95"/>
      <c r="V607" s="673"/>
      <c r="W607" s="14"/>
      <c r="X607" s="7"/>
      <c r="Y607" s="7"/>
      <c r="Z607" s="7"/>
      <c r="AA607" s="7"/>
      <c r="AB607" s="7"/>
      <c r="AC607" s="7"/>
    </row>
    <row r="608" spans="1:29" ht="25.5" hidden="1">
      <c r="A608" s="19">
        <v>192</v>
      </c>
      <c r="B608" s="1"/>
      <c r="U608" s="1"/>
      <c r="V608" s="1"/>
      <c r="W608" s="14"/>
      <c r="X608" s="7"/>
      <c r="Y608" s="7"/>
      <c r="Z608" s="7"/>
      <c r="AA608" s="7"/>
      <c r="AB608" s="7"/>
      <c r="AC608" s="7"/>
    </row>
    <row r="609" spans="1:29" ht="26.25" hidden="1">
      <c r="A609" s="19">
        <v>193</v>
      </c>
      <c r="B609" s="148"/>
      <c r="C609" s="91"/>
      <c r="D609" s="91"/>
      <c r="E609" s="91"/>
      <c r="F609" s="91"/>
      <c r="G609" s="91"/>
      <c r="H609" s="91"/>
      <c r="I609" s="115"/>
      <c r="J609" s="22"/>
      <c r="K609" s="22"/>
      <c r="L609" s="22"/>
      <c r="M609" s="22"/>
      <c r="N609" s="22"/>
      <c r="O609" s="91"/>
      <c r="P609" s="91"/>
      <c r="Q609" s="22"/>
      <c r="R609" s="142"/>
      <c r="S609" s="151"/>
      <c r="T609" s="91">
        <f>(P609-O609)*S609</f>
        <v>0</v>
      </c>
      <c r="U609" s="95"/>
      <c r="V609" s="673"/>
      <c r="W609" s="14"/>
      <c r="X609" s="7"/>
      <c r="Y609" s="7"/>
      <c r="Z609" s="7"/>
      <c r="AA609" s="7"/>
      <c r="AB609" s="7"/>
      <c r="AC609" s="7"/>
    </row>
    <row r="610" spans="1:29" ht="29.25" hidden="1" customHeight="1">
      <c r="A610" s="19">
        <v>194</v>
      </c>
      <c r="U610" s="95"/>
      <c r="V610" s="673"/>
      <c r="W610" s="14"/>
      <c r="X610" s="7"/>
      <c r="Y610" s="7"/>
      <c r="Z610" s="7"/>
      <c r="AA610" s="7"/>
      <c r="AB610" s="7"/>
      <c r="AC610" s="7"/>
    </row>
    <row r="611" spans="1:29" ht="26.25" hidden="1">
      <c r="A611" s="19">
        <v>195</v>
      </c>
      <c r="B611" s="148"/>
      <c r="C611" s="91"/>
      <c r="D611" s="91"/>
      <c r="E611" s="91"/>
      <c r="F611" s="91"/>
      <c r="G611" s="91"/>
      <c r="H611" s="91"/>
      <c r="I611" s="115"/>
      <c r="J611" s="22"/>
      <c r="K611" s="22"/>
      <c r="L611" s="22"/>
      <c r="M611" s="22"/>
      <c r="N611" s="22"/>
      <c r="O611" s="91"/>
      <c r="P611" s="91"/>
      <c r="Q611" s="149"/>
      <c r="R611" s="161"/>
      <c r="S611" s="151"/>
      <c r="T611" s="91"/>
      <c r="U611" s="95"/>
      <c r="V611" s="673"/>
      <c r="W611" s="14" t="s">
        <v>528</v>
      </c>
      <c r="X611" s="7"/>
      <c r="Y611" s="7"/>
      <c r="Z611" s="7"/>
      <c r="AA611" s="7"/>
      <c r="AB611" s="7"/>
      <c r="AC611" s="7"/>
    </row>
    <row r="612" spans="1:29" ht="30" hidden="1" customHeight="1">
      <c r="A612" s="19">
        <v>196</v>
      </c>
      <c r="U612" s="95"/>
      <c r="V612" s="673"/>
      <c r="W612" s="14"/>
      <c r="X612" s="7"/>
      <c r="Y612" s="7"/>
      <c r="Z612" s="7"/>
      <c r="AA612" s="7"/>
      <c r="AB612" s="7"/>
      <c r="AC612" s="7"/>
    </row>
    <row r="613" spans="1:29" ht="27" hidden="1" customHeight="1">
      <c r="A613" s="19"/>
      <c r="B613" s="90"/>
      <c r="C613" s="115"/>
      <c r="D613" s="115"/>
      <c r="E613" s="115"/>
      <c r="F613" s="91"/>
      <c r="G613" s="91"/>
      <c r="H613" s="115"/>
      <c r="I613" s="115"/>
      <c r="J613" s="22"/>
      <c r="K613" s="22"/>
      <c r="L613" s="22"/>
      <c r="M613" s="22"/>
      <c r="N613" s="22"/>
      <c r="O613" s="91"/>
      <c r="P613" s="91"/>
      <c r="Q613" s="149"/>
      <c r="R613" s="161"/>
      <c r="S613" s="151"/>
      <c r="T613" s="91">
        <f>(P613-O613)*S613</f>
        <v>0</v>
      </c>
      <c r="U613" s="95"/>
      <c r="V613" s="673"/>
      <c r="W613" s="14"/>
      <c r="X613" s="7"/>
      <c r="Y613" s="7"/>
      <c r="Z613" s="7"/>
      <c r="AA613" s="7"/>
      <c r="AB613" s="7"/>
      <c r="AC613" s="7"/>
    </row>
    <row r="614" spans="1:29" ht="29.25" customHeight="1">
      <c r="A614" s="19"/>
      <c r="B614" s="90" t="s">
        <v>480</v>
      </c>
      <c r="C614" s="91"/>
      <c r="D614" s="91"/>
      <c r="E614" s="91"/>
      <c r="F614" s="91"/>
      <c r="G614" s="91"/>
      <c r="H614" s="91"/>
      <c r="I614" s="115"/>
      <c r="J614" s="22"/>
      <c r="K614" s="22"/>
      <c r="L614" s="22"/>
      <c r="M614" s="22"/>
      <c r="N614" s="22"/>
      <c r="O614" s="91"/>
      <c r="P614" s="91"/>
      <c r="Q614" s="149"/>
      <c r="R614" s="161"/>
      <c r="S614" s="151"/>
      <c r="T614" s="91"/>
      <c r="U614" s="95"/>
      <c r="V614" s="673"/>
      <c r="W614" s="14"/>
      <c r="X614" s="7"/>
      <c r="Y614" s="7"/>
      <c r="Z614" s="255"/>
      <c r="AA614" s="255"/>
      <c r="AB614" s="255"/>
      <c r="AC614" s="255"/>
    </row>
    <row r="615" spans="1:29" ht="29.25" customHeight="1">
      <c r="A615" s="19"/>
      <c r="B615" s="27" t="s">
        <v>529</v>
      </c>
      <c r="C615" s="28">
        <f>H615+E615</f>
        <v>209.72</v>
      </c>
      <c r="D615" s="72"/>
      <c r="E615" s="28">
        <f>F615+G615</f>
        <v>13.719999999999999</v>
      </c>
      <c r="F615" s="28">
        <f t="shared" ref="F615:F654" si="79">0.04*H615</f>
        <v>7.84</v>
      </c>
      <c r="G615" s="28">
        <f t="shared" ref="G615:G654" si="80">0.03*H615</f>
        <v>5.88</v>
      </c>
      <c r="H615" s="28">
        <f>T615</f>
        <v>196</v>
      </c>
      <c r="I615" s="28">
        <f>0.5*C615</f>
        <v>104.86</v>
      </c>
      <c r="J615" s="29"/>
      <c r="K615" s="29"/>
      <c r="L615" s="29"/>
      <c r="M615" s="29"/>
      <c r="N615" s="29"/>
      <c r="O615" s="414">
        <v>14666</v>
      </c>
      <c r="P615" s="414">
        <v>14862</v>
      </c>
      <c r="Q615" s="146"/>
      <c r="R615" s="61"/>
      <c r="S615" s="54">
        <v>1</v>
      </c>
      <c r="T615" s="28">
        <f t="shared" ref="T615:T638" si="81">(P615-O615)*S615</f>
        <v>196</v>
      </c>
      <c r="U615" s="31">
        <v>2262538</v>
      </c>
      <c r="V615" s="677" t="s">
        <v>530</v>
      </c>
      <c r="W615" s="14" t="s">
        <v>43</v>
      </c>
      <c r="X615" s="7"/>
      <c r="Y615" s="7"/>
      <c r="Z615" s="7"/>
      <c r="AA615" s="7"/>
      <c r="AB615" s="7"/>
      <c r="AC615" s="7"/>
    </row>
    <row r="616" spans="1:29" ht="30" customHeight="1">
      <c r="A616" s="19"/>
      <c r="B616" s="27" t="s">
        <v>531</v>
      </c>
      <c r="C616" s="28">
        <f t="shared" ref="C616:C646" si="82">H616+E616</f>
        <v>0</v>
      </c>
      <c r="D616" s="28"/>
      <c r="E616" s="28">
        <f t="shared" ref="E616:E654" si="83">F616+G616</f>
        <v>0</v>
      </c>
      <c r="F616" s="28">
        <f t="shared" si="79"/>
        <v>0</v>
      </c>
      <c r="G616" s="28">
        <f t="shared" si="80"/>
        <v>0</v>
      </c>
      <c r="H616" s="28">
        <f>T616</f>
        <v>0</v>
      </c>
      <c r="I616" s="28">
        <f t="shared" ref="I616:I646" si="84">0.5*C616</f>
        <v>0</v>
      </c>
      <c r="J616" s="29"/>
      <c r="K616" s="29"/>
      <c r="L616" s="29"/>
      <c r="M616" s="29"/>
      <c r="N616" s="29"/>
      <c r="O616" s="414">
        <v>45710</v>
      </c>
      <c r="P616" s="414">
        <v>45710</v>
      </c>
      <c r="Q616" s="29"/>
      <c r="R616" s="348"/>
      <c r="S616" s="54">
        <v>1</v>
      </c>
      <c r="T616" s="28">
        <f t="shared" si="81"/>
        <v>0</v>
      </c>
      <c r="U616" s="31">
        <v>5521045</v>
      </c>
      <c r="V616" s="677" t="s">
        <v>532</v>
      </c>
      <c r="W616" s="14" t="s">
        <v>43</v>
      </c>
      <c r="X616" s="7"/>
      <c r="Y616" s="7"/>
      <c r="Z616" s="7"/>
      <c r="AA616" s="7"/>
      <c r="AB616" s="7"/>
      <c r="AC616" s="7"/>
    </row>
    <row r="617" spans="1:29" ht="27" customHeight="1">
      <c r="A617" s="19"/>
      <c r="B617" s="27" t="s">
        <v>533</v>
      </c>
      <c r="C617" s="28">
        <f t="shared" si="82"/>
        <v>363.8</v>
      </c>
      <c r="D617" s="77"/>
      <c r="E617" s="28">
        <f t="shared" si="83"/>
        <v>23.799999999999997</v>
      </c>
      <c r="F617" s="28">
        <f t="shared" si="79"/>
        <v>13.6</v>
      </c>
      <c r="G617" s="28">
        <f t="shared" si="80"/>
        <v>10.199999999999999</v>
      </c>
      <c r="H617" s="28">
        <f t="shared" ref="H617:H650" si="85">T617</f>
        <v>340</v>
      </c>
      <c r="I617" s="28">
        <f t="shared" si="84"/>
        <v>181.9</v>
      </c>
      <c r="J617" s="29"/>
      <c r="K617" s="29"/>
      <c r="L617" s="29"/>
      <c r="M617" s="29"/>
      <c r="N617" s="29"/>
      <c r="O617" s="414">
        <v>36250</v>
      </c>
      <c r="P617" s="414">
        <v>36590</v>
      </c>
      <c r="Q617" s="30"/>
      <c r="R617" s="256"/>
      <c r="S617" s="54">
        <v>1</v>
      </c>
      <c r="T617" s="28">
        <f t="shared" si="81"/>
        <v>340</v>
      </c>
      <c r="U617" s="31">
        <v>2261340</v>
      </c>
      <c r="V617" s="677" t="s">
        <v>534</v>
      </c>
      <c r="W617" s="14" t="s">
        <v>43</v>
      </c>
      <c r="X617" s="7"/>
      <c r="Y617" s="7"/>
      <c r="Z617" s="7"/>
      <c r="AA617" s="7"/>
      <c r="AB617" s="7"/>
      <c r="AC617" s="7"/>
    </row>
    <row r="618" spans="1:29" ht="30" customHeight="1">
      <c r="A618" s="19"/>
      <c r="B618" s="27" t="s">
        <v>535</v>
      </c>
      <c r="C618" s="28">
        <f t="shared" si="82"/>
        <v>714.76</v>
      </c>
      <c r="D618" s="77"/>
      <c r="E618" s="28">
        <f t="shared" si="83"/>
        <v>46.76</v>
      </c>
      <c r="F618" s="28">
        <f t="shared" si="79"/>
        <v>26.72</v>
      </c>
      <c r="G618" s="28">
        <f t="shared" si="80"/>
        <v>20.04</v>
      </c>
      <c r="H618" s="28">
        <f t="shared" si="85"/>
        <v>668</v>
      </c>
      <c r="I618" s="28">
        <f t="shared" si="84"/>
        <v>357.38</v>
      </c>
      <c r="J618" s="29"/>
      <c r="K618" s="29"/>
      <c r="L618" s="29"/>
      <c r="M618" s="29"/>
      <c r="N618" s="29"/>
      <c r="O618" s="414">
        <v>44652</v>
      </c>
      <c r="P618" s="414">
        <v>45320</v>
      </c>
      <c r="Q618" s="30"/>
      <c r="R618" s="256"/>
      <c r="S618" s="54">
        <v>1</v>
      </c>
      <c r="T618" s="28">
        <f t="shared" si="81"/>
        <v>668</v>
      </c>
      <c r="U618" s="31">
        <v>5510929</v>
      </c>
      <c r="V618" s="677" t="s">
        <v>536</v>
      </c>
      <c r="W618" s="14" t="s">
        <v>43</v>
      </c>
      <c r="X618" s="7"/>
      <c r="Y618" s="7"/>
      <c r="Z618" s="7"/>
      <c r="AA618" s="7"/>
      <c r="AB618" s="7"/>
      <c r="AC618" s="7"/>
    </row>
    <row r="619" spans="1:29" ht="27.75" customHeight="1">
      <c r="A619" s="19"/>
      <c r="B619" s="27" t="s">
        <v>537</v>
      </c>
      <c r="C619" s="28">
        <f t="shared" si="82"/>
        <v>395.9</v>
      </c>
      <c r="D619" s="72"/>
      <c r="E619" s="28">
        <f t="shared" si="83"/>
        <v>25.9</v>
      </c>
      <c r="F619" s="28">
        <f t="shared" si="79"/>
        <v>14.8</v>
      </c>
      <c r="G619" s="28">
        <f t="shared" si="80"/>
        <v>11.1</v>
      </c>
      <c r="H619" s="28">
        <f t="shared" si="85"/>
        <v>370</v>
      </c>
      <c r="I619" s="28">
        <f t="shared" si="84"/>
        <v>197.95</v>
      </c>
      <c r="J619" s="29"/>
      <c r="K619" s="29"/>
      <c r="L619" s="29"/>
      <c r="M619" s="29"/>
      <c r="N619" s="29"/>
      <c r="O619" s="414">
        <v>68321</v>
      </c>
      <c r="P619" s="414">
        <v>68691</v>
      </c>
      <c r="Q619" s="30"/>
      <c r="R619" s="256"/>
      <c r="S619" s="54">
        <v>1</v>
      </c>
      <c r="T619" s="28">
        <f t="shared" si="81"/>
        <v>370</v>
      </c>
      <c r="U619" s="31">
        <v>5511505</v>
      </c>
      <c r="V619" s="677" t="s">
        <v>538</v>
      </c>
      <c r="W619" s="14" t="s">
        <v>43</v>
      </c>
      <c r="X619" s="7"/>
      <c r="Y619" s="7"/>
      <c r="Z619" s="7"/>
      <c r="AA619" s="7"/>
      <c r="AB619" s="7"/>
      <c r="AC619" s="7"/>
    </row>
    <row r="620" spans="1:29" ht="27" customHeight="1">
      <c r="A620" s="19"/>
      <c r="B620" s="27" t="s">
        <v>539</v>
      </c>
      <c r="C620" s="28">
        <f t="shared" si="82"/>
        <v>188.32</v>
      </c>
      <c r="D620" s="77"/>
      <c r="E620" s="28">
        <f t="shared" si="83"/>
        <v>12.32</v>
      </c>
      <c r="F620" s="28">
        <f t="shared" si="79"/>
        <v>7.04</v>
      </c>
      <c r="G620" s="28">
        <f t="shared" si="80"/>
        <v>5.2799999999999994</v>
      </c>
      <c r="H620" s="28">
        <f t="shared" si="85"/>
        <v>176</v>
      </c>
      <c r="I620" s="28">
        <f t="shared" si="84"/>
        <v>94.16</v>
      </c>
      <c r="J620" s="29"/>
      <c r="K620" s="29"/>
      <c r="L620" s="29"/>
      <c r="M620" s="29"/>
      <c r="N620" s="29"/>
      <c r="O620" s="414">
        <v>38837</v>
      </c>
      <c r="P620" s="414">
        <v>39013</v>
      </c>
      <c r="Q620" s="30"/>
      <c r="R620" s="256"/>
      <c r="S620" s="54">
        <v>1</v>
      </c>
      <c r="T620" s="28">
        <f t="shared" si="81"/>
        <v>176</v>
      </c>
      <c r="U620" s="31">
        <v>5510311</v>
      </c>
      <c r="V620" s="677" t="s">
        <v>540</v>
      </c>
      <c r="W620" s="14" t="s">
        <v>43</v>
      </c>
      <c r="X620" s="7"/>
      <c r="Y620" s="7"/>
      <c r="Z620" s="7"/>
      <c r="AA620" s="7"/>
      <c r="AB620" s="7"/>
      <c r="AC620" s="7"/>
    </row>
    <row r="621" spans="1:29" ht="25.5" customHeight="1">
      <c r="A621" s="19"/>
      <c r="B621" s="27" t="s">
        <v>890</v>
      </c>
      <c r="C621" s="28">
        <f t="shared" si="82"/>
        <v>264.29000000000002</v>
      </c>
      <c r="D621" s="77"/>
      <c r="E621" s="28">
        <f t="shared" si="83"/>
        <v>17.29</v>
      </c>
      <c r="F621" s="28">
        <f t="shared" si="79"/>
        <v>9.8800000000000008</v>
      </c>
      <c r="G621" s="28">
        <f t="shared" si="80"/>
        <v>7.41</v>
      </c>
      <c r="H621" s="28">
        <f t="shared" si="85"/>
        <v>247</v>
      </c>
      <c r="I621" s="28">
        <f t="shared" si="84"/>
        <v>132.14500000000001</v>
      </c>
      <c r="J621" s="29"/>
      <c r="K621" s="29"/>
      <c r="L621" s="29"/>
      <c r="M621" s="29"/>
      <c r="N621" s="29"/>
      <c r="O621" s="414">
        <v>49318</v>
      </c>
      <c r="P621" s="414">
        <v>49565</v>
      </c>
      <c r="Q621" s="30"/>
      <c r="R621" s="256"/>
      <c r="S621" s="54">
        <v>1</v>
      </c>
      <c r="T621" s="28">
        <f t="shared" si="81"/>
        <v>247</v>
      </c>
      <c r="U621" s="31">
        <v>5510177</v>
      </c>
      <c r="V621" s="677" t="s">
        <v>542</v>
      </c>
      <c r="W621" s="14" t="s">
        <v>90</v>
      </c>
      <c r="X621" s="255"/>
      <c r="Y621" s="255"/>
      <c r="Z621" s="7"/>
      <c r="AA621" s="7"/>
      <c r="AB621" s="7"/>
      <c r="AC621" s="7"/>
    </row>
    <row r="622" spans="1:29" ht="31.5" customHeight="1">
      <c r="A622" s="19"/>
      <c r="B622" s="27" t="s">
        <v>750</v>
      </c>
      <c r="C622" s="28">
        <f t="shared" si="82"/>
        <v>329.56</v>
      </c>
      <c r="D622" s="77"/>
      <c r="E622" s="28">
        <f t="shared" si="83"/>
        <v>21.560000000000002</v>
      </c>
      <c r="F622" s="28">
        <f t="shared" si="79"/>
        <v>12.32</v>
      </c>
      <c r="G622" s="28">
        <f t="shared" si="80"/>
        <v>9.24</v>
      </c>
      <c r="H622" s="28">
        <f t="shared" si="85"/>
        <v>308</v>
      </c>
      <c r="I622" s="28">
        <f t="shared" si="84"/>
        <v>164.78</v>
      </c>
      <c r="J622" s="29"/>
      <c r="K622" s="29"/>
      <c r="L622" s="29"/>
      <c r="M622" s="29"/>
      <c r="N622" s="29"/>
      <c r="O622" s="414">
        <v>89148</v>
      </c>
      <c r="P622" s="414">
        <v>89456</v>
      </c>
      <c r="Q622" s="30"/>
      <c r="R622" s="256"/>
      <c r="S622" s="54">
        <v>1</v>
      </c>
      <c r="T622" s="28">
        <f t="shared" si="81"/>
        <v>308</v>
      </c>
      <c r="U622" s="31">
        <v>2262535</v>
      </c>
      <c r="V622" s="677" t="s">
        <v>543</v>
      </c>
      <c r="W622" s="14" t="s">
        <v>90</v>
      </c>
      <c r="X622" s="7"/>
      <c r="Y622" s="7"/>
      <c r="Z622" s="7"/>
      <c r="AA622" s="7"/>
      <c r="AB622" s="7"/>
      <c r="AC622" s="7"/>
    </row>
    <row r="623" spans="1:29" ht="25.5">
      <c r="A623" s="19"/>
      <c r="B623" s="27" t="s">
        <v>544</v>
      </c>
      <c r="C623" s="28">
        <f t="shared" si="82"/>
        <v>859.21</v>
      </c>
      <c r="D623" s="77"/>
      <c r="E623" s="28">
        <f t="shared" si="83"/>
        <v>56.209999999999994</v>
      </c>
      <c r="F623" s="28">
        <f t="shared" si="79"/>
        <v>32.119999999999997</v>
      </c>
      <c r="G623" s="28">
        <f t="shared" si="80"/>
        <v>24.09</v>
      </c>
      <c r="H623" s="28">
        <f t="shared" si="85"/>
        <v>803</v>
      </c>
      <c r="I623" s="28">
        <f t="shared" si="84"/>
        <v>429.60500000000002</v>
      </c>
      <c r="J623" s="29"/>
      <c r="K623" s="29"/>
      <c r="L623" s="29"/>
      <c r="M623" s="29"/>
      <c r="N623" s="29"/>
      <c r="O623" s="414">
        <v>43940</v>
      </c>
      <c r="P623" s="414">
        <v>44743</v>
      </c>
      <c r="Q623" s="146"/>
      <c r="R623" s="147"/>
      <c r="S623" s="54">
        <v>1</v>
      </c>
      <c r="T623" s="28">
        <f t="shared" si="81"/>
        <v>803</v>
      </c>
      <c r="U623" s="31" t="s">
        <v>545</v>
      </c>
      <c r="V623" s="677" t="s">
        <v>546</v>
      </c>
      <c r="W623" s="14" t="s">
        <v>90</v>
      </c>
      <c r="X623" s="7"/>
      <c r="Y623" s="7"/>
      <c r="Z623" s="7"/>
      <c r="AA623" s="7"/>
      <c r="AB623" s="7"/>
      <c r="AC623" s="7"/>
    </row>
    <row r="624" spans="1:29" ht="27" customHeight="1">
      <c r="A624" s="19"/>
      <c r="B624" s="27" t="s">
        <v>547</v>
      </c>
      <c r="C624" s="28">
        <f t="shared" si="82"/>
        <v>12630.28</v>
      </c>
      <c r="D624" s="77"/>
      <c r="E624" s="28">
        <f t="shared" si="83"/>
        <v>826.28</v>
      </c>
      <c r="F624" s="28">
        <f t="shared" si="79"/>
        <v>472.16</v>
      </c>
      <c r="G624" s="28">
        <f t="shared" si="80"/>
        <v>354.12</v>
      </c>
      <c r="H624" s="28">
        <f t="shared" si="85"/>
        <v>11804</v>
      </c>
      <c r="I624" s="28">
        <f t="shared" si="84"/>
        <v>6315.14</v>
      </c>
      <c r="J624" s="29"/>
      <c r="K624" s="29"/>
      <c r="L624" s="29"/>
      <c r="M624" s="29"/>
      <c r="N624" s="29"/>
      <c r="O624" s="414">
        <v>260654</v>
      </c>
      <c r="P624" s="414">
        <v>272458</v>
      </c>
      <c r="Q624" s="146"/>
      <c r="R624" s="147"/>
      <c r="S624" s="54">
        <v>1</v>
      </c>
      <c r="T624" s="28">
        <f t="shared" si="81"/>
        <v>11804</v>
      </c>
      <c r="U624" s="31"/>
      <c r="V624" s="677" t="s">
        <v>548</v>
      </c>
      <c r="W624" s="14" t="s">
        <v>90</v>
      </c>
      <c r="X624" s="7"/>
      <c r="Y624" s="7"/>
      <c r="Z624" s="7"/>
      <c r="AA624" s="7"/>
      <c r="AB624" s="7"/>
      <c r="AC624" s="7"/>
    </row>
    <row r="625" spans="1:29" ht="26.25">
      <c r="A625" s="257"/>
      <c r="B625" s="449" t="s">
        <v>549</v>
      </c>
      <c r="C625" s="28">
        <f t="shared" si="82"/>
        <v>520.02</v>
      </c>
      <c r="D625" s="450"/>
      <c r="E625" s="28">
        <f t="shared" si="83"/>
        <v>34.020000000000003</v>
      </c>
      <c r="F625" s="28">
        <f t="shared" si="79"/>
        <v>19.440000000000001</v>
      </c>
      <c r="G625" s="28">
        <f t="shared" si="80"/>
        <v>14.58</v>
      </c>
      <c r="H625" s="28">
        <f t="shared" si="85"/>
        <v>486</v>
      </c>
      <c r="I625" s="28">
        <f t="shared" si="84"/>
        <v>260.01</v>
      </c>
      <c r="J625" s="46"/>
      <c r="K625" s="29"/>
      <c r="L625" s="29"/>
      <c r="M625" s="29"/>
      <c r="N625" s="29"/>
      <c r="O625" s="451">
        <v>48810</v>
      </c>
      <c r="P625" s="451">
        <v>49296</v>
      </c>
      <c r="Q625" s="30"/>
      <c r="R625" s="452"/>
      <c r="S625" s="54">
        <v>1</v>
      </c>
      <c r="T625" s="28">
        <f t="shared" si="81"/>
        <v>486</v>
      </c>
      <c r="U625" s="31">
        <v>2261380</v>
      </c>
      <c r="V625" s="677" t="s">
        <v>550</v>
      </c>
      <c r="W625" s="14" t="s">
        <v>90</v>
      </c>
      <c r="X625" s="7"/>
      <c r="Y625" s="7"/>
      <c r="Z625" s="7"/>
      <c r="AA625" s="7"/>
      <c r="AB625" s="7"/>
      <c r="AC625" s="7"/>
    </row>
    <row r="626" spans="1:29" ht="25.5">
      <c r="A626" s="23"/>
      <c r="B626" s="62" t="s">
        <v>891</v>
      </c>
      <c r="C626" s="28">
        <f t="shared" si="82"/>
        <v>1443.43</v>
      </c>
      <c r="D626" s="453"/>
      <c r="E626" s="28">
        <f t="shared" si="83"/>
        <v>94.43</v>
      </c>
      <c r="F626" s="28">
        <f t="shared" si="79"/>
        <v>53.96</v>
      </c>
      <c r="G626" s="28">
        <f t="shared" si="80"/>
        <v>40.47</v>
      </c>
      <c r="H626" s="28">
        <f t="shared" si="85"/>
        <v>1349</v>
      </c>
      <c r="I626" s="28">
        <f t="shared" si="84"/>
        <v>721.71500000000003</v>
      </c>
      <c r="J626" s="348"/>
      <c r="K626" s="348"/>
      <c r="L626" s="348"/>
      <c r="M626" s="348"/>
      <c r="N626" s="348"/>
      <c r="O626" s="454">
        <v>66172</v>
      </c>
      <c r="P626" s="454">
        <v>67521</v>
      </c>
      <c r="Q626" s="351"/>
      <c r="R626" s="351"/>
      <c r="S626" s="54">
        <v>1</v>
      </c>
      <c r="T626" s="28">
        <f t="shared" si="81"/>
        <v>1349</v>
      </c>
      <c r="U626" s="31">
        <v>2261167</v>
      </c>
      <c r="V626" s="677" t="s">
        <v>552</v>
      </c>
      <c r="W626" s="14" t="s">
        <v>90</v>
      </c>
      <c r="X626" s="7"/>
      <c r="Y626" s="7"/>
      <c r="Z626" s="7"/>
      <c r="AA626" s="7"/>
      <c r="AB626" s="7"/>
      <c r="AC626" s="7"/>
    </row>
    <row r="627" spans="1:29" ht="25.5">
      <c r="A627" s="23"/>
      <c r="B627" s="62" t="s">
        <v>553</v>
      </c>
      <c r="C627" s="28">
        <f t="shared" si="82"/>
        <v>357.38</v>
      </c>
      <c r="D627" s="77"/>
      <c r="E627" s="28">
        <f t="shared" si="83"/>
        <v>23.38</v>
      </c>
      <c r="F627" s="28">
        <f t="shared" si="79"/>
        <v>13.36</v>
      </c>
      <c r="G627" s="28">
        <f t="shared" si="80"/>
        <v>10.02</v>
      </c>
      <c r="H627" s="28">
        <f t="shared" si="85"/>
        <v>334</v>
      </c>
      <c r="I627" s="28">
        <f t="shared" si="84"/>
        <v>178.69</v>
      </c>
      <c r="J627" s="348"/>
      <c r="K627" s="348"/>
      <c r="L627" s="348"/>
      <c r="M627" s="348"/>
      <c r="N627" s="348"/>
      <c r="O627" s="454">
        <v>27196</v>
      </c>
      <c r="P627" s="454">
        <v>27530</v>
      </c>
      <c r="Q627" s="351"/>
      <c r="R627" s="351"/>
      <c r="S627" s="54">
        <v>1</v>
      </c>
      <c r="T627" s="28">
        <f t="shared" si="81"/>
        <v>334</v>
      </c>
      <c r="U627" s="31">
        <v>5510402</v>
      </c>
      <c r="V627" s="677" t="s">
        <v>554</v>
      </c>
      <c r="W627" s="14" t="s">
        <v>43</v>
      </c>
      <c r="X627" s="7"/>
      <c r="Y627" s="7"/>
      <c r="Z627" s="7"/>
      <c r="AA627" s="7"/>
      <c r="AB627" s="7"/>
      <c r="AC627" s="7"/>
    </row>
    <row r="628" spans="1:29" ht="25.5">
      <c r="A628" s="23"/>
      <c r="B628" s="62" t="s">
        <v>892</v>
      </c>
      <c r="C628" s="28">
        <f t="shared" si="82"/>
        <v>340.26</v>
      </c>
      <c r="D628" s="77"/>
      <c r="E628" s="28">
        <f t="shared" si="83"/>
        <v>22.259999999999998</v>
      </c>
      <c r="F628" s="28">
        <f t="shared" si="79"/>
        <v>12.72</v>
      </c>
      <c r="G628" s="28">
        <f t="shared" si="80"/>
        <v>9.5399999999999991</v>
      </c>
      <c r="H628" s="28">
        <f t="shared" si="85"/>
        <v>318</v>
      </c>
      <c r="I628" s="28">
        <f t="shared" si="84"/>
        <v>170.13</v>
      </c>
      <c r="J628" s="348"/>
      <c r="K628" s="348"/>
      <c r="L628" s="348"/>
      <c r="M628" s="348"/>
      <c r="N628" s="348"/>
      <c r="O628" s="454">
        <v>37338</v>
      </c>
      <c r="P628" s="454">
        <v>37656</v>
      </c>
      <c r="Q628" s="351"/>
      <c r="R628" s="351"/>
      <c r="S628" s="54">
        <v>1</v>
      </c>
      <c r="T628" s="28">
        <f t="shared" si="81"/>
        <v>318</v>
      </c>
      <c r="U628" s="31">
        <v>5509256</v>
      </c>
      <c r="V628" s="677" t="s">
        <v>263</v>
      </c>
      <c r="W628" s="14" t="s">
        <v>43</v>
      </c>
      <c r="X628" s="7"/>
      <c r="Y628" s="7"/>
      <c r="Z628" s="7"/>
      <c r="AA628" s="7"/>
      <c r="AB628" s="7"/>
      <c r="AC628" s="7"/>
    </row>
    <row r="629" spans="1:29" ht="25.5">
      <c r="A629" s="23"/>
      <c r="B629" s="62" t="s">
        <v>556</v>
      </c>
      <c r="C629" s="28">
        <f>H629+E629</f>
        <v>560.67999999999995</v>
      </c>
      <c r="D629" s="77"/>
      <c r="E629" s="28">
        <f t="shared" si="83"/>
        <v>36.68</v>
      </c>
      <c r="F629" s="28">
        <f t="shared" si="79"/>
        <v>20.96</v>
      </c>
      <c r="G629" s="28">
        <f t="shared" si="80"/>
        <v>15.719999999999999</v>
      </c>
      <c r="H629" s="28">
        <f t="shared" si="85"/>
        <v>524</v>
      </c>
      <c r="I629" s="28">
        <f t="shared" si="84"/>
        <v>280.33999999999997</v>
      </c>
      <c r="J629" s="348"/>
      <c r="K629" s="348"/>
      <c r="L629" s="348"/>
      <c r="M629" s="348"/>
      <c r="N629" s="348"/>
      <c r="O629" s="454">
        <v>32476</v>
      </c>
      <c r="P629" s="454">
        <v>33000</v>
      </c>
      <c r="Q629" s="351"/>
      <c r="R629" s="351"/>
      <c r="S629" s="54">
        <v>1</v>
      </c>
      <c r="T629" s="28">
        <f>(P629-O629)*S629</f>
        <v>524</v>
      </c>
      <c r="U629" s="31">
        <v>5509265</v>
      </c>
      <c r="V629" s="677" t="s">
        <v>557</v>
      </c>
      <c r="W629" s="14" t="s">
        <v>43</v>
      </c>
      <c r="X629" s="7"/>
      <c r="Y629" s="7"/>
      <c r="Z629" s="7"/>
      <c r="AA629" s="7"/>
      <c r="AB629" s="7"/>
      <c r="AC629" s="7"/>
    </row>
    <row r="630" spans="1:29" ht="25.5">
      <c r="A630" s="23"/>
      <c r="B630" s="62" t="s">
        <v>558</v>
      </c>
      <c r="C630" s="28">
        <f t="shared" si="82"/>
        <v>247.17000000000002</v>
      </c>
      <c r="D630" s="77"/>
      <c r="E630" s="28">
        <f t="shared" si="83"/>
        <v>16.170000000000002</v>
      </c>
      <c r="F630" s="28">
        <f t="shared" si="79"/>
        <v>9.24</v>
      </c>
      <c r="G630" s="28">
        <f t="shared" si="80"/>
        <v>6.93</v>
      </c>
      <c r="H630" s="28">
        <f t="shared" si="85"/>
        <v>231</v>
      </c>
      <c r="I630" s="28">
        <f t="shared" si="84"/>
        <v>123.58500000000001</v>
      </c>
      <c r="J630" s="348"/>
      <c r="K630" s="348"/>
      <c r="L630" s="348"/>
      <c r="M630" s="348"/>
      <c r="N630" s="348"/>
      <c r="O630" s="454">
        <v>22616</v>
      </c>
      <c r="P630" s="454">
        <v>22847</v>
      </c>
      <c r="Q630" s="351"/>
      <c r="R630" s="351"/>
      <c r="S630" s="54">
        <v>1</v>
      </c>
      <c r="T630" s="28">
        <f t="shared" si="81"/>
        <v>231</v>
      </c>
      <c r="U630" s="31">
        <v>5518342</v>
      </c>
      <c r="V630" s="677" t="s">
        <v>559</v>
      </c>
      <c r="W630" s="14" t="s">
        <v>43</v>
      </c>
      <c r="X630" s="7"/>
      <c r="Y630" s="7"/>
      <c r="Z630" s="7"/>
      <c r="AA630" s="7"/>
      <c r="AB630" s="7"/>
      <c r="AC630" s="7"/>
    </row>
    <row r="631" spans="1:29" ht="25.5">
      <c r="A631" s="23"/>
      <c r="B631" s="62" t="s">
        <v>560</v>
      </c>
      <c r="C631" s="28">
        <f t="shared" si="82"/>
        <v>315.64999999999998</v>
      </c>
      <c r="D631" s="77"/>
      <c r="E631" s="28">
        <f t="shared" si="83"/>
        <v>20.65</v>
      </c>
      <c r="F631" s="28">
        <f t="shared" si="79"/>
        <v>11.8</v>
      </c>
      <c r="G631" s="28">
        <f t="shared" si="80"/>
        <v>8.85</v>
      </c>
      <c r="H631" s="28">
        <f t="shared" si="85"/>
        <v>295</v>
      </c>
      <c r="I631" s="28">
        <f t="shared" si="84"/>
        <v>157.82499999999999</v>
      </c>
      <c r="J631" s="348"/>
      <c r="K631" s="348"/>
      <c r="L631" s="348"/>
      <c r="M631" s="348"/>
      <c r="N631" s="348"/>
      <c r="O631" s="454">
        <v>25061</v>
      </c>
      <c r="P631" s="454">
        <v>25356</v>
      </c>
      <c r="Q631" s="351"/>
      <c r="R631" s="351"/>
      <c r="S631" s="54">
        <v>1</v>
      </c>
      <c r="T631" s="28">
        <f t="shared" si="81"/>
        <v>295</v>
      </c>
      <c r="U631" s="31">
        <v>2262004</v>
      </c>
      <c r="V631" s="677" t="s">
        <v>561</v>
      </c>
      <c r="W631" s="14" t="s">
        <v>43</v>
      </c>
      <c r="X631" s="7"/>
      <c r="Y631" s="7"/>
      <c r="Z631" s="7"/>
      <c r="AA631" s="7"/>
      <c r="AB631" s="7"/>
      <c r="AC631" s="7"/>
    </row>
    <row r="632" spans="1:29" ht="25.5">
      <c r="A632" s="23"/>
      <c r="B632" s="62" t="s">
        <v>893</v>
      </c>
      <c r="C632" s="28">
        <f t="shared" si="82"/>
        <v>334.90999999999997</v>
      </c>
      <c r="D632" s="77"/>
      <c r="E632" s="28">
        <f t="shared" si="83"/>
        <v>21.909999999999997</v>
      </c>
      <c r="F632" s="28">
        <f t="shared" si="79"/>
        <v>12.52</v>
      </c>
      <c r="G632" s="28">
        <f t="shared" si="80"/>
        <v>9.3899999999999988</v>
      </c>
      <c r="H632" s="28">
        <f t="shared" si="85"/>
        <v>313</v>
      </c>
      <c r="I632" s="28">
        <f t="shared" si="84"/>
        <v>167.45499999999998</v>
      </c>
      <c r="J632" s="348"/>
      <c r="K632" s="348"/>
      <c r="L632" s="348"/>
      <c r="M632" s="348"/>
      <c r="N632" s="348"/>
      <c r="O632" s="454">
        <v>22322</v>
      </c>
      <c r="P632" s="454">
        <v>22635</v>
      </c>
      <c r="Q632" s="351"/>
      <c r="R632" s="351"/>
      <c r="S632" s="54">
        <v>1</v>
      </c>
      <c r="T632" s="28">
        <f t="shared" si="81"/>
        <v>313</v>
      </c>
      <c r="U632" s="31">
        <v>2262573</v>
      </c>
      <c r="V632" s="677" t="s">
        <v>813</v>
      </c>
      <c r="W632" s="14" t="s">
        <v>43</v>
      </c>
      <c r="X632" s="7"/>
      <c r="Y632" s="7"/>
      <c r="Z632" s="7"/>
      <c r="AA632" s="7"/>
      <c r="AB632" s="7"/>
      <c r="AC632" s="7"/>
    </row>
    <row r="633" spans="1:29" ht="25.5">
      <c r="A633" s="23"/>
      <c r="B633" s="62" t="s">
        <v>894</v>
      </c>
      <c r="C633" s="28">
        <f t="shared" si="82"/>
        <v>451.54</v>
      </c>
      <c r="D633" s="77"/>
      <c r="E633" s="28">
        <f t="shared" si="83"/>
        <v>29.54</v>
      </c>
      <c r="F633" s="28">
        <f t="shared" si="79"/>
        <v>16.88</v>
      </c>
      <c r="G633" s="28">
        <f t="shared" si="80"/>
        <v>12.66</v>
      </c>
      <c r="H633" s="28">
        <f t="shared" si="85"/>
        <v>422</v>
      </c>
      <c r="I633" s="28">
        <f t="shared" si="84"/>
        <v>225.77</v>
      </c>
      <c r="J633" s="348"/>
      <c r="K633" s="348"/>
      <c r="L633" s="348"/>
      <c r="M633" s="348"/>
      <c r="N633" s="348"/>
      <c r="O633" s="454">
        <v>61552</v>
      </c>
      <c r="P633" s="454">
        <v>61974</v>
      </c>
      <c r="Q633" s="351"/>
      <c r="R633" s="351"/>
      <c r="S633" s="54">
        <v>1</v>
      </c>
      <c r="T633" s="28">
        <f t="shared" si="81"/>
        <v>422</v>
      </c>
      <c r="U633" s="31">
        <v>2262504</v>
      </c>
      <c r="V633" s="677" t="s">
        <v>385</v>
      </c>
      <c r="W633" s="14" t="s">
        <v>43</v>
      </c>
      <c r="X633" s="7"/>
      <c r="Y633" s="7"/>
      <c r="Z633" s="7"/>
      <c r="AA633" s="7"/>
      <c r="AB633" s="7"/>
      <c r="AC633" s="7"/>
    </row>
    <row r="634" spans="1:29" ht="25.5">
      <c r="A634" s="23"/>
      <c r="B634" s="62" t="s">
        <v>564</v>
      </c>
      <c r="C634" s="28">
        <f t="shared" si="82"/>
        <v>133.75</v>
      </c>
      <c r="D634" s="77"/>
      <c r="E634" s="28">
        <f t="shared" si="83"/>
        <v>8.75</v>
      </c>
      <c r="F634" s="28">
        <f t="shared" si="79"/>
        <v>5</v>
      </c>
      <c r="G634" s="28">
        <f t="shared" si="80"/>
        <v>3.75</v>
      </c>
      <c r="H634" s="28">
        <f t="shared" si="85"/>
        <v>125</v>
      </c>
      <c r="I634" s="28">
        <f t="shared" si="84"/>
        <v>66.875</v>
      </c>
      <c r="J634" s="348"/>
      <c r="K634" s="348"/>
      <c r="L634" s="348"/>
      <c r="M634" s="348"/>
      <c r="N634" s="348"/>
      <c r="O634" s="454">
        <v>14655</v>
      </c>
      <c r="P634" s="454">
        <v>14780</v>
      </c>
      <c r="Q634" s="351"/>
      <c r="R634" s="351"/>
      <c r="S634" s="54">
        <v>1</v>
      </c>
      <c r="T634" s="28">
        <f t="shared" si="81"/>
        <v>125</v>
      </c>
      <c r="U634" s="31">
        <v>282333</v>
      </c>
      <c r="V634" s="677" t="s">
        <v>565</v>
      </c>
      <c r="W634" s="14" t="s">
        <v>43</v>
      </c>
      <c r="X634" s="7"/>
      <c r="Y634" s="7"/>
      <c r="Z634" s="7"/>
      <c r="AA634" s="7"/>
      <c r="AB634" s="7"/>
      <c r="AC634" s="7"/>
    </row>
    <row r="635" spans="1:29" ht="25.5">
      <c r="A635" s="23"/>
      <c r="B635" s="62"/>
      <c r="C635" s="28"/>
      <c r="D635" s="77"/>
      <c r="E635" s="28"/>
      <c r="F635" s="28"/>
      <c r="G635" s="28"/>
      <c r="H635" s="28"/>
      <c r="I635" s="28"/>
      <c r="J635" s="348"/>
      <c r="K635" s="348"/>
      <c r="L635" s="348"/>
      <c r="M635" s="348"/>
      <c r="N635" s="348"/>
      <c r="O635" s="454"/>
      <c r="P635" s="454"/>
      <c r="Q635" s="351"/>
      <c r="R635" s="351"/>
      <c r="S635" s="54"/>
      <c r="T635" s="28"/>
      <c r="U635" s="31"/>
      <c r="V635" s="677"/>
      <c r="W635" s="14" t="s">
        <v>90</v>
      </c>
      <c r="X635" s="7"/>
      <c r="Y635" s="7"/>
      <c r="Z635" s="7"/>
      <c r="AA635" s="7"/>
      <c r="AB635" s="7"/>
      <c r="AC635" s="7"/>
    </row>
    <row r="636" spans="1:29" s="195" customFormat="1" ht="25.5">
      <c r="A636" s="479"/>
      <c r="B636" s="62" t="s">
        <v>566</v>
      </c>
      <c r="C636" s="28">
        <f t="shared" si="82"/>
        <v>0</v>
      </c>
      <c r="D636" s="77"/>
      <c r="E636" s="28">
        <f t="shared" si="83"/>
        <v>0</v>
      </c>
      <c r="F636" s="28">
        <f t="shared" si="79"/>
        <v>0</v>
      </c>
      <c r="G636" s="28">
        <f t="shared" si="80"/>
        <v>0</v>
      </c>
      <c r="H636" s="28">
        <f t="shared" si="85"/>
        <v>0</v>
      </c>
      <c r="I636" s="28">
        <f t="shared" si="84"/>
        <v>0</v>
      </c>
      <c r="J636" s="348"/>
      <c r="K636" s="348"/>
      <c r="L636" s="348"/>
      <c r="M636" s="348"/>
      <c r="N636" s="348"/>
      <c r="O636" s="454">
        <v>42066</v>
      </c>
      <c r="P636" s="454">
        <v>42066</v>
      </c>
      <c r="Q636" s="351"/>
      <c r="R636" s="351"/>
      <c r="S636" s="54">
        <v>1</v>
      </c>
      <c r="T636" s="28">
        <f t="shared" si="81"/>
        <v>0</v>
      </c>
      <c r="U636" s="31">
        <v>3263</v>
      </c>
      <c r="V636" s="677" t="s">
        <v>567</v>
      </c>
      <c r="W636" s="191" t="s">
        <v>43</v>
      </c>
      <c r="X636" s="86"/>
      <c r="Y636" s="86"/>
      <c r="Z636" s="86"/>
      <c r="AA636" s="86"/>
      <c r="AB636" s="86"/>
      <c r="AC636" s="86"/>
    </row>
    <row r="637" spans="1:29" ht="25.5">
      <c r="A637" s="23"/>
      <c r="B637" s="62" t="s">
        <v>568</v>
      </c>
      <c r="C637" s="28">
        <f>H637+E637</f>
        <v>52.43</v>
      </c>
      <c r="D637" s="77"/>
      <c r="E637" s="28">
        <f t="shared" si="83"/>
        <v>3.4299999999999997</v>
      </c>
      <c r="F637" s="28">
        <f t="shared" si="79"/>
        <v>1.96</v>
      </c>
      <c r="G637" s="28">
        <f t="shared" si="80"/>
        <v>1.47</v>
      </c>
      <c r="H637" s="28">
        <f t="shared" si="85"/>
        <v>49</v>
      </c>
      <c r="I637" s="28">
        <f t="shared" si="84"/>
        <v>26.215</v>
      </c>
      <c r="J637" s="348"/>
      <c r="K637" s="348"/>
      <c r="L637" s="348"/>
      <c r="M637" s="348"/>
      <c r="N637" s="348"/>
      <c r="O637" s="454">
        <v>702</v>
      </c>
      <c r="P637" s="454">
        <v>751</v>
      </c>
      <c r="Q637" s="351"/>
      <c r="R637" s="351"/>
      <c r="S637" s="54">
        <v>1</v>
      </c>
      <c r="T637" s="28">
        <f>(P637-O637)*S637</f>
        <v>49</v>
      </c>
      <c r="U637" s="31">
        <v>2568</v>
      </c>
      <c r="V637" s="677" t="s">
        <v>569</v>
      </c>
      <c r="W637" s="14" t="s">
        <v>90</v>
      </c>
      <c r="X637" s="7"/>
      <c r="Y637" s="7"/>
      <c r="Z637" s="7"/>
      <c r="AA637" s="7"/>
      <c r="AB637" s="7"/>
      <c r="AC637" s="7"/>
    </row>
    <row r="638" spans="1:29" ht="25.5">
      <c r="A638" s="23"/>
      <c r="B638" s="62" t="s">
        <v>570</v>
      </c>
      <c r="C638" s="28">
        <f>H638+E638</f>
        <v>438.7</v>
      </c>
      <c r="D638" s="77"/>
      <c r="E638" s="28">
        <f t="shared" si="83"/>
        <v>28.699999999999996</v>
      </c>
      <c r="F638" s="28">
        <f t="shared" si="79"/>
        <v>16.399999999999999</v>
      </c>
      <c r="G638" s="28">
        <f t="shared" si="80"/>
        <v>12.299999999999999</v>
      </c>
      <c r="H638" s="28">
        <f t="shared" si="85"/>
        <v>410</v>
      </c>
      <c r="I638" s="28">
        <f t="shared" si="84"/>
        <v>219.35</v>
      </c>
      <c r="J638" s="348"/>
      <c r="K638" s="348"/>
      <c r="L638" s="348"/>
      <c r="M638" s="348"/>
      <c r="N638" s="348"/>
      <c r="O638" s="454">
        <v>9203</v>
      </c>
      <c r="P638" s="454">
        <v>9613</v>
      </c>
      <c r="Q638" s="351"/>
      <c r="R638" s="351"/>
      <c r="S638" s="54">
        <v>1</v>
      </c>
      <c r="T638" s="28">
        <f t="shared" si="81"/>
        <v>410</v>
      </c>
      <c r="U638" s="31">
        <v>2643</v>
      </c>
      <c r="V638" s="677" t="s">
        <v>571</v>
      </c>
      <c r="W638" s="14" t="s">
        <v>90</v>
      </c>
      <c r="X638" s="7"/>
      <c r="Y638" s="7"/>
      <c r="Z638" s="7"/>
      <c r="AA638" s="7"/>
      <c r="AB638" s="7"/>
      <c r="AC638" s="7"/>
    </row>
    <row r="639" spans="1:29" ht="25.5">
      <c r="A639" s="23"/>
      <c r="B639" s="62" t="s">
        <v>572</v>
      </c>
      <c r="C639" s="28">
        <f t="shared" si="82"/>
        <v>499.69</v>
      </c>
      <c r="D639" s="77"/>
      <c r="E639" s="28">
        <f t="shared" si="83"/>
        <v>32.69</v>
      </c>
      <c r="F639" s="28">
        <f t="shared" si="79"/>
        <v>18.68</v>
      </c>
      <c r="G639" s="28">
        <f t="shared" si="80"/>
        <v>14.01</v>
      </c>
      <c r="H639" s="28">
        <f t="shared" si="85"/>
        <v>467</v>
      </c>
      <c r="I639" s="28">
        <f t="shared" si="84"/>
        <v>249.845</v>
      </c>
      <c r="J639" s="348"/>
      <c r="K639" s="348"/>
      <c r="L639" s="348"/>
      <c r="M639" s="348"/>
      <c r="N639" s="348"/>
      <c r="O639" s="454">
        <v>108221</v>
      </c>
      <c r="P639" s="454">
        <v>108688</v>
      </c>
      <c r="Q639" s="351"/>
      <c r="R639" s="351"/>
      <c r="S639" s="54">
        <v>1</v>
      </c>
      <c r="T639" s="28">
        <f>(P639-O639)*S639</f>
        <v>467</v>
      </c>
      <c r="U639" s="31">
        <v>1146</v>
      </c>
      <c r="V639" s="677" t="s">
        <v>573</v>
      </c>
      <c r="W639" s="14" t="s">
        <v>90</v>
      </c>
      <c r="X639" s="7"/>
      <c r="Y639" s="7"/>
      <c r="Z639" s="7"/>
      <c r="AA639" s="7"/>
      <c r="AB639" s="7"/>
      <c r="AC639" s="7"/>
    </row>
    <row r="640" spans="1:29" ht="25.5">
      <c r="A640" s="23"/>
      <c r="B640" s="62" t="s">
        <v>701</v>
      </c>
      <c r="C640" s="28">
        <f t="shared" si="82"/>
        <v>1920.65</v>
      </c>
      <c r="D640" s="77"/>
      <c r="E640" s="28">
        <f t="shared" si="83"/>
        <v>125.65</v>
      </c>
      <c r="F640" s="28">
        <f t="shared" si="79"/>
        <v>71.8</v>
      </c>
      <c r="G640" s="28">
        <f t="shared" si="80"/>
        <v>53.85</v>
      </c>
      <c r="H640" s="28">
        <f t="shared" si="85"/>
        <v>1795</v>
      </c>
      <c r="I640" s="28">
        <f t="shared" si="84"/>
        <v>960.32500000000005</v>
      </c>
      <c r="J640" s="348"/>
      <c r="K640" s="348"/>
      <c r="L640" s="348"/>
      <c r="M640" s="348"/>
      <c r="N640" s="348"/>
      <c r="O640" s="454">
        <v>252122</v>
      </c>
      <c r="P640" s="454">
        <v>253917</v>
      </c>
      <c r="Q640" s="351"/>
      <c r="R640" s="351"/>
      <c r="S640" s="54">
        <v>1</v>
      </c>
      <c r="T640" s="28">
        <f>(P640-O640)*S640</f>
        <v>1795</v>
      </c>
      <c r="U640" s="31">
        <v>7883</v>
      </c>
      <c r="V640" s="677" t="s">
        <v>574</v>
      </c>
      <c r="W640" s="14" t="s">
        <v>90</v>
      </c>
      <c r="X640" s="7"/>
      <c r="Y640" s="7"/>
      <c r="Z640" s="7"/>
      <c r="AA640" s="7"/>
      <c r="AB640" s="7"/>
      <c r="AC640" s="7"/>
    </row>
    <row r="641" spans="1:29" ht="25.5">
      <c r="A641" s="23"/>
      <c r="B641" s="62"/>
      <c r="C641" s="28"/>
      <c r="D641" s="77"/>
      <c r="E641" s="28"/>
      <c r="F641" s="28"/>
      <c r="G641" s="28"/>
      <c r="H641" s="28"/>
      <c r="I641" s="28"/>
      <c r="J641" s="348"/>
      <c r="K641" s="348"/>
      <c r="L641" s="348"/>
      <c r="M641" s="348"/>
      <c r="N641" s="348"/>
      <c r="O641" s="454"/>
      <c r="P641" s="454"/>
      <c r="Q641" s="351"/>
      <c r="R641" s="351"/>
      <c r="S641" s="54"/>
      <c r="T641" s="28"/>
      <c r="U641" s="31"/>
      <c r="V641" s="677"/>
      <c r="W641" s="14"/>
      <c r="X641" s="7"/>
      <c r="Y641" s="7"/>
      <c r="Z641" s="7"/>
      <c r="AA641" s="7"/>
      <c r="AB641" s="7"/>
      <c r="AC641" s="7"/>
    </row>
    <row r="642" spans="1:29" ht="26.25">
      <c r="A642" s="23"/>
      <c r="B642" s="62" t="s">
        <v>575</v>
      </c>
      <c r="C642" s="28">
        <f t="shared" ref="C642" si="86">H642+E642</f>
        <v>407.67</v>
      </c>
      <c r="D642" s="72"/>
      <c r="E642" s="28">
        <f t="shared" ref="E642" si="87">F642+G642</f>
        <v>26.67</v>
      </c>
      <c r="F642" s="28">
        <f t="shared" ref="F642" si="88">0.04*H642</f>
        <v>15.24</v>
      </c>
      <c r="G642" s="28">
        <f t="shared" ref="G642" si="89">0.03*H642</f>
        <v>11.43</v>
      </c>
      <c r="H642" s="28">
        <f>T642</f>
        <v>381</v>
      </c>
      <c r="I642" s="28">
        <f t="shared" ref="I642" si="90">0.5*C642</f>
        <v>203.83500000000001</v>
      </c>
      <c r="J642" s="348"/>
      <c r="K642" s="348"/>
      <c r="L642" s="348"/>
      <c r="M642" s="348"/>
      <c r="N642" s="348"/>
      <c r="O642" s="454">
        <v>3192</v>
      </c>
      <c r="P642" s="454">
        <v>3573</v>
      </c>
      <c r="Q642" s="351"/>
      <c r="R642" s="351"/>
      <c r="S642" s="77">
        <v>1</v>
      </c>
      <c r="T642" s="28">
        <f>(P642-O642)*S642</f>
        <v>381</v>
      </c>
      <c r="U642" s="31"/>
      <c r="V642" s="677" t="s">
        <v>814</v>
      </c>
      <c r="W642" s="14"/>
      <c r="X642" s="7"/>
      <c r="Y642" s="7"/>
      <c r="Z642" s="7"/>
      <c r="AA642" s="7"/>
      <c r="AB642" s="7"/>
      <c r="AC642" s="7"/>
    </row>
    <row r="643" spans="1:29" ht="26.25">
      <c r="A643" s="23"/>
      <c r="B643" s="62" t="s">
        <v>895</v>
      </c>
      <c r="C643" s="28">
        <f t="shared" si="82"/>
        <v>50.29</v>
      </c>
      <c r="D643" s="72"/>
      <c r="E643" s="28">
        <f t="shared" si="83"/>
        <v>3.29</v>
      </c>
      <c r="F643" s="28">
        <f t="shared" si="79"/>
        <v>1.8800000000000001</v>
      </c>
      <c r="G643" s="28">
        <f t="shared" si="80"/>
        <v>1.41</v>
      </c>
      <c r="H643" s="28">
        <f>T643</f>
        <v>47</v>
      </c>
      <c r="I643" s="28">
        <f t="shared" si="84"/>
        <v>25.145</v>
      </c>
      <c r="J643" s="348"/>
      <c r="K643" s="348"/>
      <c r="L643" s="348"/>
      <c r="M643" s="348"/>
      <c r="N643" s="348"/>
      <c r="O643" s="454">
        <v>13714</v>
      </c>
      <c r="P643" s="454">
        <v>13761</v>
      </c>
      <c r="Q643" s="351"/>
      <c r="R643" s="351"/>
      <c r="S643" s="77">
        <v>1</v>
      </c>
      <c r="T643" s="28">
        <f>(P643-O643)*S643</f>
        <v>47</v>
      </c>
      <c r="U643" s="31">
        <v>370293</v>
      </c>
      <c r="V643" s="677" t="s">
        <v>815</v>
      </c>
      <c r="W643" s="14" t="s">
        <v>90</v>
      </c>
      <c r="X643" s="7"/>
      <c r="Y643" s="7"/>
      <c r="Z643" s="7"/>
      <c r="AA643" s="7"/>
      <c r="AB643" s="7"/>
      <c r="AC643" s="7"/>
    </row>
    <row r="644" spans="1:29" ht="57" customHeight="1">
      <c r="A644" s="252"/>
      <c r="B644" s="259" t="s">
        <v>702</v>
      </c>
      <c r="C644" s="260">
        <f t="shared" si="82"/>
        <v>0</v>
      </c>
      <c r="D644" s="261"/>
      <c r="E644" s="260">
        <f t="shared" si="83"/>
        <v>0</v>
      </c>
      <c r="F644" s="260">
        <f t="shared" si="79"/>
        <v>0</v>
      </c>
      <c r="G644" s="260">
        <f t="shared" si="80"/>
        <v>0</v>
      </c>
      <c r="H644" s="260">
        <f t="shared" si="85"/>
        <v>0</v>
      </c>
      <c r="I644" s="260">
        <f t="shared" si="84"/>
        <v>0</v>
      </c>
      <c r="J644" s="262"/>
      <c r="K644" s="262"/>
      <c r="L644" s="262"/>
      <c r="M644" s="262"/>
      <c r="N644" s="262"/>
      <c r="O644" s="263">
        <v>50</v>
      </c>
      <c r="P644" s="263">
        <v>50</v>
      </c>
      <c r="Q644" s="264"/>
      <c r="R644" s="264"/>
      <c r="S644" s="265">
        <v>1</v>
      </c>
      <c r="T644" s="260">
        <f>(P644-O644)*S644</f>
        <v>0</v>
      </c>
      <c r="U644" s="266" t="s">
        <v>336</v>
      </c>
      <c r="V644" s="267" t="s">
        <v>576</v>
      </c>
      <c r="W644" s="14"/>
      <c r="X644" s="7"/>
      <c r="Y644" s="7"/>
      <c r="Z644" s="7"/>
      <c r="AA644" s="7"/>
      <c r="AB644" s="7"/>
      <c r="AC644" s="7"/>
    </row>
    <row r="645" spans="1:29" ht="26.25">
      <c r="A645" s="252"/>
      <c r="B645" s="104"/>
      <c r="C645" s="91"/>
      <c r="D645" s="115"/>
      <c r="E645" s="91"/>
      <c r="F645" s="91"/>
      <c r="G645" s="91"/>
      <c r="H645" s="91"/>
      <c r="I645" s="91"/>
      <c r="J645" s="142"/>
      <c r="K645" s="142"/>
      <c r="L645" s="142"/>
      <c r="M645" s="142"/>
      <c r="N645" s="142"/>
      <c r="O645" s="258"/>
      <c r="P645" s="258"/>
      <c r="Q645" s="173"/>
      <c r="R645" s="173"/>
      <c r="S645" s="92"/>
      <c r="T645" s="91"/>
      <c r="U645" s="95"/>
      <c r="V645" s="673"/>
      <c r="W645" s="14"/>
      <c r="X645" s="7"/>
      <c r="Y645" s="7"/>
      <c r="Z645" s="7"/>
      <c r="AA645" s="7"/>
      <c r="AB645" s="7"/>
      <c r="AC645" s="7"/>
    </row>
    <row r="646" spans="1:29" ht="26.25">
      <c r="A646" s="252"/>
      <c r="B646" s="62" t="s">
        <v>577</v>
      </c>
      <c r="C646" s="28">
        <f t="shared" si="82"/>
        <v>40.659999999999997</v>
      </c>
      <c r="D646" s="72"/>
      <c r="E646" s="28">
        <f t="shared" si="83"/>
        <v>2.66</v>
      </c>
      <c r="F646" s="28">
        <f t="shared" si="79"/>
        <v>1.52</v>
      </c>
      <c r="G646" s="28">
        <f t="shared" si="80"/>
        <v>1.1399999999999999</v>
      </c>
      <c r="H646" s="28">
        <f t="shared" si="85"/>
        <v>38</v>
      </c>
      <c r="I646" s="28">
        <f t="shared" si="84"/>
        <v>20.329999999999998</v>
      </c>
      <c r="J646" s="348"/>
      <c r="K646" s="348"/>
      <c r="L646" s="348"/>
      <c r="M646" s="348"/>
      <c r="N646" s="348"/>
      <c r="O646" s="454">
        <v>6506</v>
      </c>
      <c r="P646" s="454">
        <v>6544</v>
      </c>
      <c r="Q646" s="351"/>
      <c r="R646" s="351"/>
      <c r="S646" s="77">
        <v>1</v>
      </c>
      <c r="T646" s="28">
        <f>(P646-O646)*S646</f>
        <v>38</v>
      </c>
      <c r="U646" s="31">
        <v>1940</v>
      </c>
      <c r="V646" s="677" t="s">
        <v>816</v>
      </c>
      <c r="W646" s="14" t="s">
        <v>90</v>
      </c>
      <c r="X646" s="7"/>
      <c r="Y646" s="7"/>
      <c r="Z646" s="7"/>
      <c r="AA646" s="7"/>
      <c r="AB646" s="7"/>
      <c r="AC646" s="7"/>
    </row>
    <row r="647" spans="1:29" ht="26.25">
      <c r="A647" s="268"/>
      <c r="B647" s="357" t="s">
        <v>703</v>
      </c>
      <c r="C647" s="28">
        <f>H647+E647</f>
        <v>375.57</v>
      </c>
      <c r="D647" s="28"/>
      <c r="E647" s="28">
        <f>G647+F647</f>
        <v>24.57</v>
      </c>
      <c r="F647" s="28">
        <f>0.04*H647</f>
        <v>14.040000000000001</v>
      </c>
      <c r="G647" s="28">
        <f>0.03*H647</f>
        <v>10.53</v>
      </c>
      <c r="H647" s="28">
        <f>T647</f>
        <v>351</v>
      </c>
      <c r="I647" s="28">
        <f>0.6*C647</f>
        <v>225.34199999999998</v>
      </c>
      <c r="J647" s="29"/>
      <c r="K647" s="29"/>
      <c r="L647" s="29"/>
      <c r="M647" s="29"/>
      <c r="N647" s="29"/>
      <c r="O647" s="28">
        <v>17239</v>
      </c>
      <c r="P647" s="28">
        <v>17590</v>
      </c>
      <c r="Q647" s="30"/>
      <c r="R647" s="439"/>
      <c r="S647" s="54">
        <v>1</v>
      </c>
      <c r="T647" s="28">
        <f>(P647-O647)*S647</f>
        <v>351</v>
      </c>
      <c r="U647" s="31" t="s">
        <v>578</v>
      </c>
      <c r="V647" s="677" t="s">
        <v>751</v>
      </c>
      <c r="W647" s="14" t="s">
        <v>90</v>
      </c>
      <c r="X647" s="7"/>
      <c r="Y647" s="7"/>
      <c r="Z647" s="7"/>
      <c r="AA647" s="7"/>
      <c r="AB647" s="7"/>
      <c r="AC647" s="7"/>
    </row>
    <row r="648" spans="1:29" ht="26.25">
      <c r="A648" s="268"/>
      <c r="B648" s="62"/>
      <c r="C648" s="28"/>
      <c r="D648" s="28"/>
      <c r="E648" s="28"/>
      <c r="F648" s="28"/>
      <c r="G648" s="28"/>
      <c r="H648" s="28"/>
      <c r="I648" s="28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28"/>
      <c r="U648" s="31"/>
      <c r="V648" s="677"/>
      <c r="W648" s="14" t="s">
        <v>43</v>
      </c>
      <c r="X648" s="7"/>
      <c r="Y648" s="7"/>
      <c r="Z648" s="7"/>
      <c r="AA648" s="7"/>
      <c r="AB648" s="7"/>
      <c r="AC648" s="7"/>
    </row>
    <row r="649" spans="1:29" ht="26.25">
      <c r="A649" s="268"/>
      <c r="B649" s="269"/>
      <c r="C649" s="28"/>
      <c r="D649" s="28"/>
      <c r="E649" s="28"/>
      <c r="F649" s="28"/>
      <c r="G649" s="28"/>
      <c r="H649" s="28"/>
      <c r="I649" s="28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28"/>
      <c r="U649" s="31"/>
      <c r="V649" s="677"/>
      <c r="W649" s="14"/>
      <c r="X649" s="7"/>
      <c r="Y649" s="7"/>
      <c r="Z649" s="7"/>
      <c r="AA649" s="7"/>
      <c r="AB649" s="7"/>
      <c r="AC649" s="7"/>
    </row>
    <row r="650" spans="1:29" ht="26.25">
      <c r="A650" s="268"/>
      <c r="B650" s="62" t="s">
        <v>579</v>
      </c>
      <c r="C650" s="28">
        <f>H650+E650</f>
        <v>88.81</v>
      </c>
      <c r="D650" s="28"/>
      <c r="E650" s="28">
        <f t="shared" si="83"/>
        <v>5.8100000000000005</v>
      </c>
      <c r="F650" s="28">
        <f t="shared" si="79"/>
        <v>3.3200000000000003</v>
      </c>
      <c r="G650" s="28">
        <f t="shared" si="80"/>
        <v>2.4899999999999998</v>
      </c>
      <c r="H650" s="28">
        <f t="shared" si="85"/>
        <v>83</v>
      </c>
      <c r="I650" s="28"/>
      <c r="J650" s="77"/>
      <c r="K650" s="77"/>
      <c r="L650" s="77"/>
      <c r="M650" s="77"/>
      <c r="N650" s="77"/>
      <c r="O650" s="77">
        <v>4197</v>
      </c>
      <c r="P650" s="77">
        <v>4280</v>
      </c>
      <c r="Q650" s="77"/>
      <c r="R650" s="77"/>
      <c r="S650" s="77">
        <v>1</v>
      </c>
      <c r="T650" s="28">
        <f>(P650-O650)*S650</f>
        <v>83</v>
      </c>
      <c r="U650" s="455" t="s">
        <v>580</v>
      </c>
      <c r="V650" s="677" t="s">
        <v>581</v>
      </c>
      <c r="W650" s="795" t="s">
        <v>90</v>
      </c>
      <c r="X650" s="7"/>
      <c r="Y650" s="7"/>
      <c r="Z650" s="7"/>
      <c r="AA650" s="7"/>
      <c r="AB650" s="7"/>
      <c r="AC650" s="7"/>
    </row>
    <row r="651" spans="1:29" ht="26.25">
      <c r="A651" s="268"/>
      <c r="B651" s="687"/>
      <c r="C651" s="43"/>
      <c r="D651" s="43"/>
      <c r="E651" s="43"/>
      <c r="F651" s="43"/>
      <c r="G651" s="43"/>
      <c r="H651" s="43"/>
      <c r="I651" s="43"/>
      <c r="J651" s="270"/>
      <c r="K651" s="270"/>
      <c r="L651" s="270"/>
      <c r="M651" s="270"/>
      <c r="N651" s="270"/>
      <c r="O651" s="270"/>
      <c r="P651" s="270"/>
      <c r="Q651" s="270"/>
      <c r="R651" s="270"/>
      <c r="S651" s="270"/>
      <c r="T651" s="43"/>
      <c r="U651" s="55"/>
      <c r="V651" s="44"/>
      <c r="W651" s="796"/>
      <c r="X651" s="7"/>
      <c r="Y651" s="7"/>
      <c r="Z651" s="7"/>
      <c r="AA651" s="7"/>
      <c r="AB651" s="7"/>
      <c r="AC651" s="7"/>
    </row>
    <row r="652" spans="1:29" ht="26.25">
      <c r="A652" s="268"/>
      <c r="B652" s="62"/>
      <c r="C652" s="28"/>
      <c r="D652" s="28"/>
      <c r="E652" s="28"/>
      <c r="F652" s="28"/>
      <c r="G652" s="28"/>
      <c r="H652" s="28"/>
      <c r="I652" s="28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28"/>
      <c r="U652" s="31"/>
      <c r="V652" s="677"/>
      <c r="W652" s="797"/>
      <c r="X652" s="7"/>
      <c r="Y652" s="7"/>
      <c r="Z652" s="7"/>
      <c r="AA652" s="7"/>
      <c r="AB652" s="7"/>
      <c r="AC652" s="7"/>
    </row>
    <row r="653" spans="1:29" ht="26.25">
      <c r="A653" s="268"/>
      <c r="B653" s="357" t="s">
        <v>704</v>
      </c>
      <c r="C653" s="28">
        <f>H653+E653</f>
        <v>101.65</v>
      </c>
      <c r="D653" s="28"/>
      <c r="E653" s="28">
        <f>F653+G653</f>
        <v>6.65</v>
      </c>
      <c r="F653" s="28">
        <f>0.04*H653</f>
        <v>3.8000000000000003</v>
      </c>
      <c r="G653" s="28">
        <f>0.03*H653</f>
        <v>2.85</v>
      </c>
      <c r="H653" s="28">
        <f>T653</f>
        <v>95</v>
      </c>
      <c r="I653" s="28">
        <f>0.6*C653</f>
        <v>60.99</v>
      </c>
      <c r="J653" s="29"/>
      <c r="K653" s="29"/>
      <c r="L653" s="29"/>
      <c r="M653" s="29"/>
      <c r="N653" s="29"/>
      <c r="O653" s="28">
        <v>9150</v>
      </c>
      <c r="P653" s="28">
        <v>9245</v>
      </c>
      <c r="Q653" s="29" t="s">
        <v>28</v>
      </c>
      <c r="R653" s="348"/>
      <c r="S653" s="54">
        <v>1</v>
      </c>
      <c r="T653" s="28">
        <f>(P653-O653)*S653</f>
        <v>95</v>
      </c>
      <c r="U653" s="31" t="s">
        <v>582</v>
      </c>
      <c r="V653" s="677" t="s">
        <v>583</v>
      </c>
      <c r="W653" s="14" t="s">
        <v>90</v>
      </c>
      <c r="X653" s="7"/>
      <c r="Y653" s="7"/>
      <c r="Z653" s="7"/>
      <c r="AA653" s="7"/>
      <c r="AB653" s="7"/>
      <c r="AC653" s="7"/>
    </row>
    <row r="654" spans="1:29" ht="26.25">
      <c r="A654" s="271"/>
      <c r="B654" s="143" t="s">
        <v>584</v>
      </c>
      <c r="C654" s="115">
        <f>SUM(C615:C653)</f>
        <v>24636.750000000004</v>
      </c>
      <c r="D654" s="115"/>
      <c r="E654" s="115">
        <f t="shared" si="83"/>
        <v>1558.3400000000001</v>
      </c>
      <c r="F654" s="115">
        <f t="shared" si="79"/>
        <v>890.48</v>
      </c>
      <c r="G654" s="115">
        <f t="shared" si="80"/>
        <v>667.86</v>
      </c>
      <c r="H654" s="115">
        <f>SUM(H616:H645)</f>
        <v>22262</v>
      </c>
      <c r="I654" s="115">
        <f>SUM(I616:I647)</f>
        <v>12155.842000000001</v>
      </c>
      <c r="J654" s="142"/>
      <c r="K654" s="142"/>
      <c r="L654" s="142"/>
      <c r="M654" s="142"/>
      <c r="N654" s="142"/>
      <c r="O654" s="94"/>
      <c r="P654" s="94"/>
      <c r="Q654" s="94"/>
      <c r="R654" s="94"/>
      <c r="S654" s="92"/>
      <c r="T654" s="91"/>
      <c r="U654" s="95"/>
      <c r="V654" s="673"/>
      <c r="W654" s="14"/>
      <c r="X654" s="7"/>
      <c r="Y654" s="7"/>
      <c r="Z654" s="7"/>
      <c r="AA654" s="7"/>
      <c r="AB654" s="7"/>
      <c r="AC654" s="7"/>
    </row>
    <row r="655" spans="1:29" ht="26.25">
      <c r="A655" s="271"/>
      <c r="B655" s="143"/>
      <c r="C655" s="115"/>
      <c r="D655" s="115"/>
      <c r="E655" s="115"/>
      <c r="F655" s="115"/>
      <c r="G655" s="115"/>
      <c r="H655" s="115"/>
      <c r="I655" s="115"/>
      <c r="J655" s="98"/>
      <c r="K655" s="98"/>
      <c r="L655" s="98"/>
      <c r="M655" s="98"/>
      <c r="N655" s="98"/>
      <c r="O655" s="94"/>
      <c r="P655" s="94"/>
      <c r="Q655" s="227"/>
      <c r="R655" s="228"/>
      <c r="S655" s="92"/>
      <c r="T655" s="91"/>
      <c r="U655" s="95"/>
      <c r="V655" s="673"/>
      <c r="W655" s="14"/>
      <c r="X655" s="7"/>
      <c r="Y655" s="7"/>
      <c r="Z655" s="7"/>
      <c r="AA655" s="7"/>
      <c r="AB655" s="7"/>
      <c r="AC655" s="7"/>
    </row>
    <row r="656" spans="1:29" ht="26.25">
      <c r="A656" s="271"/>
      <c r="B656" s="143" t="s">
        <v>585</v>
      </c>
      <c r="C656" s="91"/>
      <c r="D656" s="92"/>
      <c r="E656" s="91"/>
      <c r="F656" s="91"/>
      <c r="G656" s="91"/>
      <c r="H656" s="92"/>
      <c r="I656" s="92"/>
      <c r="J656" s="98"/>
      <c r="K656" s="98"/>
      <c r="L656" s="98"/>
      <c r="M656" s="98"/>
      <c r="N656" s="98"/>
      <c r="O656" s="92"/>
      <c r="P656" s="92"/>
      <c r="Q656" s="105"/>
      <c r="R656" s="106"/>
      <c r="S656" s="92"/>
      <c r="T656" s="91"/>
      <c r="U656" s="95"/>
      <c r="V656" s="673"/>
      <c r="W656" s="14"/>
      <c r="X656" s="7"/>
      <c r="Y656" s="7"/>
      <c r="Z656" s="7"/>
      <c r="AA656" s="7"/>
      <c r="AB656" s="7"/>
      <c r="AC656" s="7"/>
    </row>
    <row r="657" spans="1:29" ht="25.5">
      <c r="A657" s="252"/>
      <c r="B657" s="104"/>
      <c r="C657" s="91"/>
      <c r="D657" s="92"/>
      <c r="E657" s="91"/>
      <c r="F657" s="91"/>
      <c r="G657" s="91"/>
      <c r="H657" s="91"/>
      <c r="I657" s="92"/>
      <c r="J657" s="98"/>
      <c r="K657" s="98"/>
      <c r="L657" s="98"/>
      <c r="M657" s="98"/>
      <c r="N657" s="98"/>
      <c r="O657" s="92"/>
      <c r="P657" s="92"/>
      <c r="Q657" s="105"/>
      <c r="R657" s="106"/>
      <c r="S657" s="92"/>
      <c r="T657" s="91"/>
      <c r="U657" s="95"/>
      <c r="V657" s="673"/>
      <c r="W657" s="14"/>
      <c r="X657" s="7"/>
      <c r="Y657" s="7"/>
      <c r="Z657" s="7"/>
      <c r="AA657" s="7"/>
      <c r="AB657" s="7"/>
      <c r="AC657" s="7"/>
    </row>
    <row r="658" spans="1:29" ht="25.5">
      <c r="A658" s="252"/>
      <c r="B658" s="62" t="s">
        <v>705</v>
      </c>
      <c r="C658" s="28">
        <f t="shared" ref="C658:C696" si="91">H658+E658</f>
        <v>2226.67</v>
      </c>
      <c r="D658" s="77"/>
      <c r="E658" s="28">
        <f t="shared" ref="E658:E696" si="92">F658+G658</f>
        <v>145.66999999999999</v>
      </c>
      <c r="F658" s="28">
        <f t="shared" ref="F658:F696" si="93">0.04*T658</f>
        <v>83.24</v>
      </c>
      <c r="G658" s="28">
        <f t="shared" ref="G658:G696" si="94">0.03*T658</f>
        <v>62.43</v>
      </c>
      <c r="H658" s="28">
        <f t="shared" ref="H658:H696" si="95">T658</f>
        <v>2081</v>
      </c>
      <c r="I658" s="28">
        <f>H658*0.5</f>
        <v>1040.5</v>
      </c>
      <c r="J658" s="46"/>
      <c r="K658" s="46"/>
      <c r="L658" s="46"/>
      <c r="M658" s="46"/>
      <c r="N658" s="46"/>
      <c r="O658" s="77">
        <v>40552</v>
      </c>
      <c r="P658" s="77">
        <v>42633</v>
      </c>
      <c r="Q658" s="79"/>
      <c r="R658" s="80"/>
      <c r="S658" s="77">
        <v>1</v>
      </c>
      <c r="T658" s="28">
        <f t="shared" ref="T658:T694" si="96">(P658-O658)*S658</f>
        <v>2081</v>
      </c>
      <c r="U658" s="31" t="s">
        <v>586</v>
      </c>
      <c r="V658" s="677" t="s">
        <v>587</v>
      </c>
      <c r="W658" s="14" t="s">
        <v>48</v>
      </c>
      <c r="X658" s="7"/>
      <c r="Y658" s="7"/>
      <c r="Z658" s="7"/>
      <c r="AA658" s="7"/>
      <c r="AB658" s="7"/>
      <c r="AC658" s="7"/>
    </row>
    <row r="659" spans="1:29" ht="25.5">
      <c r="A659" s="252"/>
      <c r="B659" s="62" t="s">
        <v>836</v>
      </c>
      <c r="C659" s="28">
        <f t="shared" si="91"/>
        <v>3281.69</v>
      </c>
      <c r="D659" s="77"/>
      <c r="E659" s="28">
        <f t="shared" si="92"/>
        <v>214.69</v>
      </c>
      <c r="F659" s="28">
        <f t="shared" si="93"/>
        <v>122.68</v>
      </c>
      <c r="G659" s="28">
        <f t="shared" si="94"/>
        <v>92.009999999999991</v>
      </c>
      <c r="H659" s="28">
        <f t="shared" si="95"/>
        <v>3067</v>
      </c>
      <c r="I659" s="28">
        <f t="shared" ref="I659:I696" si="97">H659*0.5</f>
        <v>1533.5</v>
      </c>
      <c r="J659" s="46"/>
      <c r="K659" s="46"/>
      <c r="L659" s="46"/>
      <c r="M659" s="46"/>
      <c r="N659" s="46"/>
      <c r="O659" s="77">
        <v>157845</v>
      </c>
      <c r="P659" s="77">
        <v>160912</v>
      </c>
      <c r="Q659" s="79"/>
      <c r="R659" s="80"/>
      <c r="S659" s="77">
        <v>1</v>
      </c>
      <c r="T659" s="28">
        <f t="shared" si="96"/>
        <v>3067</v>
      </c>
      <c r="U659" s="31"/>
      <c r="V659" s="677" t="s">
        <v>753</v>
      </c>
      <c r="W659" s="14" t="s">
        <v>48</v>
      </c>
      <c r="X659" s="7"/>
      <c r="Y659" s="7"/>
      <c r="Z659" s="7"/>
      <c r="AA659" s="7"/>
      <c r="AB659" s="7"/>
      <c r="AC659" s="7"/>
    </row>
    <row r="660" spans="1:29" ht="25.5">
      <c r="A660" s="252"/>
      <c r="B660" s="62" t="s">
        <v>588</v>
      </c>
      <c r="C660" s="28">
        <f t="shared" si="91"/>
        <v>139.1</v>
      </c>
      <c r="D660" s="77"/>
      <c r="E660" s="28">
        <f t="shared" si="92"/>
        <v>9.1</v>
      </c>
      <c r="F660" s="28">
        <f t="shared" si="93"/>
        <v>5.2</v>
      </c>
      <c r="G660" s="28">
        <f t="shared" si="94"/>
        <v>3.9</v>
      </c>
      <c r="H660" s="28">
        <f t="shared" si="95"/>
        <v>130</v>
      </c>
      <c r="I660" s="28">
        <f t="shared" si="97"/>
        <v>65</v>
      </c>
      <c r="J660" s="46"/>
      <c r="K660" s="46"/>
      <c r="L660" s="46"/>
      <c r="M660" s="46"/>
      <c r="N660" s="46"/>
      <c r="O660" s="77">
        <v>15592</v>
      </c>
      <c r="P660" s="77">
        <v>15722</v>
      </c>
      <c r="Q660" s="79"/>
      <c r="R660" s="80"/>
      <c r="S660" s="77">
        <v>1</v>
      </c>
      <c r="T660" s="28">
        <f t="shared" si="96"/>
        <v>130</v>
      </c>
      <c r="U660" s="31">
        <v>4691</v>
      </c>
      <c r="V660" s="677" t="s">
        <v>589</v>
      </c>
      <c r="W660" s="14" t="s">
        <v>48</v>
      </c>
      <c r="X660" s="7"/>
      <c r="Y660" s="7"/>
      <c r="Z660" s="7"/>
      <c r="AA660" s="7"/>
      <c r="AB660" s="7"/>
      <c r="AC660" s="7"/>
    </row>
    <row r="661" spans="1:29" ht="25.5">
      <c r="A661" s="252"/>
      <c r="B661" s="62" t="s">
        <v>590</v>
      </c>
      <c r="C661" s="28">
        <f t="shared" si="91"/>
        <v>246.1</v>
      </c>
      <c r="D661" s="77"/>
      <c r="E661" s="28">
        <f t="shared" si="92"/>
        <v>16.100000000000001</v>
      </c>
      <c r="F661" s="28">
        <f t="shared" si="93"/>
        <v>9.2000000000000011</v>
      </c>
      <c r="G661" s="28">
        <f t="shared" si="94"/>
        <v>6.8999999999999995</v>
      </c>
      <c r="H661" s="28">
        <f t="shared" si="95"/>
        <v>230</v>
      </c>
      <c r="I661" s="28">
        <f t="shared" si="97"/>
        <v>115</v>
      </c>
      <c r="J661" s="46"/>
      <c r="K661" s="46"/>
      <c r="L661" s="46"/>
      <c r="M661" s="46"/>
      <c r="N661" s="46"/>
      <c r="O661" s="77">
        <v>17824</v>
      </c>
      <c r="P661" s="77">
        <v>18054</v>
      </c>
      <c r="Q661" s="79"/>
      <c r="R661" s="80"/>
      <c r="S661" s="77">
        <v>1</v>
      </c>
      <c r="T661" s="28">
        <f t="shared" si="96"/>
        <v>230</v>
      </c>
      <c r="U661" s="31">
        <v>1641</v>
      </c>
      <c r="V661" s="677" t="s">
        <v>591</v>
      </c>
      <c r="W661" s="14" t="s">
        <v>48</v>
      </c>
      <c r="X661" s="7"/>
      <c r="Y661" s="7"/>
      <c r="Z661" s="7"/>
      <c r="AA661" s="7"/>
      <c r="AB661" s="7"/>
      <c r="AC661" s="7"/>
    </row>
    <row r="662" spans="1:29" ht="25.5">
      <c r="A662" s="252"/>
      <c r="B662" s="62" t="s">
        <v>592</v>
      </c>
      <c r="C662" s="28">
        <f t="shared" si="91"/>
        <v>225.77</v>
      </c>
      <c r="D662" s="77"/>
      <c r="E662" s="28">
        <f t="shared" si="92"/>
        <v>14.77</v>
      </c>
      <c r="F662" s="28">
        <f t="shared" si="93"/>
        <v>8.44</v>
      </c>
      <c r="G662" s="28">
        <f t="shared" si="94"/>
        <v>6.33</v>
      </c>
      <c r="H662" s="28">
        <f t="shared" si="95"/>
        <v>211</v>
      </c>
      <c r="I662" s="28">
        <f t="shared" si="97"/>
        <v>105.5</v>
      </c>
      <c r="J662" s="46"/>
      <c r="K662" s="46"/>
      <c r="L662" s="46"/>
      <c r="M662" s="46"/>
      <c r="N662" s="46"/>
      <c r="O662" s="77">
        <v>17724</v>
      </c>
      <c r="P662" s="77">
        <v>17935</v>
      </c>
      <c r="Q662" s="79"/>
      <c r="R662" s="80"/>
      <c r="S662" s="77">
        <v>1</v>
      </c>
      <c r="T662" s="28">
        <f t="shared" si="96"/>
        <v>211</v>
      </c>
      <c r="U662" s="31">
        <v>6943</v>
      </c>
      <c r="V662" s="677" t="s">
        <v>593</v>
      </c>
      <c r="W662" s="14" t="s">
        <v>48</v>
      </c>
      <c r="X662" s="7"/>
      <c r="Y662" s="7"/>
      <c r="Z662" s="7"/>
      <c r="AA662" s="7"/>
      <c r="AB662" s="7"/>
      <c r="AC662" s="7"/>
    </row>
    <row r="663" spans="1:29" ht="25.5">
      <c r="A663" s="252"/>
      <c r="B663" s="62" t="s">
        <v>594</v>
      </c>
      <c r="C663" s="28">
        <f t="shared" si="91"/>
        <v>245.03</v>
      </c>
      <c r="D663" s="77"/>
      <c r="E663" s="28">
        <f t="shared" si="92"/>
        <v>16.03</v>
      </c>
      <c r="F663" s="28">
        <f t="shared" si="93"/>
        <v>9.16</v>
      </c>
      <c r="G663" s="28">
        <f t="shared" si="94"/>
        <v>6.87</v>
      </c>
      <c r="H663" s="28">
        <f t="shared" si="95"/>
        <v>229</v>
      </c>
      <c r="I663" s="28">
        <f t="shared" si="97"/>
        <v>114.5</v>
      </c>
      <c r="J663" s="46"/>
      <c r="K663" s="46"/>
      <c r="L663" s="46"/>
      <c r="M663" s="46"/>
      <c r="N663" s="46"/>
      <c r="O663" s="77">
        <v>21118</v>
      </c>
      <c r="P663" s="77">
        <v>21347</v>
      </c>
      <c r="Q663" s="79"/>
      <c r="R663" s="80"/>
      <c r="S663" s="77">
        <v>1</v>
      </c>
      <c r="T663" s="28">
        <f t="shared" si="96"/>
        <v>229</v>
      </c>
      <c r="U663" s="31">
        <v>9787</v>
      </c>
      <c r="V663" s="677" t="s">
        <v>595</v>
      </c>
      <c r="W663" s="14" t="s">
        <v>48</v>
      </c>
      <c r="X663" s="7"/>
      <c r="Y663" s="7"/>
      <c r="Z663" s="7"/>
      <c r="AA663" s="7"/>
      <c r="AB663" s="7"/>
      <c r="AC663" s="7"/>
    </row>
    <row r="664" spans="1:29" ht="25.5">
      <c r="A664" s="252"/>
      <c r="B664" s="62" t="s">
        <v>596</v>
      </c>
      <c r="C664" s="28">
        <f t="shared" si="91"/>
        <v>172.27</v>
      </c>
      <c r="D664" s="77"/>
      <c r="E664" s="28">
        <f t="shared" si="92"/>
        <v>11.27</v>
      </c>
      <c r="F664" s="28">
        <f t="shared" si="93"/>
        <v>6.44</v>
      </c>
      <c r="G664" s="28">
        <f t="shared" si="94"/>
        <v>4.83</v>
      </c>
      <c r="H664" s="28">
        <f t="shared" si="95"/>
        <v>161</v>
      </c>
      <c r="I664" s="28">
        <f t="shared" si="97"/>
        <v>80.5</v>
      </c>
      <c r="J664" s="46"/>
      <c r="K664" s="46"/>
      <c r="L664" s="46"/>
      <c r="M664" s="46"/>
      <c r="N664" s="46"/>
      <c r="O664" s="77">
        <v>20689</v>
      </c>
      <c r="P664" s="77">
        <v>20850</v>
      </c>
      <c r="Q664" s="79"/>
      <c r="R664" s="80"/>
      <c r="S664" s="77">
        <v>1</v>
      </c>
      <c r="T664" s="28">
        <f t="shared" si="96"/>
        <v>161</v>
      </c>
      <c r="U664" s="31" t="s">
        <v>597</v>
      </c>
      <c r="V664" s="677" t="s">
        <v>598</v>
      </c>
      <c r="W664" s="14" t="s">
        <v>48</v>
      </c>
      <c r="X664" s="7"/>
      <c r="Y664" s="7"/>
      <c r="Z664" s="7"/>
      <c r="AA664" s="7"/>
      <c r="AB664" s="7"/>
      <c r="AC664" s="7"/>
    </row>
    <row r="665" spans="1:29" ht="25.5">
      <c r="A665" s="252"/>
      <c r="B665" s="841" t="s">
        <v>599</v>
      </c>
      <c r="C665" s="28">
        <f t="shared" si="91"/>
        <v>547.84</v>
      </c>
      <c r="D665" s="77"/>
      <c r="E665" s="28">
        <f t="shared" si="92"/>
        <v>35.840000000000003</v>
      </c>
      <c r="F665" s="28">
        <f t="shared" si="93"/>
        <v>20.48</v>
      </c>
      <c r="G665" s="28">
        <f t="shared" si="94"/>
        <v>15.36</v>
      </c>
      <c r="H665" s="28">
        <f t="shared" si="95"/>
        <v>512</v>
      </c>
      <c r="I665" s="28">
        <f t="shared" si="97"/>
        <v>256</v>
      </c>
      <c r="J665" s="46"/>
      <c r="K665" s="46"/>
      <c r="L665" s="46"/>
      <c r="M665" s="46"/>
      <c r="N665" s="46"/>
      <c r="O665" s="77">
        <v>35288</v>
      </c>
      <c r="P665" s="77">
        <v>35800</v>
      </c>
      <c r="Q665" s="79"/>
      <c r="R665" s="80"/>
      <c r="S665" s="77">
        <v>1</v>
      </c>
      <c r="T665" s="28">
        <f t="shared" si="96"/>
        <v>512</v>
      </c>
      <c r="U665" s="31">
        <v>9791</v>
      </c>
      <c r="V665" s="677" t="s">
        <v>600</v>
      </c>
      <c r="W665" s="14" t="s">
        <v>48</v>
      </c>
      <c r="X665" s="7"/>
      <c r="Y665" s="7"/>
      <c r="Z665" s="7"/>
      <c r="AA665" s="7"/>
      <c r="AB665" s="7"/>
      <c r="AC665" s="7"/>
    </row>
    <row r="666" spans="1:29" ht="25.5">
      <c r="A666" s="252"/>
      <c r="B666" s="842"/>
      <c r="C666" s="28">
        <f t="shared" si="91"/>
        <v>127.33</v>
      </c>
      <c r="D666" s="77"/>
      <c r="E666" s="28">
        <f t="shared" si="92"/>
        <v>8.33</v>
      </c>
      <c r="F666" s="28">
        <f t="shared" si="93"/>
        <v>4.76</v>
      </c>
      <c r="G666" s="28">
        <f t="shared" si="94"/>
        <v>3.57</v>
      </c>
      <c r="H666" s="28">
        <f t="shared" si="95"/>
        <v>119</v>
      </c>
      <c r="I666" s="28">
        <f t="shared" si="97"/>
        <v>59.5</v>
      </c>
      <c r="J666" s="46"/>
      <c r="K666" s="46"/>
      <c r="L666" s="46"/>
      <c r="M666" s="46"/>
      <c r="N666" s="46"/>
      <c r="O666" s="77">
        <v>9498</v>
      </c>
      <c r="P666" s="77">
        <v>9617</v>
      </c>
      <c r="Q666" s="79"/>
      <c r="R666" s="80"/>
      <c r="S666" s="77">
        <v>1</v>
      </c>
      <c r="T666" s="28">
        <f t="shared" si="96"/>
        <v>119</v>
      </c>
      <c r="U666" s="31">
        <v>1049</v>
      </c>
      <c r="V666" s="677" t="s">
        <v>602</v>
      </c>
      <c r="W666" s="14" t="s">
        <v>48</v>
      </c>
      <c r="X666" s="7"/>
      <c r="Y666" s="7"/>
      <c r="Z666" s="7"/>
      <c r="AA666" s="7"/>
      <c r="AB666" s="7"/>
      <c r="AC666" s="7"/>
    </row>
    <row r="667" spans="1:29" ht="25.5">
      <c r="A667" s="252"/>
      <c r="B667" s="62" t="s">
        <v>706</v>
      </c>
      <c r="C667" s="28">
        <f t="shared" si="91"/>
        <v>1066.79</v>
      </c>
      <c r="D667" s="77"/>
      <c r="E667" s="28">
        <f t="shared" si="92"/>
        <v>69.790000000000006</v>
      </c>
      <c r="F667" s="28">
        <f t="shared" si="93"/>
        <v>39.880000000000003</v>
      </c>
      <c r="G667" s="28">
        <f t="shared" si="94"/>
        <v>29.91</v>
      </c>
      <c r="H667" s="28">
        <f t="shared" si="95"/>
        <v>997</v>
      </c>
      <c r="I667" s="28">
        <f t="shared" si="97"/>
        <v>498.5</v>
      </c>
      <c r="J667" s="46"/>
      <c r="K667" s="46"/>
      <c r="L667" s="46"/>
      <c r="M667" s="46"/>
      <c r="N667" s="46"/>
      <c r="O667" s="77">
        <v>87823</v>
      </c>
      <c r="P667" s="77">
        <v>88820</v>
      </c>
      <c r="Q667" s="79"/>
      <c r="R667" s="80"/>
      <c r="S667" s="77">
        <v>1</v>
      </c>
      <c r="T667" s="28">
        <f t="shared" si="96"/>
        <v>997</v>
      </c>
      <c r="U667" s="31">
        <v>4265</v>
      </c>
      <c r="V667" s="677" t="s">
        <v>603</v>
      </c>
      <c r="W667" s="14" t="s">
        <v>48</v>
      </c>
      <c r="X667" s="7"/>
      <c r="Y667" s="7"/>
      <c r="Z667" s="7"/>
      <c r="AA667" s="7"/>
      <c r="AB667" s="7"/>
      <c r="AC667" s="7"/>
    </row>
    <row r="668" spans="1:29" ht="25.5">
      <c r="A668" s="252"/>
      <c r="B668" s="62" t="s">
        <v>604</v>
      </c>
      <c r="C668" s="28">
        <f t="shared" si="91"/>
        <v>471.87</v>
      </c>
      <c r="D668" s="77"/>
      <c r="E668" s="28">
        <f t="shared" si="92"/>
        <v>30.869999999999997</v>
      </c>
      <c r="F668" s="28">
        <f t="shared" si="93"/>
        <v>17.64</v>
      </c>
      <c r="G668" s="28">
        <f t="shared" si="94"/>
        <v>13.229999999999999</v>
      </c>
      <c r="H668" s="28">
        <f t="shared" si="95"/>
        <v>441</v>
      </c>
      <c r="I668" s="28">
        <f t="shared" si="97"/>
        <v>220.5</v>
      </c>
      <c r="J668" s="46"/>
      <c r="K668" s="46"/>
      <c r="L668" s="46"/>
      <c r="M668" s="46"/>
      <c r="N668" s="46"/>
      <c r="O668" s="77">
        <v>40999</v>
      </c>
      <c r="P668" s="77">
        <v>41440</v>
      </c>
      <c r="Q668" s="79"/>
      <c r="R668" s="80"/>
      <c r="S668" s="77">
        <v>1</v>
      </c>
      <c r="T668" s="28">
        <f t="shared" si="96"/>
        <v>441</v>
      </c>
      <c r="U668" s="31">
        <v>3583</v>
      </c>
      <c r="V668" s="677" t="s">
        <v>605</v>
      </c>
      <c r="W668" s="14" t="s">
        <v>48</v>
      </c>
      <c r="X668" s="7"/>
      <c r="Y668" s="7"/>
      <c r="Z668" s="7"/>
      <c r="AA668" s="7"/>
      <c r="AB668" s="7"/>
      <c r="AC668" s="7"/>
    </row>
    <row r="669" spans="1:29" ht="25.5">
      <c r="A669" s="252"/>
      <c r="B669" s="62" t="s">
        <v>606</v>
      </c>
      <c r="C669" s="28">
        <f t="shared" si="91"/>
        <v>123.05</v>
      </c>
      <c r="D669" s="77"/>
      <c r="E669" s="28">
        <f t="shared" si="92"/>
        <v>8.0500000000000007</v>
      </c>
      <c r="F669" s="28">
        <f t="shared" si="93"/>
        <v>4.6000000000000005</v>
      </c>
      <c r="G669" s="28">
        <f t="shared" si="94"/>
        <v>3.4499999999999997</v>
      </c>
      <c r="H669" s="28">
        <f t="shared" si="95"/>
        <v>115</v>
      </c>
      <c r="I669" s="28">
        <f t="shared" si="97"/>
        <v>57.5</v>
      </c>
      <c r="J669" s="46"/>
      <c r="K669" s="46"/>
      <c r="L669" s="46"/>
      <c r="M669" s="46"/>
      <c r="N669" s="46"/>
      <c r="O669" s="77">
        <v>9218</v>
      </c>
      <c r="P669" s="77">
        <v>9333</v>
      </c>
      <c r="Q669" s="79"/>
      <c r="R669" s="80"/>
      <c r="S669" s="77">
        <v>1</v>
      </c>
      <c r="T669" s="28">
        <f t="shared" si="96"/>
        <v>115</v>
      </c>
      <c r="U669" s="31">
        <v>4513</v>
      </c>
      <c r="V669" s="677" t="s">
        <v>607</v>
      </c>
      <c r="W669" s="14" t="s">
        <v>48</v>
      </c>
      <c r="X669" s="7"/>
      <c r="Y669" s="7"/>
      <c r="Z669" s="7"/>
      <c r="AA669" s="7"/>
      <c r="AB669" s="7"/>
      <c r="AC669" s="7"/>
    </row>
    <row r="670" spans="1:29" ht="25.5">
      <c r="A670" s="252"/>
      <c r="B670" s="62" t="s">
        <v>608</v>
      </c>
      <c r="C670" s="28">
        <f t="shared" si="91"/>
        <v>0</v>
      </c>
      <c r="D670" s="77"/>
      <c r="E670" s="28">
        <f t="shared" si="92"/>
        <v>0</v>
      </c>
      <c r="F670" s="28">
        <f t="shared" si="93"/>
        <v>0</v>
      </c>
      <c r="G670" s="28">
        <f t="shared" si="94"/>
        <v>0</v>
      </c>
      <c r="H670" s="28">
        <f t="shared" si="95"/>
        <v>0</v>
      </c>
      <c r="I670" s="28">
        <f t="shared" si="97"/>
        <v>0</v>
      </c>
      <c r="J670" s="46"/>
      <c r="K670" s="46"/>
      <c r="L670" s="46"/>
      <c r="M670" s="46"/>
      <c r="N670" s="46"/>
      <c r="O670" s="77">
        <v>15474</v>
      </c>
      <c r="P670" s="77">
        <v>15474</v>
      </c>
      <c r="Q670" s="79"/>
      <c r="R670" s="80"/>
      <c r="S670" s="77">
        <v>1</v>
      </c>
      <c r="T670" s="28">
        <f t="shared" si="96"/>
        <v>0</v>
      </c>
      <c r="U670" s="31">
        <v>3882</v>
      </c>
      <c r="V670" s="677" t="s">
        <v>609</v>
      </c>
      <c r="W670" s="14" t="s">
        <v>48</v>
      </c>
      <c r="X670" s="7"/>
      <c r="Y670" s="7"/>
      <c r="Z670" s="7"/>
      <c r="AA670" s="7"/>
      <c r="AB670" s="7"/>
      <c r="AC670" s="7"/>
    </row>
    <row r="671" spans="1:29" ht="25.5">
      <c r="A671" s="252"/>
      <c r="B671" s="62" t="s">
        <v>707</v>
      </c>
      <c r="C671" s="28">
        <f t="shared" si="91"/>
        <v>569.24</v>
      </c>
      <c r="D671" s="77"/>
      <c r="E671" s="28">
        <f t="shared" si="92"/>
        <v>37.24</v>
      </c>
      <c r="F671" s="28">
        <f t="shared" si="93"/>
        <v>21.28</v>
      </c>
      <c r="G671" s="28">
        <f t="shared" si="94"/>
        <v>15.959999999999999</v>
      </c>
      <c r="H671" s="28">
        <f t="shared" si="95"/>
        <v>532</v>
      </c>
      <c r="I671" s="28">
        <f t="shared" si="97"/>
        <v>266</v>
      </c>
      <c r="J671" s="46"/>
      <c r="K671" s="46"/>
      <c r="L671" s="46"/>
      <c r="M671" s="46"/>
      <c r="N671" s="46"/>
      <c r="O671" s="77">
        <v>22782</v>
      </c>
      <c r="P671" s="77">
        <v>23314</v>
      </c>
      <c r="Q671" s="79"/>
      <c r="R671" s="80"/>
      <c r="S671" s="77">
        <v>1</v>
      </c>
      <c r="T671" s="28">
        <f t="shared" si="96"/>
        <v>532</v>
      </c>
      <c r="U671" s="31">
        <v>6296</v>
      </c>
      <c r="V671" s="677" t="s">
        <v>687</v>
      </c>
      <c r="W671" s="14" t="s">
        <v>48</v>
      </c>
      <c r="X671" s="7"/>
      <c r="Y671" s="7"/>
      <c r="Z671" s="7"/>
      <c r="AA671" s="7"/>
      <c r="AB671" s="7"/>
      <c r="AC671" s="7"/>
    </row>
    <row r="672" spans="1:29" ht="27" customHeight="1">
      <c r="B672" s="62" t="s">
        <v>840</v>
      </c>
      <c r="C672" s="28">
        <f t="shared" si="91"/>
        <v>1213.3800000000001</v>
      </c>
      <c r="D672" s="77"/>
      <c r="E672" s="28">
        <f t="shared" si="92"/>
        <v>79.38</v>
      </c>
      <c r="F672" s="28">
        <f t="shared" si="93"/>
        <v>45.36</v>
      </c>
      <c r="G672" s="28">
        <f t="shared" si="94"/>
        <v>34.019999999999996</v>
      </c>
      <c r="H672" s="28">
        <f t="shared" si="95"/>
        <v>1134</v>
      </c>
      <c r="I672" s="28">
        <f t="shared" si="97"/>
        <v>567</v>
      </c>
      <c r="J672" s="46"/>
      <c r="K672" s="46"/>
      <c r="L672" s="46"/>
      <c r="M672" s="46"/>
      <c r="N672" s="46"/>
      <c r="O672" s="77">
        <v>9586</v>
      </c>
      <c r="P672" s="77">
        <v>10720</v>
      </c>
      <c r="Q672" s="79"/>
      <c r="R672" s="80"/>
      <c r="S672" s="77">
        <v>1</v>
      </c>
      <c r="T672" s="28">
        <f t="shared" si="96"/>
        <v>1134</v>
      </c>
      <c r="U672" s="31">
        <v>9873</v>
      </c>
      <c r="V672" s="677" t="s">
        <v>841</v>
      </c>
    </row>
    <row r="673" spans="1:29" ht="25.5">
      <c r="A673" s="252"/>
      <c r="B673" s="62" t="s">
        <v>896</v>
      </c>
      <c r="C673" s="28">
        <f t="shared" si="91"/>
        <v>268.57</v>
      </c>
      <c r="D673" s="77"/>
      <c r="E673" s="28">
        <f t="shared" si="92"/>
        <v>17.57</v>
      </c>
      <c r="F673" s="28">
        <f t="shared" si="93"/>
        <v>10.040000000000001</v>
      </c>
      <c r="G673" s="28">
        <f t="shared" si="94"/>
        <v>7.5299999999999994</v>
      </c>
      <c r="H673" s="28">
        <f t="shared" si="95"/>
        <v>251</v>
      </c>
      <c r="I673" s="28">
        <f t="shared" si="97"/>
        <v>125.5</v>
      </c>
      <c r="J673" s="46"/>
      <c r="K673" s="46"/>
      <c r="L673" s="46"/>
      <c r="M673" s="46"/>
      <c r="N673" s="46"/>
      <c r="O673" s="77">
        <v>16284</v>
      </c>
      <c r="P673" s="77">
        <v>16535</v>
      </c>
      <c r="Q673" s="79"/>
      <c r="R673" s="80"/>
      <c r="S673" s="77">
        <v>1</v>
      </c>
      <c r="T673" s="28">
        <f t="shared" si="96"/>
        <v>251</v>
      </c>
      <c r="U673" s="31">
        <v>5679</v>
      </c>
      <c r="V673" s="677" t="s">
        <v>289</v>
      </c>
      <c r="W673" s="14" t="s">
        <v>48</v>
      </c>
      <c r="X673" s="7"/>
      <c r="Y673" s="7"/>
      <c r="Z673" s="7"/>
      <c r="AA673" s="7"/>
      <c r="AB673" s="7"/>
      <c r="AC673" s="7"/>
    </row>
    <row r="674" spans="1:29" ht="25.5">
      <c r="A674" s="252"/>
      <c r="B674" s="62" t="s">
        <v>612</v>
      </c>
      <c r="C674" s="28">
        <f t="shared" si="91"/>
        <v>398.04</v>
      </c>
      <c r="D674" s="77"/>
      <c r="E674" s="28">
        <f t="shared" si="92"/>
        <v>26.04</v>
      </c>
      <c r="F674" s="28">
        <f t="shared" si="93"/>
        <v>14.88</v>
      </c>
      <c r="G674" s="28">
        <f t="shared" si="94"/>
        <v>11.16</v>
      </c>
      <c r="H674" s="28">
        <f t="shared" si="95"/>
        <v>372</v>
      </c>
      <c r="I674" s="28">
        <f t="shared" si="97"/>
        <v>186</v>
      </c>
      <c r="J674" s="46"/>
      <c r="K674" s="46"/>
      <c r="L674" s="46"/>
      <c r="M674" s="46"/>
      <c r="N674" s="46"/>
      <c r="O674" s="77">
        <v>44767</v>
      </c>
      <c r="P674" s="77">
        <v>45139</v>
      </c>
      <c r="Q674" s="79"/>
      <c r="R674" s="80"/>
      <c r="S674" s="77">
        <v>1</v>
      </c>
      <c r="T674" s="28">
        <f t="shared" si="96"/>
        <v>372</v>
      </c>
      <c r="U674" s="31">
        <v>5803</v>
      </c>
      <c r="V674" s="677" t="s">
        <v>613</v>
      </c>
      <c r="W674" s="14" t="s">
        <v>48</v>
      </c>
      <c r="X674" s="7"/>
      <c r="Y674" s="7"/>
      <c r="Z674" s="7"/>
      <c r="AA674" s="7"/>
      <c r="AB674" s="7"/>
      <c r="AC674" s="7"/>
    </row>
    <row r="675" spans="1:29" ht="25.5">
      <c r="A675" s="252"/>
      <c r="B675" s="62" t="s">
        <v>614</v>
      </c>
      <c r="C675" s="28">
        <f t="shared" si="91"/>
        <v>347.75</v>
      </c>
      <c r="D675" s="77"/>
      <c r="E675" s="28">
        <f t="shared" si="92"/>
        <v>22.75</v>
      </c>
      <c r="F675" s="28">
        <f t="shared" si="93"/>
        <v>13</v>
      </c>
      <c r="G675" s="28">
        <f t="shared" si="94"/>
        <v>9.75</v>
      </c>
      <c r="H675" s="28">
        <f t="shared" si="95"/>
        <v>325</v>
      </c>
      <c r="I675" s="28">
        <f t="shared" si="97"/>
        <v>162.5</v>
      </c>
      <c r="J675" s="46"/>
      <c r="K675" s="46"/>
      <c r="L675" s="46"/>
      <c r="M675" s="46"/>
      <c r="N675" s="46"/>
      <c r="O675" s="77">
        <v>23361</v>
      </c>
      <c r="P675" s="77">
        <v>23686</v>
      </c>
      <c r="Q675" s="79"/>
      <c r="R675" s="80"/>
      <c r="S675" s="77">
        <v>1</v>
      </c>
      <c r="T675" s="28">
        <f t="shared" si="96"/>
        <v>325</v>
      </c>
      <c r="U675" s="31">
        <v>5419</v>
      </c>
      <c r="V675" s="677" t="s">
        <v>615</v>
      </c>
      <c r="W675" s="14" t="s">
        <v>48</v>
      </c>
      <c r="X675" s="7"/>
      <c r="Y675" s="7"/>
      <c r="Z675" s="7"/>
      <c r="AA675" s="7"/>
      <c r="AB675" s="7"/>
      <c r="AC675" s="7"/>
    </row>
    <row r="676" spans="1:29" ht="25.5">
      <c r="A676" s="252"/>
      <c r="B676" s="62" t="s">
        <v>616</v>
      </c>
      <c r="C676" s="28">
        <f t="shared" si="91"/>
        <v>408.74</v>
      </c>
      <c r="D676" s="77"/>
      <c r="E676" s="28">
        <f t="shared" si="92"/>
        <v>26.740000000000002</v>
      </c>
      <c r="F676" s="28">
        <f t="shared" si="93"/>
        <v>15.280000000000001</v>
      </c>
      <c r="G676" s="28">
        <f t="shared" si="94"/>
        <v>11.459999999999999</v>
      </c>
      <c r="H676" s="28">
        <f t="shared" si="95"/>
        <v>382</v>
      </c>
      <c r="I676" s="28">
        <f t="shared" si="97"/>
        <v>191</v>
      </c>
      <c r="J676" s="46"/>
      <c r="K676" s="46"/>
      <c r="L676" s="46"/>
      <c r="M676" s="46"/>
      <c r="N676" s="46"/>
      <c r="O676" s="77">
        <v>34566</v>
      </c>
      <c r="P676" s="77">
        <v>34948</v>
      </c>
      <c r="Q676" s="79"/>
      <c r="R676" s="80"/>
      <c r="S676" s="77">
        <v>1</v>
      </c>
      <c r="T676" s="28">
        <f t="shared" si="96"/>
        <v>382</v>
      </c>
      <c r="U676" s="31">
        <v>5691</v>
      </c>
      <c r="V676" s="677" t="s">
        <v>617</v>
      </c>
      <c r="W676" s="14" t="s">
        <v>48</v>
      </c>
      <c r="X676" s="7"/>
      <c r="Y676" s="7"/>
      <c r="Z676" s="7"/>
      <c r="AA676" s="7"/>
      <c r="AB676" s="7"/>
      <c r="AC676" s="7"/>
    </row>
    <row r="677" spans="1:29" ht="25.5">
      <c r="A677" s="252"/>
      <c r="B677" s="62" t="s">
        <v>837</v>
      </c>
      <c r="C677" s="28">
        <f t="shared" si="91"/>
        <v>1626.4</v>
      </c>
      <c r="D677" s="77"/>
      <c r="E677" s="28">
        <f t="shared" si="92"/>
        <v>106.4</v>
      </c>
      <c r="F677" s="28">
        <f t="shared" si="93"/>
        <v>60.800000000000004</v>
      </c>
      <c r="G677" s="28">
        <f t="shared" si="94"/>
        <v>45.6</v>
      </c>
      <c r="H677" s="28">
        <f t="shared" si="95"/>
        <v>1520</v>
      </c>
      <c r="I677" s="28">
        <f t="shared" si="97"/>
        <v>760</v>
      </c>
      <c r="J677" s="46"/>
      <c r="K677" s="46"/>
      <c r="L677" s="46"/>
      <c r="M677" s="46"/>
      <c r="N677" s="46"/>
      <c r="O677" s="456">
        <v>64925</v>
      </c>
      <c r="P677" s="456">
        <v>66445</v>
      </c>
      <c r="Q677" s="79"/>
      <c r="R677" s="80"/>
      <c r="S677" s="77">
        <v>1</v>
      </c>
      <c r="T677" s="28">
        <f t="shared" si="96"/>
        <v>1520</v>
      </c>
      <c r="U677" s="31">
        <v>2169</v>
      </c>
      <c r="V677" s="677" t="s">
        <v>817</v>
      </c>
      <c r="W677" s="14" t="s">
        <v>48</v>
      </c>
      <c r="X677" s="7"/>
      <c r="Y677" s="7"/>
      <c r="Z677" s="7"/>
      <c r="AA677" s="7"/>
      <c r="AB677" s="7"/>
      <c r="AC677" s="7"/>
    </row>
    <row r="678" spans="1:29" ht="25.5">
      <c r="A678" s="252"/>
      <c r="B678" s="62" t="s">
        <v>618</v>
      </c>
      <c r="C678" s="28">
        <f t="shared" si="91"/>
        <v>895.59</v>
      </c>
      <c r="D678" s="77"/>
      <c r="E678" s="28">
        <f t="shared" si="92"/>
        <v>58.59</v>
      </c>
      <c r="F678" s="28">
        <f t="shared" si="93"/>
        <v>33.480000000000004</v>
      </c>
      <c r="G678" s="28">
        <f t="shared" si="94"/>
        <v>25.11</v>
      </c>
      <c r="H678" s="28">
        <f t="shared" si="95"/>
        <v>837</v>
      </c>
      <c r="I678" s="28">
        <f t="shared" si="97"/>
        <v>418.5</v>
      </c>
      <c r="J678" s="46"/>
      <c r="K678" s="46"/>
      <c r="L678" s="46"/>
      <c r="M678" s="46"/>
      <c r="N678" s="46"/>
      <c r="O678" s="77">
        <v>57257</v>
      </c>
      <c r="P678" s="77">
        <v>58094</v>
      </c>
      <c r="Q678" s="79"/>
      <c r="R678" s="80"/>
      <c r="S678" s="77">
        <v>1</v>
      </c>
      <c r="T678" s="28">
        <f t="shared" si="96"/>
        <v>837</v>
      </c>
      <c r="U678" s="31">
        <v>3943</v>
      </c>
      <c r="V678" s="677" t="s">
        <v>838</v>
      </c>
      <c r="W678" s="14" t="s">
        <v>48</v>
      </c>
      <c r="X678" s="7"/>
      <c r="Y678" s="7"/>
      <c r="Z678" s="7"/>
      <c r="AA678" s="7"/>
      <c r="AB678" s="7"/>
      <c r="AC678" s="7"/>
    </row>
    <row r="679" spans="1:29" ht="25.5">
      <c r="A679" s="252"/>
      <c r="B679" s="62" t="s">
        <v>619</v>
      </c>
      <c r="C679" s="28">
        <f>H679+E679</f>
        <v>1289.3499999999999</v>
      </c>
      <c r="D679" s="28"/>
      <c r="E679" s="28">
        <f>F679+G679</f>
        <v>84.35</v>
      </c>
      <c r="F679" s="28">
        <f>0.04*H679</f>
        <v>48.2</v>
      </c>
      <c r="G679" s="28">
        <f>0.03*H679</f>
        <v>36.15</v>
      </c>
      <c r="H679" s="28">
        <f>T679</f>
        <v>1205</v>
      </c>
      <c r="I679" s="28">
        <f>0.5*C679</f>
        <v>644.67499999999995</v>
      </c>
      <c r="J679" s="29"/>
      <c r="K679" s="29"/>
      <c r="L679" s="29"/>
      <c r="M679" s="29"/>
      <c r="N679" s="29"/>
      <c r="O679" s="28">
        <v>71404</v>
      </c>
      <c r="P679" s="28">
        <v>72609</v>
      </c>
      <c r="Q679" s="30"/>
      <c r="R679" s="457"/>
      <c r="S679" s="28">
        <v>1</v>
      </c>
      <c r="T679" s="28">
        <f t="shared" si="96"/>
        <v>1205</v>
      </c>
      <c r="U679" s="31">
        <v>5973</v>
      </c>
      <c r="V679" s="677" t="s">
        <v>839</v>
      </c>
      <c r="W679" s="14" t="s">
        <v>48</v>
      </c>
      <c r="X679" s="7"/>
      <c r="Y679" s="7"/>
      <c r="Z679" s="7"/>
      <c r="AA679" s="7"/>
      <c r="AB679" s="7"/>
      <c r="AC679" s="7"/>
    </row>
    <row r="680" spans="1:29" ht="25.5">
      <c r="A680" s="252"/>
      <c r="B680" s="62" t="s">
        <v>754</v>
      </c>
      <c r="C680" s="28">
        <f t="shared" si="91"/>
        <v>1677.76</v>
      </c>
      <c r="D680" s="77"/>
      <c r="E680" s="28">
        <f t="shared" si="92"/>
        <v>109.75999999999999</v>
      </c>
      <c r="F680" s="28">
        <f t="shared" si="93"/>
        <v>62.72</v>
      </c>
      <c r="G680" s="28">
        <f t="shared" si="94"/>
        <v>47.04</v>
      </c>
      <c r="H680" s="28">
        <f t="shared" si="95"/>
        <v>1568</v>
      </c>
      <c r="I680" s="28">
        <f t="shared" si="97"/>
        <v>784</v>
      </c>
      <c r="J680" s="46"/>
      <c r="K680" s="46"/>
      <c r="L680" s="46"/>
      <c r="M680" s="46"/>
      <c r="N680" s="46"/>
      <c r="O680" s="77">
        <v>40000</v>
      </c>
      <c r="P680" s="77">
        <v>41568</v>
      </c>
      <c r="Q680" s="79"/>
      <c r="R680" s="80"/>
      <c r="S680" s="77">
        <v>1</v>
      </c>
      <c r="T680" s="28">
        <f t="shared" si="96"/>
        <v>1568</v>
      </c>
      <c r="U680" s="31">
        <v>9880</v>
      </c>
      <c r="V680" s="677" t="s">
        <v>620</v>
      </c>
      <c r="W680" s="14" t="s">
        <v>48</v>
      </c>
      <c r="X680" s="7"/>
      <c r="Y680" s="7"/>
      <c r="Z680" s="7"/>
      <c r="AA680" s="7"/>
      <c r="AB680" s="7"/>
      <c r="AC680" s="7"/>
    </row>
    <row r="681" spans="1:29" ht="25.5">
      <c r="A681" s="252"/>
      <c r="B681" s="62" t="s">
        <v>621</v>
      </c>
      <c r="C681" s="28">
        <f t="shared" si="91"/>
        <v>610.97</v>
      </c>
      <c r="D681" s="77"/>
      <c r="E681" s="28">
        <f t="shared" si="92"/>
        <v>39.97</v>
      </c>
      <c r="F681" s="28">
        <f t="shared" si="93"/>
        <v>22.84</v>
      </c>
      <c r="G681" s="28">
        <f t="shared" si="94"/>
        <v>17.13</v>
      </c>
      <c r="H681" s="28">
        <f t="shared" si="95"/>
        <v>571</v>
      </c>
      <c r="I681" s="28">
        <f t="shared" si="97"/>
        <v>285.5</v>
      </c>
      <c r="J681" s="46"/>
      <c r="K681" s="46"/>
      <c r="L681" s="46"/>
      <c r="M681" s="46"/>
      <c r="N681" s="46"/>
      <c r="O681" s="77">
        <v>54538</v>
      </c>
      <c r="P681" s="77">
        <v>55109</v>
      </c>
      <c r="Q681" s="79"/>
      <c r="R681" s="80"/>
      <c r="S681" s="77">
        <v>1</v>
      </c>
      <c r="T681" s="28">
        <f t="shared" si="96"/>
        <v>571</v>
      </c>
      <c r="U681" s="31">
        <v>9736</v>
      </c>
      <c r="V681" s="677" t="s">
        <v>622</v>
      </c>
      <c r="W681" s="14" t="s">
        <v>48</v>
      </c>
      <c r="X681" s="7"/>
      <c r="Y681" s="7"/>
      <c r="Z681" s="7"/>
      <c r="AA681" s="7"/>
      <c r="AB681" s="7"/>
      <c r="AC681" s="7"/>
    </row>
    <row r="682" spans="1:29" ht="25.5">
      <c r="A682" s="252"/>
      <c r="B682" s="62" t="s">
        <v>623</v>
      </c>
      <c r="C682" s="28">
        <f t="shared" si="91"/>
        <v>1325.73</v>
      </c>
      <c r="D682" s="77"/>
      <c r="E682" s="28">
        <f t="shared" si="92"/>
        <v>86.73</v>
      </c>
      <c r="F682" s="28">
        <f t="shared" si="93"/>
        <v>49.56</v>
      </c>
      <c r="G682" s="28">
        <f t="shared" si="94"/>
        <v>37.17</v>
      </c>
      <c r="H682" s="28">
        <f t="shared" si="95"/>
        <v>1239</v>
      </c>
      <c r="I682" s="28">
        <f t="shared" si="97"/>
        <v>619.5</v>
      </c>
      <c r="J682" s="46"/>
      <c r="K682" s="46"/>
      <c r="L682" s="46"/>
      <c r="M682" s="46"/>
      <c r="N682" s="46"/>
      <c r="O682" s="77">
        <v>175617</v>
      </c>
      <c r="P682" s="77">
        <v>176856</v>
      </c>
      <c r="Q682" s="79"/>
      <c r="R682" s="80"/>
      <c r="S682" s="77">
        <v>1</v>
      </c>
      <c r="T682" s="28">
        <f t="shared" si="96"/>
        <v>1239</v>
      </c>
      <c r="U682" s="31">
        <v>2154</v>
      </c>
      <c r="V682" s="677" t="s">
        <v>624</v>
      </c>
      <c r="W682" s="14" t="s">
        <v>48</v>
      </c>
      <c r="X682" s="7"/>
      <c r="Y682" s="7"/>
      <c r="Z682" s="7"/>
      <c r="AA682" s="7"/>
      <c r="AB682" s="7"/>
      <c r="AC682" s="7"/>
    </row>
    <row r="683" spans="1:29" ht="25.5">
      <c r="A683" s="252"/>
      <c r="B683" s="62" t="s">
        <v>625</v>
      </c>
      <c r="C683" s="28">
        <f t="shared" si="91"/>
        <v>956.58</v>
      </c>
      <c r="D683" s="77"/>
      <c r="E683" s="28">
        <f t="shared" si="92"/>
        <v>62.58</v>
      </c>
      <c r="F683" s="28">
        <f t="shared" si="93"/>
        <v>35.76</v>
      </c>
      <c r="G683" s="28">
        <f t="shared" si="94"/>
        <v>26.82</v>
      </c>
      <c r="H683" s="28">
        <f t="shared" si="95"/>
        <v>894</v>
      </c>
      <c r="I683" s="28">
        <f t="shared" si="97"/>
        <v>447</v>
      </c>
      <c r="J683" s="29"/>
      <c r="K683" s="29"/>
      <c r="L683" s="29"/>
      <c r="M683" s="29"/>
      <c r="N683" s="29"/>
      <c r="O683" s="28">
        <v>56064</v>
      </c>
      <c r="P683" s="28">
        <v>56958</v>
      </c>
      <c r="Q683" s="458"/>
      <c r="R683" s="80"/>
      <c r="S683" s="54">
        <v>1</v>
      </c>
      <c r="T683" s="28">
        <f t="shared" si="96"/>
        <v>894</v>
      </c>
      <c r="U683" s="31">
        <v>9093</v>
      </c>
      <c r="V683" s="677" t="s">
        <v>626</v>
      </c>
      <c r="W683" s="14" t="s">
        <v>48</v>
      </c>
      <c r="X683" s="7"/>
      <c r="Y683" s="7"/>
      <c r="Z683" s="7"/>
      <c r="AA683" s="7"/>
      <c r="AB683" s="7"/>
      <c r="AC683" s="7"/>
    </row>
    <row r="684" spans="1:29" ht="25.5">
      <c r="A684" s="252"/>
      <c r="B684" s="62" t="s">
        <v>627</v>
      </c>
      <c r="C684" s="28">
        <f t="shared" si="91"/>
        <v>354.17</v>
      </c>
      <c r="D684" s="77"/>
      <c r="E684" s="28">
        <f t="shared" si="92"/>
        <v>23.17</v>
      </c>
      <c r="F684" s="28">
        <f t="shared" si="93"/>
        <v>13.24</v>
      </c>
      <c r="G684" s="28">
        <f t="shared" si="94"/>
        <v>9.93</v>
      </c>
      <c r="H684" s="28">
        <f t="shared" si="95"/>
        <v>331</v>
      </c>
      <c r="I684" s="28">
        <f t="shared" si="97"/>
        <v>165.5</v>
      </c>
      <c r="J684" s="29"/>
      <c r="K684" s="29"/>
      <c r="L684" s="29"/>
      <c r="M684" s="29"/>
      <c r="N684" s="29"/>
      <c r="O684" s="28">
        <v>32609</v>
      </c>
      <c r="P684" s="28">
        <v>32940</v>
      </c>
      <c r="Q684" s="458"/>
      <c r="R684" s="80"/>
      <c r="S684" s="54">
        <v>1</v>
      </c>
      <c r="T684" s="28">
        <f t="shared" si="96"/>
        <v>331</v>
      </c>
      <c r="U684" s="31">
        <v>8650</v>
      </c>
      <c r="V684" s="677" t="s">
        <v>628</v>
      </c>
      <c r="W684" s="14" t="s">
        <v>48</v>
      </c>
      <c r="X684" s="7"/>
      <c r="Y684" s="7"/>
      <c r="Z684" s="7"/>
      <c r="AA684" s="7"/>
      <c r="AB684" s="7"/>
      <c r="AC684" s="7"/>
    </row>
    <row r="685" spans="1:29" ht="25.5">
      <c r="A685" s="252"/>
      <c r="B685" s="62" t="s">
        <v>629</v>
      </c>
      <c r="C685" s="28">
        <f t="shared" si="91"/>
        <v>373.43</v>
      </c>
      <c r="D685" s="77"/>
      <c r="E685" s="28">
        <f t="shared" si="92"/>
        <v>24.43</v>
      </c>
      <c r="F685" s="28">
        <f t="shared" si="93"/>
        <v>13.96</v>
      </c>
      <c r="G685" s="28">
        <f t="shared" si="94"/>
        <v>10.469999999999999</v>
      </c>
      <c r="H685" s="28">
        <f t="shared" si="95"/>
        <v>349</v>
      </c>
      <c r="I685" s="28">
        <f t="shared" si="97"/>
        <v>174.5</v>
      </c>
      <c r="J685" s="29"/>
      <c r="K685" s="29"/>
      <c r="L685" s="29"/>
      <c r="M685" s="29"/>
      <c r="N685" s="29"/>
      <c r="O685" s="28">
        <v>15994</v>
      </c>
      <c r="P685" s="28">
        <v>16343</v>
      </c>
      <c r="Q685" s="458"/>
      <c r="R685" s="80"/>
      <c r="S685" s="54">
        <v>1</v>
      </c>
      <c r="T685" s="28">
        <f t="shared" si="96"/>
        <v>349</v>
      </c>
      <c r="U685" s="31">
        <v>4707</v>
      </c>
      <c r="V685" s="677" t="s">
        <v>630</v>
      </c>
      <c r="W685" s="14" t="s">
        <v>48</v>
      </c>
      <c r="X685" s="7"/>
      <c r="Y685" s="7"/>
      <c r="Z685" s="7"/>
      <c r="AA685" s="7"/>
      <c r="AB685" s="7"/>
      <c r="AC685" s="7"/>
    </row>
    <row r="686" spans="1:29" ht="25.5">
      <c r="A686" s="252"/>
      <c r="B686" s="62"/>
      <c r="C686" s="28">
        <f t="shared" si="91"/>
        <v>2230.9499999999998</v>
      </c>
      <c r="D686" s="77"/>
      <c r="E686" s="28">
        <f t="shared" si="92"/>
        <v>145.94999999999999</v>
      </c>
      <c r="F686" s="28">
        <f t="shared" si="93"/>
        <v>83.4</v>
      </c>
      <c r="G686" s="28">
        <f t="shared" si="94"/>
        <v>62.55</v>
      </c>
      <c r="H686" s="28">
        <f t="shared" si="95"/>
        <v>2085</v>
      </c>
      <c r="I686" s="28">
        <f t="shared" si="97"/>
        <v>1042.5</v>
      </c>
      <c r="J686" s="29"/>
      <c r="K686" s="29"/>
      <c r="L686" s="29"/>
      <c r="M686" s="29"/>
      <c r="N686" s="29"/>
      <c r="O686" s="28">
        <v>239407</v>
      </c>
      <c r="P686" s="28">
        <v>241492</v>
      </c>
      <c r="Q686" s="458"/>
      <c r="R686" s="80"/>
      <c r="S686" s="54">
        <v>1</v>
      </c>
      <c r="T686" s="28">
        <f t="shared" si="96"/>
        <v>2085</v>
      </c>
      <c r="U686" s="31">
        <v>2556</v>
      </c>
      <c r="V686" s="677" t="s">
        <v>930</v>
      </c>
      <c r="W686" s="14" t="s">
        <v>48</v>
      </c>
      <c r="X686" s="7"/>
      <c r="Y686" s="7"/>
      <c r="Z686" s="7"/>
      <c r="AA686" s="7"/>
      <c r="AB686" s="7"/>
      <c r="AC686" s="7"/>
    </row>
    <row r="687" spans="1:29" ht="25.5">
      <c r="A687" s="252"/>
      <c r="B687" s="62"/>
      <c r="C687" s="28"/>
      <c r="D687" s="77"/>
      <c r="E687" s="28"/>
      <c r="F687" s="28"/>
      <c r="G687" s="28"/>
      <c r="H687" s="28"/>
      <c r="I687" s="28"/>
      <c r="J687" s="29"/>
      <c r="K687" s="29"/>
      <c r="L687" s="29"/>
      <c r="M687" s="29"/>
      <c r="N687" s="29"/>
      <c r="O687" s="28"/>
      <c r="P687" s="28"/>
      <c r="Q687" s="458"/>
      <c r="R687" s="80"/>
      <c r="S687" s="54"/>
      <c r="T687" s="28"/>
      <c r="U687" s="31"/>
      <c r="V687" s="677"/>
      <c r="W687" s="14" t="s">
        <v>48</v>
      </c>
      <c r="X687" s="7"/>
      <c r="Y687" s="7"/>
      <c r="Z687" s="7"/>
      <c r="AA687" s="7"/>
      <c r="AB687" s="7"/>
      <c r="AC687" s="7"/>
    </row>
    <row r="688" spans="1:29" ht="30.75" customHeight="1">
      <c r="A688" s="252"/>
      <c r="B688" s="62"/>
      <c r="C688" s="28"/>
      <c r="D688" s="77"/>
      <c r="E688" s="28"/>
      <c r="F688" s="28"/>
      <c r="G688" s="28"/>
      <c r="H688" s="28"/>
      <c r="I688" s="28"/>
      <c r="J688" s="29"/>
      <c r="K688" s="29"/>
      <c r="L688" s="29"/>
      <c r="M688" s="29"/>
      <c r="N688" s="29"/>
      <c r="O688" s="28"/>
      <c r="P688" s="28"/>
      <c r="Q688" s="458"/>
      <c r="R688" s="80"/>
      <c r="S688" s="54"/>
      <c r="T688" s="28"/>
      <c r="U688" s="31"/>
      <c r="V688" s="677"/>
      <c r="W688" s="14" t="s">
        <v>48</v>
      </c>
      <c r="X688" s="7"/>
      <c r="Y688" s="7"/>
      <c r="Z688" s="7"/>
      <c r="AA688" s="7"/>
      <c r="AB688" s="7"/>
      <c r="AC688" s="7"/>
    </row>
    <row r="689" spans="1:29" ht="25.5">
      <c r="A689" s="252"/>
      <c r="B689" s="62" t="s">
        <v>631</v>
      </c>
      <c r="C689" s="28">
        <f t="shared" si="91"/>
        <v>608.83000000000004</v>
      </c>
      <c r="D689" s="77"/>
      <c r="E689" s="28">
        <f t="shared" si="92"/>
        <v>39.83</v>
      </c>
      <c r="F689" s="28">
        <f t="shared" si="93"/>
        <v>22.76</v>
      </c>
      <c r="G689" s="28">
        <f t="shared" si="94"/>
        <v>17.07</v>
      </c>
      <c r="H689" s="28">
        <f t="shared" si="95"/>
        <v>569</v>
      </c>
      <c r="I689" s="28">
        <f t="shared" si="97"/>
        <v>284.5</v>
      </c>
      <c r="J689" s="29"/>
      <c r="K689" s="29"/>
      <c r="L689" s="29"/>
      <c r="M689" s="29"/>
      <c r="N689" s="29"/>
      <c r="O689" s="28">
        <v>41853</v>
      </c>
      <c r="P689" s="28">
        <v>42422</v>
      </c>
      <c r="Q689" s="458"/>
      <c r="R689" s="80"/>
      <c r="S689" s="54">
        <v>1</v>
      </c>
      <c r="T689" s="28">
        <f t="shared" si="96"/>
        <v>569</v>
      </c>
      <c r="U689" s="31" t="s">
        <v>632</v>
      </c>
      <c r="V689" s="677" t="s">
        <v>633</v>
      </c>
      <c r="W689" s="14" t="s">
        <v>48</v>
      </c>
      <c r="X689" s="7"/>
      <c r="Y689" s="7"/>
      <c r="Z689" s="7"/>
      <c r="AA689" s="7"/>
      <c r="AB689" s="7"/>
      <c r="AC689" s="7"/>
    </row>
    <row r="690" spans="1:29" ht="25.5">
      <c r="A690" s="252"/>
      <c r="B690" s="269"/>
      <c r="C690" s="28"/>
      <c r="D690" s="77"/>
      <c r="E690" s="28"/>
      <c r="F690" s="28"/>
      <c r="G690" s="28"/>
      <c r="H690" s="28"/>
      <c r="I690" s="28"/>
      <c r="J690" s="29"/>
      <c r="K690" s="29"/>
      <c r="L690" s="29"/>
      <c r="M690" s="29"/>
      <c r="N690" s="29"/>
      <c r="O690" s="28"/>
      <c r="P690" s="28"/>
      <c r="Q690" s="458"/>
      <c r="R690" s="80"/>
      <c r="S690" s="54"/>
      <c r="T690" s="28"/>
      <c r="U690" s="31"/>
      <c r="V690" s="677"/>
      <c r="W690" s="14" t="s">
        <v>48</v>
      </c>
      <c r="X690" s="7"/>
      <c r="Y690" s="7"/>
      <c r="Z690" s="7"/>
      <c r="AA690" s="7"/>
      <c r="AB690" s="7"/>
      <c r="AC690" s="7"/>
    </row>
    <row r="691" spans="1:29" ht="25.5">
      <c r="A691" s="252"/>
      <c r="B691" s="62"/>
      <c r="C691" s="28"/>
      <c r="D691" s="77"/>
      <c r="E691" s="28"/>
      <c r="F691" s="28"/>
      <c r="G691" s="28"/>
      <c r="H691" s="28"/>
      <c r="I691" s="28"/>
      <c r="J691" s="29"/>
      <c r="K691" s="29"/>
      <c r="L691" s="29"/>
      <c r="M691" s="29"/>
      <c r="N691" s="29"/>
      <c r="O691" s="28"/>
      <c r="P691" s="28"/>
      <c r="Q691" s="458"/>
      <c r="R691" s="80"/>
      <c r="S691" s="54"/>
      <c r="T691" s="28"/>
      <c r="U691" s="31"/>
      <c r="V691" s="677"/>
      <c r="W691" s="14" t="s">
        <v>48</v>
      </c>
      <c r="X691" s="7"/>
      <c r="Y691" s="7"/>
      <c r="Z691" s="7"/>
      <c r="AA691" s="7"/>
      <c r="AB691" s="7"/>
      <c r="AC691" s="7"/>
    </row>
    <row r="692" spans="1:29" ht="25.5">
      <c r="A692" s="252"/>
      <c r="B692" s="62"/>
      <c r="C692" s="28"/>
      <c r="D692" s="77"/>
      <c r="E692" s="28"/>
      <c r="F692" s="28"/>
      <c r="G692" s="28"/>
      <c r="H692" s="28"/>
      <c r="I692" s="28"/>
      <c r="J692" s="29"/>
      <c r="K692" s="29"/>
      <c r="L692" s="29"/>
      <c r="M692" s="29"/>
      <c r="N692" s="29"/>
      <c r="O692" s="28"/>
      <c r="P692" s="28"/>
      <c r="Q692" s="458"/>
      <c r="R692" s="80"/>
      <c r="S692" s="54"/>
      <c r="T692" s="28"/>
      <c r="U692" s="31"/>
      <c r="V692" s="677"/>
      <c r="W692" s="14" t="s">
        <v>48</v>
      </c>
      <c r="X692" s="7"/>
      <c r="Y692" s="7"/>
      <c r="Z692" s="7"/>
      <c r="AA692" s="7"/>
      <c r="AB692" s="7"/>
      <c r="AC692" s="7"/>
    </row>
    <row r="693" spans="1:29" ht="25.5">
      <c r="A693" s="252"/>
      <c r="B693" s="62" t="s">
        <v>634</v>
      </c>
      <c r="C693" s="28">
        <f t="shared" si="91"/>
        <v>3366.22</v>
      </c>
      <c r="D693" s="77"/>
      <c r="E693" s="28">
        <f t="shared" si="92"/>
        <v>220.22</v>
      </c>
      <c r="F693" s="28">
        <f t="shared" si="93"/>
        <v>125.84</v>
      </c>
      <c r="G693" s="28">
        <f t="shared" si="94"/>
        <v>94.38</v>
      </c>
      <c r="H693" s="28">
        <f t="shared" si="95"/>
        <v>3146</v>
      </c>
      <c r="I693" s="28">
        <f t="shared" si="97"/>
        <v>1573</v>
      </c>
      <c r="J693" s="29"/>
      <c r="K693" s="29"/>
      <c r="L693" s="29"/>
      <c r="M693" s="29"/>
      <c r="N693" s="29"/>
      <c r="O693" s="28">
        <v>49876</v>
      </c>
      <c r="P693" s="28">
        <v>53022</v>
      </c>
      <c r="Q693" s="458"/>
      <c r="R693" s="80"/>
      <c r="S693" s="54">
        <v>1</v>
      </c>
      <c r="T693" s="28">
        <f t="shared" si="96"/>
        <v>3146</v>
      </c>
      <c r="U693" s="31">
        <v>3299</v>
      </c>
      <c r="V693" s="677" t="s">
        <v>635</v>
      </c>
      <c r="W693" s="14" t="s">
        <v>48</v>
      </c>
      <c r="X693" s="7"/>
      <c r="Y693" s="7"/>
      <c r="Z693" s="7"/>
      <c r="AA693" s="7"/>
      <c r="AB693" s="7"/>
      <c r="AC693" s="7"/>
    </row>
    <row r="694" spans="1:29" ht="25.5">
      <c r="A694" s="252"/>
      <c r="B694" s="62" t="s">
        <v>767</v>
      </c>
      <c r="C694" s="28">
        <f t="shared" si="91"/>
        <v>8520.41</v>
      </c>
      <c r="D694" s="77"/>
      <c r="E694" s="28">
        <f t="shared" si="92"/>
        <v>557.41</v>
      </c>
      <c r="F694" s="28">
        <f t="shared" si="93"/>
        <v>318.52</v>
      </c>
      <c r="G694" s="28">
        <f t="shared" si="94"/>
        <v>238.89</v>
      </c>
      <c r="H694" s="28">
        <f t="shared" si="95"/>
        <v>7963</v>
      </c>
      <c r="I694" s="28">
        <f t="shared" si="97"/>
        <v>3981.5</v>
      </c>
      <c r="J694" s="29"/>
      <c r="K694" s="29"/>
      <c r="L694" s="29"/>
      <c r="M694" s="29"/>
      <c r="N694" s="29"/>
      <c r="O694" s="28">
        <v>75497</v>
      </c>
      <c r="P694" s="28">
        <v>83460</v>
      </c>
      <c r="Q694" s="458"/>
      <c r="R694" s="80"/>
      <c r="S694" s="54">
        <v>1</v>
      </c>
      <c r="T694" s="28">
        <f t="shared" si="96"/>
        <v>7963</v>
      </c>
      <c r="U694" s="31">
        <v>5770</v>
      </c>
      <c r="V694" s="677" t="s">
        <v>760</v>
      </c>
      <c r="W694" s="14" t="s">
        <v>48</v>
      </c>
      <c r="X694" s="7"/>
      <c r="Y694" s="7"/>
      <c r="Z694" s="7"/>
      <c r="AA694" s="7"/>
      <c r="AB694" s="7"/>
      <c r="AC694" s="7"/>
    </row>
    <row r="695" spans="1:29" ht="25.5">
      <c r="A695" s="252"/>
      <c r="B695" s="62"/>
      <c r="C695" s="28"/>
      <c r="D695" s="77"/>
      <c r="E695" s="28"/>
      <c r="F695" s="28"/>
      <c r="G695" s="28"/>
      <c r="H695" s="28"/>
      <c r="I695" s="28"/>
      <c r="J695" s="29"/>
      <c r="K695" s="29"/>
      <c r="L695" s="29"/>
      <c r="M695" s="29"/>
      <c r="N695" s="29"/>
      <c r="O695" s="28"/>
      <c r="P695" s="28"/>
      <c r="Q695" s="458"/>
      <c r="R695" s="80"/>
      <c r="S695" s="54"/>
      <c r="T695" s="28"/>
      <c r="U695" s="31"/>
      <c r="V695" s="677"/>
      <c r="W695" s="14" t="s">
        <v>48</v>
      </c>
      <c r="X695" s="7"/>
      <c r="Y695" s="7"/>
      <c r="Z695" s="7"/>
      <c r="AA695" s="7"/>
      <c r="AB695" s="7"/>
      <c r="AC695" s="7"/>
    </row>
    <row r="696" spans="1:29" ht="25.5">
      <c r="A696" s="252"/>
      <c r="B696" s="62" t="s">
        <v>636</v>
      </c>
      <c r="C696" s="28">
        <f t="shared" si="91"/>
        <v>25.68</v>
      </c>
      <c r="D696" s="77"/>
      <c r="E696" s="28">
        <f t="shared" si="92"/>
        <v>1.68</v>
      </c>
      <c r="F696" s="28">
        <f t="shared" si="93"/>
        <v>0.96</v>
      </c>
      <c r="G696" s="28">
        <f t="shared" si="94"/>
        <v>0.72</v>
      </c>
      <c r="H696" s="28">
        <f t="shared" si="95"/>
        <v>24</v>
      </c>
      <c r="I696" s="28">
        <f t="shared" si="97"/>
        <v>12</v>
      </c>
      <c r="J696" s="29"/>
      <c r="K696" s="29"/>
      <c r="L696" s="29"/>
      <c r="M696" s="29"/>
      <c r="N696" s="29"/>
      <c r="O696" s="28">
        <v>62680</v>
      </c>
      <c r="P696" s="28">
        <v>63598</v>
      </c>
      <c r="Q696" s="458"/>
      <c r="R696" s="80"/>
      <c r="S696" s="54">
        <v>1</v>
      </c>
      <c r="T696" s="28">
        <f>(P696-O696)*S696-T683</f>
        <v>24</v>
      </c>
      <c r="U696" s="31" t="s">
        <v>637</v>
      </c>
      <c r="V696" s="677" t="s">
        <v>638</v>
      </c>
      <c r="W696" s="14" t="s">
        <v>48</v>
      </c>
      <c r="X696" s="7"/>
      <c r="Y696" s="7"/>
      <c r="Z696" s="7"/>
      <c r="AA696" s="7"/>
      <c r="AB696" s="7"/>
      <c r="AC696" s="7"/>
    </row>
    <row r="697" spans="1:29" ht="25.5">
      <c r="A697" s="252"/>
      <c r="B697" s="430"/>
      <c r="C697" s="34"/>
      <c r="D697" s="370"/>
      <c r="E697" s="34"/>
      <c r="F697" s="34"/>
      <c r="G697" s="34"/>
      <c r="H697" s="34"/>
      <c r="I697" s="34"/>
      <c r="J697" s="36"/>
      <c r="K697" s="36"/>
      <c r="L697" s="36"/>
      <c r="M697" s="36"/>
      <c r="N697" s="36"/>
      <c r="O697" s="34"/>
      <c r="P697" s="34"/>
      <c r="Q697" s="371"/>
      <c r="R697" s="372"/>
      <c r="S697" s="373"/>
      <c r="T697" s="34"/>
      <c r="U697" s="38"/>
      <c r="V697" s="39"/>
      <c r="W697" s="14" t="s">
        <v>48</v>
      </c>
      <c r="X697" s="7"/>
      <c r="Y697" s="7"/>
      <c r="Z697" s="7"/>
      <c r="AA697" s="7"/>
      <c r="AB697" s="7"/>
      <c r="AC697" s="7"/>
    </row>
    <row r="698" spans="1:29" ht="25.5">
      <c r="A698" s="252"/>
      <c r="B698" s="430"/>
      <c r="C698" s="34"/>
      <c r="D698" s="370"/>
      <c r="E698" s="34"/>
      <c r="F698" s="34"/>
      <c r="G698" s="34"/>
      <c r="H698" s="34"/>
      <c r="I698" s="34"/>
      <c r="J698" s="36"/>
      <c r="K698" s="36"/>
      <c r="L698" s="36"/>
      <c r="M698" s="36"/>
      <c r="N698" s="36"/>
      <c r="O698" s="34"/>
      <c r="P698" s="34"/>
      <c r="Q698" s="371"/>
      <c r="R698" s="372"/>
      <c r="S698" s="373"/>
      <c r="T698" s="34"/>
      <c r="U698" s="38"/>
      <c r="V698" s="39"/>
      <c r="W698" s="14" t="s">
        <v>48</v>
      </c>
      <c r="X698" s="7"/>
      <c r="Y698" s="7"/>
      <c r="Z698" s="7"/>
      <c r="AA698" s="7"/>
      <c r="AB698" s="7"/>
      <c r="AC698" s="7"/>
    </row>
    <row r="699" spans="1:29" ht="25.5">
      <c r="A699" s="252"/>
      <c r="B699" s="314"/>
      <c r="C699" s="315"/>
      <c r="D699" s="315"/>
      <c r="E699" s="315"/>
      <c r="F699" s="315"/>
      <c r="G699" s="315"/>
      <c r="H699" s="315"/>
      <c r="I699" s="315"/>
      <c r="J699" s="316"/>
      <c r="K699" s="316"/>
      <c r="L699" s="316"/>
      <c r="M699" s="316"/>
      <c r="N699" s="316"/>
      <c r="O699" s="315"/>
      <c r="P699" s="315"/>
      <c r="Q699" s="344"/>
      <c r="R699" s="318"/>
      <c r="S699" s="315"/>
      <c r="T699" s="315"/>
      <c r="U699" s="319"/>
      <c r="V699" s="317"/>
      <c r="W699" s="14" t="s">
        <v>48</v>
      </c>
      <c r="X699" s="7"/>
      <c r="Y699" s="7"/>
      <c r="Z699" s="7"/>
      <c r="AA699" s="7"/>
      <c r="AB699" s="7"/>
      <c r="AC699" s="7"/>
    </row>
    <row r="700" spans="1:29" ht="25.5">
      <c r="A700" s="252"/>
      <c r="B700" s="459"/>
      <c r="C700" s="315"/>
      <c r="D700" s="315"/>
      <c r="E700" s="315"/>
      <c r="F700" s="315"/>
      <c r="G700" s="315"/>
      <c r="H700" s="315"/>
      <c r="I700" s="315"/>
      <c r="J700" s="316"/>
      <c r="K700" s="316"/>
      <c r="L700" s="316"/>
      <c r="M700" s="316"/>
      <c r="N700" s="316"/>
      <c r="O700" s="315"/>
      <c r="P700" s="315"/>
      <c r="Q700" s="344"/>
      <c r="R700" s="460"/>
      <c r="S700" s="315"/>
      <c r="T700" s="315"/>
      <c r="U700" s="319"/>
      <c r="V700" s="317"/>
      <c r="W700" s="14" t="s">
        <v>48</v>
      </c>
      <c r="X700" s="7"/>
      <c r="Y700" s="7"/>
      <c r="Z700" s="7"/>
      <c r="AA700" s="7"/>
      <c r="AB700" s="7"/>
      <c r="AC700" s="7"/>
    </row>
    <row r="701" spans="1:29" ht="25.5">
      <c r="A701" s="252"/>
      <c r="B701" s="430"/>
      <c r="C701" s="34"/>
      <c r="D701" s="34"/>
      <c r="E701" s="34"/>
      <c r="F701" s="34"/>
      <c r="G701" s="34"/>
      <c r="H701" s="34"/>
      <c r="I701" s="34"/>
      <c r="J701" s="36"/>
      <c r="K701" s="36"/>
      <c r="L701" s="36"/>
      <c r="M701" s="36"/>
      <c r="N701" s="36"/>
      <c r="O701" s="34"/>
      <c r="P701" s="34"/>
      <c r="Q701" s="437"/>
      <c r="R701" s="461"/>
      <c r="S701" s="373"/>
      <c r="T701" s="34"/>
      <c r="U701" s="38"/>
      <c r="V701" s="39"/>
      <c r="W701" s="14" t="s">
        <v>48</v>
      </c>
      <c r="X701" s="7"/>
      <c r="Y701" s="7"/>
      <c r="Z701" s="7"/>
      <c r="AA701" s="7"/>
      <c r="AB701" s="7"/>
      <c r="AC701" s="7"/>
    </row>
    <row r="702" spans="1:29" ht="25.5">
      <c r="A702" s="252"/>
      <c r="B702" s="430"/>
      <c r="C702" s="34"/>
      <c r="D702" s="34"/>
      <c r="E702" s="34"/>
      <c r="F702" s="34"/>
      <c r="G702" s="34"/>
      <c r="H702" s="34"/>
      <c r="I702" s="34"/>
      <c r="J702" s="36"/>
      <c r="K702" s="36"/>
      <c r="L702" s="36"/>
      <c r="M702" s="36"/>
      <c r="N702" s="36"/>
      <c r="O702" s="34"/>
      <c r="P702" s="34"/>
      <c r="Q702" s="437"/>
      <c r="R702" s="461"/>
      <c r="S702" s="373"/>
      <c r="T702" s="34"/>
      <c r="U702" s="38"/>
      <c r="V702" s="39"/>
      <c r="W702" s="14" t="s">
        <v>48</v>
      </c>
      <c r="X702" s="7"/>
      <c r="Y702" s="7"/>
      <c r="Z702" s="7"/>
      <c r="AA702" s="7"/>
      <c r="AB702" s="7"/>
      <c r="AC702" s="7"/>
    </row>
    <row r="703" spans="1:29" ht="25.5">
      <c r="A703" s="252"/>
      <c r="B703" s="430"/>
      <c r="C703" s="34"/>
      <c r="D703" s="34"/>
      <c r="E703" s="34"/>
      <c r="F703" s="34"/>
      <c r="G703" s="34"/>
      <c r="H703" s="34"/>
      <c r="I703" s="34"/>
      <c r="J703" s="36"/>
      <c r="K703" s="36"/>
      <c r="L703" s="36"/>
      <c r="M703" s="36"/>
      <c r="N703" s="36"/>
      <c r="O703" s="34"/>
      <c r="P703" s="34"/>
      <c r="Q703" s="437"/>
      <c r="R703" s="461"/>
      <c r="S703" s="373"/>
      <c r="T703" s="34"/>
      <c r="U703" s="38"/>
      <c r="V703" s="39"/>
      <c r="W703" s="14" t="s">
        <v>48</v>
      </c>
      <c r="X703" s="7"/>
      <c r="Y703" s="7"/>
      <c r="Z703" s="7"/>
      <c r="AA703" s="7"/>
      <c r="AB703" s="7"/>
      <c r="AC703" s="7"/>
    </row>
    <row r="704" spans="1:29" ht="25.5">
      <c r="A704" s="252"/>
      <c r="B704" s="430"/>
      <c r="C704" s="34"/>
      <c r="D704" s="34"/>
      <c r="E704" s="34"/>
      <c r="F704" s="34"/>
      <c r="G704" s="34"/>
      <c r="H704" s="34"/>
      <c r="I704" s="34"/>
      <c r="J704" s="36"/>
      <c r="K704" s="36"/>
      <c r="L704" s="36"/>
      <c r="M704" s="36"/>
      <c r="N704" s="36"/>
      <c r="O704" s="34"/>
      <c r="P704" s="34"/>
      <c r="Q704" s="437"/>
      <c r="R704" s="462"/>
      <c r="S704" s="34"/>
      <c r="T704" s="34"/>
      <c r="U704" s="38"/>
      <c r="V704" s="39"/>
      <c r="W704" s="14" t="s">
        <v>48</v>
      </c>
      <c r="X704" s="7"/>
      <c r="Y704" s="7"/>
      <c r="Z704" s="7"/>
      <c r="AA704" s="7"/>
      <c r="AB704" s="7"/>
      <c r="AC704" s="7"/>
    </row>
    <row r="705" spans="1:29" ht="25.5">
      <c r="A705" s="252"/>
      <c r="B705" s="104"/>
      <c r="C705" s="91"/>
      <c r="D705" s="91"/>
      <c r="E705" s="91"/>
      <c r="F705" s="91"/>
      <c r="G705" s="91"/>
      <c r="H705" s="91"/>
      <c r="I705" s="91"/>
      <c r="J705" s="22"/>
      <c r="K705" s="22"/>
      <c r="L705" s="22"/>
      <c r="M705" s="22"/>
      <c r="N705" s="22"/>
      <c r="O705" s="91"/>
      <c r="P705" s="91"/>
      <c r="Q705" s="7"/>
      <c r="R705" s="272"/>
      <c r="S705" s="151"/>
      <c r="T705" s="91"/>
      <c r="U705" s="95"/>
      <c r="V705" s="673"/>
      <c r="W705" s="14"/>
      <c r="X705" s="7"/>
      <c r="Y705" s="7"/>
      <c r="Z705" s="7"/>
      <c r="AA705" s="7"/>
      <c r="AB705" s="7"/>
      <c r="AC705" s="7"/>
    </row>
    <row r="706" spans="1:29" ht="26.25">
      <c r="A706" s="19"/>
      <c r="B706" s="143" t="s">
        <v>639</v>
      </c>
      <c r="C706" s="115">
        <f>SUM(C657:C705)</f>
        <v>35941.30000000001</v>
      </c>
      <c r="D706" s="246"/>
      <c r="E706" s="115"/>
      <c r="F706" s="115"/>
      <c r="G706" s="115"/>
      <c r="H706" s="115"/>
      <c r="I706" s="115">
        <f>SUM(I657:I691)</f>
        <v>11270.674999999999</v>
      </c>
      <c r="J706" s="22"/>
      <c r="K706" s="22"/>
      <c r="L706" s="22"/>
      <c r="M706" s="22"/>
      <c r="N706" s="22"/>
      <c r="O706" s="91"/>
      <c r="P706" s="91"/>
      <c r="Q706" s="244"/>
      <c r="R706" s="106"/>
      <c r="S706" s="151"/>
      <c r="T706" s="91"/>
      <c r="U706" s="95"/>
      <c r="V706" s="673"/>
      <c r="W706" s="14"/>
      <c r="X706" s="7"/>
      <c r="Y706" s="7"/>
      <c r="Z706" s="7"/>
      <c r="AA706" s="7"/>
      <c r="AB706" s="7"/>
      <c r="AC706" s="7"/>
    </row>
    <row r="707" spans="1:29" ht="25.5">
      <c r="A707" s="19"/>
      <c r="B707" s="104"/>
      <c r="C707" s="91"/>
      <c r="D707" s="92"/>
      <c r="E707" s="91"/>
      <c r="F707" s="91"/>
      <c r="G707" s="91"/>
      <c r="H707" s="91"/>
      <c r="I707" s="91"/>
      <c r="J707" s="22"/>
      <c r="K707" s="22"/>
      <c r="L707" s="22"/>
      <c r="M707" s="22"/>
      <c r="N707" s="22"/>
      <c r="O707" s="91"/>
      <c r="P707" s="91"/>
      <c r="Q707" s="244"/>
      <c r="R707" s="106"/>
      <c r="S707" s="151"/>
      <c r="T707" s="91"/>
      <c r="U707" s="95"/>
      <c r="V707" s="673"/>
      <c r="W707" s="14"/>
      <c r="X707" s="7"/>
      <c r="Y707" s="7"/>
      <c r="Z707" s="7"/>
      <c r="AA707" s="7"/>
      <c r="AB707" s="7"/>
      <c r="AC707" s="7"/>
    </row>
    <row r="708" spans="1:29" ht="25.5">
      <c r="A708" s="19"/>
      <c r="B708" s="148"/>
      <c r="C708" s="91"/>
      <c r="D708" s="92"/>
      <c r="E708" s="91"/>
      <c r="F708" s="91"/>
      <c r="G708" s="91"/>
      <c r="H708" s="91"/>
      <c r="I708" s="91"/>
      <c r="J708" s="22"/>
      <c r="K708" s="22"/>
      <c r="L708" s="22"/>
      <c r="M708" s="22"/>
      <c r="N708" s="22"/>
      <c r="O708" s="91"/>
      <c r="P708" s="91"/>
      <c r="Q708" s="244"/>
      <c r="R708" s="106"/>
      <c r="S708" s="151"/>
      <c r="T708" s="91"/>
      <c r="U708" s="95"/>
      <c r="V708" s="673"/>
      <c r="W708" s="14"/>
      <c r="X708" s="7"/>
      <c r="Y708" s="7"/>
      <c r="Z708" s="7"/>
      <c r="AA708" s="7"/>
      <c r="AB708" s="7"/>
      <c r="AC708" s="7"/>
    </row>
    <row r="709" spans="1:29" ht="26.25">
      <c r="A709" s="19"/>
      <c r="B709" s="90" t="s">
        <v>640</v>
      </c>
      <c r="C709" s="115">
        <f>C85+C109+C132+C329+C379+C654+C706+C163+D142</f>
        <v>1209263.0645099962</v>
      </c>
      <c r="D709" s="115">
        <f>D109+D86+D613</f>
        <v>0</v>
      </c>
      <c r="E709" s="115" t="e">
        <f>#REF!+E86+E109+E613</f>
        <v>#REF!</v>
      </c>
      <c r="F709" s="115"/>
      <c r="G709" s="115"/>
      <c r="H709" s="115" t="e">
        <f>#REF!+H109+H92+H613+H656+H657+H659+H56+H663</f>
        <v>#REF!</v>
      </c>
      <c r="I709" s="115">
        <f>I654+I85+I109+I613+I706</f>
        <v>178534.32900000102</v>
      </c>
      <c r="J709" s="22"/>
      <c r="K709" s="22"/>
      <c r="L709" s="22"/>
      <c r="M709" s="22"/>
      <c r="N709" s="22"/>
      <c r="O709" s="91"/>
      <c r="P709" s="91"/>
      <c r="Q709" s="7"/>
      <c r="R709" s="228"/>
      <c r="S709" s="151"/>
      <c r="T709" s="91"/>
      <c r="U709" s="95"/>
      <c r="V709" s="673"/>
      <c r="W709" s="14"/>
      <c r="X709" s="7"/>
      <c r="Y709" s="7"/>
      <c r="Z709" s="7"/>
      <c r="AA709" s="7"/>
      <c r="AB709" s="7"/>
      <c r="AC709" s="7"/>
    </row>
    <row r="710" spans="1:29" ht="26.25">
      <c r="A710" s="19"/>
      <c r="B710" s="148"/>
      <c r="C710" s="91"/>
      <c r="D710" s="115"/>
      <c r="E710" s="91"/>
      <c r="F710" s="91"/>
      <c r="G710" s="91"/>
      <c r="H710" s="91"/>
      <c r="I710" s="91"/>
      <c r="J710" s="22"/>
      <c r="K710" s="22"/>
      <c r="L710" s="22"/>
      <c r="M710" s="22"/>
      <c r="N710" s="22"/>
      <c r="O710" s="91"/>
      <c r="P710" s="91"/>
      <c r="Q710" s="7"/>
      <c r="R710" s="228"/>
      <c r="S710" s="248"/>
      <c r="T710" s="91"/>
      <c r="U710" s="95"/>
      <c r="V710" s="673"/>
      <c r="W710" s="14"/>
      <c r="X710" s="7"/>
      <c r="Y710" s="7"/>
      <c r="Z710" s="7"/>
      <c r="AA710" s="7"/>
      <c r="AB710" s="7"/>
      <c r="AC710" s="7"/>
    </row>
    <row r="711" spans="1:29" ht="26.25">
      <c r="A711" s="19"/>
      <c r="B711" s="148"/>
      <c r="C711" s="115"/>
      <c r="D711" s="92"/>
      <c r="E711" s="91"/>
      <c r="F711" s="91"/>
      <c r="G711" s="91"/>
      <c r="H711" s="91"/>
      <c r="I711" s="91"/>
      <c r="J711" s="22"/>
      <c r="K711" s="22"/>
      <c r="L711" s="22"/>
      <c r="M711" s="22"/>
      <c r="N711" s="22"/>
      <c r="O711" s="91"/>
      <c r="P711" s="91"/>
      <c r="Q711" s="7"/>
      <c r="R711" s="228"/>
      <c r="S711" s="248"/>
      <c r="T711" s="91"/>
      <c r="U711" s="95"/>
      <c r="V711" s="673"/>
      <c r="W711" s="14"/>
      <c r="X711" s="7"/>
      <c r="Y711" s="7"/>
      <c r="Z711" s="7"/>
      <c r="AA711" s="7"/>
      <c r="AB711" s="7"/>
      <c r="AC711" s="7"/>
    </row>
    <row r="712" spans="1:29" ht="25.5">
      <c r="A712" s="19"/>
      <c r="B712" s="148"/>
      <c r="C712" s="91"/>
      <c r="D712" s="92"/>
      <c r="E712" s="91"/>
      <c r="F712" s="91"/>
      <c r="G712" s="91"/>
      <c r="H712" s="91"/>
      <c r="I712" s="91"/>
      <c r="J712" s="22"/>
      <c r="K712" s="22"/>
      <c r="L712" s="22"/>
      <c r="M712" s="22"/>
      <c r="N712" s="22"/>
      <c r="O712" s="91"/>
      <c r="P712" s="91"/>
      <c r="Q712" s="7"/>
      <c r="R712" s="228"/>
      <c r="S712" s="151"/>
      <c r="T712" s="91"/>
      <c r="U712" s="95"/>
      <c r="V712" s="673"/>
      <c r="W712" s="14"/>
      <c r="X712" s="7"/>
      <c r="Y712" s="7"/>
      <c r="Z712" s="7"/>
      <c r="AA712" s="7"/>
      <c r="AB712" s="7"/>
      <c r="AC712" s="7"/>
    </row>
    <row r="713" spans="1:29" ht="25.5">
      <c r="A713" s="19"/>
      <c r="B713" s="148"/>
      <c r="C713" s="28"/>
      <c r="D713" s="77"/>
      <c r="E713" s="28"/>
      <c r="F713" s="28"/>
      <c r="G713" s="28"/>
      <c r="H713" s="28"/>
      <c r="I713" s="28"/>
      <c r="J713" s="29"/>
      <c r="K713" s="29"/>
      <c r="L713" s="29"/>
      <c r="M713" s="29"/>
      <c r="N713" s="29"/>
      <c r="O713" s="91"/>
      <c r="P713" s="91"/>
      <c r="Q713" s="30"/>
      <c r="R713" s="256"/>
      <c r="S713" s="54"/>
      <c r="T713" s="28"/>
      <c r="U713" s="95"/>
      <c r="V713" s="673"/>
      <c r="W713" s="14"/>
      <c r="X713" s="7"/>
      <c r="Y713" s="7"/>
      <c r="Z713" s="7"/>
      <c r="AA713" s="7"/>
      <c r="AB713" s="7"/>
      <c r="AC713" s="7"/>
    </row>
    <row r="714" spans="1:29" ht="25.5">
      <c r="A714" s="19"/>
      <c r="B714" s="148"/>
      <c r="C714" s="28"/>
      <c r="D714" s="77"/>
      <c r="E714" s="28"/>
      <c r="F714" s="28"/>
      <c r="G714" s="28"/>
      <c r="H714" s="28"/>
      <c r="I714" s="28"/>
      <c r="J714" s="29"/>
      <c r="K714" s="29"/>
      <c r="L714" s="29"/>
      <c r="M714" s="29"/>
      <c r="N714" s="29"/>
      <c r="O714" s="28"/>
      <c r="P714" s="28"/>
      <c r="Q714" s="30"/>
      <c r="R714" s="256"/>
      <c r="S714" s="54"/>
      <c r="T714" s="28"/>
      <c r="U714" s="95"/>
      <c r="V714" s="673"/>
      <c r="W714" s="14"/>
      <c r="X714" s="7"/>
      <c r="Y714" s="7"/>
      <c r="Z714" s="7"/>
      <c r="AA714" s="7"/>
      <c r="AB714" s="7"/>
      <c r="AC714" s="7"/>
    </row>
    <row r="715" spans="1:29" ht="26.25">
      <c r="A715" s="19"/>
      <c r="B715" s="148"/>
      <c r="C715" s="115"/>
      <c r="D715" s="92"/>
      <c r="E715" s="91"/>
      <c r="F715" s="91"/>
      <c r="G715" s="91"/>
      <c r="H715" s="91"/>
      <c r="I715" s="91"/>
      <c r="J715" s="22"/>
      <c r="K715" s="22"/>
      <c r="L715" s="22"/>
      <c r="M715" s="22"/>
      <c r="N715" s="22"/>
      <c r="O715" s="91"/>
      <c r="P715" s="91"/>
      <c r="Q715" s="149"/>
      <c r="R715" s="150"/>
      <c r="S715" s="151"/>
      <c r="T715" s="91"/>
      <c r="U715" s="95"/>
      <c r="V715" s="673"/>
      <c r="W715" s="14"/>
      <c r="X715" s="7"/>
      <c r="Y715" s="7"/>
      <c r="Z715" s="7"/>
      <c r="AA715" s="7"/>
      <c r="AB715" s="7"/>
      <c r="AC715" s="7"/>
    </row>
    <row r="716" spans="1:29" ht="26.25">
      <c r="A716" s="19"/>
      <c r="B716" s="148"/>
      <c r="C716" s="115"/>
      <c r="D716" s="91"/>
      <c r="E716" s="91"/>
      <c r="F716" s="91"/>
      <c r="G716" s="91"/>
      <c r="H716" s="91"/>
      <c r="I716" s="91"/>
      <c r="J716" s="22"/>
      <c r="K716" s="22"/>
      <c r="L716" s="22"/>
      <c r="M716" s="22"/>
      <c r="N716" s="22"/>
      <c r="O716" s="91"/>
      <c r="P716" s="91"/>
      <c r="Q716" s="149"/>
      <c r="R716" s="150"/>
      <c r="S716" s="151"/>
      <c r="T716" s="91"/>
      <c r="U716" s="95"/>
      <c r="V716" s="673"/>
      <c r="W716" s="14"/>
      <c r="X716" s="7"/>
      <c r="Y716" s="7"/>
      <c r="Z716" s="7"/>
      <c r="AA716" s="7"/>
      <c r="AB716" s="7"/>
      <c r="AC716" s="7"/>
    </row>
    <row r="717" spans="1:29" ht="25.5">
      <c r="A717" s="19"/>
      <c r="B717" s="104"/>
      <c r="C717" s="92"/>
      <c r="D717" s="92"/>
      <c r="E717" s="92"/>
      <c r="F717" s="92"/>
      <c r="G717" s="92"/>
      <c r="H717" s="92"/>
      <c r="I717" s="92"/>
      <c r="J717" s="142"/>
      <c r="K717" s="142"/>
      <c r="L717" s="142"/>
      <c r="M717" s="142"/>
      <c r="N717" s="142"/>
      <c r="O717" s="94"/>
      <c r="P717" s="94"/>
      <c r="Q717" s="94"/>
      <c r="R717" s="94"/>
      <c r="S717" s="94"/>
      <c r="T717" s="94"/>
      <c r="U717" s="273"/>
      <c r="V717" s="274"/>
      <c r="W717" s="14"/>
      <c r="X717" s="7"/>
      <c r="Y717" s="7"/>
      <c r="Z717" s="7"/>
      <c r="AA717" s="7"/>
      <c r="AB717" s="7"/>
      <c r="AC717" s="7"/>
    </row>
    <row r="718" spans="1:29" ht="26.25">
      <c r="A718" s="19"/>
      <c r="B718" s="123" t="s">
        <v>641</v>
      </c>
      <c r="C718" s="115"/>
      <c r="D718" s="92"/>
      <c r="E718" s="91">
        <f>F718+G718</f>
        <v>0</v>
      </c>
      <c r="F718" s="91"/>
      <c r="G718" s="91"/>
      <c r="H718" s="91"/>
      <c r="I718" s="91"/>
      <c r="J718" s="22"/>
      <c r="K718" s="22"/>
      <c r="L718" s="22"/>
      <c r="M718" s="22"/>
      <c r="N718" s="22"/>
      <c r="O718" s="91"/>
      <c r="P718" s="91"/>
      <c r="Q718" s="7"/>
      <c r="R718" s="228"/>
      <c r="S718" s="151"/>
      <c r="T718" s="91"/>
      <c r="U718" s="95"/>
      <c r="V718" s="673"/>
      <c r="W718" s="14"/>
      <c r="X718" s="7"/>
      <c r="Y718" s="7"/>
      <c r="Z718" s="7"/>
      <c r="AA718" s="7"/>
      <c r="AB718" s="7"/>
      <c r="AC718" s="7"/>
    </row>
    <row r="719" spans="1:29" ht="26.25">
      <c r="A719" s="19"/>
      <c r="B719" s="27" t="s">
        <v>642</v>
      </c>
      <c r="C719" s="72">
        <f>T719</f>
        <v>51</v>
      </c>
      <c r="D719" s="77"/>
      <c r="E719" s="28"/>
      <c r="F719" s="28"/>
      <c r="G719" s="28"/>
      <c r="H719" s="28"/>
      <c r="I719" s="28"/>
      <c r="J719" s="29"/>
      <c r="K719" s="29"/>
      <c r="L719" s="29"/>
      <c r="M719" s="29"/>
      <c r="N719" s="29"/>
      <c r="O719" s="28">
        <v>8025</v>
      </c>
      <c r="P719" s="28">
        <v>8076</v>
      </c>
      <c r="Q719" s="30"/>
      <c r="R719" s="256"/>
      <c r="S719" s="54">
        <v>1</v>
      </c>
      <c r="T719" s="28">
        <f>(P719-O719)*S719</f>
        <v>51</v>
      </c>
      <c r="U719" s="95"/>
      <c r="V719" s="673"/>
      <c r="W719" s="14"/>
      <c r="X719" s="7"/>
      <c r="Y719" s="7"/>
      <c r="Z719" s="7"/>
      <c r="AA719" s="7"/>
      <c r="AB719" s="7"/>
      <c r="AC719" s="7"/>
    </row>
    <row r="720" spans="1:29" ht="26.25">
      <c r="A720" s="19"/>
      <c r="B720" s="27" t="s">
        <v>643</v>
      </c>
      <c r="C720" s="28"/>
      <c r="D720" s="72">
        <f>P720-O720</f>
        <v>670</v>
      </c>
      <c r="E720" s="28"/>
      <c r="F720" s="28"/>
      <c r="G720" s="28"/>
      <c r="H720" s="28"/>
      <c r="I720" s="28"/>
      <c r="J720" s="29"/>
      <c r="K720" s="29"/>
      <c r="L720" s="29"/>
      <c r="M720" s="29"/>
      <c r="N720" s="29"/>
      <c r="O720" s="28">
        <v>122680</v>
      </c>
      <c r="P720" s="28">
        <v>123350</v>
      </c>
      <c r="Q720" s="30"/>
      <c r="R720" s="256"/>
      <c r="S720" s="171">
        <v>1</v>
      </c>
      <c r="T720" s="28">
        <f>(P720-O720)*S720</f>
        <v>670</v>
      </c>
      <c r="U720" s="95"/>
      <c r="V720" s="673"/>
      <c r="W720" s="14"/>
      <c r="X720" s="7"/>
      <c r="Y720" s="7"/>
      <c r="Z720" s="7"/>
      <c r="AA720" s="7"/>
      <c r="AB720" s="7"/>
      <c r="AC720" s="7"/>
    </row>
    <row r="721" spans="1:29" ht="26.25">
      <c r="A721" s="19"/>
      <c r="B721" s="27" t="s">
        <v>644</v>
      </c>
      <c r="C721" s="72">
        <f>P721-O721</f>
        <v>36</v>
      </c>
      <c r="D721" s="77"/>
      <c r="E721" s="28"/>
      <c r="F721" s="28"/>
      <c r="G721" s="28"/>
      <c r="H721" s="28"/>
      <c r="I721" s="28"/>
      <c r="J721" s="29"/>
      <c r="K721" s="29"/>
      <c r="L721" s="29"/>
      <c r="M721" s="29"/>
      <c r="N721" s="29"/>
      <c r="O721" s="28">
        <v>14874</v>
      </c>
      <c r="P721" s="28">
        <v>14910</v>
      </c>
      <c r="Q721" s="30"/>
      <c r="R721" s="256"/>
      <c r="S721" s="171">
        <v>1</v>
      </c>
      <c r="T721" s="28">
        <f>(P721-O721)*S721</f>
        <v>36</v>
      </c>
      <c r="U721" s="95"/>
      <c r="V721" s="673"/>
      <c r="W721" s="14"/>
      <c r="X721" s="7"/>
      <c r="Y721" s="7"/>
      <c r="Z721" s="7"/>
      <c r="AA721" s="7"/>
      <c r="AB721" s="7"/>
      <c r="AC721" s="7"/>
    </row>
    <row r="722" spans="1:29" ht="26.25">
      <c r="A722" s="19"/>
      <c r="B722" s="27" t="s">
        <v>645</v>
      </c>
      <c r="C722" s="72">
        <f>P722-O722</f>
        <v>1091</v>
      </c>
      <c r="D722" s="77"/>
      <c r="E722" s="28"/>
      <c r="F722" s="28"/>
      <c r="G722" s="28"/>
      <c r="H722" s="28"/>
      <c r="I722" s="28"/>
      <c r="J722" s="29"/>
      <c r="K722" s="29"/>
      <c r="L722" s="29"/>
      <c r="M722" s="29"/>
      <c r="N722" s="29"/>
      <c r="O722" s="470">
        <v>88339</v>
      </c>
      <c r="P722" s="470">
        <v>89430</v>
      </c>
      <c r="Q722" s="30"/>
      <c r="R722" s="256"/>
      <c r="S722" s="171">
        <v>1</v>
      </c>
      <c r="T722" s="28">
        <f>(P722-O722)*S722</f>
        <v>1091</v>
      </c>
      <c r="U722" s="95"/>
      <c r="V722" s="673"/>
      <c r="W722" s="14"/>
      <c r="X722" s="7"/>
      <c r="Y722" s="7"/>
      <c r="Z722" s="7"/>
      <c r="AA722" s="7"/>
      <c r="AB722" s="7"/>
      <c r="AC722" s="7"/>
    </row>
    <row r="723" spans="1:29" ht="25.5">
      <c r="A723" s="19"/>
      <c r="B723" s="27" t="s">
        <v>646</v>
      </c>
      <c r="C723" s="28">
        <f>T723</f>
        <v>149</v>
      </c>
      <c r="D723" s="77"/>
      <c r="E723" s="28"/>
      <c r="F723" s="28"/>
      <c r="G723" s="28"/>
      <c r="H723" s="28"/>
      <c r="I723" s="28"/>
      <c r="J723" s="29"/>
      <c r="K723" s="29"/>
      <c r="L723" s="29"/>
      <c r="M723" s="29"/>
      <c r="N723" s="29"/>
      <c r="O723" s="28">
        <v>50890</v>
      </c>
      <c r="P723" s="28">
        <v>51039</v>
      </c>
      <c r="Q723" s="30"/>
      <c r="R723" s="256"/>
      <c r="S723" s="54">
        <v>1</v>
      </c>
      <c r="T723" s="28">
        <f>(P723-O723)*S723</f>
        <v>149</v>
      </c>
      <c r="U723" s="95"/>
      <c r="V723" s="673"/>
      <c r="W723" s="14"/>
      <c r="X723" s="7"/>
      <c r="Y723" s="7"/>
      <c r="Z723" s="7"/>
      <c r="AA723" s="7"/>
      <c r="AB723" s="7"/>
      <c r="AC723" s="7"/>
    </row>
    <row r="724" spans="1:29" ht="26.25">
      <c r="A724" s="19"/>
      <c r="B724" s="27" t="s">
        <v>647</v>
      </c>
      <c r="C724" s="72">
        <f>T724</f>
        <v>832</v>
      </c>
      <c r="D724" s="77">
        <v>0</v>
      </c>
      <c r="E724" s="28"/>
      <c r="F724" s="28"/>
      <c r="G724" s="28"/>
      <c r="H724" s="28"/>
      <c r="I724" s="28"/>
      <c r="J724" s="29"/>
      <c r="K724" s="29"/>
      <c r="L724" s="29"/>
      <c r="M724" s="29"/>
      <c r="N724" s="29"/>
      <c r="O724" s="28">
        <v>7112</v>
      </c>
      <c r="P724" s="28">
        <v>7944</v>
      </c>
      <c r="Q724" s="146"/>
      <c r="R724" s="147"/>
      <c r="S724" s="54">
        <v>1</v>
      </c>
      <c r="T724" s="28">
        <f>P724-O724</f>
        <v>832</v>
      </c>
      <c r="U724" s="95"/>
      <c r="V724" s="673"/>
      <c r="W724" s="14"/>
      <c r="X724" s="7"/>
      <c r="Y724" s="7"/>
      <c r="Z724" s="7"/>
      <c r="AA724" s="7"/>
      <c r="AB724" s="7"/>
      <c r="AC724" s="7"/>
    </row>
    <row r="725" spans="1:29" ht="26.25">
      <c r="A725" s="19"/>
      <c r="B725" s="218"/>
      <c r="C725" s="72"/>
      <c r="D725" s="77"/>
      <c r="E725" s="28"/>
      <c r="F725" s="28"/>
      <c r="G725" s="28"/>
      <c r="H725" s="28"/>
      <c r="I725" s="28"/>
      <c r="J725" s="29"/>
      <c r="K725" s="29"/>
      <c r="L725" s="29"/>
      <c r="M725" s="29"/>
      <c r="N725" s="29"/>
      <c r="O725" s="28"/>
      <c r="P725" s="28"/>
      <c r="Q725" s="146"/>
      <c r="R725" s="147"/>
      <c r="S725" s="54"/>
      <c r="T725" s="28"/>
      <c r="U725" s="95"/>
      <c r="V725" s="673"/>
      <c r="W725" s="14"/>
      <c r="X725" s="7"/>
      <c r="Y725" s="7"/>
      <c r="Z725" s="7"/>
      <c r="AA725" s="7"/>
      <c r="AB725" s="7"/>
      <c r="AC725" s="7"/>
    </row>
    <row r="726" spans="1:29" ht="26.25">
      <c r="A726" s="19"/>
      <c r="B726" s="148" t="s">
        <v>86</v>
      </c>
      <c r="C726" s="115">
        <f>C719+C721+C723+C722+C724</f>
        <v>2159</v>
      </c>
      <c r="D726" s="91">
        <f>D720+D724</f>
        <v>670</v>
      </c>
      <c r="E726" s="28"/>
      <c r="F726" s="28"/>
      <c r="G726" s="28"/>
      <c r="H726" s="28"/>
      <c r="I726" s="28"/>
      <c r="J726" s="29"/>
      <c r="K726" s="29"/>
      <c r="L726" s="29"/>
      <c r="M726" s="29"/>
      <c r="N726" s="29"/>
      <c r="O726" s="28"/>
      <c r="P726" s="28"/>
      <c r="Q726" s="146"/>
      <c r="R726" s="147"/>
      <c r="S726" s="54"/>
      <c r="T726" s="28"/>
      <c r="U726" s="95"/>
      <c r="V726" s="673"/>
      <c r="W726" s="14"/>
      <c r="X726" s="7"/>
      <c r="Y726" s="7"/>
      <c r="Z726" s="7"/>
      <c r="AA726" s="7"/>
      <c r="AB726" s="7"/>
      <c r="AC726" s="7"/>
    </row>
    <row r="727" spans="1:29" ht="25.5">
      <c r="A727" s="19"/>
      <c r="B727" s="104"/>
      <c r="C727" s="92"/>
      <c r="D727" s="92"/>
      <c r="E727" s="92"/>
      <c r="F727" s="92"/>
      <c r="G727" s="92"/>
      <c r="H727" s="92"/>
      <c r="I727" s="92"/>
      <c r="J727" s="142"/>
      <c r="K727" s="142"/>
      <c r="L727" s="142"/>
      <c r="M727" s="142"/>
      <c r="N727" s="142"/>
      <c r="O727" s="94"/>
      <c r="P727" s="91"/>
      <c r="Q727" s="94"/>
      <c r="R727" s="94"/>
      <c r="S727" s="94"/>
      <c r="T727" s="94"/>
      <c r="U727" s="273"/>
      <c r="V727" s="274"/>
      <c r="W727" s="14"/>
      <c r="X727" s="7"/>
      <c r="Y727" s="7"/>
      <c r="Z727" s="7"/>
      <c r="AA727" s="7"/>
      <c r="AB727" s="7"/>
      <c r="AC727" s="7"/>
    </row>
    <row r="728" spans="1:29" ht="26.25">
      <c r="A728" s="19"/>
      <c r="B728" s="143"/>
      <c r="C728" s="92"/>
      <c r="D728" s="92"/>
      <c r="E728" s="246"/>
      <c r="F728" s="246"/>
      <c r="G728" s="92"/>
      <c r="H728" s="92"/>
      <c r="I728" s="92"/>
      <c r="J728" s="142"/>
      <c r="K728" s="142"/>
      <c r="L728" s="142"/>
      <c r="M728" s="142"/>
      <c r="N728" s="142"/>
      <c r="O728" s="94"/>
      <c r="P728" s="94"/>
      <c r="Q728" s="94"/>
      <c r="R728" s="94"/>
      <c r="S728" s="94"/>
      <c r="T728" s="94"/>
      <c r="U728" s="273"/>
      <c r="V728" s="274"/>
      <c r="W728" s="14"/>
      <c r="X728" s="7"/>
      <c r="Y728" s="7"/>
      <c r="Z728" s="7"/>
      <c r="AA728" s="7"/>
      <c r="AB728" s="7"/>
      <c r="AC728" s="7"/>
    </row>
    <row r="729" spans="1:29" ht="26.25">
      <c r="A729" s="271"/>
      <c r="B729" s="143" t="s">
        <v>648</v>
      </c>
      <c r="C729" s="115">
        <f>C709+C92</f>
        <v>1240943.0645099962</v>
      </c>
      <c r="D729" s="115">
        <f>D709+D726</f>
        <v>670</v>
      </c>
      <c r="E729" s="115" t="e">
        <f>E709</f>
        <v>#REF!</v>
      </c>
      <c r="F729" s="91"/>
      <c r="G729" s="91"/>
      <c r="H729" s="248" t="e">
        <f>H709</f>
        <v>#REF!</v>
      </c>
      <c r="I729" s="115">
        <f>I709</f>
        <v>178534.32900000102</v>
      </c>
      <c r="J729" s="142"/>
      <c r="K729" s="142"/>
      <c r="L729" s="142"/>
      <c r="M729" s="142"/>
      <c r="N729" s="142"/>
      <c r="O729" s="94"/>
      <c r="P729" s="94"/>
      <c r="Q729" s="94"/>
      <c r="R729" s="94"/>
      <c r="S729" s="94"/>
      <c r="T729" s="94"/>
      <c r="U729" s="273"/>
      <c r="V729" s="274"/>
      <c r="W729" s="14"/>
      <c r="X729" s="7"/>
      <c r="Y729" s="7"/>
      <c r="Z729" s="7"/>
      <c r="AA729" s="7"/>
      <c r="AB729" s="7"/>
      <c r="AC729" s="7"/>
    </row>
    <row r="730" spans="1:29" ht="26.25">
      <c r="A730" s="271"/>
      <c r="B730" s="143"/>
      <c r="C730" s="246"/>
      <c r="D730" s="246"/>
      <c r="E730" s="246"/>
      <c r="F730" s="92"/>
      <c r="G730" s="92"/>
      <c r="H730" s="92"/>
      <c r="I730" s="92"/>
      <c r="J730" s="142"/>
      <c r="K730" s="142"/>
      <c r="L730" s="142"/>
      <c r="M730" s="142"/>
      <c r="N730" s="142"/>
      <c r="O730" s="94"/>
      <c r="P730" s="94"/>
      <c r="Q730" s="94"/>
      <c r="R730" s="94"/>
      <c r="S730" s="94"/>
      <c r="T730" s="94"/>
      <c r="U730" s="273"/>
      <c r="V730" s="274"/>
      <c r="W730" s="14"/>
      <c r="X730" s="7"/>
      <c r="Y730" s="7"/>
      <c r="Z730" s="7"/>
      <c r="AA730" s="7"/>
      <c r="AB730" s="7"/>
      <c r="AC730" s="7"/>
    </row>
    <row r="731" spans="1:29" ht="25.5">
      <c r="A731" s="271"/>
      <c r="B731" s="104"/>
      <c r="C731" s="92"/>
      <c r="D731" s="92"/>
      <c r="E731" s="92"/>
      <c r="F731" s="92"/>
      <c r="G731" s="92"/>
      <c r="H731" s="92"/>
      <c r="I731" s="92"/>
      <c r="J731" s="142"/>
      <c r="K731" s="142"/>
      <c r="L731" s="142"/>
      <c r="M731" s="142"/>
      <c r="N731" s="142"/>
      <c r="O731" s="94"/>
      <c r="P731" s="94"/>
      <c r="Q731" s="94"/>
      <c r="R731" s="94"/>
      <c r="S731" s="94"/>
      <c r="T731" s="94"/>
      <c r="U731" s="273"/>
      <c r="V731" s="274"/>
      <c r="W731" s="14"/>
      <c r="X731" s="7"/>
      <c r="Y731" s="7"/>
      <c r="Z731" s="7"/>
      <c r="AA731" s="7"/>
      <c r="AB731" s="7"/>
      <c r="AC731" s="7"/>
    </row>
    <row r="732" spans="1:29" ht="26.25">
      <c r="A732" s="271"/>
      <c r="B732" s="143" t="s">
        <v>649</v>
      </c>
      <c r="C732" s="246"/>
      <c r="D732" s="246"/>
      <c r="E732" s="246"/>
      <c r="F732" s="92"/>
      <c r="G732" s="275"/>
      <c r="H732" s="92"/>
      <c r="I732" s="92"/>
      <c r="J732" s="142"/>
      <c r="K732" s="142"/>
      <c r="L732" s="142"/>
      <c r="M732" s="142"/>
      <c r="N732" s="142"/>
      <c r="O732" s="94"/>
      <c r="P732" s="94"/>
      <c r="Q732" s="94"/>
      <c r="R732" s="94"/>
      <c r="S732" s="94"/>
      <c r="T732" s="94"/>
      <c r="U732" s="273"/>
      <c r="V732" s="274"/>
      <c r="W732" s="14"/>
      <c r="X732" s="7"/>
      <c r="Y732" s="7"/>
      <c r="Z732" s="7"/>
      <c r="AA732" s="7"/>
      <c r="AB732" s="7"/>
      <c r="AC732" s="7"/>
    </row>
    <row r="733" spans="1:29" ht="25.5">
      <c r="A733" s="271"/>
      <c r="B733" s="104"/>
      <c r="C733" s="92"/>
      <c r="D733" s="92"/>
      <c r="E733" s="92"/>
      <c r="F733" s="92"/>
      <c r="G733" s="275"/>
      <c r="H733" s="92"/>
      <c r="I733" s="92"/>
      <c r="J733" s="142"/>
      <c r="K733" s="142"/>
      <c r="L733" s="142"/>
      <c r="M733" s="142"/>
      <c r="N733" s="142"/>
      <c r="O733" s="94"/>
      <c r="P733" s="94"/>
      <c r="Q733" s="94"/>
      <c r="R733" s="94"/>
      <c r="S733" s="94"/>
      <c r="T733" s="94"/>
      <c r="U733" s="273"/>
      <c r="V733" s="274"/>
      <c r="W733" s="14"/>
      <c r="X733" s="7"/>
      <c r="Y733" s="7"/>
      <c r="Z733" s="7"/>
      <c r="AA733" s="7"/>
      <c r="AB733" s="7"/>
      <c r="AC733" s="7"/>
    </row>
    <row r="734" spans="1:29" ht="25.5">
      <c r="A734" s="276"/>
      <c r="B734" s="277"/>
      <c r="C734" s="105"/>
      <c r="D734" s="105"/>
      <c r="E734" s="105"/>
      <c r="F734" s="105"/>
      <c r="G734" s="105"/>
      <c r="H734" s="105"/>
      <c r="I734" s="105"/>
      <c r="J734" s="98"/>
      <c r="K734" s="98"/>
      <c r="L734" s="98"/>
      <c r="M734" s="98"/>
      <c r="N734" s="98"/>
      <c r="O734" s="227"/>
      <c r="P734" s="227"/>
      <c r="Q734" s="227"/>
      <c r="R734" s="227"/>
      <c r="S734" s="227"/>
      <c r="T734" s="227"/>
      <c r="U734" s="273"/>
      <c r="V734" s="274"/>
      <c r="W734" s="7"/>
      <c r="X734" s="7"/>
      <c r="Y734" s="7"/>
      <c r="Z734" s="7"/>
      <c r="AA734" s="7"/>
      <c r="AB734" s="7"/>
      <c r="AC734" s="7"/>
    </row>
    <row r="735" spans="1:29" ht="25.5">
      <c r="A735" s="276"/>
      <c r="B735" s="277"/>
      <c r="C735" s="105"/>
      <c r="D735" s="105"/>
      <c r="E735" s="105"/>
      <c r="F735" s="105"/>
      <c r="G735" s="105"/>
      <c r="H735" s="105"/>
      <c r="I735" s="105"/>
      <c r="J735" s="98"/>
      <c r="K735" s="98"/>
      <c r="L735" s="98"/>
      <c r="M735" s="98"/>
      <c r="N735" s="98"/>
      <c r="O735" s="227"/>
      <c r="P735" s="227"/>
      <c r="Q735" s="227"/>
      <c r="R735" s="227"/>
      <c r="S735" s="227"/>
      <c r="T735" s="227"/>
      <c r="U735" s="273"/>
      <c r="V735" s="274"/>
      <c r="W735" s="7"/>
      <c r="X735" s="7"/>
      <c r="Y735" s="7"/>
      <c r="Z735" s="7"/>
      <c r="AA735" s="7"/>
      <c r="AB735" s="7"/>
      <c r="AC735" s="7"/>
    </row>
    <row r="736" spans="1:29" ht="25.5">
      <c r="A736" s="276"/>
      <c r="B736" s="277"/>
      <c r="C736" s="105"/>
      <c r="D736" s="105"/>
      <c r="E736" s="105"/>
      <c r="F736" s="105"/>
      <c r="G736" s="105"/>
      <c r="H736" s="105"/>
      <c r="I736" s="105"/>
      <c r="J736" s="98"/>
      <c r="K736" s="98"/>
      <c r="L736" s="98"/>
      <c r="M736" s="98"/>
      <c r="N736" s="98"/>
      <c r="O736" s="227"/>
      <c r="P736" s="227"/>
      <c r="Q736" s="227"/>
      <c r="R736" s="227"/>
      <c r="S736" s="227"/>
      <c r="T736" s="227"/>
      <c r="U736" s="273"/>
      <c r="V736" s="274"/>
      <c r="W736" s="7"/>
      <c r="X736" s="7"/>
      <c r="Y736" s="7"/>
      <c r="Z736" s="7"/>
      <c r="AA736" s="7"/>
      <c r="AB736" s="7"/>
      <c r="AC736" s="7"/>
    </row>
    <row r="737" spans="1:29" ht="25.5">
      <c r="A737" s="276"/>
      <c r="B737" s="277"/>
      <c r="C737" s="105"/>
      <c r="D737" s="105"/>
      <c r="E737" s="105"/>
      <c r="F737" s="105"/>
      <c r="G737" s="105"/>
      <c r="H737" s="105"/>
      <c r="I737" s="105"/>
      <c r="J737" s="98"/>
      <c r="K737" s="98"/>
      <c r="L737" s="98"/>
      <c r="M737" s="98"/>
      <c r="N737" s="98"/>
      <c r="O737" s="227"/>
      <c r="P737" s="227"/>
      <c r="Q737" s="227"/>
      <c r="R737" s="227"/>
      <c r="S737" s="227"/>
      <c r="T737" s="227"/>
      <c r="U737" s="273"/>
      <c r="V737" s="274"/>
      <c r="W737" s="7"/>
      <c r="X737" s="7"/>
      <c r="Y737" s="7"/>
      <c r="Z737" s="7"/>
      <c r="AA737" s="7"/>
      <c r="AB737" s="7"/>
      <c r="AC737" s="7"/>
    </row>
    <row r="738" spans="1:29" ht="25.5">
      <c r="A738" s="276"/>
      <c r="B738" s="277"/>
      <c r="C738" s="105"/>
      <c r="D738" s="105"/>
      <c r="E738" s="105"/>
      <c r="F738" s="105"/>
      <c r="G738" s="105"/>
      <c r="H738" s="105"/>
      <c r="I738" s="105"/>
      <c r="J738" s="98"/>
      <c r="K738" s="98"/>
      <c r="L738" s="98"/>
      <c r="M738" s="98"/>
      <c r="N738" s="98"/>
      <c r="O738" s="227"/>
      <c r="P738" s="227"/>
      <c r="Q738" s="227"/>
      <c r="R738" s="227"/>
      <c r="S738" s="227"/>
      <c r="T738" s="227"/>
      <c r="U738" s="273"/>
      <c r="V738" s="274"/>
      <c r="W738" s="7"/>
      <c r="X738" s="7"/>
      <c r="Y738" s="7"/>
      <c r="Z738" s="7"/>
      <c r="AA738" s="7"/>
      <c r="AB738" s="7"/>
      <c r="AC738" s="7"/>
    </row>
    <row r="739" spans="1:29" ht="25.5">
      <c r="A739" s="276"/>
      <c r="B739" s="277"/>
      <c r="C739" s="105"/>
      <c r="D739" s="105"/>
      <c r="E739" s="105"/>
      <c r="F739" s="105"/>
      <c r="G739" s="105"/>
      <c r="H739" s="105"/>
      <c r="I739" s="105"/>
      <c r="J739" s="98"/>
      <c r="K739" s="98"/>
      <c r="L739" s="98"/>
      <c r="M739" s="98"/>
      <c r="N739" s="98"/>
      <c r="O739" s="227"/>
      <c r="P739" s="227"/>
      <c r="Q739" s="227"/>
      <c r="R739" s="227"/>
      <c r="S739" s="227"/>
      <c r="T739" s="227"/>
      <c r="U739" s="273"/>
      <c r="V739" s="274"/>
      <c r="W739" s="7"/>
      <c r="X739" s="7"/>
      <c r="Y739" s="7"/>
      <c r="Z739" s="7"/>
      <c r="AA739" s="7"/>
      <c r="AB739" s="7"/>
      <c r="AC739" s="7"/>
    </row>
    <row r="740" spans="1:29" ht="25.5">
      <c r="A740" s="276"/>
      <c r="B740" s="277"/>
      <c r="C740" s="105"/>
      <c r="D740" s="105"/>
      <c r="E740" s="105"/>
      <c r="F740" s="105"/>
      <c r="G740" s="105"/>
      <c r="H740" s="105"/>
      <c r="I740" s="105"/>
      <c r="J740" s="98"/>
      <c r="K740" s="98"/>
      <c r="L740" s="98"/>
      <c r="M740" s="98"/>
      <c r="N740" s="98"/>
      <c r="O740" s="227"/>
      <c r="P740" s="227"/>
      <c r="Q740" s="227"/>
      <c r="R740" s="227"/>
      <c r="S740" s="227"/>
      <c r="T740" s="227"/>
      <c r="U740" s="273"/>
      <c r="V740" s="274"/>
      <c r="W740" s="7"/>
      <c r="X740" s="7"/>
      <c r="Y740" s="7"/>
      <c r="Z740" s="7"/>
      <c r="AA740" s="7"/>
      <c r="AB740" s="7"/>
      <c r="AC740" s="7"/>
    </row>
    <row r="741" spans="1:29" ht="25.5">
      <c r="A741" s="276"/>
      <c r="B741" s="277"/>
      <c r="C741" s="105"/>
      <c r="D741" s="105"/>
      <c r="E741" s="105"/>
      <c r="F741" s="105"/>
      <c r="G741" s="105"/>
      <c r="H741" s="105"/>
      <c r="I741" s="105"/>
      <c r="J741" s="98"/>
      <c r="K741" s="98"/>
      <c r="L741" s="98"/>
      <c r="M741" s="98"/>
      <c r="N741" s="98"/>
      <c r="O741" s="227"/>
      <c r="P741" s="227"/>
      <c r="Q741" s="227"/>
      <c r="R741" s="227"/>
      <c r="S741" s="227"/>
      <c r="T741" s="227"/>
      <c r="U741" s="273"/>
      <c r="V741" s="274"/>
      <c r="W741" s="7"/>
      <c r="X741" s="7"/>
      <c r="Y741" s="7"/>
      <c r="Z741" s="7"/>
      <c r="AA741" s="7"/>
      <c r="AB741" s="7"/>
      <c r="AC741" s="7"/>
    </row>
    <row r="742" spans="1:29" ht="25.5">
      <c r="A742" s="276"/>
      <c r="B742" s="277"/>
      <c r="C742" s="105"/>
      <c r="D742" s="105"/>
      <c r="E742" s="105"/>
      <c r="F742" s="105"/>
      <c r="G742" s="105"/>
      <c r="H742" s="105"/>
      <c r="I742" s="105"/>
      <c r="J742" s="98"/>
      <c r="K742" s="98"/>
      <c r="L742" s="98"/>
      <c r="M742" s="98"/>
      <c r="N742" s="98"/>
      <c r="O742" s="227"/>
      <c r="P742" s="227"/>
      <c r="Q742" s="227"/>
      <c r="R742" s="227"/>
      <c r="S742" s="227"/>
      <c r="T742" s="227"/>
      <c r="U742" s="273"/>
      <c r="V742" s="274"/>
      <c r="W742" s="7"/>
      <c r="X742" s="7"/>
      <c r="Y742" s="7"/>
      <c r="Z742" s="7"/>
      <c r="AA742" s="7"/>
      <c r="AB742" s="7"/>
      <c r="AC742" s="7"/>
    </row>
    <row r="743" spans="1:29" ht="25.5">
      <c r="A743" s="276"/>
      <c r="B743" s="277"/>
      <c r="C743" s="105"/>
      <c r="D743" s="105"/>
      <c r="E743" s="105"/>
      <c r="F743" s="105"/>
      <c r="G743" s="105"/>
      <c r="H743" s="105"/>
      <c r="I743" s="105"/>
      <c r="J743" s="98"/>
      <c r="K743" s="98"/>
      <c r="L743" s="98"/>
      <c r="M743" s="98"/>
      <c r="N743" s="98"/>
      <c r="O743" s="227"/>
      <c r="P743" s="227"/>
      <c r="Q743" s="227"/>
      <c r="R743" s="227"/>
      <c r="S743" s="227"/>
      <c r="T743" s="227"/>
      <c r="U743" s="273"/>
      <c r="V743" s="274"/>
      <c r="W743" s="7"/>
      <c r="X743" s="7"/>
      <c r="Y743" s="7"/>
      <c r="Z743" s="7"/>
      <c r="AA743" s="7"/>
      <c r="AB743" s="7"/>
      <c r="AC743" s="7"/>
    </row>
    <row r="744" spans="1:29" ht="25.5">
      <c r="A744" s="276"/>
      <c r="B744" s="277"/>
      <c r="C744" s="105"/>
      <c r="D744" s="105"/>
      <c r="E744" s="105"/>
      <c r="F744" s="105"/>
      <c r="G744" s="105"/>
      <c r="H744" s="105"/>
      <c r="I744" s="105"/>
      <c r="J744" s="98"/>
      <c r="K744" s="98"/>
      <c r="L744" s="98"/>
      <c r="M744" s="98"/>
      <c r="N744" s="98"/>
      <c r="O744" s="227"/>
      <c r="P744" s="227"/>
      <c r="Q744" s="227"/>
      <c r="R744" s="227"/>
      <c r="S744" s="227"/>
      <c r="T744" s="227"/>
      <c r="U744" s="273"/>
      <c r="V744" s="274"/>
      <c r="W744" s="7"/>
      <c r="X744" s="7"/>
      <c r="Y744" s="7"/>
      <c r="Z744" s="7"/>
      <c r="AA744" s="7"/>
      <c r="AB744" s="7"/>
      <c r="AC744" s="7"/>
    </row>
    <row r="745" spans="1:29" ht="25.5">
      <c r="A745" s="276"/>
      <c r="B745" s="277"/>
      <c r="C745" s="105"/>
      <c r="D745" s="105"/>
      <c r="E745" s="105"/>
      <c r="F745" s="105"/>
      <c r="G745" s="105"/>
      <c r="H745" s="105"/>
      <c r="I745" s="105"/>
      <c r="J745" s="98"/>
      <c r="K745" s="98"/>
      <c r="L745" s="98"/>
      <c r="M745" s="98"/>
      <c r="N745" s="98"/>
      <c r="O745" s="227"/>
      <c r="P745" s="227"/>
      <c r="Q745" s="227"/>
      <c r="R745" s="227"/>
      <c r="S745" s="227"/>
      <c r="T745" s="227"/>
      <c r="U745" s="273"/>
      <c r="V745" s="274"/>
      <c r="W745" s="7"/>
      <c r="X745" s="7"/>
      <c r="Y745" s="7"/>
      <c r="Z745" s="7"/>
      <c r="AA745" s="7"/>
      <c r="AB745" s="7"/>
      <c r="AC745" s="7"/>
    </row>
    <row r="746" spans="1:29" ht="25.5">
      <c r="A746" s="276"/>
      <c r="B746" s="277"/>
      <c r="C746" s="105"/>
      <c r="D746" s="105"/>
      <c r="E746" s="105"/>
      <c r="F746" s="105"/>
      <c r="G746" s="105"/>
      <c r="H746" s="105"/>
      <c r="I746" s="105"/>
      <c r="J746" s="98"/>
      <c r="K746" s="98"/>
      <c r="L746" s="98"/>
      <c r="M746" s="98"/>
      <c r="N746" s="98"/>
      <c r="O746" s="227"/>
      <c r="P746" s="227"/>
      <c r="Q746" s="227"/>
      <c r="R746" s="227"/>
      <c r="S746" s="227"/>
      <c r="T746" s="227"/>
      <c r="U746" s="273"/>
      <c r="V746" s="274"/>
      <c r="W746" s="7"/>
      <c r="X746" s="7"/>
      <c r="Y746" s="7"/>
      <c r="Z746" s="7"/>
      <c r="AA746" s="7"/>
      <c r="AB746" s="7"/>
      <c r="AC746" s="7"/>
    </row>
    <row r="747" spans="1:29" ht="25.5">
      <c r="A747" s="276"/>
      <c r="B747" s="277"/>
      <c r="C747" s="105"/>
      <c r="D747" s="105"/>
      <c r="E747" s="105"/>
      <c r="F747" s="105"/>
      <c r="G747" s="105"/>
      <c r="H747" s="105"/>
      <c r="I747" s="105"/>
      <c r="J747" s="98"/>
      <c r="K747" s="98"/>
      <c r="L747" s="98"/>
      <c r="M747" s="98"/>
      <c r="N747" s="98"/>
      <c r="O747" s="227"/>
      <c r="P747" s="227"/>
      <c r="Q747" s="227"/>
      <c r="R747" s="227"/>
      <c r="S747" s="227"/>
      <c r="T747" s="227"/>
      <c r="U747" s="273"/>
      <c r="V747" s="274"/>
      <c r="W747" s="7"/>
      <c r="X747" s="7"/>
      <c r="Y747" s="7"/>
      <c r="Z747" s="7"/>
      <c r="AA747" s="7"/>
      <c r="AB747" s="7"/>
      <c r="AC747" s="7"/>
    </row>
  </sheetData>
  <mergeCells count="25">
    <mergeCell ref="A94:B94"/>
    <mergeCell ref="AQ1:BJ1"/>
    <mergeCell ref="A3:T3"/>
    <mergeCell ref="A4:A5"/>
    <mergeCell ref="B4:B5"/>
    <mergeCell ref="C4:C5"/>
    <mergeCell ref="D4:D5"/>
    <mergeCell ref="E4:G4"/>
    <mergeCell ref="H4:H5"/>
    <mergeCell ref="I4:I5"/>
    <mergeCell ref="O4:O5"/>
    <mergeCell ref="P4:P5"/>
    <mergeCell ref="S4:S5"/>
    <mergeCell ref="T4:T5"/>
    <mergeCell ref="V61:V62"/>
    <mergeCell ref="A87:B87"/>
    <mergeCell ref="W650:W652"/>
    <mergeCell ref="B665:B666"/>
    <mergeCell ref="B98:B99"/>
    <mergeCell ref="B176:B177"/>
    <mergeCell ref="B187:B188"/>
    <mergeCell ref="V200:V201"/>
    <mergeCell ref="V211:V212"/>
    <mergeCell ref="B247:B248"/>
    <mergeCell ref="V247:V248"/>
  </mergeCells>
  <pageMargins left="0.27559055118110237" right="0" top="0.39370078740157483" bottom="0.39370078740157483" header="0.31496062992125984" footer="0.31496062992125984"/>
  <pageSetup paperSize="9" scale="43" orientation="landscape" r:id="rId1"/>
  <colBreaks count="1" manualBreakCount="1">
    <brk id="22" max="635" man="1"/>
  </col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7"/>
  <sheetViews>
    <sheetView topLeftCell="A63" zoomScale="55" zoomScaleNormal="55" workbookViewId="0">
      <selection activeCell="O85" sqref="O85"/>
    </sheetView>
  </sheetViews>
  <sheetFormatPr defaultRowHeight="26.25"/>
  <cols>
    <col min="1" max="1" width="90" style="282" customWidth="1"/>
    <col min="2" max="2" width="21" style="282" customWidth="1"/>
    <col min="3" max="3" width="0.140625" style="282" customWidth="1"/>
    <col min="4" max="4" width="19" style="282" customWidth="1"/>
    <col min="5" max="5" width="17.7109375" style="282" customWidth="1"/>
    <col min="6" max="6" width="18.5703125" style="282" customWidth="1"/>
    <col min="7" max="7" width="21.5703125" style="282" customWidth="1"/>
    <col min="8" max="8" width="19.5703125" style="282" customWidth="1"/>
    <col min="9" max="12" width="9.140625" style="282" hidden="1" customWidth="1"/>
    <col min="13" max="13" width="21.7109375" style="282" hidden="1" customWidth="1"/>
    <col min="14" max="14" width="22.7109375" style="282" customWidth="1"/>
    <col min="15" max="15" width="40.140625" style="282" customWidth="1"/>
    <col min="16" max="16" width="9.140625" style="282" hidden="1" customWidth="1"/>
    <col min="17" max="17" width="14.85546875" style="282" hidden="1" customWidth="1"/>
    <col min="18" max="18" width="11.7109375" style="282" customWidth="1"/>
    <col min="19" max="19" width="21.5703125" style="282" customWidth="1"/>
    <col min="20" max="20" width="17.42578125" style="282" customWidth="1"/>
    <col min="21" max="16384" width="9.140625" style="282"/>
  </cols>
  <sheetData>
    <row r="1" spans="1:21">
      <c r="A1" s="278"/>
      <c r="B1" s="279"/>
      <c r="C1" s="279"/>
      <c r="D1" s="279"/>
      <c r="E1" s="279"/>
      <c r="F1" s="279"/>
      <c r="G1" s="279"/>
      <c r="H1" s="279"/>
      <c r="I1" s="280"/>
      <c r="J1" s="280"/>
      <c r="K1" s="280"/>
      <c r="L1" s="280"/>
      <c r="M1" s="280"/>
      <c r="N1" s="279"/>
      <c r="O1" s="279"/>
      <c r="P1" s="280"/>
      <c r="Q1" s="280"/>
      <c r="R1" s="279"/>
      <c r="S1" s="279"/>
      <c r="T1" s="281"/>
      <c r="U1" s="281"/>
    </row>
    <row r="2" spans="1:21">
      <c r="A2" s="278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</row>
    <row r="3" spans="1:21">
      <c r="A3" s="278"/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</row>
    <row r="4" spans="1:21">
      <c r="A4" s="278"/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</row>
    <row r="5" spans="1:21">
      <c r="A5" s="278"/>
      <c r="B5" s="281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</row>
    <row r="6" spans="1:21">
      <c r="A6" s="278"/>
      <c r="B6" s="281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</row>
    <row r="7" spans="1:21">
      <c r="A7" s="278"/>
      <c r="B7" s="281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</row>
    <row r="8" spans="1:21">
      <c r="A8" s="278"/>
      <c r="B8" s="281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</row>
    <row r="9" spans="1:21">
      <c r="A9" s="278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</row>
    <row r="10" spans="1:21">
      <c r="A10" s="278"/>
      <c r="B10" s="281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</row>
    <row r="11" spans="1:21">
      <c r="A11" s="278"/>
      <c r="B11" s="281"/>
      <c r="C11" s="279"/>
      <c r="D11" s="279"/>
      <c r="E11" s="279"/>
      <c r="F11" s="279"/>
      <c r="G11" s="279"/>
      <c r="H11" s="279"/>
      <c r="I11" s="279"/>
      <c r="J11" s="280"/>
      <c r="K11" s="280"/>
      <c r="L11" s="280"/>
      <c r="M11" s="280"/>
      <c r="N11" s="280"/>
      <c r="O11" s="279"/>
      <c r="P11" s="279"/>
      <c r="Q11" s="280"/>
      <c r="R11" s="280"/>
      <c r="S11" s="279"/>
      <c r="T11" s="279"/>
      <c r="U11" s="281"/>
    </row>
    <row r="12" spans="1:21">
      <c r="A12" s="278"/>
      <c r="B12" s="281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</row>
    <row r="13" spans="1:21">
      <c r="A13" s="278"/>
    </row>
    <row r="14" spans="1:21">
      <c r="A14" s="278"/>
    </row>
    <row r="15" spans="1:21">
      <c r="A15" s="278"/>
    </row>
    <row r="16" spans="1:21">
      <c r="A16" s="278"/>
    </row>
    <row r="17" spans="1:30">
      <c r="A17" s="278"/>
    </row>
    <row r="18" spans="1:30">
      <c r="A18" s="278"/>
    </row>
    <row r="19" spans="1:30">
      <c r="A19" s="278"/>
    </row>
    <row r="20" spans="1:30">
      <c r="A20" s="278"/>
    </row>
    <row r="21" spans="1:30">
      <c r="A21" s="278"/>
    </row>
    <row r="22" spans="1:30">
      <c r="A22" s="278"/>
    </row>
    <row r="23" spans="1:30">
      <c r="A23" s="278"/>
    </row>
    <row r="24" spans="1:30">
      <c r="A24" s="283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</row>
    <row r="25" spans="1:30">
      <c r="A25" s="284"/>
      <c r="B25" s="279"/>
      <c r="C25" s="279"/>
      <c r="D25" s="279"/>
      <c r="E25" s="279"/>
      <c r="F25" s="279"/>
      <c r="G25" s="279"/>
      <c r="H25" s="279"/>
      <c r="I25" s="280"/>
      <c r="J25" s="280"/>
      <c r="K25" s="280"/>
      <c r="L25" s="280"/>
      <c r="M25" s="280"/>
      <c r="N25" s="279"/>
      <c r="O25" s="279"/>
      <c r="P25" s="280"/>
      <c r="Q25" s="280"/>
      <c r="R25" s="279"/>
      <c r="S25" s="279"/>
    </row>
    <row r="26" spans="1:30">
      <c r="A26" s="283"/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</row>
    <row r="27" spans="1:30">
      <c r="A27" s="281"/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</row>
    <row r="28" spans="1:30" ht="15" customHeight="1" thickBot="1">
      <c r="A28" s="281"/>
      <c r="B28" s="281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</row>
    <row r="29" spans="1:30" ht="41.25" customHeight="1" thickBot="1">
      <c r="A29" s="285"/>
      <c r="B29" s="843" t="s">
        <v>920</v>
      </c>
      <c r="C29" s="844"/>
      <c r="D29" s="844"/>
      <c r="E29" s="844"/>
      <c r="F29" s="844"/>
      <c r="G29" s="844"/>
      <c r="H29" s="844"/>
      <c r="I29" s="844"/>
      <c r="J29" s="844"/>
      <c r="K29" s="844"/>
      <c r="L29" s="844"/>
      <c r="M29" s="844"/>
      <c r="N29" s="845"/>
      <c r="O29" s="285"/>
      <c r="P29" s="285"/>
      <c r="Q29" s="285"/>
      <c r="R29" s="285"/>
      <c r="S29" s="285"/>
      <c r="T29" s="286"/>
      <c r="U29" s="286"/>
      <c r="V29" s="286"/>
      <c r="W29" s="286"/>
      <c r="X29" s="286"/>
      <c r="Y29" s="286"/>
      <c r="Z29" s="286"/>
      <c r="AA29" s="286"/>
      <c r="AB29" s="286"/>
      <c r="AC29" s="286"/>
      <c r="AD29" s="286"/>
    </row>
    <row r="30" spans="1:30" ht="9.75" customHeight="1">
      <c r="A30" s="285"/>
      <c r="B30" s="285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5"/>
      <c r="N30" s="285"/>
      <c r="O30" s="285"/>
      <c r="P30" s="285"/>
      <c r="Q30" s="285"/>
      <c r="R30" s="285"/>
      <c r="S30" s="285"/>
      <c r="T30" s="286"/>
      <c r="U30" s="286"/>
      <c r="V30" s="286"/>
      <c r="W30" s="286"/>
      <c r="X30" s="286"/>
      <c r="Y30" s="286"/>
      <c r="Z30" s="286"/>
      <c r="AA30" s="286"/>
      <c r="AB30" s="286"/>
      <c r="AC30" s="286"/>
      <c r="AD30" s="286"/>
    </row>
    <row r="31" spans="1:30" ht="33.75" customHeight="1">
      <c r="A31" s="829" t="s">
        <v>1</v>
      </c>
      <c r="B31" s="826" t="s">
        <v>2</v>
      </c>
      <c r="C31" s="826" t="s">
        <v>3</v>
      </c>
      <c r="D31" s="826" t="s">
        <v>4</v>
      </c>
      <c r="E31" s="826"/>
      <c r="F31" s="826"/>
      <c r="G31" s="826" t="s">
        <v>5</v>
      </c>
      <c r="H31" s="826" t="s">
        <v>6</v>
      </c>
      <c r="I31" s="206"/>
      <c r="J31" s="287"/>
      <c r="K31" s="287"/>
      <c r="L31" s="287"/>
      <c r="M31" s="287"/>
      <c r="N31" s="824" t="s">
        <v>7</v>
      </c>
      <c r="O31" s="826" t="s">
        <v>8</v>
      </c>
      <c r="P31" s="287"/>
      <c r="Q31" s="287"/>
      <c r="R31" s="826" t="s">
        <v>9</v>
      </c>
      <c r="S31" s="826" t="s">
        <v>2</v>
      </c>
      <c r="T31" s="286"/>
      <c r="U31" s="286"/>
      <c r="V31" s="286"/>
      <c r="W31" s="286"/>
      <c r="X31" s="286"/>
      <c r="Y31" s="286"/>
      <c r="Z31" s="286"/>
      <c r="AA31" s="286"/>
      <c r="AB31" s="286"/>
      <c r="AC31" s="286"/>
      <c r="AD31" s="286"/>
    </row>
    <row r="32" spans="1:30" ht="51" customHeight="1">
      <c r="A32" s="829"/>
      <c r="B32" s="826"/>
      <c r="C32" s="826"/>
      <c r="D32" s="672" t="s">
        <v>10</v>
      </c>
      <c r="E32" s="672" t="s">
        <v>11</v>
      </c>
      <c r="F32" s="672" t="s">
        <v>12</v>
      </c>
      <c r="G32" s="826"/>
      <c r="H32" s="826"/>
      <c r="I32" s="206"/>
      <c r="J32" s="287"/>
      <c r="K32" s="287"/>
      <c r="L32" s="287"/>
      <c r="M32" s="287"/>
      <c r="N32" s="825"/>
      <c r="O32" s="826"/>
      <c r="P32" s="287"/>
      <c r="Q32" s="288"/>
      <c r="R32" s="826"/>
      <c r="S32" s="826"/>
      <c r="T32" s="286"/>
      <c r="U32" s="286"/>
      <c r="V32" s="286"/>
      <c r="W32" s="286"/>
      <c r="X32" s="286"/>
      <c r="Y32" s="286"/>
      <c r="Z32" s="286"/>
      <c r="AA32" s="286"/>
      <c r="AB32" s="286"/>
      <c r="AC32" s="286"/>
      <c r="AD32" s="286"/>
    </row>
    <row r="33" spans="1:30" ht="35.1" customHeight="1">
      <c r="A33" s="289" t="s">
        <v>650</v>
      </c>
      <c r="B33" s="206">
        <f t="shared" ref="B33:B60" si="0">G33+D33</f>
        <v>2097.1999999999998</v>
      </c>
      <c r="C33" s="206"/>
      <c r="D33" s="206">
        <f t="shared" ref="D33:D56" si="1">E33+F33</f>
        <v>137.19999999999999</v>
      </c>
      <c r="E33" s="206">
        <f t="shared" ref="E33:E56" si="2">0.04*G33</f>
        <v>78.400000000000006</v>
      </c>
      <c r="F33" s="206">
        <f t="shared" ref="F33:F56" si="3">0.03*G33</f>
        <v>58.8</v>
      </c>
      <c r="G33" s="206">
        <f t="shared" ref="G33:G56" si="4">S33</f>
        <v>1960</v>
      </c>
      <c r="H33" s="206">
        <f t="shared" ref="H33:H60" si="5">0.6*B33</f>
        <v>1258.32</v>
      </c>
      <c r="I33" s="290"/>
      <c r="J33" s="290"/>
      <c r="K33" s="290"/>
      <c r="L33" s="290"/>
      <c r="M33" s="290"/>
      <c r="N33" s="206">
        <v>4624</v>
      </c>
      <c r="O33" s="206">
        <v>4673</v>
      </c>
      <c r="P33" s="203"/>
      <c r="Q33" s="205"/>
      <c r="R33" s="291">
        <v>40</v>
      </c>
      <c r="S33" s="206">
        <f t="shared" ref="S33:S47" si="6">(O33-N33)*R33</f>
        <v>1960</v>
      </c>
      <c r="T33" s="286"/>
      <c r="U33" s="286"/>
      <c r="V33" s="286"/>
      <c r="W33" s="286"/>
      <c r="X33" s="286"/>
      <c r="Y33" s="286"/>
      <c r="Z33" s="286"/>
      <c r="AA33" s="286"/>
      <c r="AB33" s="286"/>
      <c r="AC33" s="286"/>
      <c r="AD33" s="286"/>
    </row>
    <row r="34" spans="1:30" ht="35.1" customHeight="1">
      <c r="A34" s="289" t="s">
        <v>651</v>
      </c>
      <c r="B34" s="206">
        <f t="shared" si="0"/>
        <v>2610.8000000000002</v>
      </c>
      <c r="C34" s="206"/>
      <c r="D34" s="206">
        <f t="shared" si="1"/>
        <v>170.8</v>
      </c>
      <c r="E34" s="206">
        <f t="shared" si="2"/>
        <v>97.600000000000009</v>
      </c>
      <c r="F34" s="206">
        <f t="shared" si="3"/>
        <v>73.2</v>
      </c>
      <c r="G34" s="206">
        <f t="shared" si="4"/>
        <v>2440</v>
      </c>
      <c r="H34" s="206">
        <f t="shared" si="5"/>
        <v>1566.48</v>
      </c>
      <c r="I34" s="290"/>
      <c r="J34" s="290"/>
      <c r="K34" s="290"/>
      <c r="L34" s="290"/>
      <c r="M34" s="290"/>
      <c r="N34" s="206">
        <v>4183</v>
      </c>
      <c r="O34" s="206">
        <v>4244</v>
      </c>
      <c r="P34" s="203"/>
      <c r="Q34" s="205"/>
      <c r="R34" s="291">
        <v>40</v>
      </c>
      <c r="S34" s="206">
        <f t="shared" si="6"/>
        <v>2440</v>
      </c>
      <c r="T34" s="286"/>
      <c r="U34" s="286"/>
      <c r="V34" s="286"/>
      <c r="W34" s="286"/>
      <c r="X34" s="286"/>
      <c r="Y34" s="286"/>
      <c r="Z34" s="286"/>
      <c r="AA34" s="286"/>
      <c r="AB34" s="286"/>
      <c r="AC34" s="286"/>
      <c r="AD34" s="286"/>
    </row>
    <row r="35" spans="1:30" ht="35.1" customHeight="1">
      <c r="A35" s="289" t="s">
        <v>652</v>
      </c>
      <c r="B35" s="206">
        <f t="shared" si="0"/>
        <v>3509.6</v>
      </c>
      <c r="C35" s="206"/>
      <c r="D35" s="206">
        <f t="shared" si="1"/>
        <v>229.59999999999997</v>
      </c>
      <c r="E35" s="206">
        <f t="shared" si="2"/>
        <v>131.19999999999999</v>
      </c>
      <c r="F35" s="206">
        <f t="shared" si="3"/>
        <v>98.399999999999991</v>
      </c>
      <c r="G35" s="206">
        <f t="shared" si="4"/>
        <v>3280</v>
      </c>
      <c r="H35" s="206">
        <f t="shared" si="5"/>
        <v>2105.7599999999998</v>
      </c>
      <c r="I35" s="290"/>
      <c r="J35" s="290"/>
      <c r="K35" s="290"/>
      <c r="L35" s="290"/>
      <c r="M35" s="290"/>
      <c r="N35" s="206">
        <v>4640</v>
      </c>
      <c r="O35" s="206">
        <v>4722</v>
      </c>
      <c r="P35" s="203"/>
      <c r="Q35" s="205"/>
      <c r="R35" s="291">
        <v>40</v>
      </c>
      <c r="S35" s="206">
        <f t="shared" si="6"/>
        <v>3280</v>
      </c>
      <c r="T35" s="286"/>
      <c r="U35" s="286"/>
      <c r="V35" s="286"/>
      <c r="W35" s="286"/>
      <c r="X35" s="286"/>
      <c r="Y35" s="286"/>
      <c r="Z35" s="286"/>
      <c r="AA35" s="286"/>
      <c r="AB35" s="286"/>
      <c r="AC35" s="286"/>
      <c r="AD35" s="286"/>
    </row>
    <row r="36" spans="1:30" ht="35.1" customHeight="1">
      <c r="A36" s="289" t="s">
        <v>653</v>
      </c>
      <c r="B36" s="206">
        <f t="shared" si="0"/>
        <v>17162.8</v>
      </c>
      <c r="C36" s="206"/>
      <c r="D36" s="206">
        <f t="shared" si="1"/>
        <v>1122.8</v>
      </c>
      <c r="E36" s="206">
        <f t="shared" si="2"/>
        <v>641.6</v>
      </c>
      <c r="F36" s="206">
        <f t="shared" si="3"/>
        <v>481.2</v>
      </c>
      <c r="G36" s="206">
        <f t="shared" si="4"/>
        <v>16040</v>
      </c>
      <c r="H36" s="206">
        <f t="shared" si="5"/>
        <v>10297.679999999998</v>
      </c>
      <c r="I36" s="290"/>
      <c r="J36" s="290"/>
      <c r="K36" s="290"/>
      <c r="L36" s="290"/>
      <c r="M36" s="290"/>
      <c r="N36" s="206">
        <v>15249</v>
      </c>
      <c r="O36" s="206">
        <v>15650</v>
      </c>
      <c r="P36" s="203"/>
      <c r="Q36" s="205"/>
      <c r="R36" s="291">
        <v>40</v>
      </c>
      <c r="S36" s="206">
        <f t="shared" si="6"/>
        <v>16040</v>
      </c>
      <c r="T36" s="286"/>
      <c r="U36" s="286"/>
      <c r="V36" s="286"/>
      <c r="W36" s="286"/>
      <c r="X36" s="286"/>
      <c r="Y36" s="286"/>
      <c r="Z36" s="286"/>
      <c r="AA36" s="286"/>
      <c r="AB36" s="286"/>
      <c r="AC36" s="286"/>
      <c r="AD36" s="286"/>
    </row>
    <row r="37" spans="1:30" ht="35.1" customHeight="1">
      <c r="A37" s="289" t="s">
        <v>654</v>
      </c>
      <c r="B37" s="206">
        <f t="shared" si="0"/>
        <v>1797.6</v>
      </c>
      <c r="C37" s="206"/>
      <c r="D37" s="206">
        <f t="shared" si="1"/>
        <v>117.6</v>
      </c>
      <c r="E37" s="206">
        <f t="shared" si="2"/>
        <v>67.2</v>
      </c>
      <c r="F37" s="206">
        <f t="shared" si="3"/>
        <v>50.4</v>
      </c>
      <c r="G37" s="206">
        <f t="shared" si="4"/>
        <v>1680</v>
      </c>
      <c r="H37" s="206">
        <f t="shared" si="5"/>
        <v>1078.56</v>
      </c>
      <c r="I37" s="290"/>
      <c r="J37" s="290"/>
      <c r="K37" s="290"/>
      <c r="L37" s="290"/>
      <c r="M37" s="290"/>
      <c r="N37" s="206">
        <v>6429</v>
      </c>
      <c r="O37" s="206">
        <v>6471</v>
      </c>
      <c r="P37" s="203"/>
      <c r="Q37" s="205"/>
      <c r="R37" s="291">
        <v>40</v>
      </c>
      <c r="S37" s="206">
        <f t="shared" si="6"/>
        <v>1680</v>
      </c>
      <c r="T37" s="286"/>
      <c r="U37" s="286"/>
      <c r="V37" s="286"/>
      <c r="W37" s="286"/>
      <c r="X37" s="286"/>
      <c r="Y37" s="286"/>
      <c r="Z37" s="286"/>
      <c r="AA37" s="286"/>
      <c r="AB37" s="286"/>
      <c r="AC37" s="286"/>
      <c r="AD37" s="286"/>
    </row>
    <row r="38" spans="1:30" ht="35.1" customHeight="1">
      <c r="A38" s="289" t="s">
        <v>764</v>
      </c>
      <c r="B38" s="206">
        <f t="shared" si="0"/>
        <v>609.9</v>
      </c>
      <c r="C38" s="206"/>
      <c r="D38" s="206">
        <f t="shared" si="1"/>
        <v>39.9</v>
      </c>
      <c r="E38" s="206">
        <f t="shared" si="2"/>
        <v>22.8</v>
      </c>
      <c r="F38" s="206">
        <f t="shared" si="3"/>
        <v>17.099999999999998</v>
      </c>
      <c r="G38" s="206">
        <f t="shared" si="4"/>
        <v>570</v>
      </c>
      <c r="H38" s="206">
        <f t="shared" si="5"/>
        <v>365.94</v>
      </c>
      <c r="I38" s="290"/>
      <c r="J38" s="290"/>
      <c r="K38" s="290"/>
      <c r="L38" s="290"/>
      <c r="M38" s="290"/>
      <c r="N38" s="206">
        <v>692</v>
      </c>
      <c r="O38" s="206">
        <v>711</v>
      </c>
      <c r="P38" s="203"/>
      <c r="Q38" s="205"/>
      <c r="R38" s="291">
        <v>30</v>
      </c>
      <c r="S38" s="206">
        <f t="shared" si="6"/>
        <v>570</v>
      </c>
      <c r="T38" s="286"/>
      <c r="U38" s="286"/>
      <c r="V38" s="286"/>
      <c r="W38" s="286"/>
      <c r="X38" s="286"/>
      <c r="Y38" s="286"/>
      <c r="Z38" s="286"/>
      <c r="AA38" s="286"/>
      <c r="AB38" s="286"/>
      <c r="AC38" s="286"/>
      <c r="AD38" s="286"/>
    </row>
    <row r="39" spans="1:30" ht="35.1" customHeight="1">
      <c r="A39" s="289" t="s">
        <v>655</v>
      </c>
      <c r="B39" s="206">
        <f t="shared" si="0"/>
        <v>2140</v>
      </c>
      <c r="C39" s="206"/>
      <c r="D39" s="206">
        <f t="shared" si="1"/>
        <v>140</v>
      </c>
      <c r="E39" s="206">
        <f t="shared" si="2"/>
        <v>80</v>
      </c>
      <c r="F39" s="206">
        <f t="shared" si="3"/>
        <v>60</v>
      </c>
      <c r="G39" s="206">
        <f t="shared" si="4"/>
        <v>2000</v>
      </c>
      <c r="H39" s="206">
        <f t="shared" si="5"/>
        <v>1284</v>
      </c>
      <c r="I39" s="290"/>
      <c r="J39" s="290"/>
      <c r="K39" s="290"/>
      <c r="L39" s="290"/>
      <c r="M39" s="290"/>
      <c r="N39" s="206">
        <v>4103</v>
      </c>
      <c r="O39" s="206">
        <v>4153</v>
      </c>
      <c r="P39" s="203"/>
      <c r="Q39" s="205"/>
      <c r="R39" s="291">
        <v>40</v>
      </c>
      <c r="S39" s="206">
        <f t="shared" si="6"/>
        <v>2000</v>
      </c>
      <c r="T39" s="286"/>
      <c r="U39" s="286"/>
      <c r="V39" s="286"/>
      <c r="W39" s="286"/>
      <c r="X39" s="286"/>
      <c r="Y39" s="286"/>
      <c r="Z39" s="286"/>
      <c r="AA39" s="286"/>
      <c r="AB39" s="286"/>
      <c r="AC39" s="286"/>
      <c r="AD39" s="286"/>
    </row>
    <row r="40" spans="1:30" ht="35.1" customHeight="1">
      <c r="A40" s="289" t="s">
        <v>765</v>
      </c>
      <c r="B40" s="206">
        <f t="shared" si="0"/>
        <v>3295.6</v>
      </c>
      <c r="C40" s="206"/>
      <c r="D40" s="206">
        <f t="shared" si="1"/>
        <v>215.6</v>
      </c>
      <c r="E40" s="206">
        <f t="shared" si="2"/>
        <v>123.2</v>
      </c>
      <c r="F40" s="206">
        <f t="shared" si="3"/>
        <v>92.399999999999991</v>
      </c>
      <c r="G40" s="206">
        <f t="shared" si="4"/>
        <v>3080</v>
      </c>
      <c r="H40" s="206">
        <f t="shared" si="5"/>
        <v>1977.36</v>
      </c>
      <c r="I40" s="290"/>
      <c r="J40" s="290"/>
      <c r="K40" s="290"/>
      <c r="L40" s="290"/>
      <c r="M40" s="290"/>
      <c r="N40" s="206">
        <v>4946</v>
      </c>
      <c r="O40" s="206">
        <v>5023</v>
      </c>
      <c r="P40" s="203"/>
      <c r="Q40" s="205"/>
      <c r="R40" s="291">
        <v>40</v>
      </c>
      <c r="S40" s="206">
        <f t="shared" si="6"/>
        <v>3080</v>
      </c>
      <c r="T40" s="286"/>
      <c r="U40" s="286"/>
      <c r="V40" s="286"/>
      <c r="W40" s="286"/>
      <c r="X40" s="286"/>
      <c r="Y40" s="286"/>
      <c r="Z40" s="286"/>
      <c r="AA40" s="286"/>
      <c r="AB40" s="286"/>
      <c r="AC40" s="286"/>
      <c r="AD40" s="286"/>
    </row>
    <row r="41" spans="1:30" ht="35.1" customHeight="1">
      <c r="A41" s="289" t="s">
        <v>656</v>
      </c>
      <c r="B41" s="206">
        <f t="shared" si="0"/>
        <v>3680.8</v>
      </c>
      <c r="C41" s="206"/>
      <c r="D41" s="206">
        <f t="shared" si="1"/>
        <v>240.8</v>
      </c>
      <c r="E41" s="206">
        <f t="shared" si="2"/>
        <v>137.6</v>
      </c>
      <c r="F41" s="206">
        <f t="shared" si="3"/>
        <v>103.2</v>
      </c>
      <c r="G41" s="206">
        <f t="shared" si="4"/>
        <v>3440</v>
      </c>
      <c r="H41" s="206">
        <f t="shared" si="5"/>
        <v>2208.48</v>
      </c>
      <c r="I41" s="290"/>
      <c r="J41" s="290"/>
      <c r="K41" s="290"/>
      <c r="L41" s="290"/>
      <c r="M41" s="290"/>
      <c r="N41" s="206">
        <v>8535</v>
      </c>
      <c r="O41" s="206">
        <v>8621</v>
      </c>
      <c r="P41" s="203"/>
      <c r="Q41" s="205"/>
      <c r="R41" s="291">
        <v>40</v>
      </c>
      <c r="S41" s="206">
        <f t="shared" si="6"/>
        <v>3440</v>
      </c>
      <c r="T41" s="286"/>
      <c r="U41" s="286"/>
      <c r="V41" s="286"/>
      <c r="W41" s="286"/>
      <c r="X41" s="286"/>
      <c r="Y41" s="286"/>
      <c r="Z41" s="286"/>
      <c r="AA41" s="286"/>
      <c r="AB41" s="286"/>
      <c r="AC41" s="286"/>
      <c r="AD41" s="286"/>
    </row>
    <row r="42" spans="1:30" ht="35.1" customHeight="1">
      <c r="A42" s="289" t="s">
        <v>657</v>
      </c>
      <c r="B42" s="206">
        <f t="shared" si="0"/>
        <v>1369.6</v>
      </c>
      <c r="C42" s="206"/>
      <c r="D42" s="206">
        <f t="shared" si="1"/>
        <v>89.6</v>
      </c>
      <c r="E42" s="206">
        <f t="shared" si="2"/>
        <v>51.2</v>
      </c>
      <c r="F42" s="206">
        <f t="shared" si="3"/>
        <v>38.4</v>
      </c>
      <c r="G42" s="206">
        <f t="shared" si="4"/>
        <v>1280</v>
      </c>
      <c r="H42" s="206">
        <f t="shared" si="5"/>
        <v>821.75999999999988</v>
      </c>
      <c r="I42" s="290"/>
      <c r="J42" s="290"/>
      <c r="K42" s="290"/>
      <c r="L42" s="290"/>
      <c r="M42" s="290"/>
      <c r="N42" s="206">
        <v>1964</v>
      </c>
      <c r="O42" s="206">
        <v>1996</v>
      </c>
      <c r="P42" s="203"/>
      <c r="Q42" s="205"/>
      <c r="R42" s="291">
        <v>40</v>
      </c>
      <c r="S42" s="206">
        <f t="shared" si="6"/>
        <v>1280</v>
      </c>
      <c r="T42" s="286"/>
      <c r="U42" s="286"/>
      <c r="V42" s="286"/>
      <c r="W42" s="286"/>
      <c r="X42" s="286"/>
      <c r="Y42" s="286"/>
      <c r="Z42" s="286"/>
      <c r="AA42" s="286"/>
      <c r="AB42" s="286"/>
      <c r="AC42" s="286"/>
      <c r="AD42" s="286"/>
    </row>
    <row r="43" spans="1:30" ht="35.1" customHeight="1">
      <c r="A43" s="289" t="s">
        <v>658</v>
      </c>
      <c r="B43" s="206">
        <f t="shared" si="0"/>
        <v>1241.2</v>
      </c>
      <c r="C43" s="206"/>
      <c r="D43" s="206">
        <f t="shared" si="1"/>
        <v>81.199999999999989</v>
      </c>
      <c r="E43" s="206">
        <f t="shared" si="2"/>
        <v>46.4</v>
      </c>
      <c r="F43" s="206">
        <f t="shared" si="3"/>
        <v>34.799999999999997</v>
      </c>
      <c r="G43" s="206">
        <f t="shared" si="4"/>
        <v>1160</v>
      </c>
      <c r="H43" s="206">
        <f t="shared" si="5"/>
        <v>744.72</v>
      </c>
      <c r="I43" s="290"/>
      <c r="J43" s="290"/>
      <c r="K43" s="290"/>
      <c r="L43" s="290"/>
      <c r="M43" s="290"/>
      <c r="N43" s="206">
        <v>1471</v>
      </c>
      <c r="O43" s="206">
        <v>1500</v>
      </c>
      <c r="P43" s="203"/>
      <c r="Q43" s="205"/>
      <c r="R43" s="291">
        <v>40</v>
      </c>
      <c r="S43" s="206">
        <f t="shared" si="6"/>
        <v>1160</v>
      </c>
      <c r="T43" s="286"/>
      <c r="U43" s="286"/>
      <c r="V43" s="286"/>
      <c r="W43" s="286"/>
      <c r="X43" s="286"/>
      <c r="Y43" s="286"/>
      <c r="Z43" s="286"/>
      <c r="AA43" s="286"/>
      <c r="AB43" s="286"/>
      <c r="AC43" s="286"/>
      <c r="AD43" s="286"/>
    </row>
    <row r="44" spans="1:30" ht="35.1" customHeight="1">
      <c r="A44" s="292" t="s">
        <v>659</v>
      </c>
      <c r="B44" s="293">
        <f>G44+D44</f>
        <v>8816.7999999999993</v>
      </c>
      <c r="C44" s="293"/>
      <c r="D44" s="293">
        <f>E44+F44</f>
        <v>576.79999999999995</v>
      </c>
      <c r="E44" s="293">
        <f>0.04*G44</f>
        <v>329.6</v>
      </c>
      <c r="F44" s="293">
        <f>0.03*G44</f>
        <v>247.2</v>
      </c>
      <c r="G44" s="293">
        <f>S44</f>
        <v>8240</v>
      </c>
      <c r="H44" s="293">
        <f>0.6*B44</f>
        <v>5290.079999999999</v>
      </c>
      <c r="I44" s="294"/>
      <c r="J44" s="294"/>
      <c r="K44" s="294"/>
      <c r="L44" s="294"/>
      <c r="M44" s="294"/>
      <c r="N44" s="293">
        <v>27846</v>
      </c>
      <c r="O44" s="293">
        <v>28052</v>
      </c>
      <c r="P44" s="295"/>
      <c r="Q44" s="296"/>
      <c r="R44" s="297">
        <v>40</v>
      </c>
      <c r="S44" s="293">
        <f>(O44-N44)*R44</f>
        <v>8240</v>
      </c>
      <c r="T44" s="286"/>
      <c r="U44" s="286"/>
      <c r="V44" s="286"/>
      <c r="W44" s="286"/>
      <c r="X44" s="286"/>
      <c r="Y44" s="286"/>
      <c r="Z44" s="286"/>
      <c r="AA44" s="286"/>
      <c r="AB44" s="286"/>
      <c r="AC44" s="286"/>
      <c r="AD44" s="286"/>
    </row>
    <row r="45" spans="1:30" ht="35.1" customHeight="1">
      <c r="A45" s="289" t="s">
        <v>660</v>
      </c>
      <c r="B45" s="206">
        <f t="shared" si="0"/>
        <v>15622</v>
      </c>
      <c r="C45" s="206"/>
      <c r="D45" s="206">
        <f t="shared" si="1"/>
        <v>1022</v>
      </c>
      <c r="E45" s="206">
        <f t="shared" si="2"/>
        <v>584</v>
      </c>
      <c r="F45" s="206">
        <f t="shared" si="3"/>
        <v>438</v>
      </c>
      <c r="G45" s="206">
        <f t="shared" si="4"/>
        <v>14600</v>
      </c>
      <c r="H45" s="206">
        <f t="shared" si="5"/>
        <v>9373.1999999999989</v>
      </c>
      <c r="I45" s="290"/>
      <c r="J45" s="290"/>
      <c r="K45" s="290"/>
      <c r="L45" s="290"/>
      <c r="M45" s="290"/>
      <c r="N45" s="206">
        <v>23135</v>
      </c>
      <c r="O45" s="206">
        <v>23500</v>
      </c>
      <c r="P45" s="203"/>
      <c r="Q45" s="205"/>
      <c r="R45" s="291">
        <v>40</v>
      </c>
      <c r="S45" s="206">
        <f t="shared" si="6"/>
        <v>14600</v>
      </c>
      <c r="T45" s="286"/>
      <c r="U45" s="286"/>
      <c r="V45" s="286"/>
      <c r="W45" s="286"/>
      <c r="X45" s="286"/>
      <c r="Y45" s="286"/>
      <c r="Z45" s="286"/>
      <c r="AA45" s="286"/>
      <c r="AB45" s="286"/>
      <c r="AC45" s="286"/>
      <c r="AD45" s="286"/>
    </row>
    <row r="46" spans="1:30" ht="35.1" customHeight="1">
      <c r="A46" s="289" t="s">
        <v>661</v>
      </c>
      <c r="B46" s="206">
        <f t="shared" si="0"/>
        <v>11855.6</v>
      </c>
      <c r="C46" s="206"/>
      <c r="D46" s="206">
        <f t="shared" si="1"/>
        <v>775.59999999999991</v>
      </c>
      <c r="E46" s="206">
        <f t="shared" si="2"/>
        <v>443.2</v>
      </c>
      <c r="F46" s="206">
        <f t="shared" si="3"/>
        <v>332.4</v>
      </c>
      <c r="G46" s="206">
        <f t="shared" si="4"/>
        <v>11080</v>
      </c>
      <c r="H46" s="206">
        <f t="shared" si="5"/>
        <v>7113.36</v>
      </c>
      <c r="I46" s="290"/>
      <c r="J46" s="290"/>
      <c r="K46" s="290"/>
      <c r="L46" s="290"/>
      <c r="M46" s="290"/>
      <c r="N46" s="206">
        <v>17538</v>
      </c>
      <c r="O46" s="206">
        <v>17815</v>
      </c>
      <c r="P46" s="203"/>
      <c r="Q46" s="205"/>
      <c r="R46" s="291">
        <v>40</v>
      </c>
      <c r="S46" s="206">
        <f t="shared" si="6"/>
        <v>11080</v>
      </c>
      <c r="T46" s="286"/>
      <c r="U46" s="286"/>
      <c r="V46" s="286"/>
      <c r="W46" s="286"/>
      <c r="X46" s="286"/>
      <c r="Y46" s="286"/>
      <c r="Z46" s="286"/>
      <c r="AA46" s="286"/>
      <c r="AB46" s="286"/>
      <c r="AC46" s="286"/>
      <c r="AD46" s="286"/>
    </row>
    <row r="47" spans="1:30" ht="35.1" customHeight="1">
      <c r="A47" s="289" t="s">
        <v>662</v>
      </c>
      <c r="B47" s="206">
        <f t="shared" si="0"/>
        <v>1241.2</v>
      </c>
      <c r="C47" s="206"/>
      <c r="D47" s="206">
        <f t="shared" si="1"/>
        <v>81.199999999999989</v>
      </c>
      <c r="E47" s="206">
        <f t="shared" si="2"/>
        <v>46.4</v>
      </c>
      <c r="F47" s="206">
        <f t="shared" si="3"/>
        <v>34.799999999999997</v>
      </c>
      <c r="G47" s="206">
        <f t="shared" si="4"/>
        <v>1160</v>
      </c>
      <c r="H47" s="206">
        <f t="shared" si="5"/>
        <v>744.72</v>
      </c>
      <c r="I47" s="290"/>
      <c r="J47" s="290"/>
      <c r="K47" s="290"/>
      <c r="L47" s="290"/>
      <c r="M47" s="290"/>
      <c r="N47" s="206">
        <v>2629</v>
      </c>
      <c r="O47" s="206">
        <v>2658</v>
      </c>
      <c r="P47" s="203"/>
      <c r="Q47" s="205"/>
      <c r="R47" s="291">
        <v>40</v>
      </c>
      <c r="S47" s="206">
        <f t="shared" si="6"/>
        <v>1160</v>
      </c>
      <c r="T47" s="286"/>
      <c r="U47" s="286"/>
      <c r="V47" s="286"/>
      <c r="W47" s="286"/>
      <c r="X47" s="286"/>
      <c r="Y47" s="286"/>
      <c r="Z47" s="286"/>
      <c r="AA47" s="286"/>
      <c r="AB47" s="286"/>
      <c r="AC47" s="286"/>
      <c r="AD47" s="286"/>
    </row>
    <row r="48" spans="1:30" ht="35.1" customHeight="1">
      <c r="A48" s="289"/>
      <c r="B48" s="206"/>
      <c r="C48" s="206"/>
      <c r="D48" s="206"/>
      <c r="E48" s="206"/>
      <c r="F48" s="206"/>
      <c r="G48" s="206"/>
      <c r="H48" s="206"/>
      <c r="I48" s="290"/>
      <c r="J48" s="290"/>
      <c r="K48" s="290"/>
      <c r="L48" s="290"/>
      <c r="M48" s="290"/>
      <c r="N48" s="206"/>
      <c r="O48" s="206"/>
      <c r="P48" s="203"/>
      <c r="Q48" s="205"/>
      <c r="R48" s="291"/>
      <c r="S48" s="206"/>
      <c r="T48" s="286"/>
      <c r="U48" s="286"/>
      <c r="V48" s="286"/>
      <c r="W48" s="286"/>
      <c r="X48" s="286"/>
      <c r="Y48" s="286"/>
      <c r="Z48" s="286"/>
      <c r="AA48" s="286"/>
      <c r="AB48" s="286"/>
      <c r="AC48" s="286"/>
      <c r="AD48" s="286"/>
    </row>
    <row r="49" spans="1:30" ht="35.1" customHeight="1">
      <c r="A49" s="289" t="s">
        <v>663</v>
      </c>
      <c r="B49" s="206">
        <f t="shared" si="0"/>
        <v>24075</v>
      </c>
      <c r="C49" s="206"/>
      <c r="D49" s="206">
        <f t="shared" si="1"/>
        <v>1575</v>
      </c>
      <c r="E49" s="206">
        <f t="shared" si="2"/>
        <v>900</v>
      </c>
      <c r="F49" s="206">
        <f t="shared" si="3"/>
        <v>675</v>
      </c>
      <c r="G49" s="206">
        <f t="shared" si="4"/>
        <v>22500</v>
      </c>
      <c r="H49" s="206">
        <f t="shared" si="5"/>
        <v>14445</v>
      </c>
      <c r="I49" s="290"/>
      <c r="J49" s="290"/>
      <c r="K49" s="290"/>
      <c r="L49" s="290"/>
      <c r="M49" s="290"/>
      <c r="N49" s="206">
        <v>24788</v>
      </c>
      <c r="O49" s="206">
        <v>25163</v>
      </c>
      <c r="P49" s="203"/>
      <c r="Q49" s="205"/>
      <c r="R49" s="291">
        <v>60</v>
      </c>
      <c r="S49" s="206">
        <f t="shared" ref="S49:S61" si="7">(O49-N49)*R49</f>
        <v>22500</v>
      </c>
      <c r="T49" s="286"/>
      <c r="U49" s="286"/>
      <c r="V49" s="286"/>
      <c r="W49" s="286"/>
      <c r="X49" s="286"/>
      <c r="Y49" s="286"/>
      <c r="Z49" s="286"/>
      <c r="AA49" s="286"/>
      <c r="AB49" s="286"/>
      <c r="AC49" s="286"/>
      <c r="AD49" s="286"/>
    </row>
    <row r="50" spans="1:30" ht="35.1" customHeight="1">
      <c r="A50" s="289" t="s">
        <v>664</v>
      </c>
      <c r="B50" s="206">
        <f t="shared" si="0"/>
        <v>3124.4</v>
      </c>
      <c r="C50" s="206"/>
      <c r="D50" s="206">
        <f t="shared" si="1"/>
        <v>204.39999999999998</v>
      </c>
      <c r="E50" s="206">
        <f t="shared" si="2"/>
        <v>116.8</v>
      </c>
      <c r="F50" s="206">
        <f t="shared" si="3"/>
        <v>87.6</v>
      </c>
      <c r="G50" s="206">
        <f t="shared" si="4"/>
        <v>2920</v>
      </c>
      <c r="H50" s="206">
        <f t="shared" si="5"/>
        <v>1874.6399999999999</v>
      </c>
      <c r="I50" s="290"/>
      <c r="J50" s="290"/>
      <c r="K50" s="290"/>
      <c r="L50" s="290"/>
      <c r="M50" s="290"/>
      <c r="N50" s="206">
        <v>3154</v>
      </c>
      <c r="O50" s="206">
        <v>3227</v>
      </c>
      <c r="P50" s="203"/>
      <c r="Q50" s="205"/>
      <c r="R50" s="291">
        <v>40</v>
      </c>
      <c r="S50" s="206">
        <f t="shared" si="7"/>
        <v>2920</v>
      </c>
      <c r="T50" s="286"/>
      <c r="U50" s="286"/>
      <c r="V50" s="286"/>
      <c r="W50" s="286"/>
      <c r="X50" s="286"/>
      <c r="Y50" s="286"/>
      <c r="Z50" s="286"/>
      <c r="AA50" s="286"/>
      <c r="AB50" s="286"/>
      <c r="AC50" s="286"/>
      <c r="AD50" s="286"/>
    </row>
    <row r="51" spans="1:30" ht="35.1" customHeight="1">
      <c r="A51" s="289" t="s">
        <v>665</v>
      </c>
      <c r="B51" s="206">
        <f t="shared" si="0"/>
        <v>1840.4</v>
      </c>
      <c r="C51" s="206"/>
      <c r="D51" s="206">
        <f t="shared" si="1"/>
        <v>120.4</v>
      </c>
      <c r="E51" s="206">
        <f t="shared" si="2"/>
        <v>68.8</v>
      </c>
      <c r="F51" s="206">
        <f t="shared" si="3"/>
        <v>51.6</v>
      </c>
      <c r="G51" s="206">
        <f t="shared" si="4"/>
        <v>1720</v>
      </c>
      <c r="H51" s="206">
        <f t="shared" si="5"/>
        <v>1104.24</v>
      </c>
      <c r="I51" s="290"/>
      <c r="J51" s="290"/>
      <c r="K51" s="290"/>
      <c r="L51" s="290"/>
      <c r="M51" s="290"/>
      <c r="N51" s="206">
        <v>2515</v>
      </c>
      <c r="O51" s="206">
        <v>2558</v>
      </c>
      <c r="P51" s="203"/>
      <c r="Q51" s="205"/>
      <c r="R51" s="291">
        <v>40</v>
      </c>
      <c r="S51" s="206">
        <f t="shared" si="7"/>
        <v>1720</v>
      </c>
      <c r="T51" s="286"/>
      <c r="U51" s="286"/>
      <c r="V51" s="286"/>
      <c r="W51" s="286"/>
      <c r="X51" s="286"/>
      <c r="Y51" s="286"/>
      <c r="Z51" s="286"/>
      <c r="AA51" s="286"/>
      <c r="AB51" s="286"/>
      <c r="AC51" s="286"/>
      <c r="AD51" s="286"/>
    </row>
    <row r="52" spans="1:30" ht="35.1" customHeight="1">
      <c r="A52" s="289" t="s">
        <v>666</v>
      </c>
      <c r="B52" s="206">
        <f t="shared" si="0"/>
        <v>2482.4</v>
      </c>
      <c r="C52" s="206"/>
      <c r="D52" s="206">
        <f t="shared" si="1"/>
        <v>162.39999999999998</v>
      </c>
      <c r="E52" s="206">
        <f t="shared" si="2"/>
        <v>92.8</v>
      </c>
      <c r="F52" s="206">
        <f t="shared" si="3"/>
        <v>69.599999999999994</v>
      </c>
      <c r="G52" s="206">
        <f t="shared" si="4"/>
        <v>2320</v>
      </c>
      <c r="H52" s="206">
        <f t="shared" si="5"/>
        <v>1489.44</v>
      </c>
      <c r="I52" s="290"/>
      <c r="J52" s="290"/>
      <c r="K52" s="290"/>
      <c r="L52" s="290"/>
      <c r="M52" s="290"/>
      <c r="N52" s="206">
        <v>5200</v>
      </c>
      <c r="O52" s="206">
        <v>5258</v>
      </c>
      <c r="P52" s="203"/>
      <c r="Q52" s="205"/>
      <c r="R52" s="291">
        <v>40</v>
      </c>
      <c r="S52" s="206">
        <f t="shared" si="7"/>
        <v>2320</v>
      </c>
      <c r="T52" s="286"/>
      <c r="U52" s="286"/>
      <c r="V52" s="286"/>
      <c r="W52" s="286"/>
      <c r="X52" s="286"/>
      <c r="Y52" s="286"/>
      <c r="Z52" s="286"/>
      <c r="AA52" s="286"/>
      <c r="AB52" s="286"/>
      <c r="AC52" s="286"/>
      <c r="AD52" s="286"/>
    </row>
    <row r="53" spans="1:30" ht="35.1" customHeight="1">
      <c r="A53" s="289" t="s">
        <v>667</v>
      </c>
      <c r="B53" s="206">
        <f t="shared" si="0"/>
        <v>9715.6</v>
      </c>
      <c r="C53" s="206"/>
      <c r="D53" s="206">
        <f t="shared" si="1"/>
        <v>635.59999999999991</v>
      </c>
      <c r="E53" s="206">
        <f t="shared" si="2"/>
        <v>363.2</v>
      </c>
      <c r="F53" s="206">
        <f t="shared" si="3"/>
        <v>272.39999999999998</v>
      </c>
      <c r="G53" s="206">
        <f t="shared" si="4"/>
        <v>9080</v>
      </c>
      <c r="H53" s="206">
        <f t="shared" si="5"/>
        <v>5829.36</v>
      </c>
      <c r="I53" s="290"/>
      <c r="J53" s="290"/>
      <c r="K53" s="290"/>
      <c r="L53" s="290"/>
      <c r="M53" s="290"/>
      <c r="N53" s="206">
        <v>29756</v>
      </c>
      <c r="O53" s="206">
        <v>29983</v>
      </c>
      <c r="P53" s="203"/>
      <c r="Q53" s="205"/>
      <c r="R53" s="291">
        <v>40</v>
      </c>
      <c r="S53" s="206">
        <f t="shared" si="7"/>
        <v>9080</v>
      </c>
      <c r="T53" s="286"/>
      <c r="U53" s="286"/>
      <c r="V53" s="286"/>
      <c r="W53" s="286"/>
      <c r="X53" s="286"/>
      <c r="Y53" s="286"/>
      <c r="Z53" s="286"/>
      <c r="AA53" s="286"/>
      <c r="AB53" s="286"/>
      <c r="AC53" s="286"/>
      <c r="AD53" s="286"/>
    </row>
    <row r="54" spans="1:30" ht="35.1" customHeight="1">
      <c r="A54" s="289" t="s">
        <v>668</v>
      </c>
      <c r="B54" s="206">
        <f t="shared" si="0"/>
        <v>5906.4</v>
      </c>
      <c r="C54" s="206"/>
      <c r="D54" s="206">
        <f t="shared" si="1"/>
        <v>386.4</v>
      </c>
      <c r="E54" s="206">
        <f t="shared" si="2"/>
        <v>220.8</v>
      </c>
      <c r="F54" s="206">
        <f t="shared" si="3"/>
        <v>165.6</v>
      </c>
      <c r="G54" s="206">
        <f t="shared" si="4"/>
        <v>5520</v>
      </c>
      <c r="H54" s="206">
        <f t="shared" si="5"/>
        <v>3543.8399999999997</v>
      </c>
      <c r="I54" s="290"/>
      <c r="J54" s="290"/>
      <c r="K54" s="290"/>
      <c r="L54" s="290"/>
      <c r="M54" s="290"/>
      <c r="N54" s="206">
        <v>9264</v>
      </c>
      <c r="O54" s="206">
        <v>9402</v>
      </c>
      <c r="P54" s="203"/>
      <c r="Q54" s="205"/>
      <c r="R54" s="291">
        <v>40</v>
      </c>
      <c r="S54" s="206">
        <f t="shared" si="7"/>
        <v>5520</v>
      </c>
      <c r="T54" s="286"/>
      <c r="U54" s="286"/>
      <c r="V54" s="286"/>
      <c r="W54" s="286"/>
      <c r="X54" s="286"/>
      <c r="Y54" s="286"/>
      <c r="Z54" s="286"/>
      <c r="AA54" s="286"/>
      <c r="AB54" s="286"/>
      <c r="AC54" s="286"/>
      <c r="AD54" s="286"/>
    </row>
    <row r="55" spans="1:30" ht="35.1" customHeight="1">
      <c r="A55" s="289" t="s">
        <v>669</v>
      </c>
      <c r="B55" s="206">
        <f t="shared" si="0"/>
        <v>1540.8</v>
      </c>
      <c r="C55" s="206"/>
      <c r="D55" s="206">
        <f t="shared" si="1"/>
        <v>100.8</v>
      </c>
      <c r="E55" s="206">
        <f t="shared" si="2"/>
        <v>57.6</v>
      </c>
      <c r="F55" s="206">
        <f t="shared" si="3"/>
        <v>43.199999999999996</v>
      </c>
      <c r="G55" s="206">
        <f t="shared" si="4"/>
        <v>1440</v>
      </c>
      <c r="H55" s="206">
        <f t="shared" si="5"/>
        <v>924.4799999999999</v>
      </c>
      <c r="I55" s="290"/>
      <c r="J55" s="290"/>
      <c r="K55" s="290"/>
      <c r="L55" s="290"/>
      <c r="M55" s="290"/>
      <c r="N55" s="206">
        <v>2045</v>
      </c>
      <c r="O55" s="206">
        <v>2081</v>
      </c>
      <c r="P55" s="203"/>
      <c r="Q55" s="205"/>
      <c r="R55" s="291">
        <v>40</v>
      </c>
      <c r="S55" s="206">
        <f t="shared" si="7"/>
        <v>1440</v>
      </c>
      <c r="T55" s="286"/>
      <c r="U55" s="286"/>
      <c r="V55" s="286"/>
      <c r="W55" s="286"/>
      <c r="X55" s="286"/>
      <c r="Y55" s="286"/>
      <c r="Z55" s="286"/>
      <c r="AA55" s="286"/>
      <c r="AB55" s="286"/>
      <c r="AC55" s="286"/>
      <c r="AD55" s="286"/>
    </row>
    <row r="56" spans="1:30" ht="35.1" customHeight="1">
      <c r="A56" s="289" t="s">
        <v>670</v>
      </c>
      <c r="B56" s="206">
        <f t="shared" si="0"/>
        <v>19131.599999999999</v>
      </c>
      <c r="C56" s="206"/>
      <c r="D56" s="206">
        <f t="shared" si="1"/>
        <v>1251.5999999999999</v>
      </c>
      <c r="E56" s="206">
        <f t="shared" si="2"/>
        <v>715.2</v>
      </c>
      <c r="F56" s="206">
        <f t="shared" si="3"/>
        <v>536.4</v>
      </c>
      <c r="G56" s="206">
        <f t="shared" si="4"/>
        <v>17880</v>
      </c>
      <c r="H56" s="206">
        <f t="shared" si="5"/>
        <v>11478.96</v>
      </c>
      <c r="I56" s="290"/>
      <c r="J56" s="290"/>
      <c r="K56" s="290"/>
      <c r="L56" s="290"/>
      <c r="M56" s="290"/>
      <c r="N56" s="206">
        <v>42067</v>
      </c>
      <c r="O56" s="206">
        <v>42514</v>
      </c>
      <c r="P56" s="203"/>
      <c r="Q56" s="205"/>
      <c r="R56" s="291">
        <v>40</v>
      </c>
      <c r="S56" s="206">
        <f t="shared" si="7"/>
        <v>17880</v>
      </c>
      <c r="T56" s="286"/>
      <c r="U56" s="286"/>
      <c r="V56" s="286"/>
      <c r="W56" s="286"/>
      <c r="X56" s="286"/>
      <c r="Y56" s="286"/>
      <c r="Z56" s="286"/>
      <c r="AA56" s="286"/>
      <c r="AB56" s="286"/>
      <c r="AC56" s="286"/>
      <c r="AD56" s="286"/>
    </row>
    <row r="57" spans="1:30" ht="35.1" customHeight="1">
      <c r="A57" s="289" t="s">
        <v>671</v>
      </c>
      <c r="B57" s="206">
        <f t="shared" si="0"/>
        <v>8774</v>
      </c>
      <c r="C57" s="206"/>
      <c r="D57" s="206">
        <f>E57+F57</f>
        <v>574</v>
      </c>
      <c r="E57" s="206">
        <f>0.04*G57</f>
        <v>328</v>
      </c>
      <c r="F57" s="206">
        <f>0.03*G57</f>
        <v>246</v>
      </c>
      <c r="G57" s="206">
        <f>S57</f>
        <v>8200</v>
      </c>
      <c r="H57" s="206">
        <f t="shared" si="5"/>
        <v>5264.4</v>
      </c>
      <c r="I57" s="290"/>
      <c r="J57" s="290"/>
      <c r="K57" s="290"/>
      <c r="L57" s="290"/>
      <c r="M57" s="290"/>
      <c r="N57" s="206">
        <v>11618</v>
      </c>
      <c r="O57" s="206">
        <v>11823</v>
      </c>
      <c r="P57" s="203"/>
      <c r="Q57" s="205"/>
      <c r="R57" s="291">
        <v>40</v>
      </c>
      <c r="S57" s="206">
        <f t="shared" si="7"/>
        <v>8200</v>
      </c>
      <c r="T57" s="286"/>
      <c r="U57" s="286"/>
      <c r="V57" s="286"/>
      <c r="W57" s="286"/>
      <c r="X57" s="286"/>
      <c r="Y57" s="286"/>
      <c r="Z57" s="286"/>
      <c r="AA57" s="286"/>
      <c r="AB57" s="286"/>
      <c r="AC57" s="286"/>
      <c r="AD57" s="286"/>
    </row>
    <row r="58" spans="1:30" ht="35.1" customHeight="1">
      <c r="A58" s="289" t="s">
        <v>672</v>
      </c>
      <c r="B58" s="206">
        <f t="shared" si="0"/>
        <v>0</v>
      </c>
      <c r="C58" s="206"/>
      <c r="D58" s="206">
        <f>E58+F58</f>
        <v>0</v>
      </c>
      <c r="E58" s="206">
        <f>0.04*G58</f>
        <v>0</v>
      </c>
      <c r="F58" s="206">
        <f>0.03*G58</f>
        <v>0</v>
      </c>
      <c r="G58" s="206">
        <f>S58</f>
        <v>0</v>
      </c>
      <c r="H58" s="206">
        <f t="shared" si="5"/>
        <v>0</v>
      </c>
      <c r="I58" s="290"/>
      <c r="J58" s="290"/>
      <c r="K58" s="290"/>
      <c r="L58" s="290"/>
      <c r="M58" s="290"/>
      <c r="N58" s="487">
        <v>7</v>
      </c>
      <c r="O58" s="487">
        <v>7</v>
      </c>
      <c r="P58" s="203"/>
      <c r="Q58" s="205"/>
      <c r="R58" s="291">
        <v>40</v>
      </c>
      <c r="S58" s="206">
        <f t="shared" si="7"/>
        <v>0</v>
      </c>
      <c r="T58" s="286"/>
      <c r="U58" s="286"/>
      <c r="V58" s="286"/>
      <c r="W58" s="286"/>
      <c r="X58" s="286"/>
      <c r="Y58" s="286"/>
      <c r="Z58" s="286"/>
      <c r="AA58" s="286"/>
      <c r="AB58" s="286"/>
      <c r="AC58" s="286"/>
      <c r="AD58" s="286"/>
    </row>
    <row r="59" spans="1:30" ht="35.1" customHeight="1">
      <c r="A59" s="289" t="s">
        <v>761</v>
      </c>
      <c r="B59" s="487">
        <f t="shared" si="0"/>
        <v>4622.3999999999996</v>
      </c>
      <c r="C59" s="487"/>
      <c r="D59" s="487">
        <f t="shared" ref="D59:D60" si="8">E59+F59</f>
        <v>302.39999999999998</v>
      </c>
      <c r="E59" s="487">
        <f t="shared" ref="E59:E60" si="9">0.04*G59</f>
        <v>172.8</v>
      </c>
      <c r="F59" s="487">
        <f t="shared" ref="F59:F60" si="10">0.03*G59</f>
        <v>129.6</v>
      </c>
      <c r="G59" s="487">
        <f t="shared" ref="G59:G61" si="11">S59</f>
        <v>4320</v>
      </c>
      <c r="H59" s="487">
        <f t="shared" si="5"/>
        <v>2773.4399999999996</v>
      </c>
      <c r="I59" s="290"/>
      <c r="J59" s="290"/>
      <c r="K59" s="290"/>
      <c r="L59" s="290"/>
      <c r="M59" s="290"/>
      <c r="N59" s="487">
        <v>1188</v>
      </c>
      <c r="O59" s="487">
        <v>1296</v>
      </c>
      <c r="P59" s="203"/>
      <c r="Q59" s="489"/>
      <c r="R59" s="490">
        <v>40</v>
      </c>
      <c r="S59" s="487">
        <f t="shared" si="7"/>
        <v>4320</v>
      </c>
      <c r="T59" s="286"/>
      <c r="U59" s="286"/>
      <c r="V59" s="286"/>
      <c r="W59" s="286"/>
      <c r="X59" s="286"/>
      <c r="Y59" s="286"/>
      <c r="Z59" s="286"/>
      <c r="AA59" s="286"/>
      <c r="AB59" s="286"/>
      <c r="AC59" s="286"/>
      <c r="AD59" s="286"/>
    </row>
    <row r="60" spans="1:30" ht="35.1" customHeight="1">
      <c r="A60" s="289" t="s">
        <v>762</v>
      </c>
      <c r="B60" s="206">
        <f t="shared" si="0"/>
        <v>4782.8999999999996</v>
      </c>
      <c r="C60" s="206"/>
      <c r="D60" s="206">
        <f t="shared" si="8"/>
        <v>312.89999999999998</v>
      </c>
      <c r="E60" s="206">
        <f t="shared" si="9"/>
        <v>178.8</v>
      </c>
      <c r="F60" s="206">
        <f t="shared" si="10"/>
        <v>134.1</v>
      </c>
      <c r="G60" s="206">
        <f t="shared" si="11"/>
        <v>4470</v>
      </c>
      <c r="H60" s="206">
        <f t="shared" si="5"/>
        <v>2869.74</v>
      </c>
      <c r="I60" s="491"/>
      <c r="J60" s="491"/>
      <c r="K60" s="491"/>
      <c r="L60" s="491"/>
      <c r="M60" s="491"/>
      <c r="N60" s="206">
        <v>1565</v>
      </c>
      <c r="O60" s="206">
        <v>1714</v>
      </c>
      <c r="P60" s="492"/>
      <c r="Q60" s="205"/>
      <c r="R60" s="291">
        <v>30</v>
      </c>
      <c r="S60" s="206">
        <f t="shared" si="7"/>
        <v>4470</v>
      </c>
      <c r="T60" s="286"/>
      <c r="U60" s="286"/>
      <c r="V60" s="286"/>
      <c r="W60" s="286"/>
      <c r="X60" s="286"/>
      <c r="Y60" s="286"/>
      <c r="Z60" s="286"/>
      <c r="AA60" s="286"/>
      <c r="AB60" s="286"/>
      <c r="AC60" s="286"/>
      <c r="AD60" s="286"/>
    </row>
    <row r="61" spans="1:30" ht="35.1" customHeight="1">
      <c r="A61" s="300" t="s">
        <v>801</v>
      </c>
      <c r="B61" s="124">
        <f>G61</f>
        <v>1785</v>
      </c>
      <c r="C61" s="125"/>
      <c r="D61" s="124">
        <f>E61+F61</f>
        <v>124.95</v>
      </c>
      <c r="E61" s="124">
        <f>0.04*G61</f>
        <v>71.400000000000006</v>
      </c>
      <c r="F61" s="124">
        <f>0.03*G61</f>
        <v>53.55</v>
      </c>
      <c r="G61" s="125">
        <f t="shared" si="11"/>
        <v>1785</v>
      </c>
      <c r="H61" s="345">
        <f>B61*0.4</f>
        <v>714</v>
      </c>
      <c r="I61" s="133"/>
      <c r="J61" s="133"/>
      <c r="K61" s="133"/>
      <c r="L61" s="133"/>
      <c r="M61" s="133"/>
      <c r="N61" s="125">
        <v>5138</v>
      </c>
      <c r="O61" s="125">
        <v>6923</v>
      </c>
      <c r="P61" s="546"/>
      <c r="Q61" s="547"/>
      <c r="R61" s="547">
        <v>1</v>
      </c>
      <c r="S61" s="125">
        <f t="shared" si="7"/>
        <v>1785</v>
      </c>
      <c r="T61" s="286"/>
      <c r="U61" s="286"/>
      <c r="V61" s="286"/>
      <c r="W61" s="286"/>
      <c r="X61" s="286"/>
      <c r="Y61" s="286"/>
      <c r="Z61" s="286"/>
      <c r="AA61" s="286"/>
      <c r="AB61" s="286"/>
      <c r="AC61" s="286"/>
      <c r="AD61" s="286"/>
    </row>
    <row r="62" spans="1:30" ht="35.1" customHeight="1">
      <c r="A62" s="548" t="s">
        <v>673</v>
      </c>
      <c r="B62" s="208">
        <f>SUM(B33:B61)-B44</f>
        <v>156014.79999999999</v>
      </c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6"/>
      <c r="N62" s="488"/>
      <c r="O62" s="488"/>
      <c r="P62" s="286"/>
      <c r="Q62" s="286"/>
      <c r="R62" s="286"/>
      <c r="S62" s="286"/>
      <c r="T62" s="651"/>
      <c r="U62" s="286"/>
      <c r="V62" s="286"/>
      <c r="W62" s="286"/>
      <c r="X62" s="286"/>
      <c r="Y62" s="286"/>
      <c r="Z62" s="286"/>
      <c r="AA62" s="286"/>
      <c r="AB62" s="286"/>
      <c r="AC62" s="286"/>
      <c r="AD62" s="286"/>
    </row>
    <row r="63" spans="1:30" ht="35.1" customHeight="1">
      <c r="A63" s="286"/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6"/>
      <c r="P63" s="286"/>
      <c r="Q63" s="286"/>
      <c r="R63" s="286"/>
      <c r="S63" s="286"/>
      <c r="T63" s="286"/>
      <c r="U63" s="286"/>
      <c r="V63" s="286"/>
      <c r="W63" s="286"/>
      <c r="X63" s="286"/>
      <c r="Y63" s="286"/>
      <c r="Z63" s="286"/>
      <c r="AA63" s="286"/>
      <c r="AB63" s="286"/>
      <c r="AC63" s="286"/>
      <c r="AD63" s="286"/>
    </row>
    <row r="64" spans="1:30" ht="35.1" customHeight="1">
      <c r="A64" s="679" t="s">
        <v>775</v>
      </c>
      <c r="B64" s="124">
        <f>G64</f>
        <v>1141</v>
      </c>
      <c r="C64" s="125"/>
      <c r="D64" s="124">
        <f>E64+F64</f>
        <v>79.87</v>
      </c>
      <c r="E64" s="124">
        <f>0.04*G64</f>
        <v>45.64</v>
      </c>
      <c r="F64" s="124">
        <f>0.03*G64</f>
        <v>34.229999999999997</v>
      </c>
      <c r="G64" s="125">
        <f t="shared" ref="G64" si="12">S64</f>
        <v>1141</v>
      </c>
      <c r="H64" s="345">
        <f>B64*0.4</f>
        <v>456.40000000000003</v>
      </c>
      <c r="I64" s="133"/>
      <c r="J64" s="133"/>
      <c r="K64" s="133"/>
      <c r="L64" s="133"/>
      <c r="M64" s="133"/>
      <c r="N64" s="125">
        <v>20488</v>
      </c>
      <c r="O64" s="125">
        <v>21629</v>
      </c>
      <c r="P64" s="546"/>
      <c r="Q64" s="547"/>
      <c r="R64" s="547">
        <v>1</v>
      </c>
      <c r="S64" s="125">
        <f t="shared" ref="S64" si="13">(O64-N64)*R64</f>
        <v>1141</v>
      </c>
      <c r="T64" s="286"/>
      <c r="U64" s="286"/>
      <c r="V64" s="286"/>
      <c r="W64" s="286"/>
      <c r="X64" s="286"/>
      <c r="Y64" s="286"/>
      <c r="Z64" s="286"/>
      <c r="AA64" s="286"/>
      <c r="AB64" s="286"/>
      <c r="AC64" s="286"/>
      <c r="AD64" s="286"/>
    </row>
    <row r="65" spans="1:30" ht="35.1" customHeight="1">
      <c r="A65" s="298" t="s">
        <v>674</v>
      </c>
      <c r="B65" s="202">
        <f>(G65+D65)</f>
        <v>414234.44999999437</v>
      </c>
      <c r="C65" s="202"/>
      <c r="D65" s="202">
        <f>E65+F65</f>
        <v>27099.449999999633</v>
      </c>
      <c r="E65" s="202">
        <f>0.04*G65</f>
        <v>15485.39999999979</v>
      </c>
      <c r="F65" s="202">
        <f>0.03*G65</f>
        <v>11614.049999999843</v>
      </c>
      <c r="G65" s="202">
        <f>(S65+S66)</f>
        <v>387134.99999999476</v>
      </c>
      <c r="H65" s="202">
        <f>S67</f>
        <v>0</v>
      </c>
      <c r="I65" s="203"/>
      <c r="J65" s="203"/>
      <c r="K65" s="203"/>
      <c r="L65" s="203"/>
      <c r="M65" s="203" t="s">
        <v>675</v>
      </c>
      <c r="N65" s="204">
        <v>78385.070000000007</v>
      </c>
      <c r="O65" s="204">
        <v>79019.149999999994</v>
      </c>
      <c r="P65" s="203"/>
      <c r="Q65" s="205" t="s">
        <v>676</v>
      </c>
      <c r="R65" s="202">
        <v>300</v>
      </c>
      <c r="S65" s="206">
        <f>(O65-N65)*R65</f>
        <v>190223.99999999616</v>
      </c>
      <c r="T65" s="827"/>
      <c r="U65" s="828"/>
      <c r="V65" s="828"/>
      <c r="W65" s="828"/>
      <c r="X65" s="828"/>
      <c r="Y65" s="828"/>
      <c r="Z65" s="828"/>
      <c r="AA65" s="828"/>
      <c r="AB65" s="828"/>
      <c r="AC65" s="828"/>
      <c r="AD65" s="828"/>
    </row>
    <row r="66" spans="1:30" ht="35.1" customHeight="1">
      <c r="A66" s="299" t="s">
        <v>677</v>
      </c>
      <c r="B66" s="202"/>
      <c r="C66" s="202"/>
      <c r="D66" s="208"/>
      <c r="E66" s="202"/>
      <c r="F66" s="202"/>
      <c r="G66" s="202"/>
      <c r="H66" s="202"/>
      <c r="I66" s="203"/>
      <c r="J66" s="203"/>
      <c r="K66" s="203"/>
      <c r="L66" s="203"/>
      <c r="M66" s="203"/>
      <c r="N66" s="204">
        <v>72526.67</v>
      </c>
      <c r="O66" s="204">
        <v>73183.039999999994</v>
      </c>
      <c r="P66" s="203"/>
      <c r="Q66" s="205" t="s">
        <v>676</v>
      </c>
      <c r="R66" s="202">
        <v>300</v>
      </c>
      <c r="S66" s="206">
        <f>(O66-N66)*R66</f>
        <v>196910.9999999986</v>
      </c>
      <c r="T66" s="286"/>
      <c r="U66" s="286"/>
      <c r="V66" s="286"/>
      <c r="W66" s="286"/>
      <c r="X66" s="286"/>
      <c r="Y66" s="286"/>
      <c r="Z66" s="286"/>
      <c r="AA66" s="286"/>
      <c r="AB66" s="286"/>
      <c r="AC66" s="286"/>
      <c r="AD66" s="286"/>
    </row>
    <row r="67" spans="1:30">
      <c r="A67" s="286"/>
      <c r="B67" s="286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6"/>
      <c r="N67" s="286"/>
      <c r="O67" s="286"/>
      <c r="P67" s="286"/>
      <c r="Q67" s="286"/>
      <c r="R67" s="286"/>
      <c r="S67" s="286"/>
      <c r="T67" s="286"/>
      <c r="U67" s="286"/>
      <c r="V67" s="286"/>
      <c r="W67" s="286"/>
      <c r="X67" s="286"/>
      <c r="Y67" s="286"/>
      <c r="Z67" s="286"/>
      <c r="AA67" s="286"/>
      <c r="AB67" s="286"/>
      <c r="AC67" s="286"/>
      <c r="AD67" s="286"/>
    </row>
    <row r="68" spans="1:30">
      <c r="A68" s="286"/>
      <c r="B68" s="286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6"/>
      <c r="N68" s="286"/>
      <c r="O68" s="286"/>
      <c r="P68" s="286"/>
      <c r="Q68" s="286"/>
      <c r="R68" s="286"/>
      <c r="S68" s="286"/>
      <c r="T68" s="286"/>
      <c r="U68" s="286"/>
      <c r="V68" s="286"/>
      <c r="W68" s="286"/>
      <c r="X68" s="286"/>
      <c r="Y68" s="286"/>
      <c r="Z68" s="286"/>
      <c r="AA68" s="286"/>
      <c r="AB68" s="286"/>
      <c r="AC68" s="286"/>
      <c r="AD68" s="286"/>
    </row>
    <row r="69" spans="1:30">
      <c r="A69" s="286" t="s">
        <v>678</v>
      </c>
      <c r="B69" s="300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6"/>
      <c r="P69" s="286"/>
      <c r="Q69" s="286"/>
      <c r="R69" s="286"/>
      <c r="S69" s="286"/>
      <c r="T69" s="286"/>
      <c r="U69" s="286"/>
      <c r="V69" s="286"/>
      <c r="W69" s="286"/>
      <c r="X69" s="286"/>
      <c r="Y69" s="286"/>
      <c r="Z69" s="286"/>
      <c r="AA69" s="286"/>
      <c r="AB69" s="286"/>
      <c r="AC69" s="286"/>
      <c r="AD69" s="286"/>
    </row>
    <row r="70" spans="1:30">
      <c r="A70" s="286"/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6"/>
      <c r="P70" s="286"/>
      <c r="Q70" s="286"/>
      <c r="R70" s="286"/>
      <c r="S70" s="286"/>
      <c r="T70" s="286"/>
      <c r="U70" s="286"/>
      <c r="V70" s="286"/>
      <c r="W70" s="286"/>
      <c r="X70" s="286"/>
      <c r="Y70" s="286"/>
      <c r="Z70" s="286"/>
      <c r="AA70" s="286"/>
      <c r="AB70" s="286"/>
      <c r="AC70" s="286"/>
      <c r="AD70" s="286"/>
    </row>
    <row r="71" spans="1:30">
      <c r="A71" s="286"/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86"/>
      <c r="AB71" s="286"/>
      <c r="AC71" s="286"/>
      <c r="AD71" s="286"/>
    </row>
    <row r="72" spans="1:30">
      <c r="A72" s="286"/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86"/>
      <c r="AB72" s="286"/>
      <c r="AC72" s="286"/>
      <c r="AD72" s="286"/>
    </row>
    <row r="73" spans="1:30">
      <c r="A73" s="301" t="s">
        <v>338</v>
      </c>
      <c r="B73" s="302">
        <f>B65-(B62+B44+B86+'Февраль 2021  '!C328)</f>
        <v>95750.07999999437</v>
      </c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  <c r="N73" s="286"/>
      <c r="O73" s="286"/>
      <c r="P73" s="286"/>
      <c r="Q73" s="286"/>
      <c r="R73" s="286"/>
      <c r="S73" s="286"/>
      <c r="T73" s="286"/>
      <c r="U73" s="286"/>
      <c r="V73" s="286"/>
      <c r="W73" s="286"/>
      <c r="X73" s="286"/>
      <c r="Y73" s="286"/>
      <c r="Z73" s="286"/>
      <c r="AA73" s="286"/>
      <c r="AB73" s="286"/>
      <c r="AC73" s="286"/>
      <c r="AD73" s="286"/>
    </row>
    <row r="74" spans="1:30">
      <c r="A74" s="303"/>
      <c r="B74" s="303"/>
      <c r="C74" s="303"/>
      <c r="D74" s="303"/>
      <c r="E74" s="303"/>
      <c r="F74" s="303"/>
      <c r="G74" s="303"/>
      <c r="H74" s="303"/>
      <c r="I74" s="303"/>
      <c r="J74" s="303"/>
      <c r="K74" s="303"/>
      <c r="L74" s="303"/>
      <c r="M74" s="303"/>
      <c r="N74" s="303"/>
      <c r="O74" s="303"/>
      <c r="P74" s="303"/>
      <c r="Q74" s="303"/>
      <c r="R74" s="303"/>
      <c r="S74" s="303"/>
      <c r="T74" s="303"/>
      <c r="U74" s="303"/>
      <c r="V74" s="286"/>
      <c r="W74" s="286"/>
      <c r="X74" s="286"/>
      <c r="Y74" s="286"/>
      <c r="Z74" s="286"/>
      <c r="AA74" s="286"/>
      <c r="AB74" s="286"/>
      <c r="AC74" s="286"/>
      <c r="AD74" s="286"/>
    </row>
    <row r="75" spans="1:30">
      <c r="A75" s="304"/>
      <c r="B75" s="91">
        <v>500</v>
      </c>
      <c r="C75" s="91"/>
      <c r="D75" s="91"/>
      <c r="E75" s="91"/>
      <c r="F75" s="91"/>
      <c r="G75" s="91"/>
      <c r="H75" s="91"/>
      <c r="I75" s="22"/>
      <c r="J75" s="22"/>
      <c r="K75" s="22"/>
      <c r="L75" s="22"/>
      <c r="M75" s="22"/>
      <c r="N75" s="206"/>
      <c r="O75" s="206"/>
      <c r="P75" s="22"/>
      <c r="Q75" s="142"/>
      <c r="R75" s="151"/>
      <c r="S75" s="91"/>
      <c r="T75" s="305" t="s">
        <v>679</v>
      </c>
      <c r="U75" s="306"/>
      <c r="V75" s="303"/>
      <c r="W75" s="303"/>
      <c r="X75" s="303"/>
      <c r="Y75" s="286"/>
      <c r="Z75" s="286"/>
      <c r="AA75" s="286"/>
      <c r="AB75" s="286"/>
      <c r="AC75" s="286"/>
      <c r="AD75" s="286"/>
    </row>
    <row r="76" spans="1:30">
      <c r="A76" s="304"/>
      <c r="B76" s="91"/>
      <c r="C76" s="91"/>
      <c r="D76" s="91"/>
      <c r="E76" s="91"/>
      <c r="F76" s="91"/>
      <c r="G76" s="91"/>
      <c r="H76" s="91"/>
      <c r="I76" s="22"/>
      <c r="J76" s="22"/>
      <c r="K76" s="22"/>
      <c r="L76" s="22"/>
      <c r="M76" s="22"/>
      <c r="N76" s="206"/>
      <c r="O76" s="206"/>
      <c r="P76" s="22"/>
      <c r="Q76" s="142"/>
      <c r="R76" s="151"/>
      <c r="S76" s="91"/>
      <c r="T76" s="305"/>
      <c r="U76" s="306"/>
      <c r="V76" s="303"/>
      <c r="W76" s="303"/>
      <c r="X76" s="303"/>
      <c r="Y76" s="286"/>
      <c r="Z76" s="286"/>
      <c r="AA76" s="286"/>
      <c r="AB76" s="286"/>
      <c r="AC76" s="286"/>
      <c r="AD76" s="286"/>
    </row>
    <row r="77" spans="1:30">
      <c r="A77" s="304"/>
      <c r="B77" s="124"/>
      <c r="C77" s="125"/>
      <c r="D77" s="124"/>
      <c r="E77" s="124"/>
      <c r="F77" s="124"/>
      <c r="G77" s="125"/>
      <c r="H77" s="345"/>
      <c r="I77" s="133"/>
      <c r="J77" s="133"/>
      <c r="K77" s="133"/>
      <c r="L77" s="133"/>
      <c r="M77" s="133"/>
      <c r="N77" s="125"/>
      <c r="O77" s="125"/>
      <c r="P77" s="544"/>
      <c r="Q77" s="545"/>
      <c r="R77" s="545"/>
      <c r="S77" s="85"/>
      <c r="T77" s="127"/>
      <c r="U77" s="128"/>
      <c r="V77" s="303"/>
      <c r="W77" s="303"/>
      <c r="X77" s="303"/>
      <c r="Y77" s="286"/>
      <c r="Z77" s="286"/>
      <c r="AA77" s="286"/>
      <c r="AB77" s="286"/>
      <c r="AC77" s="286"/>
      <c r="AD77" s="286"/>
    </row>
    <row r="78" spans="1:30">
      <c r="A78" s="304"/>
      <c r="B78" s="124">
        <f>G78</f>
        <v>7952</v>
      </c>
      <c r="C78" s="125"/>
      <c r="D78" s="124">
        <f>E78+F78</f>
        <v>556.64</v>
      </c>
      <c r="E78" s="124">
        <f>0.04*G78</f>
        <v>318.08</v>
      </c>
      <c r="F78" s="124">
        <f>0.03*G78</f>
        <v>238.56</v>
      </c>
      <c r="G78" s="125">
        <f t="shared" ref="G78" si="14">S78</f>
        <v>7952</v>
      </c>
      <c r="H78" s="345">
        <f>B78*0.4</f>
        <v>3180.8</v>
      </c>
      <c r="I78" s="133"/>
      <c r="J78" s="133"/>
      <c r="K78" s="133"/>
      <c r="L78" s="133"/>
      <c r="M78" s="133"/>
      <c r="N78" s="91">
        <v>96112</v>
      </c>
      <c r="O78" s="28">
        <v>104064</v>
      </c>
      <c r="P78" s="105"/>
      <c r="Q78" s="106"/>
      <c r="R78" s="106">
        <v>1</v>
      </c>
      <c r="S78" s="92">
        <f t="shared" ref="S78" si="15">(O78-N78)*R78</f>
        <v>7952</v>
      </c>
      <c r="T78" s="127">
        <v>5732</v>
      </c>
      <c r="U78" s="307" t="s">
        <v>688</v>
      </c>
      <c r="V78" s="303"/>
      <c r="W78" s="303"/>
      <c r="X78" s="303"/>
      <c r="Y78" s="286"/>
      <c r="Z78" s="286"/>
      <c r="AA78" s="286"/>
      <c r="AB78" s="286"/>
      <c r="AC78" s="286"/>
      <c r="AD78" s="286"/>
    </row>
    <row r="79" spans="1:30">
      <c r="A79" s="308"/>
      <c r="B79" s="124">
        <f>G79+D79</f>
        <v>1761.22</v>
      </c>
      <c r="C79" s="124"/>
      <c r="D79" s="124">
        <f t="shared" ref="D79:D85" si="16">E79+F79</f>
        <v>115.22</v>
      </c>
      <c r="E79" s="124">
        <f t="shared" ref="E79:E85" si="17">0.04*G79</f>
        <v>65.84</v>
      </c>
      <c r="F79" s="124">
        <f t="shared" ref="F79:F85" si="18">0.03*G79</f>
        <v>49.379999999999995</v>
      </c>
      <c r="G79" s="124">
        <f>S79</f>
        <v>1646</v>
      </c>
      <c r="H79" s="124">
        <f>0.6*B79</f>
        <v>1056.732</v>
      </c>
      <c r="I79" s="126"/>
      <c r="J79" s="126"/>
      <c r="K79" s="126"/>
      <c r="L79" s="126"/>
      <c r="M79" s="126" t="s">
        <v>146</v>
      </c>
      <c r="N79" s="91">
        <v>36487</v>
      </c>
      <c r="O79" s="28">
        <v>38133</v>
      </c>
      <c r="P79" s="122"/>
      <c r="Q79" s="173"/>
      <c r="R79" s="151">
        <v>1</v>
      </c>
      <c r="S79" s="91">
        <f>(O79-N79)*R79</f>
        <v>1646</v>
      </c>
      <c r="T79" s="95">
        <v>3275</v>
      </c>
      <c r="U79" s="673" t="s">
        <v>680</v>
      </c>
      <c r="V79" s="303"/>
      <c r="W79" s="303"/>
      <c r="X79" s="303"/>
      <c r="Y79" s="286"/>
      <c r="Z79" s="286"/>
      <c r="AA79" s="286"/>
      <c r="AB79" s="286"/>
      <c r="AC79" s="286"/>
      <c r="AD79" s="286"/>
    </row>
    <row r="80" spans="1:30">
      <c r="A80" s="304"/>
      <c r="B80" s="509">
        <f t="shared" ref="B80:B84" si="19">G80+D80</f>
        <v>2077.94</v>
      </c>
      <c r="C80" s="509"/>
      <c r="D80" s="509">
        <f t="shared" si="16"/>
        <v>135.94</v>
      </c>
      <c r="E80" s="509">
        <f t="shared" si="17"/>
        <v>77.680000000000007</v>
      </c>
      <c r="F80" s="509">
        <f t="shared" si="18"/>
        <v>58.26</v>
      </c>
      <c r="G80" s="509">
        <f t="shared" ref="G80:G85" si="20">S80</f>
        <v>1942</v>
      </c>
      <c r="H80" s="509"/>
      <c r="I80" s="126"/>
      <c r="J80" s="126"/>
      <c r="K80" s="126"/>
      <c r="L80" s="126"/>
      <c r="M80" s="126" t="s">
        <v>271</v>
      </c>
      <c r="N80" s="117">
        <v>29100</v>
      </c>
      <c r="O80" s="349">
        <v>31042</v>
      </c>
      <c r="P80" s="149"/>
      <c r="Q80" s="309"/>
      <c r="R80" s="117">
        <v>1</v>
      </c>
      <c r="S80" s="91">
        <f>(O80-N80)*R80</f>
        <v>1942</v>
      </c>
      <c r="T80" s="3"/>
      <c r="U80" s="673" t="s">
        <v>272</v>
      </c>
      <c r="V80" s="303"/>
      <c r="W80" s="303"/>
      <c r="X80" s="303"/>
      <c r="Y80" s="286"/>
      <c r="Z80" s="286"/>
      <c r="AA80" s="286"/>
      <c r="AB80" s="286"/>
      <c r="AC80" s="286"/>
      <c r="AD80" s="286"/>
    </row>
    <row r="81" spans="1:30">
      <c r="A81" s="104"/>
      <c r="B81" s="124"/>
      <c r="C81" s="124"/>
      <c r="D81" s="124"/>
      <c r="E81" s="124"/>
      <c r="F81" s="124"/>
      <c r="G81" s="124"/>
      <c r="H81" s="124"/>
      <c r="I81" s="126"/>
      <c r="J81" s="126"/>
      <c r="K81" s="126"/>
      <c r="L81" s="126"/>
      <c r="M81" s="126"/>
      <c r="N81" s="124"/>
      <c r="O81" s="124"/>
      <c r="P81" s="122"/>
      <c r="Q81" s="310"/>
      <c r="R81" s="151"/>
      <c r="S81" s="91"/>
      <c r="T81" s="305"/>
      <c r="U81" s="306"/>
      <c r="V81" s="303"/>
      <c r="W81" s="303"/>
      <c r="X81" s="303"/>
      <c r="Y81" s="286"/>
      <c r="Z81" s="286"/>
      <c r="AA81" s="286"/>
      <c r="AB81" s="286"/>
      <c r="AC81" s="286"/>
      <c r="AD81" s="286"/>
    </row>
    <row r="82" spans="1:30">
      <c r="A82" s="308"/>
      <c r="B82" s="509">
        <f t="shared" si="19"/>
        <v>223.63</v>
      </c>
      <c r="C82" s="509"/>
      <c r="D82" s="509">
        <f t="shared" si="16"/>
        <v>14.629999999999999</v>
      </c>
      <c r="E82" s="509">
        <f t="shared" si="17"/>
        <v>8.36</v>
      </c>
      <c r="F82" s="509">
        <f t="shared" si="18"/>
        <v>6.27</v>
      </c>
      <c r="G82" s="509">
        <f t="shared" si="20"/>
        <v>209</v>
      </c>
      <c r="H82" s="509"/>
      <c r="I82" s="126"/>
      <c r="J82" s="126"/>
      <c r="K82" s="126"/>
      <c r="L82" s="126"/>
      <c r="M82" s="126" t="s">
        <v>271</v>
      </c>
      <c r="N82" s="117">
        <v>4916</v>
      </c>
      <c r="O82" s="349">
        <v>5125</v>
      </c>
      <c r="P82" s="149"/>
      <c r="Q82" s="309"/>
      <c r="R82" s="117">
        <v>1</v>
      </c>
      <c r="S82" s="117">
        <f>O82-N82</f>
        <v>209</v>
      </c>
      <c r="T82" s="95"/>
      <c r="U82" s="673" t="s">
        <v>309</v>
      </c>
      <c r="V82" s="303"/>
      <c r="W82" s="303"/>
      <c r="X82" s="303"/>
      <c r="Y82" s="286"/>
      <c r="Z82" s="286"/>
      <c r="AA82" s="286"/>
      <c r="AB82" s="286"/>
      <c r="AC82" s="286"/>
      <c r="AD82" s="286"/>
    </row>
    <row r="83" spans="1:30">
      <c r="A83" s="132" t="s">
        <v>209</v>
      </c>
      <c r="B83" s="124">
        <f t="shared" si="19"/>
        <v>1007.94</v>
      </c>
      <c r="C83" s="124"/>
      <c r="D83" s="124">
        <f t="shared" si="16"/>
        <v>65.94</v>
      </c>
      <c r="E83" s="124">
        <f t="shared" si="17"/>
        <v>37.68</v>
      </c>
      <c r="F83" s="124">
        <f t="shared" si="18"/>
        <v>28.259999999999998</v>
      </c>
      <c r="G83" s="124">
        <f>S83</f>
        <v>942</v>
      </c>
      <c r="H83" s="124">
        <f t="shared" ref="H83" si="21">0.6*B83</f>
        <v>604.76400000000001</v>
      </c>
      <c r="I83" s="126"/>
      <c r="J83" s="126"/>
      <c r="K83" s="126"/>
      <c r="L83" s="126"/>
      <c r="M83" s="126"/>
      <c r="N83" s="124">
        <v>24854</v>
      </c>
      <c r="O83" s="84">
        <v>25796</v>
      </c>
      <c r="P83" s="7"/>
      <c r="Q83" s="94"/>
      <c r="R83" s="124">
        <v>1</v>
      </c>
      <c r="S83" s="124">
        <f t="shared" ref="S83" si="22">(O83-N83)*R83</f>
        <v>942</v>
      </c>
      <c r="T83" s="127">
        <v>179316</v>
      </c>
      <c r="U83" s="128" t="s">
        <v>210</v>
      </c>
      <c r="V83" s="303"/>
      <c r="W83" s="303"/>
      <c r="X83" s="303"/>
      <c r="Y83" s="286"/>
      <c r="Z83" s="286"/>
      <c r="AA83" s="286"/>
      <c r="AB83" s="286"/>
      <c r="AC83" s="286"/>
      <c r="AD83" s="286"/>
    </row>
    <row r="84" spans="1:30" ht="27">
      <c r="A84" s="304"/>
      <c r="B84" s="509">
        <f t="shared" si="19"/>
        <v>298.52999999999997</v>
      </c>
      <c r="C84" s="509"/>
      <c r="D84" s="509">
        <f t="shared" si="16"/>
        <v>19.53</v>
      </c>
      <c r="E84" s="509">
        <f t="shared" si="17"/>
        <v>11.16</v>
      </c>
      <c r="F84" s="509">
        <f t="shared" si="18"/>
        <v>8.3699999999999992</v>
      </c>
      <c r="G84" s="509">
        <f t="shared" si="20"/>
        <v>279</v>
      </c>
      <c r="H84" s="509"/>
      <c r="I84" s="126"/>
      <c r="J84" s="126"/>
      <c r="K84" s="126"/>
      <c r="L84" s="126"/>
      <c r="M84" s="126" t="s">
        <v>271</v>
      </c>
      <c r="N84" s="117">
        <v>13007</v>
      </c>
      <c r="O84" s="349">
        <v>13286</v>
      </c>
      <c r="P84" s="149"/>
      <c r="Q84" s="309"/>
      <c r="R84" s="117">
        <v>1</v>
      </c>
      <c r="S84" s="117">
        <f>O84-N84</f>
        <v>279</v>
      </c>
      <c r="T84" s="311">
        <v>6292</v>
      </c>
      <c r="U84" s="673" t="s">
        <v>311</v>
      </c>
      <c r="V84" s="303"/>
      <c r="W84" s="303"/>
      <c r="X84" s="303"/>
      <c r="Y84" s="286"/>
      <c r="Z84" s="286"/>
      <c r="AA84" s="286"/>
      <c r="AB84" s="286"/>
      <c r="AC84" s="286"/>
      <c r="AD84" s="286"/>
    </row>
    <row r="85" spans="1:30">
      <c r="A85" s="312" t="s">
        <v>80</v>
      </c>
      <c r="B85" s="124">
        <f>G85</f>
        <v>6537</v>
      </c>
      <c r="C85" s="125"/>
      <c r="D85" s="124">
        <f t="shared" si="16"/>
        <v>457.59000000000003</v>
      </c>
      <c r="E85" s="124">
        <f t="shared" si="17"/>
        <v>261.48</v>
      </c>
      <c r="F85" s="124">
        <f t="shared" si="18"/>
        <v>196.10999999999999</v>
      </c>
      <c r="G85" s="125">
        <f t="shared" si="20"/>
        <v>6537</v>
      </c>
      <c r="H85" s="345">
        <f>B85*0.4</f>
        <v>2614.8000000000002</v>
      </c>
      <c r="I85" s="133"/>
      <c r="J85" s="133"/>
      <c r="K85" s="133"/>
      <c r="L85" s="133"/>
      <c r="M85" s="133"/>
      <c r="N85" s="92">
        <v>111144</v>
      </c>
      <c r="O85" s="77">
        <v>117681</v>
      </c>
      <c r="P85" s="105"/>
      <c r="Q85" s="106"/>
      <c r="R85" s="106">
        <v>1</v>
      </c>
      <c r="S85" s="92">
        <f>(O85-N85)*R85</f>
        <v>6537</v>
      </c>
      <c r="T85" s="95">
        <v>9148</v>
      </c>
      <c r="U85" s="673" t="s">
        <v>81</v>
      </c>
      <c r="V85" s="286"/>
      <c r="W85" s="286"/>
      <c r="X85" s="286"/>
      <c r="Y85" s="286"/>
      <c r="Z85" s="286"/>
      <c r="AA85" s="286"/>
      <c r="AB85" s="286"/>
      <c r="AC85" s="286"/>
      <c r="AD85" s="286"/>
    </row>
    <row r="86" spans="1:30" ht="24.75" customHeight="1">
      <c r="A86" s="313" t="s">
        <v>681</v>
      </c>
      <c r="B86" s="302">
        <f>SUM(B75:B85)+B64</f>
        <v>21499.260000000002</v>
      </c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06"/>
      <c r="P86" s="286"/>
      <c r="Q86" s="286"/>
      <c r="R86" s="286"/>
      <c r="S86" s="286"/>
      <c r="T86" s="286"/>
      <c r="U86" s="286"/>
      <c r="V86" s="286"/>
      <c r="W86" s="286"/>
      <c r="X86" s="286"/>
      <c r="Y86" s="286"/>
      <c r="Z86" s="286"/>
      <c r="AA86" s="286"/>
      <c r="AB86" s="286"/>
      <c r="AC86" s="286"/>
      <c r="AD86" s="286"/>
    </row>
    <row r="87" spans="1:30">
      <c r="A87" s="286"/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6"/>
      <c r="P87" s="286"/>
      <c r="Q87" s="286"/>
      <c r="R87" s="286"/>
      <c r="S87" s="286"/>
      <c r="T87" s="286"/>
      <c r="U87" s="286"/>
      <c r="V87" s="286"/>
      <c r="W87" s="286"/>
      <c r="X87" s="286"/>
      <c r="Y87" s="286"/>
      <c r="Z87" s="286"/>
      <c r="AA87" s="286"/>
      <c r="AB87" s="286"/>
      <c r="AC87" s="286"/>
      <c r="AD87" s="286"/>
    </row>
  </sheetData>
  <mergeCells count="12">
    <mergeCell ref="A31:A32"/>
    <mergeCell ref="B31:B32"/>
    <mergeCell ref="C31:C32"/>
    <mergeCell ref="D31:F31"/>
    <mergeCell ref="G31:G32"/>
    <mergeCell ref="O31:O32"/>
    <mergeCell ref="R31:R32"/>
    <mergeCell ref="S31:S32"/>
    <mergeCell ref="T65:AD65"/>
    <mergeCell ref="B29:N29"/>
    <mergeCell ref="H31:H32"/>
    <mergeCell ref="N31:N32"/>
  </mergeCells>
  <pageMargins left="0.51181102362204722" right="0.51181102362204722" top="0.55118110236220474" bottom="0.74803149606299213" header="0.31496062992125984" footer="0.31496062992125984"/>
  <pageSetup paperSize="9" scale="2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747"/>
  <sheetViews>
    <sheetView zoomScale="55" zoomScaleNormal="55" workbookViewId="0">
      <pane xSplit="1" ySplit="6" topLeftCell="B309" activePane="bottomRight" state="frozen"/>
      <selection pane="topRight" activeCell="B1" sqref="B1"/>
      <selection pane="bottomLeft" activeCell="A7" sqref="A7"/>
      <selection pane="bottomRight" activeCell="T323" sqref="T323"/>
    </sheetView>
  </sheetViews>
  <sheetFormatPr defaultRowHeight="15"/>
  <cols>
    <col min="1" max="1" width="0.28515625" style="1" customWidth="1"/>
    <col min="2" max="2" width="75.85546875" style="2" customWidth="1"/>
    <col min="3" max="3" width="36.42578125" style="1" customWidth="1"/>
    <col min="4" max="4" width="19.42578125" style="1" customWidth="1"/>
    <col min="5" max="5" width="18.7109375" style="1" customWidth="1"/>
    <col min="6" max="6" width="17.140625" style="1" customWidth="1"/>
    <col min="7" max="7" width="20.28515625" style="1" customWidth="1"/>
    <col min="8" max="8" width="25.42578125" style="1" customWidth="1"/>
    <col min="9" max="9" width="35.5703125" style="1" customWidth="1"/>
    <col min="10" max="10" width="0.140625" style="1" customWidth="1"/>
    <col min="11" max="11" width="34" style="1" hidden="1" customWidth="1"/>
    <col min="12" max="12" width="36.85546875" style="1" hidden="1" customWidth="1"/>
    <col min="13" max="13" width="18.140625" style="1" hidden="1" customWidth="1"/>
    <col min="14" max="14" width="18.42578125" style="1" hidden="1" customWidth="1"/>
    <col min="15" max="15" width="29.28515625" style="1" customWidth="1"/>
    <col min="16" max="16" width="25.5703125" style="1" customWidth="1"/>
    <col min="17" max="17" width="0.140625" style="1" hidden="1" customWidth="1"/>
    <col min="18" max="18" width="45.140625" style="1" hidden="1" customWidth="1"/>
    <col min="19" max="19" width="11.42578125" style="1" customWidth="1"/>
    <col min="20" max="20" width="23.7109375" style="1" customWidth="1"/>
    <col min="21" max="21" width="59.85546875" style="3" customWidth="1"/>
    <col min="22" max="22" width="129.42578125" style="4" customWidth="1"/>
    <col min="23" max="23" width="26" style="1" customWidth="1"/>
    <col min="24" max="24" width="16.7109375" style="1" customWidth="1"/>
    <col min="25" max="25" width="15.42578125" style="1" customWidth="1"/>
    <col min="26" max="26" width="10.5703125" style="1" bestFit="1" customWidth="1"/>
    <col min="27" max="16384" width="9.140625" style="1"/>
  </cols>
  <sheetData>
    <row r="1" spans="1:62" ht="25.5" customHeight="1"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810"/>
      <c r="AR1" s="810"/>
      <c r="AS1" s="810"/>
      <c r="AT1" s="810"/>
      <c r="AU1" s="810"/>
      <c r="AV1" s="810"/>
      <c r="AW1" s="810"/>
      <c r="AX1" s="810"/>
      <c r="AY1" s="810"/>
      <c r="AZ1" s="810"/>
      <c r="BA1" s="810"/>
      <c r="BB1" s="810"/>
      <c r="BC1" s="810"/>
      <c r="BD1" s="810"/>
      <c r="BE1" s="810"/>
      <c r="BF1" s="810"/>
      <c r="BG1" s="810"/>
      <c r="BH1" s="810"/>
      <c r="BI1" s="810"/>
      <c r="BJ1" s="810"/>
    </row>
    <row r="2" spans="1:62" ht="25.5">
      <c r="B2" s="5" t="s">
        <v>0</v>
      </c>
    </row>
    <row r="3" spans="1:62" ht="25.5" customHeight="1">
      <c r="A3" s="811" t="s">
        <v>939</v>
      </c>
      <c r="B3" s="811"/>
      <c r="C3" s="811"/>
      <c r="D3" s="811"/>
      <c r="E3" s="811"/>
      <c r="F3" s="811"/>
      <c r="G3" s="811"/>
      <c r="H3" s="811"/>
      <c r="I3" s="811"/>
      <c r="J3" s="811"/>
      <c r="K3" s="811"/>
      <c r="L3" s="811"/>
      <c r="M3" s="811"/>
      <c r="N3" s="811"/>
      <c r="O3" s="811"/>
      <c r="P3" s="811"/>
      <c r="Q3" s="811"/>
      <c r="R3" s="811"/>
      <c r="S3" s="811"/>
      <c r="T3" s="811"/>
      <c r="U3" s="691"/>
      <c r="V3" s="6"/>
      <c r="W3" s="7"/>
      <c r="X3" s="7"/>
      <c r="Y3" s="7"/>
      <c r="Z3" s="7"/>
      <c r="AA3" s="7"/>
      <c r="AB3" s="7"/>
      <c r="AC3" s="7"/>
    </row>
    <row r="4" spans="1:62" ht="25.5" customHeight="1">
      <c r="A4" s="812"/>
      <c r="B4" s="814" t="s">
        <v>1</v>
      </c>
      <c r="C4" s="816" t="s">
        <v>2</v>
      </c>
      <c r="D4" s="816" t="s">
        <v>3</v>
      </c>
      <c r="E4" s="818" t="s">
        <v>4</v>
      </c>
      <c r="F4" s="819"/>
      <c r="G4" s="820"/>
      <c r="H4" s="816" t="s">
        <v>5</v>
      </c>
      <c r="I4" s="816" t="s">
        <v>6</v>
      </c>
      <c r="J4" s="8"/>
      <c r="K4" s="9"/>
      <c r="L4" s="9"/>
      <c r="M4" s="9"/>
      <c r="N4" s="9"/>
      <c r="O4" s="816" t="s">
        <v>7</v>
      </c>
      <c r="P4" s="816" t="s">
        <v>8</v>
      </c>
      <c r="Q4" s="10"/>
      <c r="R4" s="11"/>
      <c r="S4" s="816" t="s">
        <v>9</v>
      </c>
      <c r="T4" s="816" t="s">
        <v>2</v>
      </c>
      <c r="U4" s="12"/>
      <c r="V4" s="13"/>
      <c r="W4" s="14"/>
      <c r="X4" s="7"/>
      <c r="Y4" s="7"/>
      <c r="Z4" s="7"/>
      <c r="AA4" s="7"/>
      <c r="AB4" s="7"/>
      <c r="AC4" s="7"/>
      <c r="AD4" s="7"/>
    </row>
    <row r="5" spans="1:62" ht="76.5" customHeight="1">
      <c r="A5" s="813"/>
      <c r="B5" s="815"/>
      <c r="C5" s="817"/>
      <c r="D5" s="817"/>
      <c r="E5" s="15" t="s">
        <v>10</v>
      </c>
      <c r="F5" s="15" t="s">
        <v>11</v>
      </c>
      <c r="G5" s="15" t="s">
        <v>12</v>
      </c>
      <c r="H5" s="817"/>
      <c r="I5" s="817"/>
      <c r="J5" s="8"/>
      <c r="K5" s="9"/>
      <c r="L5" s="9"/>
      <c r="M5" s="9"/>
      <c r="N5" s="9"/>
      <c r="O5" s="817"/>
      <c r="P5" s="817"/>
      <c r="Q5" s="10"/>
      <c r="R5" s="16"/>
      <c r="S5" s="817"/>
      <c r="T5" s="817"/>
      <c r="U5" s="17" t="s">
        <v>13</v>
      </c>
      <c r="V5" s="18" t="s">
        <v>14</v>
      </c>
      <c r="W5" s="14"/>
      <c r="X5" s="7"/>
      <c r="Y5" s="7"/>
      <c r="Z5" s="7"/>
      <c r="AA5" s="7"/>
      <c r="AB5" s="7"/>
      <c r="AC5" s="7"/>
    </row>
    <row r="6" spans="1:62" ht="25.5">
      <c r="A6" s="19" t="s">
        <v>15</v>
      </c>
      <c r="B6" s="20">
        <v>2</v>
      </c>
      <c r="C6" s="19">
        <v>3</v>
      </c>
      <c r="D6" s="19">
        <v>4</v>
      </c>
      <c r="E6" s="19">
        <v>5</v>
      </c>
      <c r="F6" s="19">
        <v>6</v>
      </c>
      <c r="G6" s="19">
        <v>7</v>
      </c>
      <c r="H6" s="19">
        <v>8</v>
      </c>
      <c r="I6" s="19">
        <v>9</v>
      </c>
      <c r="J6" s="21"/>
      <c r="K6" s="22"/>
      <c r="L6" s="22"/>
      <c r="M6" s="22"/>
      <c r="N6" s="22"/>
      <c r="O6" s="19">
        <v>10</v>
      </c>
      <c r="P6" s="19">
        <v>11</v>
      </c>
      <c r="Q6" s="7"/>
      <c r="R6" s="23">
        <v>12</v>
      </c>
      <c r="S6" s="19">
        <v>13</v>
      </c>
      <c r="T6" s="19">
        <v>14</v>
      </c>
      <c r="U6" s="24"/>
      <c r="V6" s="25"/>
      <c r="W6" s="14"/>
      <c r="X6" s="7"/>
      <c r="Y6" s="7"/>
      <c r="Z6" s="7"/>
      <c r="AA6" s="7"/>
      <c r="AB6" s="7"/>
      <c r="AC6" s="7"/>
    </row>
    <row r="7" spans="1:62" ht="26.25">
      <c r="A7" s="19"/>
      <c r="B7" s="26" t="s">
        <v>933</v>
      </c>
      <c r="C7" s="19"/>
      <c r="D7" s="694"/>
      <c r="E7" s="19"/>
      <c r="F7" s="19"/>
      <c r="G7" s="19"/>
      <c r="H7" s="19"/>
      <c r="I7" s="19"/>
      <c r="J7" s="21"/>
      <c r="K7" s="22"/>
      <c r="L7" s="22"/>
      <c r="M7" s="22"/>
      <c r="N7" s="22"/>
      <c r="O7" s="19"/>
      <c r="P7" s="19"/>
      <c r="Q7" s="7"/>
      <c r="R7" s="23"/>
      <c r="S7" s="19"/>
      <c r="T7" s="19"/>
      <c r="U7" s="711"/>
      <c r="V7" s="25"/>
      <c r="W7" s="14"/>
      <c r="X7" s="7"/>
      <c r="Y7" s="7"/>
      <c r="Z7" s="7"/>
      <c r="AA7" s="7"/>
      <c r="AB7" s="7"/>
      <c r="AC7" s="7"/>
    </row>
    <row r="8" spans="1:62" ht="25.5">
      <c r="A8" s="19"/>
      <c r="B8" s="148" t="s">
        <v>17</v>
      </c>
      <c r="C8" s="91">
        <f>H8+E8</f>
        <v>4169</v>
      </c>
      <c r="D8" s="91"/>
      <c r="E8" s="91">
        <v>0</v>
      </c>
      <c r="F8" s="91">
        <v>0</v>
      </c>
      <c r="G8" s="91">
        <v>0</v>
      </c>
      <c r="H8" s="91">
        <f>T8+T9</f>
        <v>4169</v>
      </c>
      <c r="I8" s="91">
        <f>0.4*C8</f>
        <v>1667.6000000000001</v>
      </c>
      <c r="J8" s="21"/>
      <c r="K8" s="21"/>
      <c r="L8" s="21"/>
      <c r="M8" s="575"/>
      <c r="N8" s="22"/>
      <c r="O8" s="91">
        <v>601438</v>
      </c>
      <c r="P8" s="91">
        <v>604520</v>
      </c>
      <c r="Q8" s="122"/>
      <c r="R8" s="142"/>
      <c r="S8" s="91">
        <v>1</v>
      </c>
      <c r="T8" s="91">
        <f>(P8-O8)*S8</f>
        <v>3082</v>
      </c>
      <c r="U8" s="644">
        <v>108076</v>
      </c>
      <c r="V8" s="698" t="s">
        <v>18</v>
      </c>
      <c r="W8" s="14" t="s">
        <v>19</v>
      </c>
      <c r="X8" s="7"/>
      <c r="Y8" s="7"/>
      <c r="Z8" s="7"/>
      <c r="AA8" s="7"/>
      <c r="AB8" s="7"/>
      <c r="AC8" s="7"/>
    </row>
    <row r="9" spans="1:62" ht="25.5">
      <c r="A9" s="19"/>
      <c r="B9" s="148"/>
      <c r="C9" s="91"/>
      <c r="D9" s="91"/>
      <c r="E9" s="91"/>
      <c r="F9" s="91"/>
      <c r="G9" s="91"/>
      <c r="H9" s="91"/>
      <c r="I9" s="91"/>
      <c r="J9" s="21"/>
      <c r="K9" s="21"/>
      <c r="L9" s="21"/>
      <c r="M9" s="21"/>
      <c r="N9" s="22"/>
      <c r="O9" s="117">
        <v>275852</v>
      </c>
      <c r="P9" s="117">
        <v>276939</v>
      </c>
      <c r="Q9" s="122"/>
      <c r="R9" s="576"/>
      <c r="S9" s="117">
        <v>1</v>
      </c>
      <c r="T9" s="91">
        <f>(P9-O9)*S9</f>
        <v>1087</v>
      </c>
      <c r="U9" s="644">
        <v>108093</v>
      </c>
      <c r="V9" s="698"/>
      <c r="W9" s="14" t="s">
        <v>19</v>
      </c>
      <c r="X9" s="7"/>
      <c r="Y9" s="7"/>
      <c r="Z9" s="7"/>
      <c r="AA9" s="7"/>
      <c r="AB9" s="7"/>
      <c r="AC9" s="7"/>
    </row>
    <row r="10" spans="1:62" ht="25.5">
      <c r="A10" s="19"/>
      <c r="B10" s="148" t="s">
        <v>20</v>
      </c>
      <c r="C10" s="91">
        <f>H10+E10</f>
        <v>16713.499999999989</v>
      </c>
      <c r="D10" s="91"/>
      <c r="E10" s="91">
        <f>F10+G10</f>
        <v>0</v>
      </c>
      <c r="F10" s="91">
        <v>0</v>
      </c>
      <c r="G10" s="91">
        <v>0</v>
      </c>
      <c r="H10" s="91">
        <f>T10+T11</f>
        <v>16713.499999999989</v>
      </c>
      <c r="I10" s="91">
        <f>0.4*C10</f>
        <v>6685.399999999996</v>
      </c>
      <c r="J10" s="21"/>
      <c r="K10" s="21"/>
      <c r="L10" s="21"/>
      <c r="M10" s="21"/>
      <c r="N10" s="22"/>
      <c r="O10" s="117">
        <v>6852.6</v>
      </c>
      <c r="P10" s="117">
        <v>7624.9</v>
      </c>
      <c r="Q10" s="122"/>
      <c r="R10" s="173"/>
      <c r="S10" s="117">
        <v>15</v>
      </c>
      <c r="T10" s="91">
        <f>(P10-O10)*S10</f>
        <v>11584.499999999989</v>
      </c>
      <c r="U10" s="644">
        <v>798111</v>
      </c>
      <c r="V10" s="698" t="s">
        <v>21</v>
      </c>
      <c r="W10" s="14" t="s">
        <v>22</v>
      </c>
      <c r="X10" s="7"/>
      <c r="Y10" s="7"/>
      <c r="Z10" s="7"/>
      <c r="AA10" s="7"/>
      <c r="AB10" s="7"/>
      <c r="AC10" s="7"/>
    </row>
    <row r="11" spans="1:62" ht="25.5">
      <c r="A11" s="19"/>
      <c r="B11" s="148" t="s">
        <v>23</v>
      </c>
      <c r="C11" s="91"/>
      <c r="D11" s="91"/>
      <c r="E11" s="91"/>
      <c r="F11" s="91"/>
      <c r="G11" s="91"/>
      <c r="H11" s="91"/>
      <c r="I11" s="91"/>
      <c r="J11" s="21"/>
      <c r="K11" s="21"/>
      <c r="L11" s="21"/>
      <c r="M11" s="21"/>
      <c r="N11" s="22"/>
      <c r="O11" s="117">
        <v>57783</v>
      </c>
      <c r="P11" s="117">
        <v>62912</v>
      </c>
      <c r="Q11" s="122"/>
      <c r="R11" s="173"/>
      <c r="S11" s="117">
        <v>1</v>
      </c>
      <c r="T11" s="91">
        <f>(P11-O11)*S11</f>
        <v>5129</v>
      </c>
      <c r="U11" s="644">
        <v>16029</v>
      </c>
      <c r="V11" s="698" t="s">
        <v>24</v>
      </c>
      <c r="W11" s="14" t="s">
        <v>22</v>
      </c>
      <c r="X11" s="7"/>
      <c r="Y11" s="7"/>
      <c r="Z11" s="7"/>
      <c r="AA11" s="7"/>
      <c r="AB11" s="7"/>
      <c r="AC11" s="7"/>
    </row>
    <row r="12" spans="1:62" s="42" customFormat="1" ht="25.5">
      <c r="A12" s="32"/>
      <c r="B12" s="314"/>
      <c r="C12" s="315"/>
      <c r="D12" s="315"/>
      <c r="E12" s="315"/>
      <c r="F12" s="315"/>
      <c r="G12" s="315"/>
      <c r="H12" s="315"/>
      <c r="I12" s="315"/>
      <c r="J12" s="577"/>
      <c r="K12" s="578"/>
      <c r="L12" s="578"/>
      <c r="M12" s="316"/>
      <c r="N12" s="316"/>
      <c r="O12" s="315"/>
      <c r="P12" s="315"/>
      <c r="Q12" s="579"/>
      <c r="R12" s="579"/>
      <c r="S12" s="315"/>
      <c r="T12" s="315"/>
      <c r="U12" s="712"/>
      <c r="V12" s="317"/>
      <c r="W12" s="40"/>
      <c r="X12" s="41"/>
      <c r="Y12" s="41"/>
      <c r="Z12" s="41"/>
      <c r="AA12" s="41"/>
      <c r="AB12" s="41"/>
      <c r="AC12" s="41"/>
    </row>
    <row r="13" spans="1:62" s="42" customFormat="1" ht="25.5" customHeight="1">
      <c r="A13" s="32"/>
      <c r="B13" s="314" t="s">
        <v>25</v>
      </c>
      <c r="C13" s="315">
        <f>(C98-C46-C14-C95-C96)</f>
        <v>21926.04000000003</v>
      </c>
      <c r="D13" s="315"/>
      <c r="E13" s="315"/>
      <c r="F13" s="315"/>
      <c r="G13" s="315"/>
      <c r="H13" s="315"/>
      <c r="I13" s="315"/>
      <c r="J13" s="577"/>
      <c r="K13" s="578"/>
      <c r="L13" s="578"/>
      <c r="M13" s="316"/>
      <c r="N13" s="316"/>
      <c r="O13" s="315"/>
      <c r="P13" s="315"/>
      <c r="Q13" s="579"/>
      <c r="R13" s="579"/>
      <c r="S13" s="315"/>
      <c r="T13" s="315"/>
      <c r="U13" s="713" t="s">
        <v>773</v>
      </c>
      <c r="V13" s="317"/>
      <c r="W13" s="40"/>
      <c r="X13" s="45"/>
      <c r="Y13" s="45"/>
      <c r="Z13" s="45"/>
      <c r="AA13" s="45"/>
      <c r="AB13" s="45"/>
      <c r="AC13" s="41"/>
    </row>
    <row r="14" spans="1:62" ht="25.5">
      <c r="A14" s="19"/>
      <c r="B14" s="580" t="s">
        <v>791</v>
      </c>
      <c r="C14" s="91">
        <f>H14</f>
        <v>6104.0000000000055</v>
      </c>
      <c r="D14" s="91"/>
      <c r="E14" s="91">
        <v>0</v>
      </c>
      <c r="F14" s="91">
        <v>0</v>
      </c>
      <c r="G14" s="91">
        <v>0</v>
      </c>
      <c r="H14" s="91">
        <f>T14</f>
        <v>6104.0000000000055</v>
      </c>
      <c r="I14" s="91">
        <f>0.4*C14</f>
        <v>2441.6000000000022</v>
      </c>
      <c r="J14" s="98" t="s">
        <v>15</v>
      </c>
      <c r="K14" s="98"/>
      <c r="L14" s="98"/>
      <c r="M14" s="22"/>
      <c r="N14" s="22"/>
      <c r="O14" s="91">
        <v>3559.7</v>
      </c>
      <c r="P14" s="91">
        <v>3864.9</v>
      </c>
      <c r="Q14" s="142" t="s">
        <v>26</v>
      </c>
      <c r="R14" s="142"/>
      <c r="S14" s="91">
        <v>20</v>
      </c>
      <c r="T14" s="91">
        <f>(P14-O14)*S14</f>
        <v>6104.0000000000055</v>
      </c>
      <c r="U14" s="644">
        <v>182341</v>
      </c>
      <c r="V14" s="698" t="s">
        <v>27</v>
      </c>
      <c r="W14" s="47" t="s">
        <v>27</v>
      </c>
      <c r="X14" s="48"/>
      <c r="Y14" s="48"/>
      <c r="Z14" s="48"/>
      <c r="AA14" s="48"/>
      <c r="AB14" s="48"/>
      <c r="AC14" s="7"/>
    </row>
    <row r="15" spans="1:62" s="42" customFormat="1" ht="28.5" customHeight="1">
      <c r="A15" s="32"/>
      <c r="B15" s="580" t="s">
        <v>921</v>
      </c>
      <c r="C15" s="315">
        <f t="shared" ref="C15" si="0">H15+E15</f>
        <v>528</v>
      </c>
      <c r="D15" s="315"/>
      <c r="E15" s="315"/>
      <c r="F15" s="315"/>
      <c r="G15" s="315"/>
      <c r="H15" s="315">
        <f>T15</f>
        <v>528</v>
      </c>
      <c r="I15" s="315">
        <f>0.2*C15</f>
        <v>105.60000000000001</v>
      </c>
      <c r="J15" s="578"/>
      <c r="K15" s="578"/>
      <c r="L15" s="578"/>
      <c r="M15" s="316"/>
      <c r="N15" s="316"/>
      <c r="O15" s="315">
        <v>654</v>
      </c>
      <c r="P15" s="315">
        <v>1182</v>
      </c>
      <c r="Q15" s="318" t="s">
        <v>33</v>
      </c>
      <c r="R15" s="318"/>
      <c r="S15" s="315">
        <v>1</v>
      </c>
      <c r="T15" s="315">
        <f>P15-O15</f>
        <v>528</v>
      </c>
      <c r="U15" s="712">
        <v>1152</v>
      </c>
      <c r="V15" s="580" t="s">
        <v>921</v>
      </c>
      <c r="W15" s="40"/>
      <c r="X15" s="45"/>
      <c r="Y15" s="45"/>
      <c r="Z15" s="45"/>
      <c r="AA15" s="45"/>
      <c r="AB15" s="45"/>
      <c r="AC15" s="41"/>
    </row>
    <row r="16" spans="1:62" ht="33" customHeight="1">
      <c r="A16" s="19"/>
      <c r="B16" s="148" t="s">
        <v>792</v>
      </c>
      <c r="C16" s="91">
        <f>H16</f>
        <v>1445</v>
      </c>
      <c r="D16" s="91"/>
      <c r="E16" s="91">
        <f>F16+G16</f>
        <v>101.15</v>
      </c>
      <c r="F16" s="91">
        <f>0.04*H16</f>
        <v>57.800000000000004</v>
      </c>
      <c r="G16" s="91">
        <f>0.03*H16</f>
        <v>43.35</v>
      </c>
      <c r="H16" s="91">
        <f>T16</f>
        <v>1445</v>
      </c>
      <c r="I16" s="91">
        <f>0.6*C16</f>
        <v>867</v>
      </c>
      <c r="J16" s="22"/>
      <c r="K16" s="22"/>
      <c r="L16" s="22"/>
      <c r="M16" s="22"/>
      <c r="N16" s="22"/>
      <c r="O16" s="91">
        <v>52050</v>
      </c>
      <c r="P16" s="91">
        <v>53495</v>
      </c>
      <c r="Q16" s="122"/>
      <c r="R16" s="310"/>
      <c r="S16" s="151">
        <v>1</v>
      </c>
      <c r="T16" s="91">
        <f>(P16-O16)*S16</f>
        <v>1445</v>
      </c>
      <c r="U16" s="644">
        <v>84036</v>
      </c>
      <c r="V16" s="698" t="s">
        <v>30</v>
      </c>
      <c r="W16" s="14" t="s">
        <v>31</v>
      </c>
      <c r="X16" s="48"/>
      <c r="Y16" s="48"/>
      <c r="Z16" s="48"/>
      <c r="AA16" s="48"/>
      <c r="AB16" s="48"/>
      <c r="AC16" s="7"/>
    </row>
    <row r="17" spans="1:29" ht="30" customHeight="1">
      <c r="A17" s="19"/>
      <c r="B17" s="314" t="s">
        <v>32</v>
      </c>
      <c r="C17" s="315">
        <f t="shared" ref="C17:C22" si="1">H17+E17</f>
        <v>14468</v>
      </c>
      <c r="D17" s="315"/>
      <c r="E17" s="315"/>
      <c r="F17" s="315"/>
      <c r="G17" s="315"/>
      <c r="H17" s="315">
        <f>T17</f>
        <v>14468</v>
      </c>
      <c r="I17" s="315">
        <f>0.2*C17</f>
        <v>2893.6000000000004</v>
      </c>
      <c r="J17" s="578"/>
      <c r="K17" s="578"/>
      <c r="L17" s="578"/>
      <c r="M17" s="316"/>
      <c r="N17" s="316"/>
      <c r="O17" s="315">
        <v>599043</v>
      </c>
      <c r="P17" s="315">
        <v>613511</v>
      </c>
      <c r="Q17" s="318" t="s">
        <v>33</v>
      </c>
      <c r="R17" s="318"/>
      <c r="S17" s="315">
        <v>1</v>
      </c>
      <c r="T17" s="315">
        <f>P17-O17</f>
        <v>14468</v>
      </c>
      <c r="U17" s="712">
        <v>2648</v>
      </c>
      <c r="V17" s="317" t="s">
        <v>34</v>
      </c>
      <c r="W17" s="14" t="s">
        <v>35</v>
      </c>
      <c r="X17" s="48"/>
      <c r="Y17" s="48"/>
      <c r="Z17" s="48"/>
      <c r="AA17" s="48"/>
      <c r="AB17" s="48"/>
      <c r="AC17" s="7"/>
    </row>
    <row r="18" spans="1:29" ht="28.5" customHeight="1">
      <c r="A18" s="19"/>
      <c r="B18" s="148" t="s">
        <v>36</v>
      </c>
      <c r="C18" s="91">
        <f t="shared" si="1"/>
        <v>914.25999999999931</v>
      </c>
      <c r="D18" s="91"/>
      <c r="E18" s="91">
        <f>F18+G18</f>
        <v>0</v>
      </c>
      <c r="F18" s="91">
        <v>0</v>
      </c>
      <c r="G18" s="91">
        <v>0</v>
      </c>
      <c r="H18" s="91">
        <f>T18</f>
        <v>914.25999999999931</v>
      </c>
      <c r="I18" s="91">
        <f>T20</f>
        <v>0</v>
      </c>
      <c r="J18" s="22"/>
      <c r="K18" s="98"/>
      <c r="L18" s="98"/>
      <c r="M18" s="22"/>
      <c r="N18" s="22"/>
      <c r="O18" s="250">
        <v>891.91899999999998</v>
      </c>
      <c r="P18" s="250">
        <v>914.77549999999997</v>
      </c>
      <c r="Q18" s="142" t="s">
        <v>37</v>
      </c>
      <c r="R18" s="142"/>
      <c r="S18" s="91">
        <v>40</v>
      </c>
      <c r="T18" s="91">
        <f>(P18-O18)*S18</f>
        <v>914.25999999999931</v>
      </c>
      <c r="U18" s="644">
        <v>28377662</v>
      </c>
      <c r="V18" s="698" t="s">
        <v>38</v>
      </c>
      <c r="W18" s="14"/>
      <c r="X18" s="48"/>
      <c r="Y18" s="48"/>
      <c r="Z18" s="48"/>
      <c r="AA18" s="48"/>
      <c r="AB18" s="48"/>
      <c r="AC18" s="7"/>
    </row>
    <row r="19" spans="1:29" ht="28.5" customHeight="1">
      <c r="A19" s="19"/>
      <c r="B19" s="63" t="s">
        <v>36</v>
      </c>
      <c r="C19" s="49">
        <f t="shared" si="1"/>
        <v>0</v>
      </c>
      <c r="D19" s="49"/>
      <c r="E19" s="49">
        <f>F19+G19</f>
        <v>0</v>
      </c>
      <c r="F19" s="49"/>
      <c r="G19" s="49"/>
      <c r="H19" s="49"/>
      <c r="I19" s="49"/>
      <c r="J19" s="51"/>
      <c r="K19" s="50"/>
      <c r="L19" s="50"/>
      <c r="M19" s="51"/>
      <c r="N19" s="51"/>
      <c r="O19" s="49">
        <v>0.95</v>
      </c>
      <c r="P19" s="49">
        <v>0.95</v>
      </c>
      <c r="Q19" s="52"/>
      <c r="R19" s="52"/>
      <c r="S19" s="49">
        <v>40</v>
      </c>
      <c r="T19" s="49">
        <f>(P19-O19)*S19</f>
        <v>0</v>
      </c>
      <c r="U19" s="714">
        <v>28392412</v>
      </c>
      <c r="V19" s="64" t="s">
        <v>39</v>
      </c>
      <c r="W19" s="14"/>
      <c r="X19" s="48"/>
      <c r="Y19" s="48"/>
      <c r="Z19" s="48"/>
      <c r="AA19" s="48"/>
      <c r="AB19" s="48"/>
      <c r="AC19" s="7"/>
    </row>
    <row r="20" spans="1:29" ht="31.5" customHeight="1">
      <c r="A20" s="19"/>
      <c r="B20" s="148" t="s">
        <v>40</v>
      </c>
      <c r="C20" s="91">
        <f t="shared" si="1"/>
        <v>0</v>
      </c>
      <c r="D20" s="91"/>
      <c r="E20" s="91">
        <f>F20+G20</f>
        <v>0</v>
      </c>
      <c r="F20" s="91">
        <f>0.04*H20</f>
        <v>0</v>
      </c>
      <c r="G20" s="91">
        <f>0.03*H20</f>
        <v>0</v>
      </c>
      <c r="H20" s="91">
        <f>T20</f>
        <v>0</v>
      </c>
      <c r="I20" s="91">
        <f>0.6*C20</f>
        <v>0</v>
      </c>
      <c r="J20" s="22"/>
      <c r="K20" s="22"/>
      <c r="L20" s="22"/>
      <c r="M20" s="22"/>
      <c r="N20" s="22"/>
      <c r="O20" s="91">
        <f>13159+2088+1399</f>
        <v>16646</v>
      </c>
      <c r="P20" s="91">
        <f>13159+2088+1399</f>
        <v>16646</v>
      </c>
      <c r="Q20" s="122"/>
      <c r="R20" s="310"/>
      <c r="S20" s="151">
        <v>1</v>
      </c>
      <c r="T20" s="91">
        <f>(P20-O20)*S20</f>
        <v>0</v>
      </c>
      <c r="U20" s="644" t="s">
        <v>41</v>
      </c>
      <c r="V20" s="698" t="s">
        <v>42</v>
      </c>
      <c r="W20" s="14" t="s">
        <v>43</v>
      </c>
      <c r="X20" s="48"/>
      <c r="Y20" s="48"/>
      <c r="Z20" s="48"/>
      <c r="AA20" s="48"/>
      <c r="AB20" s="48"/>
      <c r="AC20" s="7"/>
    </row>
    <row r="21" spans="1:29" ht="31.5" customHeight="1">
      <c r="A21" s="19"/>
      <c r="B21" s="148" t="s">
        <v>44</v>
      </c>
      <c r="C21" s="91">
        <f t="shared" si="1"/>
        <v>18492.000000000007</v>
      </c>
      <c r="D21" s="91"/>
      <c r="E21" s="91">
        <v>0</v>
      </c>
      <c r="F21" s="91">
        <v>0</v>
      </c>
      <c r="G21" s="91">
        <v>0</v>
      </c>
      <c r="H21" s="91">
        <f>T21</f>
        <v>18492.000000000007</v>
      </c>
      <c r="I21" s="91">
        <f t="shared" ref="I21:I28" si="2">0.4*C21</f>
        <v>7396.8000000000029</v>
      </c>
      <c r="J21" s="22"/>
      <c r="K21" s="98"/>
      <c r="L21" s="98"/>
      <c r="M21" s="22"/>
      <c r="N21" s="22"/>
      <c r="O21" s="91">
        <v>3598</v>
      </c>
      <c r="P21" s="91">
        <v>4522.6000000000004</v>
      </c>
      <c r="Q21" s="161"/>
      <c r="R21" s="161"/>
      <c r="S21" s="91">
        <v>20</v>
      </c>
      <c r="T21" s="91">
        <f>(P21-O21)*S21</f>
        <v>18492.000000000007</v>
      </c>
      <c r="U21" s="644">
        <v>88154</v>
      </c>
      <c r="V21" s="698" t="s">
        <v>45</v>
      </c>
      <c r="W21" s="14" t="s">
        <v>31</v>
      </c>
      <c r="X21" s="48"/>
      <c r="Y21" s="48"/>
      <c r="Z21" s="48"/>
      <c r="AA21" s="48"/>
      <c r="AB21" s="48"/>
      <c r="AC21" s="7"/>
    </row>
    <row r="22" spans="1:29" s="42" customFormat="1" ht="24" customHeight="1">
      <c r="A22" s="32"/>
      <c r="B22" s="104" t="s">
        <v>46</v>
      </c>
      <c r="C22" s="91">
        <f t="shared" si="1"/>
        <v>164.78</v>
      </c>
      <c r="D22" s="91"/>
      <c r="E22" s="91">
        <f>F22+G22</f>
        <v>10.780000000000001</v>
      </c>
      <c r="F22" s="91">
        <f>0.04*H22</f>
        <v>6.16</v>
      </c>
      <c r="G22" s="91">
        <f>0.03*H22</f>
        <v>4.62</v>
      </c>
      <c r="H22" s="91">
        <f>T22</f>
        <v>154</v>
      </c>
      <c r="I22" s="91">
        <f>0.6*C22</f>
        <v>98.867999999999995</v>
      </c>
      <c r="J22" s="22"/>
      <c r="K22" s="22"/>
      <c r="L22" s="22"/>
      <c r="M22" s="22"/>
      <c r="N22" s="22"/>
      <c r="O22" s="91">
        <v>26675</v>
      </c>
      <c r="P22" s="91">
        <v>26829</v>
      </c>
      <c r="Q22" s="122"/>
      <c r="R22" s="310"/>
      <c r="S22" s="151">
        <v>1</v>
      </c>
      <c r="T22" s="91">
        <f>(P22-O22)*S22</f>
        <v>154</v>
      </c>
      <c r="U22" s="644">
        <v>7862</v>
      </c>
      <c r="V22" s="698" t="s">
        <v>47</v>
      </c>
      <c r="W22" s="40" t="s">
        <v>48</v>
      </c>
      <c r="X22" s="45"/>
      <c r="Y22" s="45"/>
      <c r="Z22" s="45"/>
      <c r="AA22" s="45"/>
      <c r="AB22" s="45"/>
      <c r="AC22" s="41"/>
    </row>
    <row r="23" spans="1:29" s="42" customFormat="1" ht="24.75" customHeight="1">
      <c r="A23" s="32"/>
      <c r="B23" s="314"/>
      <c r="C23" s="581"/>
      <c r="D23" s="315"/>
      <c r="E23" s="315"/>
      <c r="F23" s="315"/>
      <c r="G23" s="315"/>
      <c r="H23" s="315"/>
      <c r="I23" s="581"/>
      <c r="J23" s="578"/>
      <c r="K23" s="578"/>
      <c r="L23" s="578"/>
      <c r="M23" s="316"/>
      <c r="N23" s="316"/>
      <c r="O23" s="315"/>
      <c r="P23" s="315"/>
      <c r="Q23" s="582"/>
      <c r="R23" s="582"/>
      <c r="S23" s="315"/>
      <c r="T23" s="315"/>
      <c r="U23" s="712"/>
      <c r="V23" s="317" t="s">
        <v>15</v>
      </c>
      <c r="W23" s="40"/>
      <c r="X23" s="41"/>
      <c r="Y23" s="41"/>
      <c r="Z23" s="41"/>
      <c r="AA23" s="41"/>
      <c r="AB23" s="41"/>
      <c r="AC23" s="41"/>
    </row>
    <row r="24" spans="1:29" s="42" customFormat="1" ht="26.25" customHeight="1">
      <c r="A24" s="32"/>
      <c r="B24" s="314"/>
      <c r="C24" s="581"/>
      <c r="D24" s="315"/>
      <c r="E24" s="315"/>
      <c r="F24" s="315"/>
      <c r="G24" s="315"/>
      <c r="H24" s="315"/>
      <c r="I24" s="581"/>
      <c r="J24" s="578"/>
      <c r="K24" s="578"/>
      <c r="L24" s="578"/>
      <c r="M24" s="316"/>
      <c r="N24" s="316"/>
      <c r="O24" s="315"/>
      <c r="P24" s="315"/>
      <c r="Q24" s="582"/>
      <c r="R24" s="582"/>
      <c r="S24" s="315"/>
      <c r="T24" s="315"/>
      <c r="U24" s="712"/>
      <c r="V24" s="317"/>
      <c r="W24" s="40"/>
      <c r="X24" s="41"/>
      <c r="Y24" s="41"/>
      <c r="Z24" s="41"/>
      <c r="AA24" s="41"/>
      <c r="AB24" s="41"/>
      <c r="AC24" s="41"/>
    </row>
    <row r="25" spans="1:29" ht="25.5">
      <c r="A25" s="19"/>
      <c r="B25" s="148" t="s">
        <v>49</v>
      </c>
      <c r="C25" s="91">
        <f t="shared" ref="C25:C30" si="3">H25+E25</f>
        <v>20879.999999999563</v>
      </c>
      <c r="D25" s="91"/>
      <c r="E25" s="91">
        <v>0</v>
      </c>
      <c r="F25" s="91">
        <v>0</v>
      </c>
      <c r="G25" s="91">
        <v>0</v>
      </c>
      <c r="H25" s="91">
        <f>T25</f>
        <v>20879.999999999563</v>
      </c>
      <c r="I25" s="91">
        <f t="shared" si="2"/>
        <v>8351.9999999998254</v>
      </c>
      <c r="J25" s="98"/>
      <c r="K25" s="98"/>
      <c r="L25" s="98"/>
      <c r="M25" s="22"/>
      <c r="N25" s="22"/>
      <c r="O25" s="91">
        <v>47503.8</v>
      </c>
      <c r="P25" s="91">
        <v>47573.4</v>
      </c>
      <c r="Q25" s="142" t="s">
        <v>50</v>
      </c>
      <c r="R25" s="142"/>
      <c r="S25" s="91">
        <v>300</v>
      </c>
      <c r="T25" s="91">
        <f>(P25-O25)*S25</f>
        <v>20879.999999999563</v>
      </c>
      <c r="U25" s="644" t="s">
        <v>51</v>
      </c>
      <c r="V25" s="698" t="s">
        <v>52</v>
      </c>
      <c r="W25" s="14" t="s">
        <v>53</v>
      </c>
      <c r="X25" s="7"/>
      <c r="Y25" s="7"/>
      <c r="Z25" s="7"/>
      <c r="AA25" s="7"/>
      <c r="AB25" s="7"/>
      <c r="AC25" s="7"/>
    </row>
    <row r="26" spans="1:29" s="42" customFormat="1" ht="24" customHeight="1">
      <c r="A26" s="32"/>
      <c r="B26" s="314"/>
      <c r="C26" s="315"/>
      <c r="D26" s="315"/>
      <c r="E26" s="315"/>
      <c r="F26" s="315"/>
      <c r="G26" s="315"/>
      <c r="H26" s="315"/>
      <c r="I26" s="315"/>
      <c r="J26" s="578"/>
      <c r="K26" s="578"/>
      <c r="L26" s="578"/>
      <c r="M26" s="316"/>
      <c r="N26" s="316"/>
      <c r="O26" s="584"/>
      <c r="P26" s="584"/>
      <c r="Q26" s="344"/>
      <c r="R26" s="579"/>
      <c r="S26" s="584"/>
      <c r="T26" s="584"/>
      <c r="U26" s="712"/>
      <c r="V26" s="317"/>
      <c r="W26" s="40"/>
      <c r="X26" s="41"/>
      <c r="Y26" s="41"/>
      <c r="Z26" s="41"/>
      <c r="AA26" s="41"/>
      <c r="AB26" s="41"/>
      <c r="AC26" s="41"/>
    </row>
    <row r="27" spans="1:29" s="68" customFormat="1" ht="55.5" customHeight="1">
      <c r="A27" s="65"/>
      <c r="B27" s="314" t="s">
        <v>54</v>
      </c>
      <c r="C27" s="91">
        <f t="shared" si="3"/>
        <v>9036.0000000000218</v>
      </c>
      <c r="D27" s="91"/>
      <c r="E27" s="91">
        <v>0</v>
      </c>
      <c r="F27" s="91">
        <v>0</v>
      </c>
      <c r="G27" s="91">
        <v>0</v>
      </c>
      <c r="H27" s="91">
        <f t="shared" ref="H27:H33" si="4">T27</f>
        <v>9036.0000000000218</v>
      </c>
      <c r="I27" s="91">
        <f t="shared" si="2"/>
        <v>3614.4000000000087</v>
      </c>
      <c r="J27" s="98"/>
      <c r="K27" s="98"/>
      <c r="L27" s="98"/>
      <c r="M27" s="22"/>
      <c r="N27" s="22"/>
      <c r="O27" s="91">
        <v>3318.2</v>
      </c>
      <c r="P27" s="91">
        <v>3393.5</v>
      </c>
      <c r="Q27" s="122"/>
      <c r="R27" s="585"/>
      <c r="S27" s="91">
        <v>120</v>
      </c>
      <c r="T27" s="91">
        <f>(P27-O27)*S27</f>
        <v>9036.0000000000218</v>
      </c>
      <c r="U27" s="715">
        <v>470</v>
      </c>
      <c r="V27" s="698" t="s">
        <v>52</v>
      </c>
      <c r="W27" s="66" t="s">
        <v>48</v>
      </c>
      <c r="X27" s="67"/>
      <c r="Y27" s="67"/>
      <c r="Z27" s="67"/>
      <c r="AA27" s="67"/>
      <c r="AB27" s="67"/>
      <c r="AC27" s="67"/>
    </row>
    <row r="28" spans="1:29" ht="50.25" customHeight="1">
      <c r="A28" s="19"/>
      <c r="B28" s="580" t="s">
        <v>55</v>
      </c>
      <c r="C28" s="91">
        <f t="shared" si="3"/>
        <v>1391.999999999869</v>
      </c>
      <c r="D28" s="91"/>
      <c r="E28" s="91">
        <v>0</v>
      </c>
      <c r="F28" s="91">
        <v>0</v>
      </c>
      <c r="G28" s="91">
        <v>0</v>
      </c>
      <c r="H28" s="91">
        <f t="shared" si="4"/>
        <v>1391.999999999869</v>
      </c>
      <c r="I28" s="91">
        <f t="shared" si="2"/>
        <v>556.79999999994766</v>
      </c>
      <c r="J28" s="98"/>
      <c r="K28" s="98"/>
      <c r="L28" s="98"/>
      <c r="M28" s="22"/>
      <c r="N28" s="22"/>
      <c r="O28" s="91">
        <v>14965.5</v>
      </c>
      <c r="P28" s="91">
        <v>15098.4</v>
      </c>
      <c r="Q28" s="122"/>
      <c r="R28" s="585"/>
      <c r="S28" s="91">
        <v>300</v>
      </c>
      <c r="T28" s="91">
        <f>(P28-O28)*S28-T32-T27</f>
        <v>1391.999999999869</v>
      </c>
      <c r="U28" s="644" t="s">
        <v>56</v>
      </c>
      <c r="V28" s="698" t="s">
        <v>52</v>
      </c>
      <c r="W28" s="14" t="s">
        <v>57</v>
      </c>
      <c r="X28" s="7"/>
      <c r="Y28" s="7"/>
      <c r="Z28" s="7"/>
      <c r="AA28" s="7"/>
      <c r="AB28" s="7"/>
      <c r="AC28" s="7"/>
    </row>
    <row r="29" spans="1:29" s="42" customFormat="1" ht="24" customHeight="1">
      <c r="A29" s="32"/>
      <c r="B29" s="523" t="s">
        <v>58</v>
      </c>
      <c r="C29" s="524">
        <f t="shared" si="3"/>
        <v>0</v>
      </c>
      <c r="D29" s="524"/>
      <c r="E29" s="524">
        <v>0</v>
      </c>
      <c r="F29" s="524">
        <v>0</v>
      </c>
      <c r="G29" s="524">
        <v>0</v>
      </c>
      <c r="H29" s="524">
        <f t="shared" si="4"/>
        <v>0</v>
      </c>
      <c r="I29" s="524">
        <f>0.4*C29</f>
        <v>0</v>
      </c>
      <c r="J29" s="525"/>
      <c r="K29" s="525"/>
      <c r="L29" s="525"/>
      <c r="M29" s="526"/>
      <c r="N29" s="526"/>
      <c r="O29" s="524">
        <v>2357</v>
      </c>
      <c r="P29" s="524">
        <v>2357</v>
      </c>
      <c r="Q29" s="527"/>
      <c r="R29" s="528"/>
      <c r="S29" s="524">
        <v>300</v>
      </c>
      <c r="T29" s="524">
        <f>(P29-O29)*S29</f>
        <v>0</v>
      </c>
      <c r="U29" s="716" t="s">
        <v>59</v>
      </c>
      <c r="V29" s="530" t="s">
        <v>52</v>
      </c>
      <c r="W29" s="40"/>
      <c r="X29" s="41"/>
      <c r="Y29" s="41"/>
      <c r="Z29" s="41"/>
      <c r="AA29" s="41"/>
      <c r="AB29" s="41"/>
      <c r="AC29" s="41"/>
    </row>
    <row r="30" spans="1:29" ht="30" customHeight="1">
      <c r="A30" s="19"/>
      <c r="B30" s="148" t="s">
        <v>793</v>
      </c>
      <c r="C30" s="91">
        <f t="shared" si="3"/>
        <v>25574.840400000063</v>
      </c>
      <c r="D30" s="91"/>
      <c r="E30" s="91">
        <f>F30+G30</f>
        <v>1673.1204000000041</v>
      </c>
      <c r="F30" s="91">
        <f>0.04*H30</f>
        <v>956.0688000000024</v>
      </c>
      <c r="G30" s="91">
        <f>0.03*H30</f>
        <v>717.05160000000171</v>
      </c>
      <c r="H30" s="91">
        <f t="shared" si="4"/>
        <v>23901.720000000059</v>
      </c>
      <c r="I30" s="91">
        <f>T31</f>
        <v>61823.999999999942</v>
      </c>
      <c r="J30" s="98"/>
      <c r="K30" s="98"/>
      <c r="L30" s="98"/>
      <c r="M30" s="22"/>
      <c r="N30" s="22"/>
      <c r="O30" s="91">
        <v>41232.830999999998</v>
      </c>
      <c r="P30" s="91">
        <v>41631.192999999999</v>
      </c>
      <c r="Q30" s="122"/>
      <c r="R30" s="200"/>
      <c r="S30" s="91">
        <v>60</v>
      </c>
      <c r="T30" s="91">
        <f>(P30-O30)*S30</f>
        <v>23901.720000000059</v>
      </c>
      <c r="U30" s="644" t="s">
        <v>60</v>
      </c>
      <c r="V30" s="698" t="s">
        <v>61</v>
      </c>
      <c r="W30" s="14" t="s">
        <v>57</v>
      </c>
      <c r="X30" s="7"/>
      <c r="Y30" s="7"/>
      <c r="Z30" s="7"/>
      <c r="AA30" s="7"/>
      <c r="AB30" s="7"/>
      <c r="AC30" s="7"/>
    </row>
    <row r="31" spans="1:29" ht="25.5">
      <c r="A31" s="19"/>
      <c r="B31" s="148" t="s">
        <v>62</v>
      </c>
      <c r="C31" s="91">
        <f>T31</f>
        <v>61823.999999999942</v>
      </c>
      <c r="D31" s="91"/>
      <c r="E31" s="91">
        <f>F31+G31</f>
        <v>4327.6799999999957</v>
      </c>
      <c r="F31" s="91">
        <f>0.04*H31</f>
        <v>2472.9599999999978</v>
      </c>
      <c r="G31" s="91">
        <f>0.03*H31</f>
        <v>1854.7199999999982</v>
      </c>
      <c r="H31" s="91">
        <f t="shared" si="4"/>
        <v>61823.999999999942</v>
      </c>
      <c r="I31" s="91">
        <f>0.6*C31</f>
        <v>37094.399999999965</v>
      </c>
      <c r="J31" s="22"/>
      <c r="K31" s="22"/>
      <c r="L31" s="22"/>
      <c r="M31" s="22"/>
      <c r="N31" s="22"/>
      <c r="O31" s="91">
        <v>8736.1</v>
      </c>
      <c r="P31" s="91">
        <v>9122.5</v>
      </c>
      <c r="Q31" s="122"/>
      <c r="R31" s="310"/>
      <c r="S31" s="151">
        <v>160</v>
      </c>
      <c r="T31" s="91">
        <f>(P31-O31)*S31</f>
        <v>61823.999999999942</v>
      </c>
      <c r="U31" s="644">
        <v>4435</v>
      </c>
      <c r="V31" s="698" t="s">
        <v>63</v>
      </c>
      <c r="W31" s="14" t="s">
        <v>53</v>
      </c>
      <c r="X31" s="7"/>
      <c r="Y31" s="7"/>
      <c r="Z31" s="7"/>
      <c r="AA31" s="7"/>
      <c r="AB31" s="7"/>
      <c r="AC31" s="7"/>
    </row>
    <row r="32" spans="1:29" ht="51" customHeight="1">
      <c r="A32" s="19"/>
      <c r="B32" s="587" t="s">
        <v>954</v>
      </c>
      <c r="C32" s="91">
        <f>H32+E32</f>
        <v>31502.94</v>
      </c>
      <c r="D32" s="91"/>
      <c r="E32" s="91">
        <f>F32+G32</f>
        <v>2060.94</v>
      </c>
      <c r="F32" s="91">
        <f>0.04*H32</f>
        <v>1177.68</v>
      </c>
      <c r="G32" s="91">
        <f>0.03*H32</f>
        <v>883.26</v>
      </c>
      <c r="H32" s="91">
        <f t="shared" si="4"/>
        <v>29442</v>
      </c>
      <c r="I32" s="115">
        <f>T33-I34</f>
        <v>1732</v>
      </c>
      <c r="J32" s="98"/>
      <c r="K32" s="98"/>
      <c r="L32" s="98"/>
      <c r="M32" s="22"/>
      <c r="N32" s="22"/>
      <c r="O32" s="91">
        <v>353.3</v>
      </c>
      <c r="P32" s="91">
        <v>844</v>
      </c>
      <c r="Q32" s="122"/>
      <c r="R32" s="200"/>
      <c r="S32" s="91">
        <v>60</v>
      </c>
      <c r="T32" s="91">
        <f>(P32-O32)*S32</f>
        <v>29442</v>
      </c>
      <c r="U32" s="644">
        <v>18628</v>
      </c>
      <c r="V32" s="698" t="s">
        <v>795</v>
      </c>
      <c r="W32" s="73" t="s">
        <v>57</v>
      </c>
      <c r="X32" s="74"/>
      <c r="Y32" s="74"/>
      <c r="Z32" s="74"/>
      <c r="AA32" s="75"/>
      <c r="AB32" s="7"/>
      <c r="AC32" s="7"/>
    </row>
    <row r="33" spans="1:29" ht="25.5">
      <c r="A33" s="19"/>
      <c r="B33" s="104" t="s">
        <v>64</v>
      </c>
      <c r="C33" s="91">
        <f>H33+E33</f>
        <v>1853.24</v>
      </c>
      <c r="D33" s="91"/>
      <c r="E33" s="91">
        <f>F33+G33</f>
        <v>121.24000000000001</v>
      </c>
      <c r="F33" s="91">
        <f>0.04*H33</f>
        <v>69.28</v>
      </c>
      <c r="G33" s="91">
        <f>0.03*H33</f>
        <v>51.96</v>
      </c>
      <c r="H33" s="91">
        <f t="shared" si="4"/>
        <v>1732</v>
      </c>
      <c r="I33" s="91">
        <f>0.6*C33</f>
        <v>1111.944</v>
      </c>
      <c r="J33" s="22"/>
      <c r="K33" s="22"/>
      <c r="L33" s="22"/>
      <c r="M33" s="22"/>
      <c r="N33" s="22"/>
      <c r="O33" s="91">
        <v>27695</v>
      </c>
      <c r="P33" s="91">
        <v>29427</v>
      </c>
      <c r="Q33" s="122"/>
      <c r="R33" s="310"/>
      <c r="S33" s="151">
        <v>1</v>
      </c>
      <c r="T33" s="91">
        <f>(P33-O33)*S33</f>
        <v>1732</v>
      </c>
      <c r="U33" s="644"/>
      <c r="V33" s="698" t="s">
        <v>65</v>
      </c>
      <c r="W33" s="14" t="s">
        <v>48</v>
      </c>
      <c r="X33" s="7"/>
      <c r="Y33" s="7"/>
      <c r="Z33" s="7"/>
      <c r="AA33" s="7"/>
      <c r="AB33" s="7"/>
      <c r="AC33" s="7"/>
    </row>
    <row r="34" spans="1:29" s="42" customFormat="1" ht="31.5" customHeight="1">
      <c r="A34" s="32"/>
      <c r="B34" s="314"/>
      <c r="C34" s="315"/>
      <c r="D34" s="315"/>
      <c r="E34" s="315"/>
      <c r="F34" s="315"/>
      <c r="G34" s="315"/>
      <c r="H34" s="315"/>
      <c r="I34" s="315"/>
      <c r="J34" s="578"/>
      <c r="K34" s="578"/>
      <c r="L34" s="578"/>
      <c r="M34" s="316"/>
      <c r="N34" s="316"/>
      <c r="O34" s="315"/>
      <c r="P34" s="315"/>
      <c r="Q34" s="344"/>
      <c r="R34" s="579"/>
      <c r="S34" s="315"/>
      <c r="T34" s="315"/>
      <c r="U34" s="712"/>
      <c r="V34" s="317"/>
      <c r="W34" s="40"/>
      <c r="X34" s="41"/>
      <c r="Y34" s="41"/>
      <c r="Z34" s="41"/>
      <c r="AA34" s="41"/>
      <c r="AB34" s="41"/>
      <c r="AC34" s="41"/>
    </row>
    <row r="35" spans="1:29" s="68" customFormat="1" ht="31.5" customHeight="1">
      <c r="A35" s="65"/>
      <c r="B35" s="314" t="s">
        <v>682</v>
      </c>
      <c r="C35" s="91">
        <f t="shared" ref="C35:C40" si="5">H35+E35</f>
        <v>460</v>
      </c>
      <c r="D35" s="91"/>
      <c r="E35" s="91">
        <v>0</v>
      </c>
      <c r="F35" s="91">
        <v>0</v>
      </c>
      <c r="G35" s="91">
        <v>0</v>
      </c>
      <c r="H35" s="91">
        <f>T35</f>
        <v>460</v>
      </c>
      <c r="I35" s="91">
        <f t="shared" ref="I35:I43" si="6">0.4*C35</f>
        <v>184</v>
      </c>
      <c r="J35" s="98"/>
      <c r="K35" s="98"/>
      <c r="L35" s="98"/>
      <c r="M35" s="22"/>
      <c r="N35" s="22"/>
      <c r="O35" s="91">
        <v>5542</v>
      </c>
      <c r="P35" s="91">
        <v>6002</v>
      </c>
      <c r="Q35" s="122"/>
      <c r="R35" s="585"/>
      <c r="S35" s="91">
        <v>1</v>
      </c>
      <c r="T35" s="91">
        <f>(P35-O35)*S35</f>
        <v>460</v>
      </c>
      <c r="U35" s="712">
        <v>9051</v>
      </c>
      <c r="V35" s="317" t="s">
        <v>683</v>
      </c>
      <c r="W35" s="66"/>
      <c r="X35" s="67"/>
      <c r="Y35" s="67"/>
      <c r="Z35" s="67"/>
      <c r="AA35" s="67"/>
      <c r="AB35" s="67"/>
      <c r="AC35" s="67"/>
    </row>
    <row r="36" spans="1:29" ht="30" customHeight="1">
      <c r="A36" s="19"/>
      <c r="B36" s="148" t="s">
        <v>66</v>
      </c>
      <c r="C36" s="91">
        <f t="shared" si="5"/>
        <v>14344.999999999942</v>
      </c>
      <c r="D36" s="91"/>
      <c r="E36" s="91">
        <v>0</v>
      </c>
      <c r="F36" s="91">
        <v>0</v>
      </c>
      <c r="G36" s="91">
        <v>0</v>
      </c>
      <c r="H36" s="91">
        <f>T36</f>
        <v>14344.999999999942</v>
      </c>
      <c r="I36" s="91">
        <f t="shared" si="6"/>
        <v>5737.9999999999773</v>
      </c>
      <c r="J36" s="98"/>
      <c r="K36" s="98"/>
      <c r="L36" s="98"/>
      <c r="M36" s="22"/>
      <c r="N36" s="22"/>
      <c r="O36" s="91">
        <v>29108.7</v>
      </c>
      <c r="P36" s="91">
        <v>29299</v>
      </c>
      <c r="Q36" s="122"/>
      <c r="R36" s="173"/>
      <c r="S36" s="91">
        <v>80</v>
      </c>
      <c r="T36" s="91">
        <f>(P36-O36)*S36-T35-T271-T272-T270-T279-T280-T282-T284</f>
        <v>14344.999999999942</v>
      </c>
      <c r="U36" s="644">
        <v>81596396</v>
      </c>
      <c r="V36" s="698" t="s">
        <v>61</v>
      </c>
      <c r="W36" s="14" t="s">
        <v>57</v>
      </c>
      <c r="X36" s="7"/>
      <c r="Y36" s="7"/>
      <c r="Z36" s="7"/>
      <c r="AA36" s="7"/>
      <c r="AB36" s="7"/>
      <c r="AC36" s="7"/>
    </row>
    <row r="37" spans="1:29" ht="30" customHeight="1">
      <c r="A37" s="19"/>
      <c r="B37" s="148" t="s">
        <v>67</v>
      </c>
      <c r="C37" s="91">
        <f t="shared" si="5"/>
        <v>226.84</v>
      </c>
      <c r="D37" s="91"/>
      <c r="E37" s="91">
        <f>F37+G37</f>
        <v>14.84</v>
      </c>
      <c r="F37" s="91">
        <f>0.04*H37</f>
        <v>8.48</v>
      </c>
      <c r="G37" s="91">
        <f>0.03*H37</f>
        <v>6.3599999999999994</v>
      </c>
      <c r="H37" s="91">
        <f>T37</f>
        <v>212</v>
      </c>
      <c r="I37" s="91">
        <f>0.6*C37</f>
        <v>136.10399999999998</v>
      </c>
      <c r="J37" s="22"/>
      <c r="K37" s="22"/>
      <c r="L37" s="22"/>
      <c r="M37" s="22"/>
      <c r="N37" s="22"/>
      <c r="O37" s="91">
        <v>78722</v>
      </c>
      <c r="P37" s="91">
        <v>78934</v>
      </c>
      <c r="Q37" s="122"/>
      <c r="R37" s="310"/>
      <c r="S37" s="151">
        <v>1</v>
      </c>
      <c r="T37" s="91">
        <f>(P37-O37)*S37</f>
        <v>212</v>
      </c>
      <c r="U37" s="644">
        <v>15737.0376</v>
      </c>
      <c r="V37" s="698" t="s">
        <v>68</v>
      </c>
      <c r="W37" s="14" t="s">
        <v>57</v>
      </c>
      <c r="X37" s="7"/>
      <c r="Y37" s="7"/>
      <c r="Z37" s="7"/>
      <c r="AA37" s="7"/>
      <c r="AB37" s="7"/>
      <c r="AC37" s="7"/>
    </row>
    <row r="38" spans="1:29" ht="28.5" customHeight="1">
      <c r="A38" s="19"/>
      <c r="B38" s="148"/>
      <c r="C38" s="91"/>
      <c r="D38" s="91"/>
      <c r="E38" s="91"/>
      <c r="F38" s="91"/>
      <c r="G38" s="91"/>
      <c r="H38" s="91"/>
      <c r="I38" s="91"/>
      <c r="J38" s="98"/>
      <c r="K38" s="98"/>
      <c r="L38" s="98"/>
      <c r="M38" s="22"/>
      <c r="N38" s="22"/>
      <c r="O38" s="250"/>
      <c r="P38" s="250"/>
      <c r="Q38" s="122"/>
      <c r="R38" s="142"/>
      <c r="S38" s="91"/>
      <c r="T38" s="91"/>
      <c r="U38" s="644"/>
      <c r="V38" s="698"/>
      <c r="W38" s="14" t="s">
        <v>48</v>
      </c>
      <c r="X38" s="7"/>
      <c r="Y38" s="7"/>
      <c r="Z38" s="7"/>
      <c r="AA38" s="7"/>
      <c r="AB38" s="7"/>
      <c r="AC38" s="7"/>
    </row>
    <row r="39" spans="1:29" ht="60" customHeight="1">
      <c r="A39" s="19"/>
      <c r="B39" s="148" t="s">
        <v>69</v>
      </c>
      <c r="C39" s="91">
        <f t="shared" si="5"/>
        <v>1430.5899999999533</v>
      </c>
      <c r="D39" s="91"/>
      <c r="E39" s="91">
        <f>F39+G39</f>
        <v>93.589999999996948</v>
      </c>
      <c r="F39" s="91">
        <f>0.04*H39</f>
        <v>53.479999999998256</v>
      </c>
      <c r="G39" s="92">
        <f>0.03*H39</f>
        <v>40.109999999998692</v>
      </c>
      <c r="H39" s="91">
        <f>T39-H214-H216-H215-H213-H188-H169-H232-H233</f>
        <v>1336.9999999999563</v>
      </c>
      <c r="I39" s="91">
        <f t="shared" si="6"/>
        <v>572.23599999998135</v>
      </c>
      <c r="J39" s="98"/>
      <c r="K39" s="98"/>
      <c r="L39" s="98"/>
      <c r="M39" s="22"/>
      <c r="N39" s="22"/>
      <c r="O39" s="589">
        <v>15936.6</v>
      </c>
      <c r="P39" s="589">
        <v>16104.3</v>
      </c>
      <c r="Q39" s="122"/>
      <c r="R39" s="142"/>
      <c r="S39" s="91">
        <v>40</v>
      </c>
      <c r="T39" s="91">
        <f>(P39-O39)*S39</f>
        <v>6707.9999999999563</v>
      </c>
      <c r="U39" s="644">
        <v>81596438</v>
      </c>
      <c r="V39" s="698" t="s">
        <v>796</v>
      </c>
      <c r="W39" s="14" t="s">
        <v>48</v>
      </c>
      <c r="X39" s="7"/>
      <c r="Y39" s="7"/>
      <c r="Z39" s="7"/>
      <c r="AA39" s="7"/>
      <c r="AB39" s="7"/>
      <c r="AC39" s="7"/>
    </row>
    <row r="40" spans="1:29" ht="30" customHeight="1">
      <c r="A40" s="19"/>
      <c r="B40" s="148" t="s">
        <v>70</v>
      </c>
      <c r="C40" s="91">
        <f t="shared" si="5"/>
        <v>770.4</v>
      </c>
      <c r="D40" s="91"/>
      <c r="E40" s="91">
        <f>F40+G40</f>
        <v>50.4</v>
      </c>
      <c r="F40" s="91">
        <f>0.04*H40</f>
        <v>28.8</v>
      </c>
      <c r="G40" s="92">
        <f>0.03*H40</f>
        <v>21.599999999999998</v>
      </c>
      <c r="H40" s="91">
        <f>T40-T232</f>
        <v>720</v>
      </c>
      <c r="I40" s="91">
        <f t="shared" si="6"/>
        <v>308.16000000000003</v>
      </c>
      <c r="J40" s="98"/>
      <c r="K40" s="98"/>
      <c r="L40" s="98"/>
      <c r="M40" s="22"/>
      <c r="N40" s="22"/>
      <c r="O40" s="91">
        <v>35054</v>
      </c>
      <c r="P40" s="91">
        <v>35131</v>
      </c>
      <c r="Q40" s="122"/>
      <c r="R40" s="142"/>
      <c r="S40" s="91">
        <v>40</v>
      </c>
      <c r="T40" s="91">
        <f>(P40-O40)*S40</f>
        <v>3080</v>
      </c>
      <c r="U40" s="644">
        <v>218822</v>
      </c>
      <c r="V40" s="698" t="s">
        <v>797</v>
      </c>
      <c r="W40" s="78" t="s">
        <v>48</v>
      </c>
      <c r="X40" s="7"/>
      <c r="Y40" s="7"/>
      <c r="Z40" s="7"/>
      <c r="AA40" s="7"/>
      <c r="AB40" s="7"/>
      <c r="AC40" s="7"/>
    </row>
    <row r="41" spans="1:29" ht="51" customHeight="1">
      <c r="A41" s="19"/>
      <c r="B41" s="128" t="s">
        <v>775</v>
      </c>
      <c r="C41" s="124">
        <f>H41</f>
        <v>1241</v>
      </c>
      <c r="D41" s="125"/>
      <c r="E41" s="124">
        <f>F41+G41</f>
        <v>86.87</v>
      </c>
      <c r="F41" s="124">
        <f>0.04*H41</f>
        <v>49.64</v>
      </c>
      <c r="G41" s="124">
        <f>0.03*H41</f>
        <v>37.229999999999997</v>
      </c>
      <c r="H41" s="125">
        <f t="shared" ref="H41:H49" si="7">T41</f>
        <v>1241</v>
      </c>
      <c r="I41" s="345">
        <f>C41*0.4</f>
        <v>496.40000000000003</v>
      </c>
      <c r="J41" s="133"/>
      <c r="K41" s="133"/>
      <c r="L41" s="133"/>
      <c r="M41" s="133"/>
      <c r="N41" s="133"/>
      <c r="O41" s="125">
        <v>21629</v>
      </c>
      <c r="P41" s="125">
        <v>22870</v>
      </c>
      <c r="Q41" s="546"/>
      <c r="R41" s="547"/>
      <c r="S41" s="547">
        <v>1</v>
      </c>
      <c r="T41" s="125">
        <f t="shared" ref="T41:T47" si="8">(P41-O41)*S41</f>
        <v>1241</v>
      </c>
      <c r="U41" s="717">
        <v>2406</v>
      </c>
      <c r="V41" s="128" t="s">
        <v>776</v>
      </c>
      <c r="W41" s="14"/>
      <c r="X41" s="7"/>
      <c r="Y41" s="7"/>
      <c r="Z41" s="7"/>
      <c r="AA41" s="7"/>
      <c r="AB41" s="7"/>
      <c r="AC41" s="7"/>
    </row>
    <row r="42" spans="1:29" ht="24.75" customHeight="1">
      <c r="A42" s="19"/>
      <c r="B42" s="312" t="s">
        <v>71</v>
      </c>
      <c r="C42" s="91">
        <f>H42</f>
        <v>2469</v>
      </c>
      <c r="D42" s="92"/>
      <c r="E42" s="91">
        <f>F42+G42</f>
        <v>172.82999999999998</v>
      </c>
      <c r="F42" s="91">
        <f>0.04*H42</f>
        <v>98.76</v>
      </c>
      <c r="G42" s="91">
        <f>0.03*H42</f>
        <v>74.069999999999993</v>
      </c>
      <c r="H42" s="92">
        <f t="shared" si="7"/>
        <v>2469</v>
      </c>
      <c r="I42" s="589">
        <f>C42*0.4</f>
        <v>987.6</v>
      </c>
      <c r="J42" s="98"/>
      <c r="K42" s="98"/>
      <c r="L42" s="98"/>
      <c r="M42" s="98"/>
      <c r="N42" s="98"/>
      <c r="O42" s="92">
        <v>38516</v>
      </c>
      <c r="P42" s="92">
        <v>40985</v>
      </c>
      <c r="Q42" s="105"/>
      <c r="R42" s="106"/>
      <c r="S42" s="106">
        <v>1</v>
      </c>
      <c r="T42" s="92">
        <f t="shared" si="8"/>
        <v>2469</v>
      </c>
      <c r="U42" s="644">
        <v>6249</v>
      </c>
      <c r="V42" s="698" t="s">
        <v>72</v>
      </c>
      <c r="W42" s="14" t="s">
        <v>48</v>
      </c>
      <c r="X42" s="7"/>
      <c r="Y42" s="7"/>
      <c r="Z42" s="7"/>
      <c r="AA42" s="7"/>
      <c r="AB42" s="7"/>
      <c r="AC42" s="7"/>
    </row>
    <row r="43" spans="1:29" ht="33" customHeight="1">
      <c r="A43" s="19"/>
      <c r="B43" s="148" t="s">
        <v>73</v>
      </c>
      <c r="C43" s="91">
        <f>H43</f>
        <v>646</v>
      </c>
      <c r="D43" s="91"/>
      <c r="E43" s="91"/>
      <c r="F43" s="91"/>
      <c r="G43" s="92">
        <v>0</v>
      </c>
      <c r="H43" s="91">
        <f t="shared" si="7"/>
        <v>646</v>
      </c>
      <c r="I43" s="91">
        <f t="shared" si="6"/>
        <v>258.40000000000003</v>
      </c>
      <c r="J43" s="91">
        <f>0.55*D43</f>
        <v>0</v>
      </c>
      <c r="K43" s="91">
        <f>0.55*E43</f>
        <v>0</v>
      </c>
      <c r="L43" s="91">
        <f>0.55*F43</f>
        <v>0</v>
      </c>
      <c r="M43" s="91">
        <f>0.55*G43</f>
        <v>0</v>
      </c>
      <c r="N43" s="91">
        <f>0.55*H43</f>
        <v>355.3</v>
      </c>
      <c r="O43" s="91">
        <v>46250</v>
      </c>
      <c r="P43" s="91">
        <v>46896</v>
      </c>
      <c r="Q43" s="122"/>
      <c r="R43" s="173"/>
      <c r="S43" s="91">
        <v>1</v>
      </c>
      <c r="T43" s="91">
        <f t="shared" si="8"/>
        <v>646</v>
      </c>
      <c r="U43" s="644" t="s">
        <v>74</v>
      </c>
      <c r="V43" s="698" t="s">
        <v>75</v>
      </c>
      <c r="W43" s="47" t="s">
        <v>57</v>
      </c>
      <c r="X43" s="7"/>
      <c r="Y43" s="7"/>
      <c r="Z43" s="7"/>
      <c r="AA43" s="7"/>
      <c r="AB43" s="7"/>
      <c r="AC43" s="7"/>
    </row>
    <row r="44" spans="1:29" ht="27.75" customHeight="1">
      <c r="A44" s="19"/>
      <c r="B44" s="90" t="s">
        <v>76</v>
      </c>
      <c r="C44" s="115">
        <f>H44+E44</f>
        <v>24002.710800000688</v>
      </c>
      <c r="D44" s="115"/>
      <c r="E44" s="115">
        <f>F44+G44</f>
        <v>1570.2708000000448</v>
      </c>
      <c r="F44" s="115">
        <f>0.04*H44</f>
        <v>897.29760000002568</v>
      </c>
      <c r="G44" s="115">
        <f>0.03*H44</f>
        <v>672.97320000001923</v>
      </c>
      <c r="H44" s="115">
        <f t="shared" si="7"/>
        <v>22432.440000000643</v>
      </c>
      <c r="I44" s="115">
        <f>T492</f>
        <v>0</v>
      </c>
      <c r="J44" s="164"/>
      <c r="K44" s="164"/>
      <c r="L44" s="164"/>
      <c r="M44" s="164"/>
      <c r="N44" s="164"/>
      <c r="O44" s="91">
        <v>40231.322999999997</v>
      </c>
      <c r="P44" s="91">
        <v>40418.26</v>
      </c>
      <c r="Q44" s="22" t="s">
        <v>33</v>
      </c>
      <c r="R44" s="142"/>
      <c r="S44" s="151">
        <v>120</v>
      </c>
      <c r="T44" s="91">
        <f t="shared" si="8"/>
        <v>22432.440000000643</v>
      </c>
      <c r="U44" s="644">
        <v>42000</v>
      </c>
      <c r="V44" s="698" t="s">
        <v>77</v>
      </c>
      <c r="W44" s="82" t="s">
        <v>57</v>
      </c>
      <c r="X44" s="7"/>
      <c r="Y44" s="7"/>
      <c r="Z44" s="7"/>
      <c r="AA44" s="7"/>
      <c r="AB44" s="7"/>
      <c r="AC44" s="7"/>
    </row>
    <row r="45" spans="1:29" ht="27.75" customHeight="1">
      <c r="A45" s="19"/>
      <c r="B45" s="158" t="s">
        <v>78</v>
      </c>
      <c r="C45" s="124">
        <f>H45</f>
        <v>1216</v>
      </c>
      <c r="D45" s="124"/>
      <c r="E45" s="124"/>
      <c r="F45" s="124"/>
      <c r="G45" s="125">
        <v>0</v>
      </c>
      <c r="H45" s="124">
        <f t="shared" si="7"/>
        <v>1216</v>
      </c>
      <c r="I45" s="124">
        <f>0.4*C45</f>
        <v>486.40000000000003</v>
      </c>
      <c r="J45" s="124">
        <f>0.55*D45</f>
        <v>0</v>
      </c>
      <c r="K45" s="124">
        <f>0.55*E45</f>
        <v>0</v>
      </c>
      <c r="L45" s="124">
        <f>0.55*F45</f>
        <v>0</v>
      </c>
      <c r="M45" s="124">
        <f>0.55*G45</f>
        <v>0</v>
      </c>
      <c r="N45" s="124">
        <f>0.55*H45</f>
        <v>668.80000000000007</v>
      </c>
      <c r="O45" s="124">
        <v>289302</v>
      </c>
      <c r="P45" s="124">
        <v>290518</v>
      </c>
      <c r="Q45" s="7"/>
      <c r="R45" s="94"/>
      <c r="S45" s="124">
        <v>1</v>
      </c>
      <c r="T45" s="124">
        <f>(P45-O45)*S45</f>
        <v>1216</v>
      </c>
      <c r="U45" s="717">
        <v>15695</v>
      </c>
      <c r="V45" s="128" t="s">
        <v>844</v>
      </c>
      <c r="W45" s="47" t="s">
        <v>48</v>
      </c>
      <c r="X45" s="7"/>
      <c r="Y45" s="7"/>
      <c r="Z45" s="7"/>
      <c r="AA45" s="7"/>
      <c r="AB45" s="7"/>
      <c r="AC45" s="7"/>
    </row>
    <row r="46" spans="1:29" ht="26.25" customHeight="1">
      <c r="A46" s="19"/>
      <c r="B46" s="590" t="s">
        <v>79</v>
      </c>
      <c r="C46" s="91">
        <f>H46</f>
        <v>58</v>
      </c>
      <c r="D46" s="92"/>
      <c r="E46" s="91">
        <f>F46+G46</f>
        <v>4.0599999999999996</v>
      </c>
      <c r="F46" s="91">
        <f>0.04*H46</f>
        <v>2.3199999999999998</v>
      </c>
      <c r="G46" s="91">
        <f>0.03*H46</f>
        <v>1.74</v>
      </c>
      <c r="H46" s="92">
        <f t="shared" si="7"/>
        <v>58</v>
      </c>
      <c r="I46" s="589">
        <f>C46*0.4</f>
        <v>23.200000000000003</v>
      </c>
      <c r="J46" s="98"/>
      <c r="K46" s="98"/>
      <c r="L46" s="98"/>
      <c r="M46" s="98"/>
      <c r="N46" s="98"/>
      <c r="O46" s="92">
        <v>2474</v>
      </c>
      <c r="P46" s="92">
        <v>2532</v>
      </c>
      <c r="Q46" s="105"/>
      <c r="R46" s="106"/>
      <c r="S46" s="106">
        <v>1</v>
      </c>
      <c r="T46" s="92">
        <f t="shared" si="8"/>
        <v>58</v>
      </c>
      <c r="U46" s="644">
        <v>364814</v>
      </c>
      <c r="V46" s="698" t="s">
        <v>27</v>
      </c>
      <c r="W46" s="47" t="s">
        <v>27</v>
      </c>
      <c r="X46" s="7"/>
      <c r="Y46" s="7"/>
      <c r="Z46" s="7"/>
      <c r="AA46" s="7"/>
      <c r="AB46" s="7"/>
      <c r="AC46" s="7"/>
    </row>
    <row r="47" spans="1:29" ht="27.75" customHeight="1">
      <c r="A47" s="19"/>
      <c r="B47" s="312" t="s">
        <v>80</v>
      </c>
      <c r="C47" s="91">
        <f>H47</f>
        <v>7412</v>
      </c>
      <c r="D47" s="92"/>
      <c r="E47" s="91">
        <f>F47+G47</f>
        <v>518.84</v>
      </c>
      <c r="F47" s="91">
        <f>0.04*H47</f>
        <v>296.48</v>
      </c>
      <c r="G47" s="91">
        <f>0.03*H47</f>
        <v>222.35999999999999</v>
      </c>
      <c r="H47" s="92">
        <f t="shared" si="7"/>
        <v>7412</v>
      </c>
      <c r="I47" s="589">
        <f>C47*0.4</f>
        <v>2964.8</v>
      </c>
      <c r="J47" s="98"/>
      <c r="K47" s="98"/>
      <c r="L47" s="98"/>
      <c r="M47" s="98"/>
      <c r="N47" s="98"/>
      <c r="O47" s="92">
        <v>117681</v>
      </c>
      <c r="P47" s="92">
        <v>125093</v>
      </c>
      <c r="Q47" s="105"/>
      <c r="R47" s="106"/>
      <c r="S47" s="106">
        <v>1</v>
      </c>
      <c r="T47" s="92">
        <f t="shared" si="8"/>
        <v>7412</v>
      </c>
      <c r="U47" s="644">
        <v>9148</v>
      </c>
      <c r="V47" s="698" t="s">
        <v>81</v>
      </c>
      <c r="W47" s="47" t="s">
        <v>82</v>
      </c>
      <c r="X47" s="7"/>
      <c r="Y47" s="7"/>
      <c r="Z47" s="7"/>
      <c r="AA47" s="7"/>
      <c r="AB47" s="7"/>
      <c r="AC47" s="7"/>
    </row>
    <row r="48" spans="1:29" ht="27.75" customHeight="1">
      <c r="A48" s="19"/>
      <c r="B48" s="314" t="s">
        <v>882</v>
      </c>
      <c r="C48" s="91">
        <f t="shared" ref="C48" si="9">H48+E48</f>
        <v>8680</v>
      </c>
      <c r="D48" s="91"/>
      <c r="E48" s="91">
        <v>0</v>
      </c>
      <c r="F48" s="91">
        <v>0</v>
      </c>
      <c r="G48" s="91">
        <v>0</v>
      </c>
      <c r="H48" s="91">
        <f>T48</f>
        <v>8680</v>
      </c>
      <c r="I48" s="91">
        <f t="shared" ref="I48" si="10">0.4*C48</f>
        <v>3472</v>
      </c>
      <c r="J48" s="98"/>
      <c r="K48" s="98"/>
      <c r="L48" s="98"/>
      <c r="M48" s="22"/>
      <c r="N48" s="22"/>
      <c r="O48" s="91">
        <v>104064</v>
      </c>
      <c r="P48" s="91">
        <v>112744</v>
      </c>
      <c r="Q48" s="122"/>
      <c r="R48" s="585"/>
      <c r="S48" s="91">
        <v>1</v>
      </c>
      <c r="T48" s="91">
        <f>(P48-O48)*S48</f>
        <v>8680</v>
      </c>
      <c r="U48" s="712">
        <v>5732</v>
      </c>
      <c r="V48" s="317" t="s">
        <v>685</v>
      </c>
      <c r="W48" s="47"/>
      <c r="X48" s="7"/>
      <c r="Y48" s="7"/>
      <c r="Z48" s="7"/>
      <c r="AA48" s="7"/>
      <c r="AB48" s="7"/>
      <c r="AC48" s="7"/>
    </row>
    <row r="49" spans="1:29" ht="38.25" customHeight="1">
      <c r="A49" s="19"/>
      <c r="B49" s="312" t="s">
        <v>83</v>
      </c>
      <c r="C49" s="91">
        <f>H49</f>
        <v>2889</v>
      </c>
      <c r="D49" s="92"/>
      <c r="E49" s="91">
        <f>F49+G49</f>
        <v>202.23000000000002</v>
      </c>
      <c r="F49" s="91">
        <f>0.04*H49</f>
        <v>115.56</v>
      </c>
      <c r="G49" s="91">
        <f>0.03*H49</f>
        <v>86.67</v>
      </c>
      <c r="H49" s="92">
        <f t="shared" si="7"/>
        <v>2889</v>
      </c>
      <c r="I49" s="589">
        <f>C49*0.4</f>
        <v>1155.6000000000001</v>
      </c>
      <c r="J49" s="98"/>
      <c r="K49" s="98"/>
      <c r="L49" s="98"/>
      <c r="M49" s="98"/>
      <c r="N49" s="98"/>
      <c r="O49" s="92">
        <v>70937</v>
      </c>
      <c r="P49" s="92">
        <v>75030</v>
      </c>
      <c r="Q49" s="105"/>
      <c r="R49" s="106"/>
      <c r="S49" s="106">
        <v>1</v>
      </c>
      <c r="T49" s="92">
        <f>(P49-O49)*S49-T225-T223-T227-T226-T228</f>
        <v>2889</v>
      </c>
      <c r="U49" s="644">
        <v>6252</v>
      </c>
      <c r="V49" s="698" t="s">
        <v>72</v>
      </c>
      <c r="W49" s="47" t="s">
        <v>48</v>
      </c>
      <c r="X49" s="7"/>
      <c r="Y49" s="7"/>
      <c r="Z49" s="7"/>
      <c r="AA49" s="7"/>
      <c r="AB49" s="7"/>
      <c r="AC49" s="7"/>
    </row>
    <row r="50" spans="1:29" ht="33" hidden="1" customHeight="1">
      <c r="A50" s="19"/>
      <c r="B50" s="90"/>
      <c r="C50" s="91"/>
      <c r="D50" s="91"/>
      <c r="E50" s="91"/>
      <c r="F50" s="91"/>
      <c r="G50" s="92"/>
      <c r="H50" s="91"/>
      <c r="I50" s="91"/>
      <c r="J50" s="93"/>
      <c r="K50" s="93"/>
      <c r="L50" s="93"/>
      <c r="M50" s="93"/>
      <c r="N50" s="93"/>
      <c r="O50" s="91"/>
      <c r="P50" s="91"/>
      <c r="Q50" s="7"/>
      <c r="R50" s="94"/>
      <c r="S50" s="91"/>
      <c r="T50" s="91"/>
      <c r="U50" s="644"/>
      <c r="V50" s="698"/>
      <c r="W50" s="47"/>
      <c r="X50" s="7"/>
      <c r="Y50" s="7"/>
      <c r="Z50" s="7"/>
      <c r="AA50" s="7"/>
      <c r="AB50" s="7"/>
      <c r="AC50" s="7"/>
    </row>
    <row r="51" spans="1:29" ht="33" hidden="1" customHeight="1">
      <c r="A51" s="19"/>
      <c r="B51" s="90"/>
      <c r="C51" s="91"/>
      <c r="D51" s="91"/>
      <c r="E51" s="91"/>
      <c r="F51" s="91"/>
      <c r="G51" s="92"/>
      <c r="H51" s="91"/>
      <c r="I51" s="91"/>
      <c r="J51" s="93"/>
      <c r="K51" s="93"/>
      <c r="L51" s="93"/>
      <c r="M51" s="93"/>
      <c r="N51" s="93"/>
      <c r="O51" s="91"/>
      <c r="P51" s="91"/>
      <c r="Q51" s="7"/>
      <c r="R51" s="94"/>
      <c r="S51" s="91"/>
      <c r="T51" s="91"/>
      <c r="U51" s="644"/>
      <c r="V51" s="698"/>
      <c r="W51" s="47"/>
      <c r="X51" s="7"/>
      <c r="Y51" s="7"/>
      <c r="Z51" s="7"/>
      <c r="AA51" s="7"/>
      <c r="AB51" s="7"/>
      <c r="AC51" s="7"/>
    </row>
    <row r="52" spans="1:29" ht="33" hidden="1" customHeight="1">
      <c r="A52" s="19"/>
      <c r="B52" s="90"/>
      <c r="C52" s="91"/>
      <c r="D52" s="91"/>
      <c r="E52" s="91"/>
      <c r="F52" s="91"/>
      <c r="G52" s="92"/>
      <c r="H52" s="91"/>
      <c r="I52" s="91"/>
      <c r="J52" s="93"/>
      <c r="K52" s="93"/>
      <c r="L52" s="93"/>
      <c r="M52" s="93"/>
      <c r="N52" s="93"/>
      <c r="O52" s="91"/>
      <c r="P52" s="91"/>
      <c r="Q52" s="7"/>
      <c r="R52" s="94"/>
      <c r="S52" s="91"/>
      <c r="T52" s="91"/>
      <c r="U52" s="644"/>
      <c r="V52" s="698"/>
      <c r="W52" s="47"/>
      <c r="X52" s="7"/>
      <c r="Y52" s="7"/>
      <c r="Z52" s="7"/>
      <c r="AA52" s="7"/>
      <c r="AB52" s="7"/>
      <c r="AC52" s="7"/>
    </row>
    <row r="53" spans="1:29" ht="61.5" customHeight="1">
      <c r="A53" s="19"/>
      <c r="B53" s="652" t="s">
        <v>84</v>
      </c>
      <c r="C53" s="206">
        <f>H53+E53</f>
        <v>10443.200000000001</v>
      </c>
      <c r="D53" s="206"/>
      <c r="E53" s="206">
        <f>F53+G53</f>
        <v>683.2</v>
      </c>
      <c r="F53" s="206">
        <f>0.04*H53</f>
        <v>390.40000000000003</v>
      </c>
      <c r="G53" s="206">
        <f>0.03*H53</f>
        <v>292.8</v>
      </c>
      <c r="H53" s="206">
        <f>T53</f>
        <v>9760</v>
      </c>
      <c r="I53" s="206">
        <f>0.6*C53</f>
        <v>6265.92</v>
      </c>
      <c r="J53" s="290"/>
      <c r="K53" s="290"/>
      <c r="L53" s="290"/>
      <c r="M53" s="290"/>
      <c r="N53" s="290"/>
      <c r="O53" s="206">
        <v>28052</v>
      </c>
      <c r="P53" s="206">
        <v>28296</v>
      </c>
      <c r="Q53" s="203"/>
      <c r="R53" s="205"/>
      <c r="S53" s="291">
        <v>40</v>
      </c>
      <c r="T53" s="206">
        <f>(P53-O53)*S53</f>
        <v>9760</v>
      </c>
      <c r="U53" s="644"/>
      <c r="V53" s="698" t="s">
        <v>85</v>
      </c>
      <c r="W53" s="47" t="s">
        <v>82</v>
      </c>
      <c r="X53" s="7"/>
      <c r="Y53" s="7"/>
      <c r="Z53" s="7"/>
      <c r="AA53" s="7"/>
      <c r="AB53" s="7"/>
      <c r="AC53" s="7"/>
    </row>
    <row r="54" spans="1:29" ht="30.75" customHeight="1">
      <c r="A54" s="19"/>
      <c r="B54" s="96" t="s">
        <v>86</v>
      </c>
      <c r="C54" s="97">
        <f>SUM(C8:C53)-C15</f>
        <v>312749.34120000008</v>
      </c>
      <c r="D54" s="91"/>
      <c r="E54" s="91"/>
      <c r="F54" s="91"/>
      <c r="G54" s="92"/>
      <c r="H54" s="91"/>
      <c r="I54" s="91"/>
      <c r="J54" s="93"/>
      <c r="K54" s="93"/>
      <c r="L54" s="93"/>
      <c r="M54" s="93"/>
      <c r="N54" s="93"/>
      <c r="O54" s="91"/>
      <c r="P54" s="91"/>
      <c r="Q54" s="7"/>
      <c r="R54" s="94"/>
      <c r="S54" s="91"/>
      <c r="T54" s="91"/>
      <c r="U54" s="644"/>
      <c r="V54" s="695"/>
      <c r="W54" s="47"/>
      <c r="X54" s="7"/>
      <c r="Y54" s="7"/>
      <c r="Z54" s="7"/>
      <c r="AA54" s="7"/>
      <c r="AB54" s="7"/>
      <c r="AC54" s="7"/>
    </row>
    <row r="55" spans="1:29" ht="26.25">
      <c r="A55" s="19"/>
      <c r="B55" s="26" t="s">
        <v>87</v>
      </c>
      <c r="C55" s="91"/>
      <c r="D55" s="91"/>
      <c r="E55" s="91"/>
      <c r="F55" s="91"/>
      <c r="G55" s="92"/>
      <c r="H55" s="91"/>
      <c r="I55" s="91"/>
      <c r="J55" s="98"/>
      <c r="K55" s="98"/>
      <c r="L55" s="98"/>
      <c r="M55" s="22"/>
      <c r="N55" s="22"/>
      <c r="O55" s="91"/>
      <c r="P55" s="91"/>
      <c r="Q55" s="7"/>
      <c r="R55" s="94"/>
      <c r="S55" s="91"/>
      <c r="T55" s="91"/>
      <c r="U55" s="644"/>
      <c r="V55" s="695"/>
      <c r="W55" s="47"/>
      <c r="X55" s="7"/>
      <c r="Y55" s="7"/>
      <c r="Z55" s="7"/>
      <c r="AA55" s="7"/>
      <c r="AB55" s="7"/>
      <c r="AC55" s="7"/>
    </row>
    <row r="56" spans="1:29" s="42" customFormat="1" ht="25.5">
      <c r="A56" s="99"/>
      <c r="B56" s="430"/>
      <c r="C56" s="34"/>
      <c r="D56" s="370"/>
      <c r="E56" s="34"/>
      <c r="F56" s="34"/>
      <c r="G56" s="34"/>
      <c r="H56" s="370"/>
      <c r="I56" s="431"/>
      <c r="J56" s="432"/>
      <c r="K56" s="432"/>
      <c r="L56" s="432"/>
      <c r="M56" s="432"/>
      <c r="N56" s="432"/>
      <c r="O56" s="370"/>
      <c r="P56" s="370"/>
      <c r="Q56" s="370"/>
      <c r="R56" s="370"/>
      <c r="S56" s="370"/>
      <c r="T56" s="34"/>
      <c r="U56" s="718"/>
      <c r="V56" s="39"/>
      <c r="W56" s="100"/>
      <c r="X56" s="41"/>
      <c r="Y56" s="41"/>
      <c r="Z56" s="41"/>
      <c r="AA56" s="41"/>
      <c r="AB56" s="41"/>
      <c r="AC56" s="41"/>
    </row>
    <row r="57" spans="1:29" ht="25.5">
      <c r="A57" s="101"/>
      <c r="B57" s="104" t="s">
        <v>88</v>
      </c>
      <c r="C57" s="91">
        <f>H57</f>
        <v>3037</v>
      </c>
      <c r="D57" s="92"/>
      <c r="E57" s="91">
        <f>F57+G57</f>
        <v>212.59</v>
      </c>
      <c r="F57" s="91">
        <f>0.04*H57</f>
        <v>121.48</v>
      </c>
      <c r="G57" s="91">
        <f>0.03*H57</f>
        <v>91.11</v>
      </c>
      <c r="H57" s="92">
        <f t="shared" ref="H57:H62" si="11">T57</f>
        <v>3037</v>
      </c>
      <c r="I57" s="589">
        <f>C57*0.4</f>
        <v>1214.8</v>
      </c>
      <c r="J57" s="98"/>
      <c r="K57" s="98"/>
      <c r="L57" s="98"/>
      <c r="M57" s="98"/>
      <c r="N57" s="98"/>
      <c r="O57" s="92">
        <v>385035</v>
      </c>
      <c r="P57" s="92">
        <v>388072</v>
      </c>
      <c r="Q57" s="105"/>
      <c r="R57" s="106"/>
      <c r="S57" s="106">
        <v>1</v>
      </c>
      <c r="T57" s="92">
        <f>(P57-O57)*S57</f>
        <v>3037</v>
      </c>
      <c r="U57" s="644">
        <v>4786</v>
      </c>
      <c r="V57" s="107" t="s">
        <v>89</v>
      </c>
      <c r="W57" s="47" t="s">
        <v>90</v>
      </c>
      <c r="X57" s="7"/>
      <c r="Y57" s="7"/>
      <c r="Z57" s="7"/>
      <c r="AA57" s="7"/>
      <c r="AB57" s="7"/>
      <c r="AC57" s="7"/>
    </row>
    <row r="58" spans="1:29" ht="25.5">
      <c r="A58" s="101"/>
      <c r="B58" s="104" t="s">
        <v>711</v>
      </c>
      <c r="C58" s="91">
        <f>H58</f>
        <v>14235.559999999998</v>
      </c>
      <c r="D58" s="92"/>
      <c r="E58" s="91"/>
      <c r="F58" s="91"/>
      <c r="G58" s="91"/>
      <c r="H58" s="92">
        <f t="shared" si="11"/>
        <v>14235.559999999998</v>
      </c>
      <c r="I58" s="92">
        <f>T59</f>
        <v>1364</v>
      </c>
      <c r="J58" s="98"/>
      <c r="K58" s="98"/>
      <c r="L58" s="98"/>
      <c r="M58" s="98"/>
      <c r="N58" s="98"/>
      <c r="O58" s="92">
        <v>21142.413</v>
      </c>
      <c r="P58" s="92">
        <v>21489.02</v>
      </c>
      <c r="Q58" s="105"/>
      <c r="R58" s="106"/>
      <c r="S58" s="106">
        <v>80</v>
      </c>
      <c r="T58" s="92">
        <f>(P58-O58)*S58-T624</f>
        <v>14235.559999999998</v>
      </c>
      <c r="U58" s="644" t="s">
        <v>91</v>
      </c>
      <c r="V58" s="107" t="s">
        <v>92</v>
      </c>
      <c r="W58" s="47" t="s">
        <v>90</v>
      </c>
      <c r="X58" s="7"/>
      <c r="Y58" s="7"/>
      <c r="Z58" s="7"/>
      <c r="AA58" s="7"/>
      <c r="AB58" s="7"/>
      <c r="AC58" s="7"/>
    </row>
    <row r="59" spans="1:29" ht="25.5">
      <c r="A59" s="101"/>
      <c r="B59" s="104" t="s">
        <v>93</v>
      </c>
      <c r="C59" s="91">
        <f>H59</f>
        <v>1364</v>
      </c>
      <c r="D59" s="92"/>
      <c r="E59" s="91">
        <f>F59+G59</f>
        <v>95.48</v>
      </c>
      <c r="F59" s="91">
        <f>0.04*H59</f>
        <v>54.56</v>
      </c>
      <c r="G59" s="91">
        <f>0.03*H59</f>
        <v>40.92</v>
      </c>
      <c r="H59" s="92">
        <f t="shared" si="11"/>
        <v>1364</v>
      </c>
      <c r="I59" s="589">
        <f>C59*0.4</f>
        <v>545.6</v>
      </c>
      <c r="J59" s="98"/>
      <c r="K59" s="98"/>
      <c r="L59" s="98"/>
      <c r="M59" s="98"/>
      <c r="N59" s="98"/>
      <c r="O59" s="92">
        <v>12979</v>
      </c>
      <c r="P59" s="92">
        <v>14343</v>
      </c>
      <c r="Q59" s="105"/>
      <c r="R59" s="106"/>
      <c r="S59" s="106">
        <v>1</v>
      </c>
      <c r="T59" s="92">
        <f>(P59-O59)*S59</f>
        <v>1364</v>
      </c>
      <c r="U59" s="644">
        <v>6221</v>
      </c>
      <c r="V59" s="107" t="s">
        <v>94</v>
      </c>
      <c r="W59" s="47" t="s">
        <v>43</v>
      </c>
      <c r="X59" s="7"/>
      <c r="Y59" s="7"/>
      <c r="Z59" s="7"/>
      <c r="AA59" s="7"/>
      <c r="AB59" s="7"/>
      <c r="AC59" s="7"/>
    </row>
    <row r="60" spans="1:29" ht="76.5">
      <c r="A60" s="101"/>
      <c r="B60" s="148" t="s">
        <v>756</v>
      </c>
      <c r="C60" s="91">
        <f>T60</f>
        <v>11966.999999999989</v>
      </c>
      <c r="D60" s="92"/>
      <c r="E60" s="91"/>
      <c r="F60" s="91"/>
      <c r="G60" s="91"/>
      <c r="H60" s="92">
        <f t="shared" si="11"/>
        <v>11966.999999999989</v>
      </c>
      <c r="I60" s="92">
        <f>T61</f>
        <v>11138.000000000007</v>
      </c>
      <c r="J60" s="98"/>
      <c r="K60" s="98"/>
      <c r="L60" s="98"/>
      <c r="M60" s="98"/>
      <c r="N60" s="98"/>
      <c r="O60" s="92">
        <v>5612.04</v>
      </c>
      <c r="P60" s="92">
        <v>5811.49</v>
      </c>
      <c r="Q60" s="105"/>
      <c r="R60" s="106"/>
      <c r="S60" s="106">
        <v>60</v>
      </c>
      <c r="T60" s="92">
        <f>(P60-O60)*S60</f>
        <v>11966.999999999989</v>
      </c>
      <c r="U60" s="644" t="s">
        <v>95</v>
      </c>
      <c r="V60" s="107" t="s">
        <v>96</v>
      </c>
      <c r="W60" s="103" t="s">
        <v>90</v>
      </c>
      <c r="X60" s="7"/>
      <c r="Y60" s="7"/>
      <c r="Z60" s="7"/>
      <c r="AA60" s="7"/>
      <c r="AB60" s="7"/>
      <c r="AC60" s="7"/>
    </row>
    <row r="61" spans="1:29" ht="52.5" customHeight="1">
      <c r="A61" s="101"/>
      <c r="B61" s="148" t="s">
        <v>757</v>
      </c>
      <c r="C61" s="91">
        <f>H61</f>
        <v>11138.000000000007</v>
      </c>
      <c r="D61" s="92"/>
      <c r="E61" s="91"/>
      <c r="F61" s="91"/>
      <c r="G61" s="91"/>
      <c r="H61" s="92">
        <f t="shared" si="11"/>
        <v>11138.000000000007</v>
      </c>
      <c r="I61" s="92">
        <f>T62</f>
        <v>3505</v>
      </c>
      <c r="J61" s="98"/>
      <c r="K61" s="98"/>
      <c r="L61" s="98"/>
      <c r="M61" s="98"/>
      <c r="N61" s="98"/>
      <c r="O61" s="92">
        <v>1002.6</v>
      </c>
      <c r="P61" s="92">
        <v>1154.4000000000001</v>
      </c>
      <c r="Q61" s="105"/>
      <c r="R61" s="106"/>
      <c r="S61" s="106">
        <v>120</v>
      </c>
      <c r="T61" s="92">
        <f>(P61-O61)*S61-T636-T59-T65-T62</f>
        <v>11138.000000000007</v>
      </c>
      <c r="U61" s="644"/>
      <c r="V61" s="830" t="s">
        <v>712</v>
      </c>
      <c r="W61" s="103"/>
      <c r="X61" s="7"/>
      <c r="Y61" s="7"/>
      <c r="Z61" s="7"/>
      <c r="AA61" s="7"/>
      <c r="AB61" s="7"/>
      <c r="AC61" s="7"/>
    </row>
    <row r="62" spans="1:29" s="42" customFormat="1" ht="30" customHeight="1">
      <c r="A62" s="99"/>
      <c r="B62" s="314" t="s">
        <v>758</v>
      </c>
      <c r="C62" s="91">
        <f>T62</f>
        <v>3505</v>
      </c>
      <c r="D62" s="92"/>
      <c r="E62" s="91"/>
      <c r="F62" s="91"/>
      <c r="G62" s="91"/>
      <c r="H62" s="92">
        <f t="shared" si="11"/>
        <v>3505</v>
      </c>
      <c r="I62" s="92">
        <f>T63</f>
        <v>0</v>
      </c>
      <c r="J62" s="98"/>
      <c r="K62" s="98"/>
      <c r="L62" s="98"/>
      <c r="M62" s="98"/>
      <c r="N62" s="98"/>
      <c r="O62" s="92">
        <v>16421</v>
      </c>
      <c r="P62" s="92">
        <v>19926</v>
      </c>
      <c r="Q62" s="105"/>
      <c r="R62" s="106"/>
      <c r="S62" s="106">
        <v>1</v>
      </c>
      <c r="T62" s="92">
        <f>(P62-O62)*S62</f>
        <v>3505</v>
      </c>
      <c r="U62" s="712"/>
      <c r="V62" s="830"/>
      <c r="W62" s="100"/>
      <c r="X62" s="41"/>
      <c r="Y62" s="41"/>
      <c r="Z62" s="41"/>
      <c r="AA62" s="41"/>
      <c r="AB62" s="41"/>
      <c r="AC62" s="41"/>
    </row>
    <row r="63" spans="1:29" s="42" customFormat="1" ht="25.5">
      <c r="A63" s="99"/>
      <c r="B63" s="314"/>
      <c r="C63" s="315"/>
      <c r="D63" s="512"/>
      <c r="E63" s="315"/>
      <c r="F63" s="315"/>
      <c r="G63" s="315"/>
      <c r="H63" s="512"/>
      <c r="I63" s="512"/>
      <c r="J63" s="316"/>
      <c r="K63" s="316"/>
      <c r="L63" s="316"/>
      <c r="M63" s="316"/>
      <c r="N63" s="316"/>
      <c r="O63" s="315"/>
      <c r="P63" s="315"/>
      <c r="Q63" s="591"/>
      <c r="R63" s="592"/>
      <c r="S63" s="593"/>
      <c r="T63" s="512"/>
      <c r="U63" s="712"/>
      <c r="V63" s="594"/>
      <c r="W63" s="100"/>
      <c r="X63" s="41"/>
      <c r="Y63" s="41"/>
      <c r="Z63" s="41"/>
      <c r="AA63" s="41"/>
      <c r="AB63" s="41"/>
      <c r="AC63" s="41"/>
    </row>
    <row r="64" spans="1:29" ht="25.5">
      <c r="A64" s="101"/>
      <c r="B64" s="329" t="s">
        <v>97</v>
      </c>
      <c r="C64" s="117">
        <f>H64</f>
        <v>626.00000000000364</v>
      </c>
      <c r="D64" s="595"/>
      <c r="E64" s="117"/>
      <c r="F64" s="117"/>
      <c r="G64" s="117"/>
      <c r="H64" s="595">
        <f>T64</f>
        <v>626.00000000000364</v>
      </c>
      <c r="I64" s="595">
        <f>T64*0.3</f>
        <v>187.80000000000109</v>
      </c>
      <c r="J64" s="98"/>
      <c r="K64" s="98"/>
      <c r="L64" s="98"/>
      <c r="M64" s="98"/>
      <c r="N64" s="98"/>
      <c r="O64" s="596">
        <v>3955</v>
      </c>
      <c r="P64" s="596">
        <v>3986.3</v>
      </c>
      <c r="Q64" s="105"/>
      <c r="R64" s="597"/>
      <c r="S64" s="330">
        <v>20</v>
      </c>
      <c r="T64" s="595">
        <f>(P64-O64)*S64</f>
        <v>626.00000000000364</v>
      </c>
      <c r="U64" s="644">
        <v>5621</v>
      </c>
      <c r="V64" s="107" t="s">
        <v>98</v>
      </c>
      <c r="W64" s="47" t="s">
        <v>90</v>
      </c>
      <c r="X64" s="7"/>
      <c r="Y64" s="7"/>
      <c r="Z64" s="7"/>
      <c r="AA64" s="7"/>
      <c r="AB64" s="7"/>
      <c r="AC64" s="7"/>
    </row>
    <row r="65" spans="1:29" ht="25.5">
      <c r="A65" s="101"/>
      <c r="B65" s="148" t="s">
        <v>99</v>
      </c>
      <c r="C65" s="117">
        <f>H65</f>
        <v>2209</v>
      </c>
      <c r="D65" s="92"/>
      <c r="E65" s="91"/>
      <c r="F65" s="91"/>
      <c r="G65" s="91"/>
      <c r="H65" s="92">
        <f>T65</f>
        <v>2209</v>
      </c>
      <c r="I65" s="92">
        <f>T65*0.3</f>
        <v>662.69999999999993</v>
      </c>
      <c r="J65" s="142"/>
      <c r="K65" s="142"/>
      <c r="L65" s="142"/>
      <c r="M65" s="142"/>
      <c r="N65" s="142"/>
      <c r="O65" s="91">
        <v>219633</v>
      </c>
      <c r="P65" s="91">
        <v>221842</v>
      </c>
      <c r="Q65" s="92"/>
      <c r="R65" s="92"/>
      <c r="S65" s="91">
        <v>1</v>
      </c>
      <c r="T65" s="92">
        <f>(P65-O65)*S65</f>
        <v>2209</v>
      </c>
      <c r="U65" s="644">
        <v>4785</v>
      </c>
      <c r="V65" s="107" t="s">
        <v>89</v>
      </c>
      <c r="W65" s="47" t="s">
        <v>43</v>
      </c>
      <c r="X65" s="7"/>
      <c r="Y65" s="7"/>
      <c r="Z65" s="7"/>
      <c r="AA65" s="7"/>
      <c r="AB65" s="7"/>
      <c r="AC65" s="7"/>
    </row>
    <row r="66" spans="1:29" ht="26.25">
      <c r="A66" s="108"/>
      <c r="B66" s="109" t="s">
        <v>100</v>
      </c>
      <c r="C66" s="110">
        <f>SUM(C56:C65)</f>
        <v>48081.56</v>
      </c>
      <c r="D66" s="111"/>
      <c r="E66" s="112"/>
      <c r="F66" s="112"/>
      <c r="G66" s="112"/>
      <c r="H66" s="111"/>
      <c r="I66" s="113">
        <f>SUM(I56:I65)</f>
        <v>18617.900000000012</v>
      </c>
      <c r="J66" s="114"/>
      <c r="K66" s="114"/>
      <c r="L66" s="114"/>
      <c r="M66" s="114"/>
      <c r="N66" s="114"/>
      <c r="O66" s="115"/>
      <c r="P66" s="115"/>
      <c r="Q66" s="92"/>
      <c r="R66" s="92"/>
      <c r="S66" s="91"/>
      <c r="T66" s="92"/>
      <c r="U66" s="644"/>
      <c r="V66" s="107"/>
      <c r="W66" s="14"/>
      <c r="X66" s="7"/>
      <c r="Y66" s="7"/>
      <c r="Z66" s="7"/>
      <c r="AA66" s="7"/>
      <c r="AB66" s="7"/>
      <c r="AC66" s="7"/>
    </row>
    <row r="67" spans="1:29" ht="26.25">
      <c r="A67" s="692"/>
      <c r="B67" s="109" t="s">
        <v>101</v>
      </c>
      <c r="C67" s="117"/>
      <c r="D67" s="118"/>
      <c r="E67" s="113"/>
      <c r="F67" s="113"/>
      <c r="G67" s="113"/>
      <c r="H67" s="118"/>
      <c r="I67" s="118"/>
      <c r="J67" s="98"/>
      <c r="K67" s="98"/>
      <c r="L67" s="98"/>
      <c r="M67" s="98"/>
      <c r="N67" s="98"/>
      <c r="O67" s="91"/>
      <c r="P67" s="91"/>
      <c r="Q67" s="92"/>
      <c r="R67" s="92"/>
      <c r="S67" s="91"/>
      <c r="T67" s="92"/>
      <c r="U67" s="644"/>
      <c r="V67" s="107"/>
      <c r="W67" s="14"/>
      <c r="X67" s="7"/>
      <c r="Y67" s="7"/>
      <c r="Z67" s="7"/>
      <c r="AA67" s="7"/>
      <c r="AB67" s="7"/>
      <c r="AC67" s="7"/>
    </row>
    <row r="68" spans="1:29" ht="31.5" customHeight="1">
      <c r="A68" s="692"/>
      <c r="B68" s="213" t="s">
        <v>102</v>
      </c>
      <c r="C68" s="117">
        <v>1521</v>
      </c>
      <c r="D68" s="118"/>
      <c r="E68" s="113"/>
      <c r="F68" s="113"/>
      <c r="G68" s="113"/>
      <c r="H68" s="118"/>
      <c r="I68" s="118"/>
      <c r="J68" s="98"/>
      <c r="K68" s="98"/>
      <c r="L68" s="98"/>
      <c r="M68" s="98"/>
      <c r="N68" s="98"/>
      <c r="O68" s="91">
        <f>12800.04+31616.97</f>
        <v>44417.01</v>
      </c>
      <c r="P68" s="91">
        <f>13025+32056.84</f>
        <v>45081.84</v>
      </c>
      <c r="Q68" s="92"/>
      <c r="R68" s="92"/>
      <c r="S68" s="91">
        <v>80</v>
      </c>
      <c r="T68" s="92">
        <f>(P68-O68)*S68-T72-T73</f>
        <v>48071.399999999558</v>
      </c>
      <c r="U68" s="644" t="s">
        <v>103</v>
      </c>
      <c r="V68" s="107" t="s">
        <v>104</v>
      </c>
      <c r="W68" s="14" t="s">
        <v>48</v>
      </c>
      <c r="X68" s="48"/>
      <c r="Y68" s="7"/>
      <c r="Z68" s="7"/>
      <c r="AA68" s="7"/>
      <c r="AB68" s="7"/>
      <c r="AC68" s="7"/>
    </row>
    <row r="69" spans="1:29" ht="51.75" customHeight="1">
      <c r="A69" s="692"/>
      <c r="B69" s="598" t="s">
        <v>105</v>
      </c>
      <c r="C69" s="117">
        <f>T71</f>
        <v>9040.800000000163</v>
      </c>
      <c r="D69" s="118"/>
      <c r="E69" s="113"/>
      <c r="F69" s="113"/>
      <c r="G69" s="113"/>
      <c r="H69" s="118"/>
      <c r="I69" s="118"/>
      <c r="J69" s="98"/>
      <c r="K69" s="98"/>
      <c r="L69" s="98"/>
      <c r="M69" s="98"/>
      <c r="N69" s="98"/>
      <c r="O69" s="91"/>
      <c r="P69" s="91"/>
      <c r="Q69" s="92"/>
      <c r="R69" s="92"/>
      <c r="S69" s="91"/>
      <c r="T69" s="92"/>
      <c r="U69" s="644"/>
      <c r="V69" s="107"/>
      <c r="W69" s="14" t="s">
        <v>48</v>
      </c>
      <c r="X69" s="48"/>
      <c r="Y69" s="7"/>
      <c r="Z69" s="7"/>
      <c r="AA69" s="7"/>
      <c r="AB69" s="7"/>
      <c r="AC69" s="7"/>
    </row>
    <row r="70" spans="1:29" ht="25.5">
      <c r="A70" s="692"/>
      <c r="B70" s="599" t="s">
        <v>106</v>
      </c>
      <c r="C70" s="91">
        <f>H70</f>
        <v>7702</v>
      </c>
      <c r="D70" s="91"/>
      <c r="E70" s="91">
        <f>F70+G70</f>
        <v>539.14</v>
      </c>
      <c r="F70" s="91">
        <f>0.04*H70</f>
        <v>308.08</v>
      </c>
      <c r="G70" s="91">
        <f>0.03*H70</f>
        <v>231.06</v>
      </c>
      <c r="H70" s="91">
        <f>T70</f>
        <v>7702</v>
      </c>
      <c r="I70" s="91">
        <f>0.6*C70</f>
        <v>4621.2</v>
      </c>
      <c r="J70" s="22"/>
      <c r="K70" s="22"/>
      <c r="L70" s="22"/>
      <c r="M70" s="22"/>
      <c r="N70" s="22"/>
      <c r="O70" s="91">
        <f>177390+13260</f>
        <v>190650</v>
      </c>
      <c r="P70" s="91">
        <f>183300+15052</f>
        <v>198352</v>
      </c>
      <c r="Q70" s="122"/>
      <c r="R70" s="173"/>
      <c r="S70" s="151">
        <v>1</v>
      </c>
      <c r="T70" s="91">
        <f>(P70-O70)*S70</f>
        <v>7702</v>
      </c>
      <c r="U70" s="644">
        <v>7584</v>
      </c>
      <c r="V70" s="698" t="s">
        <v>106</v>
      </c>
      <c r="W70" s="14" t="s">
        <v>48</v>
      </c>
      <c r="X70" s="48"/>
      <c r="Y70" s="7"/>
      <c r="Z70" s="7"/>
      <c r="AA70" s="7"/>
      <c r="AB70" s="7"/>
      <c r="AC70" s="7"/>
    </row>
    <row r="71" spans="1:29" ht="28.5" customHeight="1">
      <c r="A71" s="692"/>
      <c r="B71" s="213" t="s">
        <v>107</v>
      </c>
      <c r="C71" s="117">
        <f>T68-C706</f>
        <v>11307.269999999553</v>
      </c>
      <c r="D71" s="118"/>
      <c r="E71" s="113"/>
      <c r="F71" s="113"/>
      <c r="G71" s="113"/>
      <c r="H71" s="118"/>
      <c r="I71" s="113">
        <f>T69-I707</f>
        <v>0</v>
      </c>
      <c r="J71" s="98"/>
      <c r="K71" s="98"/>
      <c r="L71" s="98"/>
      <c r="M71" s="98"/>
      <c r="N71" s="98"/>
      <c r="O71" s="91">
        <f>3858.5+4596.53</f>
        <v>8455.0299999999988</v>
      </c>
      <c r="P71" s="91">
        <f>3863.53+4704.51</f>
        <v>8568.0400000000009</v>
      </c>
      <c r="Q71" s="92"/>
      <c r="R71" s="92"/>
      <c r="S71" s="91">
        <v>80</v>
      </c>
      <c r="T71" s="92">
        <f>(P71-O71)*S71</f>
        <v>9040.800000000163</v>
      </c>
      <c r="U71" s="644" t="s">
        <v>108</v>
      </c>
      <c r="V71" s="107" t="s">
        <v>109</v>
      </c>
      <c r="W71" s="14" t="s">
        <v>48</v>
      </c>
      <c r="X71" s="48"/>
      <c r="Y71" s="7"/>
      <c r="Z71" s="7"/>
      <c r="AA71" s="7"/>
      <c r="AB71" s="7"/>
      <c r="AC71" s="7"/>
    </row>
    <row r="72" spans="1:29" ht="28.5" customHeight="1">
      <c r="A72" s="692"/>
      <c r="B72" s="314" t="s">
        <v>684</v>
      </c>
      <c r="C72" s="91">
        <f t="shared" ref="C72" si="12">H72+E72</f>
        <v>4302</v>
      </c>
      <c r="D72" s="91"/>
      <c r="E72" s="91">
        <v>0</v>
      </c>
      <c r="F72" s="91">
        <v>0</v>
      </c>
      <c r="G72" s="91">
        <v>0</v>
      </c>
      <c r="H72" s="91">
        <f>T72</f>
        <v>4302</v>
      </c>
      <c r="I72" s="91">
        <f t="shared" ref="I72" si="13">0.4*C72</f>
        <v>1720.8000000000002</v>
      </c>
      <c r="J72" s="98"/>
      <c r="K72" s="98"/>
      <c r="L72" s="98"/>
      <c r="M72" s="22"/>
      <c r="N72" s="22"/>
      <c r="O72" s="91">
        <v>56744</v>
      </c>
      <c r="P72" s="91">
        <v>61046</v>
      </c>
      <c r="Q72" s="122"/>
      <c r="R72" s="585"/>
      <c r="S72" s="91">
        <v>1</v>
      </c>
      <c r="T72" s="91">
        <f>(P72-O72)*S72</f>
        <v>4302</v>
      </c>
      <c r="U72" s="712">
        <v>5837</v>
      </c>
      <c r="V72" s="317" t="s">
        <v>713</v>
      </c>
      <c r="W72" s="14"/>
      <c r="X72" s="48"/>
      <c r="Y72" s="7"/>
      <c r="Z72" s="7"/>
      <c r="AA72" s="7"/>
      <c r="AB72" s="7"/>
      <c r="AC72" s="7"/>
    </row>
    <row r="73" spans="1:29" ht="28.5" customHeight="1">
      <c r="A73" s="692"/>
      <c r="B73" s="213" t="s">
        <v>110</v>
      </c>
      <c r="C73" s="91">
        <f>H73+E73</f>
        <v>869.91</v>
      </c>
      <c r="D73" s="91"/>
      <c r="E73" s="91">
        <f>F73+G73</f>
        <v>56.910000000000004</v>
      </c>
      <c r="F73" s="91">
        <f>0.04*H73</f>
        <v>32.520000000000003</v>
      </c>
      <c r="G73" s="91">
        <f>0.03*H73</f>
        <v>24.39</v>
      </c>
      <c r="H73" s="91">
        <f>T73</f>
        <v>813</v>
      </c>
      <c r="I73" s="91">
        <f>0.6*C73</f>
        <v>521.94599999999991</v>
      </c>
      <c r="J73" s="98"/>
      <c r="K73" s="98"/>
      <c r="L73" s="98"/>
      <c r="M73" s="98"/>
      <c r="N73" s="98"/>
      <c r="O73" s="91">
        <v>16213</v>
      </c>
      <c r="P73" s="91">
        <v>17026</v>
      </c>
      <c r="Q73" s="92"/>
      <c r="R73" s="92"/>
      <c r="S73" s="91">
        <v>1</v>
      </c>
      <c r="T73" s="91">
        <f>(P73-O73)*S73</f>
        <v>813</v>
      </c>
      <c r="U73" s="644">
        <v>9868</v>
      </c>
      <c r="V73" s="107" t="s">
        <v>111</v>
      </c>
      <c r="W73" s="14" t="s">
        <v>48</v>
      </c>
      <c r="X73" s="48"/>
      <c r="Y73" s="7"/>
      <c r="Z73" s="7"/>
      <c r="AA73" s="7"/>
      <c r="AB73" s="7"/>
      <c r="AC73" s="7"/>
    </row>
    <row r="74" spans="1:29" ht="26.25">
      <c r="A74" s="108"/>
      <c r="B74" s="119" t="s">
        <v>112</v>
      </c>
      <c r="C74" s="97">
        <f>SUM(C68:C73)</f>
        <v>34742.979999999719</v>
      </c>
      <c r="D74" s="120"/>
      <c r="E74" s="121"/>
      <c r="F74" s="121"/>
      <c r="G74" s="121"/>
      <c r="H74" s="120"/>
      <c r="I74" s="121"/>
      <c r="J74" s="98"/>
      <c r="K74" s="98"/>
      <c r="L74" s="98"/>
      <c r="M74" s="98"/>
      <c r="N74" s="98"/>
      <c r="O74" s="91"/>
      <c r="P74" s="91"/>
      <c r="Q74" s="92"/>
      <c r="R74" s="92"/>
      <c r="S74" s="91"/>
      <c r="T74" s="92"/>
      <c r="U74" s="644"/>
      <c r="V74" s="107"/>
      <c r="W74" s="14" t="s">
        <v>48</v>
      </c>
      <c r="X74" s="48"/>
      <c r="Y74" s="122"/>
      <c r="Z74" s="122"/>
      <c r="AA74" s="122"/>
      <c r="AB74" s="122"/>
      <c r="AC74" s="122"/>
    </row>
    <row r="75" spans="1:29" ht="25.5">
      <c r="A75" s="692"/>
      <c r="B75" s="1"/>
      <c r="U75" s="719"/>
      <c r="V75" s="1"/>
      <c r="W75" s="14"/>
      <c r="X75" s="48"/>
      <c r="Y75" s="7"/>
      <c r="Z75" s="7"/>
      <c r="AA75" s="7"/>
      <c r="AB75" s="7"/>
      <c r="AC75" s="7"/>
    </row>
    <row r="76" spans="1:29" ht="26.25">
      <c r="A76" s="692"/>
      <c r="B76" s="123" t="s">
        <v>113</v>
      </c>
      <c r="C76" s="124"/>
      <c r="D76" s="125"/>
      <c r="E76" s="124"/>
      <c r="F76" s="124"/>
      <c r="G76" s="124"/>
      <c r="H76" s="124"/>
      <c r="I76" s="124"/>
      <c r="J76" s="126"/>
      <c r="K76" s="126"/>
      <c r="L76" s="126"/>
      <c r="M76" s="126"/>
      <c r="N76" s="126"/>
      <c r="O76" s="124"/>
      <c r="P76" s="124"/>
      <c r="Q76" s="125"/>
      <c r="R76" s="125"/>
      <c r="S76" s="124"/>
      <c r="T76" s="124"/>
      <c r="U76" s="717"/>
      <c r="V76" s="128"/>
      <c r="W76" s="14"/>
      <c r="X76" s="7"/>
      <c r="Y76" s="7"/>
      <c r="Z76" s="7"/>
      <c r="AA76" s="7"/>
      <c r="AB76" s="7"/>
      <c r="AC76" s="7"/>
    </row>
    <row r="77" spans="1:29" ht="25.5">
      <c r="A77" s="19"/>
      <c r="B77" s="132" t="s">
        <v>114</v>
      </c>
      <c r="C77" s="124">
        <f>(T77+T78)</f>
        <v>29496.999999999935</v>
      </c>
      <c r="D77" s="124"/>
      <c r="E77" s="124">
        <f>F77+G77</f>
        <v>0</v>
      </c>
      <c r="F77" s="124">
        <v>0</v>
      </c>
      <c r="G77" s="124">
        <v>0</v>
      </c>
      <c r="H77" s="124">
        <f>T77</f>
        <v>0</v>
      </c>
      <c r="I77" s="124">
        <f>T79</f>
        <v>0</v>
      </c>
      <c r="J77" s="126"/>
      <c r="K77" s="133"/>
      <c r="L77" s="133"/>
      <c r="M77" s="126"/>
      <c r="N77" s="126"/>
      <c r="O77" s="124">
        <v>4067.02</v>
      </c>
      <c r="P77" s="124">
        <v>4067.02</v>
      </c>
      <c r="Q77" s="159" t="s">
        <v>37</v>
      </c>
      <c r="R77" s="159"/>
      <c r="S77" s="124">
        <v>40</v>
      </c>
      <c r="T77" s="124">
        <f>(P77-O77)*S77</f>
        <v>0</v>
      </c>
      <c r="U77" s="717">
        <v>7163</v>
      </c>
      <c r="V77" s="600" t="s">
        <v>115</v>
      </c>
      <c r="W77" s="14" t="s">
        <v>116</v>
      </c>
      <c r="X77" s="7"/>
      <c r="Y77" s="7"/>
      <c r="Z77" s="7"/>
      <c r="AA77" s="7"/>
      <c r="AB77" s="7"/>
      <c r="AC77" s="7"/>
    </row>
    <row r="78" spans="1:29" ht="26.25" customHeight="1">
      <c r="A78" s="19"/>
      <c r="B78" s="132"/>
      <c r="C78" s="124"/>
      <c r="D78" s="124"/>
      <c r="E78" s="124">
        <f>F78+G78</f>
        <v>0</v>
      </c>
      <c r="F78" s="124">
        <v>0</v>
      </c>
      <c r="G78" s="124">
        <v>0</v>
      </c>
      <c r="H78" s="124">
        <f>T78</f>
        <v>29496.999999999935</v>
      </c>
      <c r="I78" s="124">
        <f>T81</f>
        <v>0</v>
      </c>
      <c r="J78" s="126"/>
      <c r="K78" s="133"/>
      <c r="L78" s="133"/>
      <c r="M78" s="126"/>
      <c r="N78" s="126"/>
      <c r="O78" s="124">
        <v>10641.94</v>
      </c>
      <c r="P78" s="124">
        <v>11231.88</v>
      </c>
      <c r="Q78" s="159" t="s">
        <v>37</v>
      </c>
      <c r="R78" s="159"/>
      <c r="S78" s="124">
        <v>50</v>
      </c>
      <c r="T78" s="124">
        <f>(P78-O78)*S78-T98</f>
        <v>29496.999999999935</v>
      </c>
      <c r="U78" s="717">
        <v>7215</v>
      </c>
      <c r="V78" s="600" t="s">
        <v>117</v>
      </c>
      <c r="W78" s="14" t="s">
        <v>27</v>
      </c>
      <c r="X78" s="7"/>
      <c r="Y78" s="7"/>
      <c r="Z78" s="7"/>
      <c r="AA78" s="7"/>
      <c r="AB78" s="7"/>
      <c r="AC78" s="7"/>
    </row>
    <row r="79" spans="1:29" ht="25.5">
      <c r="A79" s="19"/>
      <c r="B79" s="132"/>
      <c r="C79" s="124"/>
      <c r="D79" s="124"/>
      <c r="E79" s="124"/>
      <c r="F79" s="124"/>
      <c r="G79" s="124"/>
      <c r="H79" s="124"/>
      <c r="I79" s="124"/>
      <c r="J79" s="133"/>
      <c r="K79" s="133"/>
      <c r="L79" s="133"/>
      <c r="M79" s="133"/>
      <c r="N79" s="133"/>
      <c r="O79" s="124"/>
      <c r="P79" s="124"/>
      <c r="Q79" s="125"/>
      <c r="R79" s="125"/>
      <c r="S79" s="124"/>
      <c r="T79" s="124"/>
      <c r="U79" s="717"/>
      <c r="V79" s="128"/>
      <c r="W79" s="134" t="s">
        <v>118</v>
      </c>
      <c r="X79" s="7"/>
      <c r="Y79" s="7"/>
      <c r="Z79" s="7"/>
      <c r="AA79" s="7"/>
      <c r="AB79" s="7"/>
      <c r="AC79" s="7"/>
    </row>
    <row r="80" spans="1:29" ht="25.5">
      <c r="A80" s="19"/>
      <c r="B80" s="132" t="s">
        <v>119</v>
      </c>
      <c r="C80" s="124">
        <f>H80+E80</f>
        <v>392.69</v>
      </c>
      <c r="D80" s="124"/>
      <c r="E80" s="124">
        <f>F80+G80</f>
        <v>25.689999999999998</v>
      </c>
      <c r="F80" s="124">
        <f>0.04*H80</f>
        <v>14.68</v>
      </c>
      <c r="G80" s="124">
        <f>0.03*H80</f>
        <v>11.01</v>
      </c>
      <c r="H80" s="124">
        <f>T80</f>
        <v>367</v>
      </c>
      <c r="I80" s="124">
        <f>0.6*C80</f>
        <v>235.61399999999998</v>
      </c>
      <c r="J80" s="133"/>
      <c r="K80" s="133"/>
      <c r="L80" s="133"/>
      <c r="M80" s="133"/>
      <c r="N80" s="133"/>
      <c r="O80" s="124">
        <v>4389</v>
      </c>
      <c r="P80" s="124">
        <v>4756</v>
      </c>
      <c r="Q80" s="125"/>
      <c r="R80" s="125"/>
      <c r="S80" s="124">
        <v>1</v>
      </c>
      <c r="T80" s="124">
        <f>(P80-O80)*S80</f>
        <v>367</v>
      </c>
      <c r="U80" s="717"/>
      <c r="V80" s="128" t="s">
        <v>120</v>
      </c>
      <c r="W80" s="134" t="s">
        <v>116</v>
      </c>
      <c r="X80" s="7"/>
      <c r="Y80" s="7"/>
      <c r="Z80" s="7"/>
      <c r="AA80" s="7"/>
      <c r="AB80" s="7"/>
      <c r="AC80" s="7"/>
    </row>
    <row r="81" spans="1:29" ht="26.25">
      <c r="A81" s="135"/>
      <c r="B81" s="136" t="s">
        <v>121</v>
      </c>
      <c r="C81" s="97">
        <f>C77+C79</f>
        <v>29496.999999999935</v>
      </c>
      <c r="D81" s="137"/>
      <c r="E81" s="97"/>
      <c r="F81" s="97"/>
      <c r="G81" s="97"/>
      <c r="H81" s="97"/>
      <c r="I81" s="124">
        <f>I79+I77</f>
        <v>0</v>
      </c>
      <c r="J81" s="126"/>
      <c r="K81" s="126"/>
      <c r="L81" s="126"/>
      <c r="M81" s="126"/>
      <c r="N81" s="126"/>
      <c r="O81" s="124"/>
      <c r="P81" s="124"/>
      <c r="Q81" s="138"/>
      <c r="R81" s="139"/>
      <c r="S81" s="140"/>
      <c r="T81" s="124"/>
      <c r="U81" s="717"/>
      <c r="V81" s="128"/>
      <c r="W81" s="14"/>
      <c r="X81" s="7"/>
      <c r="Y81" s="7"/>
      <c r="Z81" s="7"/>
      <c r="AA81" s="7"/>
      <c r="AB81" s="7"/>
      <c r="AC81" s="7"/>
    </row>
    <row r="82" spans="1:29" ht="26.25">
      <c r="A82" s="135"/>
      <c r="B82" s="136" t="s">
        <v>122</v>
      </c>
      <c r="C82" s="97"/>
      <c r="D82" s="137"/>
      <c r="E82" s="97"/>
      <c r="F82" s="97"/>
      <c r="G82" s="97"/>
      <c r="H82" s="97"/>
      <c r="I82" s="124"/>
      <c r="J82" s="126"/>
      <c r="K82" s="126"/>
      <c r="L82" s="126"/>
      <c r="M82" s="126"/>
      <c r="N82" s="126"/>
      <c r="O82" s="124"/>
      <c r="P82" s="124"/>
      <c r="Q82" s="138"/>
      <c r="R82" s="139"/>
      <c r="S82" s="140"/>
      <c r="T82" s="124"/>
      <c r="U82" s="717"/>
      <c r="V82" s="128"/>
      <c r="W82" s="14"/>
      <c r="X82" s="7"/>
      <c r="Y82" s="7"/>
      <c r="Z82" s="7"/>
      <c r="AA82" s="7"/>
      <c r="AB82" s="7"/>
      <c r="AC82" s="7"/>
    </row>
    <row r="83" spans="1:29" ht="26.25">
      <c r="A83" s="19"/>
      <c r="B83" s="123" t="s">
        <v>123</v>
      </c>
      <c r="C83" s="124">
        <f>H83+E83</f>
        <v>2860</v>
      </c>
      <c r="D83" s="124"/>
      <c r="E83" s="124">
        <f>F83+G83</f>
        <v>0</v>
      </c>
      <c r="F83" s="124">
        <v>0</v>
      </c>
      <c r="G83" s="124">
        <v>0</v>
      </c>
      <c r="H83" s="124">
        <f>T83</f>
        <v>2860</v>
      </c>
      <c r="I83" s="124">
        <f>T86</f>
        <v>0</v>
      </c>
      <c r="J83" s="126"/>
      <c r="K83" s="133"/>
      <c r="L83" s="133"/>
      <c r="M83" s="126"/>
      <c r="N83" s="126"/>
      <c r="O83" s="124">
        <v>3820.3</v>
      </c>
      <c r="P83" s="124">
        <v>3891.8</v>
      </c>
      <c r="Q83" s="159" t="s">
        <v>37</v>
      </c>
      <c r="R83" s="159"/>
      <c r="S83" s="124">
        <v>40</v>
      </c>
      <c r="T83" s="124">
        <f>(P83-O83)*S83</f>
        <v>2860</v>
      </c>
      <c r="U83" s="717">
        <v>5669</v>
      </c>
      <c r="V83" s="128" t="s">
        <v>124</v>
      </c>
      <c r="W83" s="14" t="s">
        <v>19</v>
      </c>
      <c r="X83" s="7"/>
      <c r="Y83" s="7"/>
      <c r="Z83" s="7"/>
      <c r="AA83" s="7"/>
      <c r="AB83" s="7"/>
      <c r="AC83" s="7"/>
    </row>
    <row r="84" spans="1:29" ht="30.75" customHeight="1">
      <c r="A84" s="19"/>
      <c r="B84" s="158" t="s">
        <v>125</v>
      </c>
      <c r="C84" s="124">
        <f>H84+E84</f>
        <v>11865</v>
      </c>
      <c r="D84" s="124"/>
      <c r="E84" s="124">
        <f>F84+G84</f>
        <v>0</v>
      </c>
      <c r="F84" s="124">
        <v>0</v>
      </c>
      <c r="G84" s="124">
        <v>0</v>
      </c>
      <c r="H84" s="124">
        <f>T84</f>
        <v>11865</v>
      </c>
      <c r="I84" s="124">
        <f>T87</f>
        <v>0</v>
      </c>
      <c r="J84" s="126"/>
      <c r="K84" s="133"/>
      <c r="L84" s="133"/>
      <c r="M84" s="126"/>
      <c r="N84" s="126"/>
      <c r="O84" s="124">
        <v>3173</v>
      </c>
      <c r="P84" s="124">
        <v>3416</v>
      </c>
      <c r="Q84" s="159" t="s">
        <v>37</v>
      </c>
      <c r="R84" s="159"/>
      <c r="S84" s="124">
        <v>120</v>
      </c>
      <c r="T84" s="124">
        <f>(P84-O84)*S84-T377-T343-T83-T362-T376-T172</f>
        <v>11865</v>
      </c>
      <c r="U84" s="717">
        <v>1152</v>
      </c>
      <c r="V84" s="128" t="s">
        <v>124</v>
      </c>
      <c r="W84" s="14" t="s">
        <v>19</v>
      </c>
      <c r="X84" s="7"/>
      <c r="Y84" s="7"/>
      <c r="Z84" s="7"/>
      <c r="AA84" s="7"/>
      <c r="AB84" s="7"/>
      <c r="AC84" s="7"/>
    </row>
    <row r="85" spans="1:29" ht="27.75">
      <c r="A85" s="19"/>
      <c r="B85" s="141" t="s">
        <v>932</v>
      </c>
      <c r="C85" s="115">
        <f>SUM(C54+C74+C81+C66+C83+C84)</f>
        <v>439795.88119999971</v>
      </c>
      <c r="D85" s="91"/>
      <c r="E85" s="115"/>
      <c r="F85" s="91"/>
      <c r="G85" s="91"/>
      <c r="H85" s="115"/>
      <c r="I85" s="91">
        <f>SUM(I8:I43)+I74+I81+I66</f>
        <v>163740.81199999963</v>
      </c>
      <c r="J85" s="22"/>
      <c r="K85" s="22"/>
      <c r="L85" s="22"/>
      <c r="M85" s="22"/>
      <c r="N85" s="22"/>
      <c r="O85" s="91"/>
      <c r="P85" s="91"/>
      <c r="Q85" s="22"/>
      <c r="R85" s="142"/>
      <c r="S85" s="91"/>
      <c r="T85" s="91"/>
      <c r="U85" s="644"/>
      <c r="V85" s="695"/>
      <c r="W85" s="14"/>
      <c r="X85" s="7"/>
      <c r="Y85" s="7"/>
      <c r="Z85" s="7"/>
      <c r="AA85" s="7"/>
      <c r="AB85" s="7"/>
      <c r="AC85" s="7"/>
    </row>
    <row r="86" spans="1:29" ht="26.25">
      <c r="A86" s="19"/>
      <c r="B86" s="143"/>
      <c r="C86" s="115"/>
      <c r="D86" s="91"/>
      <c r="E86" s="115"/>
      <c r="F86" s="91"/>
      <c r="G86" s="91"/>
      <c r="H86" s="91"/>
      <c r="I86" s="91"/>
      <c r="J86" s="22"/>
      <c r="K86" s="22"/>
      <c r="L86" s="22"/>
      <c r="M86" s="22"/>
      <c r="N86" s="22"/>
      <c r="O86" s="91"/>
      <c r="P86" s="91"/>
      <c r="Q86" s="22"/>
      <c r="R86" s="142"/>
      <c r="S86" s="91"/>
      <c r="T86" s="91"/>
      <c r="U86" s="644"/>
      <c r="V86" s="695"/>
      <c r="W86" s="14"/>
      <c r="X86" s="7"/>
      <c r="Y86" s="7"/>
      <c r="Z86" s="7"/>
      <c r="AA86" s="7"/>
      <c r="AB86" s="7"/>
      <c r="AC86" s="7"/>
    </row>
    <row r="87" spans="1:29" ht="25.5">
      <c r="A87" s="822"/>
      <c r="B87" s="823"/>
      <c r="C87" s="91"/>
      <c r="D87" s="91"/>
      <c r="E87" s="92"/>
      <c r="F87" s="91"/>
      <c r="G87" s="91"/>
      <c r="H87" s="91"/>
      <c r="I87" s="91"/>
      <c r="J87" s="22"/>
      <c r="K87" s="22"/>
      <c r="L87" s="22"/>
      <c r="M87" s="22"/>
      <c r="N87" s="22"/>
      <c r="O87" s="91"/>
      <c r="P87" s="91"/>
      <c r="Q87" s="22"/>
      <c r="R87" s="142"/>
      <c r="S87" s="91"/>
      <c r="T87" s="91"/>
      <c r="U87" s="644"/>
      <c r="V87" s="695"/>
      <c r="W87" s="14"/>
      <c r="X87" s="7"/>
      <c r="Y87" s="7"/>
      <c r="Z87" s="7"/>
      <c r="AA87" s="7"/>
      <c r="AB87" s="7"/>
      <c r="AC87" s="7"/>
    </row>
    <row r="88" spans="1:29" ht="25.5">
      <c r="A88" s="19"/>
      <c r="B88" s="104" t="s">
        <v>127</v>
      </c>
      <c r="C88" s="91">
        <f>H88-C89-C90-C726-D720</f>
        <v>24998</v>
      </c>
      <c r="D88" s="91"/>
      <c r="E88" s="91"/>
      <c r="F88" s="91"/>
      <c r="G88" s="91"/>
      <c r="H88" s="91">
        <f>T88</f>
        <v>32760</v>
      </c>
      <c r="I88" s="91">
        <v>0</v>
      </c>
      <c r="J88" s="22"/>
      <c r="K88" s="22"/>
      <c r="L88" s="22"/>
      <c r="M88" s="22"/>
      <c r="N88" s="22"/>
      <c r="O88" s="91">
        <v>40268</v>
      </c>
      <c r="P88" s="91">
        <v>41087</v>
      </c>
      <c r="Q88" s="122"/>
      <c r="R88" s="173"/>
      <c r="S88" s="91">
        <v>40</v>
      </c>
      <c r="T88" s="91">
        <f>(P88-O88)*S88</f>
        <v>32760</v>
      </c>
      <c r="U88" s="644">
        <v>95964307</v>
      </c>
      <c r="V88" s="698" t="s">
        <v>128</v>
      </c>
      <c r="W88" s="14"/>
      <c r="X88" s="7"/>
      <c r="Y88" s="7"/>
      <c r="Z88" s="93"/>
      <c r="AA88" s="93"/>
      <c r="AB88" s="93"/>
      <c r="AC88" s="7"/>
    </row>
    <row r="89" spans="1:29" s="42" customFormat="1" ht="25.5">
      <c r="A89" s="32"/>
      <c r="B89" s="69" t="s">
        <v>129</v>
      </c>
      <c r="C89" s="49">
        <f>H89</f>
        <v>1200</v>
      </c>
      <c r="D89" s="49"/>
      <c r="E89" s="49"/>
      <c r="F89" s="49"/>
      <c r="G89" s="49"/>
      <c r="H89" s="49">
        <v>1200</v>
      </c>
      <c r="I89" s="49">
        <v>0</v>
      </c>
      <c r="J89" s="51"/>
      <c r="K89" s="51"/>
      <c r="L89" s="51"/>
      <c r="M89" s="51"/>
      <c r="N89" s="51"/>
      <c r="O89" s="49"/>
      <c r="P89" s="49"/>
      <c r="Q89" s="70"/>
      <c r="R89" s="76"/>
      <c r="S89" s="49"/>
      <c r="T89" s="49"/>
      <c r="U89" s="714" t="s">
        <v>29</v>
      </c>
      <c r="V89" s="64"/>
      <c r="W89" s="144"/>
      <c r="X89" s="41"/>
      <c r="Y89" s="41"/>
      <c r="Z89" s="145"/>
      <c r="AA89" s="145"/>
      <c r="AB89" s="145"/>
      <c r="AC89" s="41"/>
    </row>
    <row r="90" spans="1:29" ht="26.25">
      <c r="A90" s="19"/>
      <c r="B90" s="148" t="s">
        <v>130</v>
      </c>
      <c r="C90" s="115">
        <f>H90+E90</f>
        <v>3667</v>
      </c>
      <c r="D90" s="92"/>
      <c r="E90" s="91">
        <f>247</f>
        <v>247</v>
      </c>
      <c r="F90" s="91"/>
      <c r="G90" s="91"/>
      <c r="H90" s="91">
        <f>T90</f>
        <v>3420</v>
      </c>
      <c r="I90" s="91"/>
      <c r="J90" s="22"/>
      <c r="K90" s="22"/>
      <c r="L90" s="22"/>
      <c r="M90" s="22"/>
      <c r="N90" s="22"/>
      <c r="O90" s="91">
        <v>15326</v>
      </c>
      <c r="P90" s="91">
        <v>15440</v>
      </c>
      <c r="Q90" s="149"/>
      <c r="R90" s="150"/>
      <c r="S90" s="151">
        <v>30</v>
      </c>
      <c r="T90" s="91">
        <f>(P90-O90)*S90</f>
        <v>3420</v>
      </c>
      <c r="U90" s="644"/>
      <c r="V90" s="698" t="s">
        <v>131</v>
      </c>
      <c r="W90" s="14"/>
      <c r="X90" s="7"/>
      <c r="Y90" s="7"/>
      <c r="Z90" s="93"/>
      <c r="AA90" s="93"/>
      <c r="AB90" s="93"/>
      <c r="AC90" s="7"/>
    </row>
    <row r="91" spans="1:29" ht="25.5" customHeight="1">
      <c r="A91" s="19"/>
      <c r="B91" s="148"/>
      <c r="C91" s="115"/>
      <c r="D91" s="92"/>
      <c r="E91" s="91"/>
      <c r="F91" s="91"/>
      <c r="G91" s="91"/>
      <c r="H91" s="91"/>
      <c r="I91" s="91"/>
      <c r="J91" s="22"/>
      <c r="K91" s="22"/>
      <c r="L91" s="22"/>
      <c r="M91" s="22"/>
      <c r="N91" s="22"/>
      <c r="O91" s="91"/>
      <c r="P91" s="91"/>
      <c r="Q91" s="149"/>
      <c r="R91" s="150"/>
      <c r="S91" s="151"/>
      <c r="T91" s="91"/>
      <c r="U91" s="644"/>
      <c r="V91" s="695"/>
      <c r="W91" s="14"/>
      <c r="X91" s="7"/>
      <c r="Y91" s="7"/>
      <c r="Z91" s="7"/>
      <c r="AA91" s="7"/>
      <c r="AB91" s="7"/>
      <c r="AC91" s="7"/>
    </row>
    <row r="92" spans="1:29" ht="26.25">
      <c r="A92" s="19"/>
      <c r="B92" s="96" t="s">
        <v>86</v>
      </c>
      <c r="C92" s="115">
        <f>C88+C89+C90+C726+D726</f>
        <v>32760</v>
      </c>
      <c r="D92" s="28"/>
      <c r="E92" s="72"/>
      <c r="F92" s="28"/>
      <c r="G92" s="28"/>
      <c r="H92" s="72"/>
      <c r="I92" s="91">
        <v>0</v>
      </c>
      <c r="J92" s="22"/>
      <c r="K92" s="22"/>
      <c r="L92" s="22"/>
      <c r="M92" s="22"/>
      <c r="N92" s="22"/>
      <c r="O92" s="91"/>
      <c r="P92" s="91"/>
      <c r="Q92" s="22" t="s">
        <v>26</v>
      </c>
      <c r="R92" s="142"/>
      <c r="S92" s="91"/>
      <c r="T92" s="91">
        <v>0</v>
      </c>
      <c r="U92" s="455"/>
      <c r="V92" s="693"/>
      <c r="W92" s="14"/>
      <c r="X92" s="7"/>
      <c r="Y92" s="7"/>
      <c r="Z92" s="149"/>
      <c r="AA92" s="149"/>
      <c r="AB92" s="149"/>
      <c r="AC92" s="149"/>
    </row>
    <row r="93" spans="1:29" ht="26.25">
      <c r="A93" s="19"/>
      <c r="B93" s="143"/>
      <c r="C93" s="115"/>
      <c r="D93" s="91"/>
      <c r="E93" s="115"/>
      <c r="F93" s="91"/>
      <c r="G93" s="91"/>
      <c r="H93" s="91"/>
      <c r="I93" s="91"/>
      <c r="J93" s="22"/>
      <c r="K93" s="22"/>
      <c r="L93" s="22"/>
      <c r="M93" s="22"/>
      <c r="N93" s="22"/>
      <c r="O93" s="91"/>
      <c r="P93" s="91"/>
      <c r="Q93" s="22" t="s">
        <v>28</v>
      </c>
      <c r="R93" s="142"/>
      <c r="S93" s="91"/>
      <c r="T93" s="91"/>
      <c r="U93" s="644"/>
      <c r="V93" s="695"/>
      <c r="W93" s="14"/>
      <c r="X93" s="7"/>
      <c r="Y93" s="7"/>
      <c r="Z93" s="149"/>
      <c r="AA93" s="149"/>
      <c r="AB93" s="149"/>
      <c r="AC93" s="149"/>
    </row>
    <row r="94" spans="1:29" ht="25.5" customHeight="1">
      <c r="A94" s="808" t="s">
        <v>132</v>
      </c>
      <c r="B94" s="809"/>
      <c r="C94" s="91"/>
      <c r="D94" s="91"/>
      <c r="E94" s="92"/>
      <c r="F94" s="91"/>
      <c r="G94" s="91"/>
      <c r="H94" s="91"/>
      <c r="I94" s="91"/>
      <c r="J94" s="22"/>
      <c r="K94" s="22"/>
      <c r="L94" s="22"/>
      <c r="M94" s="22"/>
      <c r="N94" s="22"/>
      <c r="O94" s="91"/>
      <c r="P94" s="91"/>
      <c r="Q94" s="22" t="s">
        <v>33</v>
      </c>
      <c r="R94" s="142"/>
      <c r="S94" s="91"/>
      <c r="T94" s="91"/>
      <c r="U94" s="644"/>
      <c r="V94" s="695"/>
      <c r="W94" s="14"/>
      <c r="X94" s="7"/>
      <c r="Y94" s="7"/>
      <c r="Z94" s="149"/>
      <c r="AA94" s="149"/>
      <c r="AB94" s="149"/>
      <c r="AC94" s="149"/>
    </row>
    <row r="95" spans="1:29" s="42" customFormat="1" ht="25.5" customHeight="1">
      <c r="A95" s="152"/>
      <c r="B95" s="553"/>
      <c r="C95" s="554"/>
      <c r="D95" s="554"/>
      <c r="E95" s="554"/>
      <c r="F95" s="554"/>
      <c r="G95" s="554"/>
      <c r="H95" s="554"/>
      <c r="I95" s="554"/>
      <c r="J95" s="555"/>
      <c r="K95" s="555"/>
      <c r="L95" s="555"/>
      <c r="M95" s="555"/>
      <c r="N95" s="555"/>
      <c r="O95" s="554"/>
      <c r="P95" s="554"/>
      <c r="Q95" s="556"/>
      <c r="R95" s="556"/>
      <c r="S95" s="554"/>
      <c r="T95" s="554"/>
      <c r="U95" s="720"/>
      <c r="V95" s="558"/>
      <c r="W95" s="40"/>
      <c r="X95" s="41"/>
      <c r="Y95" s="41"/>
      <c r="Z95" s="153"/>
      <c r="AA95" s="153"/>
      <c r="AB95" s="153"/>
      <c r="AC95" s="153"/>
    </row>
    <row r="96" spans="1:29" ht="25.5" customHeight="1">
      <c r="A96" s="690"/>
      <c r="B96" s="123" t="s">
        <v>133</v>
      </c>
      <c r="C96" s="97">
        <f>H96+E96</f>
        <v>13111.959999999963</v>
      </c>
      <c r="D96" s="125"/>
      <c r="E96" s="124">
        <f>F96+G96</f>
        <v>0</v>
      </c>
      <c r="F96" s="124">
        <v>0</v>
      </c>
      <c r="G96" s="124">
        <v>0</v>
      </c>
      <c r="H96" s="124">
        <f>T96</f>
        <v>13111.959999999963</v>
      </c>
      <c r="I96" s="124">
        <f>0.5*C96</f>
        <v>6555.9799999999814</v>
      </c>
      <c r="J96" s="126"/>
      <c r="K96" s="126"/>
      <c r="L96" s="126"/>
      <c r="M96" s="126"/>
      <c r="N96" s="126"/>
      <c r="O96" s="188">
        <v>13911.831</v>
      </c>
      <c r="P96" s="188">
        <v>14239.63</v>
      </c>
      <c r="Q96" s="7"/>
      <c r="R96" s="228"/>
      <c r="S96" s="140">
        <v>40</v>
      </c>
      <c r="T96" s="124">
        <f>(P96-O96)*S96</f>
        <v>13111.959999999963</v>
      </c>
      <c r="U96" s="717" t="s">
        <v>134</v>
      </c>
      <c r="V96" s="128" t="s">
        <v>135</v>
      </c>
      <c r="W96" s="14" t="s">
        <v>27</v>
      </c>
      <c r="X96" s="7"/>
      <c r="Y96" s="7"/>
      <c r="Z96" s="149"/>
      <c r="AA96" s="149"/>
      <c r="AB96" s="149"/>
      <c r="AC96" s="149"/>
    </row>
    <row r="97" spans="1:29" ht="25.5" customHeight="1">
      <c r="A97" s="690"/>
      <c r="B97" s="158"/>
      <c r="C97" s="124"/>
      <c r="D97" s="124"/>
      <c r="E97" s="124"/>
      <c r="F97" s="124"/>
      <c r="G97" s="124"/>
      <c r="H97" s="124"/>
      <c r="I97" s="124">
        <f>0.5*C97</f>
        <v>0</v>
      </c>
      <c r="J97" s="126"/>
      <c r="K97" s="126"/>
      <c r="L97" s="126"/>
      <c r="M97" s="126"/>
      <c r="N97" s="126"/>
      <c r="O97" s="124"/>
      <c r="P97" s="124"/>
      <c r="Q97" s="138"/>
      <c r="R97" s="215"/>
      <c r="S97" s="140"/>
      <c r="T97" s="124"/>
      <c r="U97" s="717"/>
      <c r="V97" s="128"/>
      <c r="W97" s="14"/>
      <c r="X97" s="7"/>
      <c r="Y97" s="7"/>
      <c r="Z97" s="149"/>
      <c r="AA97" s="149"/>
      <c r="AB97" s="149"/>
      <c r="AC97" s="149"/>
    </row>
    <row r="98" spans="1:29" ht="25.5" customHeight="1">
      <c r="A98" s="690"/>
      <c r="B98" s="833" t="s">
        <v>136</v>
      </c>
      <c r="C98" s="124">
        <f>H98+E98</f>
        <v>41200</v>
      </c>
      <c r="D98" s="124"/>
      <c r="E98" s="124">
        <f>F98+G98</f>
        <v>0</v>
      </c>
      <c r="F98" s="124">
        <v>0</v>
      </c>
      <c r="G98" s="124">
        <v>0</v>
      </c>
      <c r="H98" s="124">
        <f>T98+T99</f>
        <v>41200</v>
      </c>
      <c r="I98" s="124">
        <f>0.6*C98</f>
        <v>24720</v>
      </c>
      <c r="J98" s="126"/>
      <c r="K98" s="126"/>
      <c r="L98" s="126"/>
      <c r="M98" s="126"/>
      <c r="N98" s="126"/>
      <c r="O98" s="124">
        <v>64090.84</v>
      </c>
      <c r="P98" s="124">
        <v>64090.84</v>
      </c>
      <c r="Q98" s="138"/>
      <c r="R98" s="215"/>
      <c r="S98" s="140">
        <v>80</v>
      </c>
      <c r="T98" s="124">
        <f>(P98-O98)*S98</f>
        <v>0</v>
      </c>
      <c r="U98" s="717"/>
      <c r="V98" s="128" t="s">
        <v>137</v>
      </c>
      <c r="W98" s="14" t="s">
        <v>27</v>
      </c>
      <c r="X98" s="7"/>
      <c r="Y98" s="7"/>
      <c r="Z98" s="149"/>
      <c r="AA98" s="149"/>
      <c r="AB98" s="149"/>
      <c r="AC98" s="149"/>
    </row>
    <row r="99" spans="1:29" ht="25.5">
      <c r="A99" s="19"/>
      <c r="B99" s="834"/>
      <c r="C99" s="124"/>
      <c r="D99" s="124"/>
      <c r="E99" s="124"/>
      <c r="F99" s="124"/>
      <c r="G99" s="124"/>
      <c r="H99" s="124"/>
      <c r="I99" s="124">
        <f>0.6*C99</f>
        <v>0</v>
      </c>
      <c r="J99" s="126"/>
      <c r="K99" s="126"/>
      <c r="L99" s="126"/>
      <c r="M99" s="126"/>
      <c r="N99" s="126"/>
      <c r="O99" s="124">
        <v>2898.1</v>
      </c>
      <c r="P99" s="124">
        <v>3155.6</v>
      </c>
      <c r="Q99" s="138"/>
      <c r="R99" s="215"/>
      <c r="S99" s="140">
        <v>80</v>
      </c>
      <c r="T99" s="124">
        <f>(P99-O99)*S99*2</f>
        <v>41200</v>
      </c>
      <c r="U99" s="717"/>
      <c r="V99" s="128" t="s">
        <v>138</v>
      </c>
      <c r="W99" s="14" t="s">
        <v>27</v>
      </c>
      <c r="X99" s="93"/>
      <c r="Y99" s="93"/>
      <c r="Z99" s="149"/>
      <c r="AA99" s="149"/>
      <c r="AB99" s="149"/>
      <c r="AC99" s="149"/>
    </row>
    <row r="100" spans="1:29" ht="25.5">
      <c r="A100" s="157"/>
      <c r="B100" s="158"/>
      <c r="C100" s="124"/>
      <c r="D100" s="124"/>
      <c r="E100" s="125"/>
      <c r="F100" s="125"/>
      <c r="G100" s="125"/>
      <c r="H100" s="124"/>
      <c r="I100" s="125"/>
      <c r="J100" s="126"/>
      <c r="K100" s="126"/>
      <c r="L100" s="126"/>
      <c r="M100" s="126"/>
      <c r="N100" s="126"/>
      <c r="O100" s="124"/>
      <c r="P100" s="124"/>
      <c r="Q100" s="126"/>
      <c r="R100" s="159"/>
      <c r="S100" s="124"/>
      <c r="T100" s="124"/>
      <c r="U100" s="717"/>
      <c r="V100" s="128"/>
      <c r="W100" s="47"/>
      <c r="X100" s="93"/>
      <c r="Y100" s="93"/>
      <c r="Z100" s="149"/>
      <c r="AA100" s="149"/>
      <c r="AB100" s="149"/>
      <c r="AC100" s="149"/>
    </row>
    <row r="101" spans="1:29" ht="26.25">
      <c r="A101" s="157"/>
      <c r="B101" s="123" t="s">
        <v>710</v>
      </c>
      <c r="C101" s="97">
        <f>H101+E101</f>
        <v>16960</v>
      </c>
      <c r="D101" s="124"/>
      <c r="E101" s="124">
        <f>F101+G101</f>
        <v>0</v>
      </c>
      <c r="F101" s="124">
        <f>X101</f>
        <v>0</v>
      </c>
      <c r="G101" s="124">
        <f>Y101</f>
        <v>0</v>
      </c>
      <c r="H101" s="124">
        <f>T102+T105+T108</f>
        <v>16960</v>
      </c>
      <c r="I101" s="124">
        <f>T103+0.5*(T108+T105)</f>
        <v>2960</v>
      </c>
      <c r="J101" s="126"/>
      <c r="K101" s="126"/>
      <c r="L101" s="126"/>
      <c r="M101" s="126"/>
      <c r="N101" s="126" t="s">
        <v>139</v>
      </c>
      <c r="O101" s="124"/>
      <c r="P101" s="124"/>
      <c r="Q101" s="138"/>
      <c r="R101" s="159"/>
      <c r="S101" s="124">
        <v>1</v>
      </c>
      <c r="T101" s="124">
        <f t="shared" ref="T101:T108" si="14">(P101-O101)*S101</f>
        <v>0</v>
      </c>
      <c r="U101" s="717"/>
      <c r="V101" s="128"/>
      <c r="W101" s="47" t="s">
        <v>31</v>
      </c>
      <c r="X101" s="93"/>
      <c r="Y101" s="93"/>
      <c r="Z101" s="7"/>
      <c r="AA101" s="7"/>
      <c r="AB101" s="7"/>
      <c r="AC101" s="7"/>
    </row>
    <row r="102" spans="1:29" ht="25.5">
      <c r="A102" s="157"/>
      <c r="B102" s="158" t="s">
        <v>140</v>
      </c>
      <c r="C102" s="124"/>
      <c r="D102" s="124"/>
      <c r="E102" s="124"/>
      <c r="F102" s="124"/>
      <c r="G102" s="124"/>
      <c r="H102" s="124"/>
      <c r="I102" s="125"/>
      <c r="J102" s="126"/>
      <c r="K102" s="126"/>
      <c r="L102" s="126"/>
      <c r="M102" s="126"/>
      <c r="N102" s="126"/>
      <c r="O102" s="124">
        <v>28896</v>
      </c>
      <c r="P102" s="124">
        <v>29080</v>
      </c>
      <c r="Q102" s="138"/>
      <c r="R102" s="159"/>
      <c r="S102" s="124">
        <v>60</v>
      </c>
      <c r="T102" s="124">
        <f>(P102-O102)*S102</f>
        <v>11040</v>
      </c>
      <c r="U102" s="717">
        <v>36259</v>
      </c>
      <c r="V102" s="128" t="s">
        <v>141</v>
      </c>
      <c r="W102" s="14"/>
      <c r="X102" s="7"/>
      <c r="Y102" s="7"/>
      <c r="Z102" s="7"/>
      <c r="AA102" s="7"/>
      <c r="AB102" s="7"/>
      <c r="AC102" s="7"/>
    </row>
    <row r="103" spans="1:29" ht="25.5">
      <c r="A103" s="157"/>
      <c r="B103" s="158"/>
      <c r="C103" s="124"/>
      <c r="D103" s="124"/>
      <c r="E103" s="124"/>
      <c r="F103" s="124"/>
      <c r="G103" s="124"/>
      <c r="H103" s="124"/>
      <c r="I103" s="125"/>
      <c r="J103" s="126"/>
      <c r="K103" s="126"/>
      <c r="L103" s="126"/>
      <c r="M103" s="126"/>
      <c r="N103" s="126"/>
      <c r="O103" s="124"/>
      <c r="P103" s="124"/>
      <c r="Q103" s="138"/>
      <c r="R103" s="159"/>
      <c r="S103" s="124">
        <v>60</v>
      </c>
      <c r="T103" s="124">
        <f t="shared" si="14"/>
        <v>0</v>
      </c>
      <c r="U103" s="717"/>
      <c r="V103" s="128"/>
      <c r="W103" s="134"/>
      <c r="X103" s="149"/>
      <c r="Y103" s="149"/>
      <c r="Z103" s="7"/>
      <c r="AA103" s="7"/>
      <c r="AB103" s="7"/>
      <c r="AC103" s="7"/>
    </row>
    <row r="104" spans="1:29" ht="25.5">
      <c r="A104" s="157"/>
      <c r="B104" s="158"/>
      <c r="C104" s="124"/>
      <c r="D104" s="124"/>
      <c r="E104" s="124"/>
      <c r="F104" s="124"/>
      <c r="G104" s="124"/>
      <c r="H104" s="124"/>
      <c r="I104" s="125"/>
      <c r="J104" s="126"/>
      <c r="K104" s="126"/>
      <c r="L104" s="126"/>
      <c r="M104" s="126"/>
      <c r="N104" s="126"/>
      <c r="O104" s="124"/>
      <c r="P104" s="124"/>
      <c r="Q104" s="138"/>
      <c r="R104" s="159"/>
      <c r="S104" s="124">
        <v>60</v>
      </c>
      <c r="T104" s="124">
        <f t="shared" si="14"/>
        <v>0</v>
      </c>
      <c r="U104" s="717"/>
      <c r="V104" s="128"/>
      <c r="W104" s="134"/>
      <c r="X104" s="149"/>
      <c r="Y104" s="149"/>
      <c r="Z104" s="7"/>
      <c r="AA104" s="7"/>
      <c r="AB104" s="7"/>
      <c r="AC104" s="7"/>
    </row>
    <row r="105" spans="1:29" ht="25.5">
      <c r="A105" s="157"/>
      <c r="B105" s="158" t="s">
        <v>142</v>
      </c>
      <c r="C105" s="124"/>
      <c r="D105" s="124"/>
      <c r="E105" s="124"/>
      <c r="F105" s="124"/>
      <c r="G105" s="124"/>
      <c r="H105" s="124"/>
      <c r="I105" s="125"/>
      <c r="J105" s="126"/>
      <c r="K105" s="126"/>
      <c r="L105" s="126"/>
      <c r="M105" s="126"/>
      <c r="N105" s="126"/>
      <c r="O105" s="124">
        <v>5947</v>
      </c>
      <c r="P105" s="124">
        <v>6009</v>
      </c>
      <c r="Q105" s="138"/>
      <c r="R105" s="215"/>
      <c r="S105" s="124">
        <v>40</v>
      </c>
      <c r="T105" s="124">
        <f t="shared" si="14"/>
        <v>2480</v>
      </c>
      <c r="U105" s="717">
        <v>580023</v>
      </c>
      <c r="V105" s="128"/>
      <c r="W105" s="134"/>
      <c r="X105" s="149"/>
      <c r="Y105" s="149"/>
      <c r="Z105" s="7"/>
      <c r="AA105" s="7"/>
      <c r="AB105" s="7"/>
      <c r="AC105" s="7"/>
    </row>
    <row r="106" spans="1:29" ht="25.5">
      <c r="A106" s="157"/>
      <c r="B106" s="158"/>
      <c r="C106" s="124"/>
      <c r="D106" s="124"/>
      <c r="E106" s="124"/>
      <c r="F106" s="124"/>
      <c r="G106" s="124"/>
      <c r="H106" s="124"/>
      <c r="I106" s="125"/>
      <c r="J106" s="126"/>
      <c r="K106" s="126"/>
      <c r="L106" s="126"/>
      <c r="M106" s="126"/>
      <c r="N106" s="126"/>
      <c r="O106" s="124"/>
      <c r="P106" s="124"/>
      <c r="Q106" s="138"/>
      <c r="R106" s="159"/>
      <c r="S106" s="124">
        <v>20</v>
      </c>
      <c r="T106" s="124">
        <f t="shared" si="14"/>
        <v>0</v>
      </c>
      <c r="U106" s="717"/>
      <c r="V106" s="128"/>
      <c r="W106" s="134"/>
      <c r="X106" s="149"/>
      <c r="Y106" s="149"/>
      <c r="Z106" s="7"/>
      <c r="AA106" s="7"/>
      <c r="AB106" s="7"/>
      <c r="AC106" s="7"/>
    </row>
    <row r="107" spans="1:29" ht="25.5">
      <c r="A107" s="157"/>
      <c r="B107" s="158"/>
      <c r="C107" s="124"/>
      <c r="D107" s="124"/>
      <c r="E107" s="124"/>
      <c r="F107" s="124"/>
      <c r="G107" s="124"/>
      <c r="H107" s="124"/>
      <c r="I107" s="125"/>
      <c r="J107" s="126"/>
      <c r="K107" s="126"/>
      <c r="L107" s="126"/>
      <c r="M107" s="126"/>
      <c r="N107" s="126"/>
      <c r="O107" s="124"/>
      <c r="P107" s="124"/>
      <c r="Q107" s="138"/>
      <c r="R107" s="159"/>
      <c r="S107" s="124">
        <v>40</v>
      </c>
      <c r="T107" s="124">
        <f t="shared" si="14"/>
        <v>0</v>
      </c>
      <c r="U107" s="717"/>
      <c r="V107" s="128"/>
      <c r="W107" s="134"/>
      <c r="X107" s="149"/>
      <c r="Y107" s="149"/>
      <c r="Z107" s="7"/>
      <c r="AA107" s="7"/>
      <c r="AB107" s="7"/>
      <c r="AC107" s="7"/>
    </row>
    <row r="108" spans="1:29" ht="25.5">
      <c r="A108" s="157"/>
      <c r="B108" s="158" t="s">
        <v>143</v>
      </c>
      <c r="C108" s="124"/>
      <c r="D108" s="124"/>
      <c r="E108" s="124"/>
      <c r="F108" s="124"/>
      <c r="G108" s="124"/>
      <c r="H108" s="124"/>
      <c r="I108" s="125"/>
      <c r="J108" s="126"/>
      <c r="K108" s="126"/>
      <c r="L108" s="126"/>
      <c r="M108" s="126"/>
      <c r="N108" s="126"/>
      <c r="O108" s="124">
        <v>5148</v>
      </c>
      <c r="P108" s="124">
        <v>5234</v>
      </c>
      <c r="Q108" s="138"/>
      <c r="R108" s="159"/>
      <c r="S108" s="124">
        <v>40</v>
      </c>
      <c r="T108" s="124">
        <f t="shared" si="14"/>
        <v>3440</v>
      </c>
      <c r="U108" s="717">
        <v>951989</v>
      </c>
      <c r="V108" s="128"/>
      <c r="W108" s="14"/>
      <c r="X108" s="7"/>
      <c r="Y108" s="7"/>
      <c r="Z108" s="7"/>
      <c r="AA108" s="7"/>
      <c r="AB108" s="7"/>
      <c r="AC108" s="7"/>
    </row>
    <row r="109" spans="1:29" ht="27.75">
      <c r="A109" s="19"/>
      <c r="B109" s="141" t="s">
        <v>86</v>
      </c>
      <c r="C109" s="115">
        <f>C96+C101</f>
        <v>30071.959999999963</v>
      </c>
      <c r="D109" s="115"/>
      <c r="E109" s="115"/>
      <c r="F109" s="91"/>
      <c r="G109" s="91"/>
      <c r="H109" s="115">
        <f>SUM(H99:H108)</f>
        <v>16960</v>
      </c>
      <c r="I109" s="115">
        <f>I101+I99</f>
        <v>2960</v>
      </c>
      <c r="J109" s="160">
        <f>SUM(J99:J105)</f>
        <v>0</v>
      </c>
      <c r="K109" s="160">
        <f>SUM(K99:K105)</f>
        <v>0</v>
      </c>
      <c r="L109" s="160">
        <f>SUM(L99:L105)</f>
        <v>0</v>
      </c>
      <c r="M109" s="160">
        <f>SUM(M99:M105)</f>
        <v>0</v>
      </c>
      <c r="N109" s="22"/>
      <c r="O109" s="91"/>
      <c r="P109" s="91"/>
      <c r="Q109" s="149"/>
      <c r="R109" s="161"/>
      <c r="S109" s="91"/>
      <c r="T109" s="91"/>
      <c r="U109" s="644"/>
      <c r="V109" s="695"/>
      <c r="W109" s="14"/>
      <c r="X109" s="7"/>
      <c r="Y109" s="7"/>
      <c r="Z109" s="7"/>
      <c r="AA109" s="7"/>
      <c r="AB109" s="7"/>
      <c r="AC109" s="7"/>
    </row>
    <row r="110" spans="1:29" ht="26.25">
      <c r="A110" s="19"/>
      <c r="B110" s="143"/>
      <c r="C110" s="115"/>
      <c r="D110" s="115"/>
      <c r="E110" s="115"/>
      <c r="F110" s="91"/>
      <c r="G110" s="91"/>
      <c r="H110" s="91"/>
      <c r="I110" s="115"/>
      <c r="J110" s="162"/>
      <c r="K110" s="162"/>
      <c r="L110" s="162"/>
      <c r="M110" s="162"/>
      <c r="N110" s="22"/>
      <c r="O110" s="91"/>
      <c r="P110" s="91"/>
      <c r="Q110" s="149"/>
      <c r="R110" s="161"/>
      <c r="S110" s="91"/>
      <c r="T110" s="91"/>
      <c r="U110" s="644"/>
      <c r="V110" s="695"/>
      <c r="W110" s="14"/>
      <c r="X110" s="7"/>
      <c r="Y110" s="7"/>
      <c r="Z110" s="7"/>
      <c r="AA110" s="7"/>
      <c r="AB110" s="7"/>
      <c r="AC110" s="7"/>
    </row>
    <row r="111" spans="1:29" ht="26.25">
      <c r="A111" s="19"/>
      <c r="B111" s="163" t="s">
        <v>144</v>
      </c>
      <c r="C111" s="115"/>
      <c r="D111" s="115"/>
      <c r="E111" s="115"/>
      <c r="F111" s="91"/>
      <c r="G111" s="91"/>
      <c r="H111" s="91"/>
      <c r="I111" s="91"/>
      <c r="J111" s="162"/>
      <c r="K111" s="162"/>
      <c r="L111" s="162"/>
      <c r="M111" s="162"/>
      <c r="N111" s="22"/>
      <c r="O111" s="91"/>
      <c r="P111" s="91"/>
      <c r="Q111" s="22" t="s">
        <v>50</v>
      </c>
      <c r="R111" s="142"/>
      <c r="S111" s="91"/>
      <c r="T111" s="91"/>
      <c r="U111" s="644"/>
      <c r="V111" s="695"/>
      <c r="W111" s="14"/>
      <c r="X111" s="7"/>
      <c r="Y111" s="7"/>
      <c r="Z111" s="7"/>
      <c r="AA111" s="7"/>
      <c r="AB111" s="7"/>
      <c r="AC111" s="7"/>
    </row>
    <row r="112" spans="1:29" ht="26.25">
      <c r="A112" s="19"/>
      <c r="C112" s="91"/>
      <c r="D112" s="115"/>
      <c r="E112" s="115"/>
      <c r="F112" s="91"/>
      <c r="G112" s="91"/>
      <c r="H112" s="91"/>
      <c r="I112" s="91"/>
      <c r="J112" s="164"/>
      <c r="K112" s="164"/>
      <c r="L112" s="164"/>
      <c r="M112" s="164"/>
      <c r="N112" s="164"/>
      <c r="O112" s="91"/>
      <c r="P112" s="91"/>
      <c r="Q112" s="7"/>
      <c r="R112" s="94"/>
      <c r="S112" s="91"/>
      <c r="T112" s="91"/>
      <c r="U112" s="644"/>
      <c r="V112" s="695"/>
      <c r="W112" s="14"/>
      <c r="X112" s="7"/>
      <c r="Y112" s="7"/>
      <c r="Z112" s="7"/>
      <c r="AA112" s="7"/>
      <c r="AB112" s="7"/>
      <c r="AC112" s="7"/>
    </row>
    <row r="113" spans="1:29" ht="26.25">
      <c r="A113" s="19"/>
      <c r="B113" s="163" t="s">
        <v>145</v>
      </c>
      <c r="C113" s="91"/>
      <c r="D113" s="115"/>
      <c r="E113" s="115"/>
      <c r="F113" s="91"/>
      <c r="G113" s="91"/>
      <c r="H113" s="91"/>
      <c r="I113" s="91"/>
      <c r="J113" s="164"/>
      <c r="K113" s="164"/>
      <c r="L113" s="164"/>
      <c r="M113" s="164"/>
      <c r="N113" s="164"/>
      <c r="O113" s="91"/>
      <c r="P113" s="91"/>
      <c r="Q113" s="7"/>
      <c r="R113" s="94"/>
      <c r="S113" s="91"/>
      <c r="T113" s="91"/>
      <c r="U113" s="644"/>
      <c r="V113" s="695"/>
      <c r="W113" s="14"/>
      <c r="X113" s="7"/>
      <c r="Y113" s="7"/>
      <c r="Z113" s="7"/>
      <c r="AA113" s="7"/>
      <c r="AB113" s="7"/>
      <c r="AC113" s="7"/>
    </row>
    <row r="114" spans="1:29" ht="25.5">
      <c r="A114" s="19"/>
      <c r="B114" s="148" t="s">
        <v>787</v>
      </c>
      <c r="C114" s="91">
        <f>H114+E114</f>
        <v>0</v>
      </c>
      <c r="D114" s="91"/>
      <c r="E114" s="91"/>
      <c r="F114" s="91">
        <f t="shared" ref="F114:F124" si="15">0.04*H114</f>
        <v>0</v>
      </c>
      <c r="G114" s="91">
        <f t="shared" ref="G114:G124" si="16">0.03*H114</f>
        <v>0</v>
      </c>
      <c r="H114" s="91">
        <f>T114</f>
        <v>0</v>
      </c>
      <c r="I114" s="91">
        <f>0.6*C114</f>
        <v>0</v>
      </c>
      <c r="J114" s="22"/>
      <c r="K114" s="22"/>
      <c r="L114" s="22"/>
      <c r="M114" s="22"/>
      <c r="N114" s="22" t="s">
        <v>146</v>
      </c>
      <c r="O114" s="91">
        <v>196697</v>
      </c>
      <c r="P114" s="91">
        <v>196697</v>
      </c>
      <c r="Q114" s="122"/>
      <c r="R114" s="173"/>
      <c r="S114" s="151">
        <v>1</v>
      </c>
      <c r="T114" s="91">
        <f>(P114-O114)*S114</f>
        <v>0</v>
      </c>
      <c r="U114" s="644">
        <v>42221906</v>
      </c>
      <c r="V114" s="698" t="s">
        <v>147</v>
      </c>
      <c r="W114" s="47" t="s">
        <v>31</v>
      </c>
      <c r="X114" s="7"/>
      <c r="Y114" s="7"/>
      <c r="Z114" s="7"/>
      <c r="AA114" s="7"/>
      <c r="AB114" s="7"/>
      <c r="AC114" s="7"/>
    </row>
    <row r="115" spans="1:29" ht="25.5">
      <c r="A115" s="19"/>
      <c r="B115" s="148" t="s">
        <v>148</v>
      </c>
      <c r="C115" s="91">
        <f>H115+E115</f>
        <v>10622.960000000032</v>
      </c>
      <c r="D115" s="91"/>
      <c r="E115" s="91">
        <f t="shared" ref="E115:E130" si="17">F115+G115</f>
        <v>694.96000000000208</v>
      </c>
      <c r="F115" s="91">
        <f t="shared" si="15"/>
        <v>397.1200000000012</v>
      </c>
      <c r="G115" s="91">
        <f t="shared" si="16"/>
        <v>297.84000000000088</v>
      </c>
      <c r="H115" s="91">
        <f>T115</f>
        <v>9928.0000000000291</v>
      </c>
      <c r="I115" s="91">
        <f>0.6*C115</f>
        <v>6373.7760000000189</v>
      </c>
      <c r="J115" s="22"/>
      <c r="K115" s="22"/>
      <c r="L115" s="22"/>
      <c r="M115" s="22"/>
      <c r="N115" s="22" t="s">
        <v>149</v>
      </c>
      <c r="O115" s="91">
        <v>9178.4</v>
      </c>
      <c r="P115" s="91">
        <v>9302.5</v>
      </c>
      <c r="Q115" s="149"/>
      <c r="R115" s="211"/>
      <c r="S115" s="151">
        <v>80</v>
      </c>
      <c r="T115" s="91">
        <f>(P115-O115)*S115</f>
        <v>9928.0000000000291</v>
      </c>
      <c r="U115" s="644">
        <v>440479</v>
      </c>
      <c r="V115" s="698" t="s">
        <v>150</v>
      </c>
      <c r="W115" s="47" t="s">
        <v>31</v>
      </c>
      <c r="X115" s="7"/>
      <c r="Y115" s="7"/>
      <c r="Z115" s="7"/>
      <c r="AA115" s="7"/>
      <c r="AB115" s="7"/>
      <c r="AC115" s="7"/>
    </row>
    <row r="116" spans="1:29" ht="25.5">
      <c r="A116" s="19"/>
      <c r="B116" s="166" t="s">
        <v>151</v>
      </c>
      <c r="C116" s="56">
        <f>H116+E116</f>
        <v>0</v>
      </c>
      <c r="D116" s="56"/>
      <c r="E116" s="56">
        <f t="shared" si="17"/>
        <v>0</v>
      </c>
      <c r="F116" s="56">
        <f t="shared" si="15"/>
        <v>0</v>
      </c>
      <c r="G116" s="56">
        <f t="shared" si="16"/>
        <v>0</v>
      </c>
      <c r="H116" s="56">
        <f>T116</f>
        <v>0</v>
      </c>
      <c r="I116" s="56">
        <f>0.5*C116</f>
        <v>0</v>
      </c>
      <c r="J116" s="57"/>
      <c r="K116" s="57"/>
      <c r="L116" s="57"/>
      <c r="M116" s="57"/>
      <c r="N116" s="57"/>
      <c r="O116" s="56">
        <v>162</v>
      </c>
      <c r="P116" s="56">
        <v>162</v>
      </c>
      <c r="Q116" s="167"/>
      <c r="R116" s="168"/>
      <c r="S116" s="56">
        <v>1</v>
      </c>
      <c r="T116" s="56">
        <f>(P116-O116)*S116</f>
        <v>0</v>
      </c>
      <c r="U116" s="721">
        <v>1605</v>
      </c>
      <c r="V116" s="60" t="s">
        <v>152</v>
      </c>
      <c r="W116" s="14"/>
      <c r="X116" s="7"/>
      <c r="Y116" s="7"/>
      <c r="Z116" s="7"/>
      <c r="AA116" s="7"/>
      <c r="AB116" s="7"/>
      <c r="AC116" s="7"/>
    </row>
    <row r="117" spans="1:29" ht="25.5">
      <c r="A117" s="19"/>
      <c r="B117" s="166" t="s">
        <v>153</v>
      </c>
      <c r="C117" s="56">
        <f t="shared" ref="C117:C130" si="18">H117+E117</f>
        <v>0</v>
      </c>
      <c r="D117" s="56"/>
      <c r="E117" s="56">
        <f t="shared" si="17"/>
        <v>0</v>
      </c>
      <c r="F117" s="56">
        <f t="shared" si="15"/>
        <v>0</v>
      </c>
      <c r="G117" s="56">
        <f t="shared" si="16"/>
        <v>0</v>
      </c>
      <c r="H117" s="56">
        <f t="shared" ref="H117:H130" si="19">T117</f>
        <v>0</v>
      </c>
      <c r="I117" s="56">
        <f>0.6*C117</f>
        <v>0</v>
      </c>
      <c r="J117" s="57"/>
      <c r="K117" s="57"/>
      <c r="L117" s="57"/>
      <c r="M117" s="57"/>
      <c r="N117" s="57" t="s">
        <v>154</v>
      </c>
      <c r="O117" s="56">
        <v>982</v>
      </c>
      <c r="P117" s="56">
        <v>982</v>
      </c>
      <c r="Q117" s="169"/>
      <c r="R117" s="170"/>
      <c r="S117" s="56">
        <v>1</v>
      </c>
      <c r="T117" s="56">
        <f t="shared" ref="T117:T130" si="20">(P117-O117)*S117</f>
        <v>0</v>
      </c>
      <c r="U117" s="721" t="s">
        <v>155</v>
      </c>
      <c r="V117" s="60" t="s">
        <v>156</v>
      </c>
      <c r="W117" s="14"/>
      <c r="X117" s="7"/>
      <c r="Y117" s="7"/>
      <c r="Z117" s="7"/>
      <c r="AA117" s="7"/>
      <c r="AB117" s="7"/>
      <c r="AC117" s="7"/>
    </row>
    <row r="118" spans="1:29" ht="26.25">
      <c r="A118" s="19"/>
      <c r="B118" s="90" t="s">
        <v>157</v>
      </c>
      <c r="C118" s="601">
        <f t="shared" si="18"/>
        <v>68308.800000000003</v>
      </c>
      <c r="D118" s="115"/>
      <c r="E118" s="115">
        <f t="shared" si="17"/>
        <v>4468.7999999999993</v>
      </c>
      <c r="F118" s="115">
        <f t="shared" si="15"/>
        <v>2553.6</v>
      </c>
      <c r="G118" s="115">
        <f t="shared" si="16"/>
        <v>1915.1999999999998</v>
      </c>
      <c r="H118" s="115">
        <f t="shared" si="19"/>
        <v>63840</v>
      </c>
      <c r="I118" s="115">
        <v>11490</v>
      </c>
      <c r="J118" s="164"/>
      <c r="K118" s="164"/>
      <c r="L118" s="164"/>
      <c r="M118" s="164"/>
      <c r="N118" s="164"/>
      <c r="O118" s="115">
        <v>46543</v>
      </c>
      <c r="P118" s="115">
        <v>47075</v>
      </c>
      <c r="Q118" s="149"/>
      <c r="R118" s="247"/>
      <c r="S118" s="248">
        <v>120</v>
      </c>
      <c r="T118" s="91">
        <f t="shared" si="20"/>
        <v>63840</v>
      </c>
      <c r="U118" s="644"/>
      <c r="V118" s="698" t="s">
        <v>158</v>
      </c>
      <c r="W118" s="14" t="s">
        <v>48</v>
      </c>
      <c r="X118" s="7"/>
      <c r="Y118" s="7"/>
      <c r="Z118" s="7"/>
      <c r="AA118" s="7"/>
      <c r="AB118" s="7"/>
      <c r="AC118" s="7"/>
    </row>
    <row r="119" spans="1:29" ht="25.5">
      <c r="A119" s="19"/>
      <c r="B119" s="148" t="s">
        <v>159</v>
      </c>
      <c r="C119" s="91">
        <f t="shared" si="18"/>
        <v>3.21</v>
      </c>
      <c r="D119" s="91"/>
      <c r="E119" s="91">
        <f t="shared" si="17"/>
        <v>0.21</v>
      </c>
      <c r="F119" s="91">
        <f t="shared" si="15"/>
        <v>0.12</v>
      </c>
      <c r="G119" s="91">
        <f t="shared" si="16"/>
        <v>0.09</v>
      </c>
      <c r="H119" s="91">
        <f t="shared" si="19"/>
        <v>3</v>
      </c>
      <c r="I119" s="91">
        <f>0.6*C119</f>
        <v>1.9259999999999999</v>
      </c>
      <c r="J119" s="22"/>
      <c r="K119" s="22"/>
      <c r="L119" s="22"/>
      <c r="M119" s="22"/>
      <c r="N119" s="22"/>
      <c r="O119" s="91">
        <v>59584</v>
      </c>
      <c r="P119" s="91">
        <v>59587</v>
      </c>
      <c r="Q119" s="122"/>
      <c r="R119" s="173"/>
      <c r="S119" s="151">
        <v>1</v>
      </c>
      <c r="T119" s="91">
        <f t="shared" si="20"/>
        <v>3</v>
      </c>
      <c r="U119" s="644">
        <v>91423</v>
      </c>
      <c r="V119" s="698" t="s">
        <v>21</v>
      </c>
      <c r="W119" s="14" t="s">
        <v>22</v>
      </c>
      <c r="X119" s="7"/>
      <c r="Y119" s="7"/>
      <c r="Z119" s="7"/>
      <c r="AA119" s="7"/>
      <c r="AB119" s="7"/>
      <c r="AC119" s="7"/>
    </row>
    <row r="120" spans="1:29" ht="25.5">
      <c r="A120" s="19"/>
      <c r="B120" s="148"/>
      <c r="C120" s="91"/>
      <c r="D120" s="91"/>
      <c r="E120" s="91"/>
      <c r="F120" s="91"/>
      <c r="G120" s="91"/>
      <c r="H120" s="91"/>
      <c r="I120" s="91"/>
      <c r="J120" s="22"/>
      <c r="K120" s="22"/>
      <c r="L120" s="22"/>
      <c r="M120" s="22"/>
      <c r="N120" s="22"/>
      <c r="O120" s="91"/>
      <c r="P120" s="91"/>
      <c r="Q120" s="122"/>
      <c r="R120" s="173"/>
      <c r="S120" s="151"/>
      <c r="T120" s="91"/>
      <c r="U120" s="644"/>
      <c r="V120" s="695"/>
      <c r="W120" s="14"/>
      <c r="X120" s="7"/>
      <c r="Y120" s="7"/>
      <c r="Z120" s="7"/>
      <c r="AA120" s="7"/>
      <c r="AB120" s="7"/>
      <c r="AC120" s="7"/>
    </row>
    <row r="121" spans="1:29" ht="25.5">
      <c r="A121" s="19"/>
      <c r="B121" s="148" t="s">
        <v>148</v>
      </c>
      <c r="C121" s="91">
        <f t="shared" si="18"/>
        <v>505.04</v>
      </c>
      <c r="D121" s="91"/>
      <c r="E121" s="91">
        <f t="shared" si="17"/>
        <v>33.04</v>
      </c>
      <c r="F121" s="91">
        <f t="shared" si="15"/>
        <v>18.88</v>
      </c>
      <c r="G121" s="91">
        <f t="shared" si="16"/>
        <v>14.16</v>
      </c>
      <c r="H121" s="91">
        <f t="shared" si="19"/>
        <v>472</v>
      </c>
      <c r="I121" s="91">
        <f>0.6*C121</f>
        <v>303.024</v>
      </c>
      <c r="J121" s="22"/>
      <c r="K121" s="22"/>
      <c r="L121" s="22"/>
      <c r="M121" s="22"/>
      <c r="N121" s="22"/>
      <c r="O121" s="91">
        <v>6492</v>
      </c>
      <c r="P121" s="91">
        <v>6964</v>
      </c>
      <c r="Q121" s="122"/>
      <c r="R121" s="173"/>
      <c r="S121" s="151">
        <v>1</v>
      </c>
      <c r="T121" s="91">
        <f t="shared" si="20"/>
        <v>472</v>
      </c>
      <c r="U121" s="644">
        <v>9695</v>
      </c>
      <c r="V121" s="698" t="s">
        <v>160</v>
      </c>
      <c r="W121" s="134" t="s">
        <v>31</v>
      </c>
      <c r="X121" s="7"/>
      <c r="Y121" s="7"/>
      <c r="Z121" s="7"/>
      <c r="AA121" s="7"/>
      <c r="AB121" s="7"/>
      <c r="AC121" s="7"/>
    </row>
    <row r="122" spans="1:29" ht="25.5">
      <c r="A122" s="19"/>
      <c r="B122" s="148" t="s">
        <v>161</v>
      </c>
      <c r="C122" s="91">
        <f t="shared" si="18"/>
        <v>1051.81</v>
      </c>
      <c r="D122" s="91"/>
      <c r="E122" s="91">
        <f t="shared" si="17"/>
        <v>68.81</v>
      </c>
      <c r="F122" s="91">
        <f t="shared" si="15"/>
        <v>39.32</v>
      </c>
      <c r="G122" s="91">
        <f t="shared" si="16"/>
        <v>29.49</v>
      </c>
      <c r="H122" s="91">
        <f t="shared" si="19"/>
        <v>983</v>
      </c>
      <c r="I122" s="91">
        <f>0.6*C122</f>
        <v>631.0859999999999</v>
      </c>
      <c r="J122" s="22"/>
      <c r="K122" s="22"/>
      <c r="L122" s="22"/>
      <c r="M122" s="22"/>
      <c r="N122" s="22"/>
      <c r="O122" s="91">
        <f>57617+30541</f>
        <v>88158</v>
      </c>
      <c r="P122" s="91">
        <f>58126+31015</f>
        <v>89141</v>
      </c>
      <c r="Q122" s="122"/>
      <c r="R122" s="173"/>
      <c r="S122" s="151">
        <v>1</v>
      </c>
      <c r="T122" s="91">
        <f t="shared" si="20"/>
        <v>983</v>
      </c>
      <c r="U122" s="644">
        <v>18723</v>
      </c>
      <c r="V122" s="698" t="s">
        <v>162</v>
      </c>
      <c r="W122" s="14" t="s">
        <v>31</v>
      </c>
      <c r="X122" s="7"/>
      <c r="Y122" s="7"/>
      <c r="Z122" s="7"/>
      <c r="AA122" s="7"/>
      <c r="AB122" s="7"/>
      <c r="AC122" s="7"/>
    </row>
    <row r="123" spans="1:29" ht="25.5">
      <c r="A123" s="19"/>
      <c r="B123" s="148" t="s">
        <v>163</v>
      </c>
      <c r="C123" s="91">
        <f>H123+E123</f>
        <v>2101.48</v>
      </c>
      <c r="D123" s="91"/>
      <c r="E123" s="91">
        <f t="shared" si="17"/>
        <v>137.47999999999999</v>
      </c>
      <c r="F123" s="91">
        <f t="shared" si="15"/>
        <v>78.56</v>
      </c>
      <c r="G123" s="91">
        <f t="shared" si="16"/>
        <v>58.919999999999995</v>
      </c>
      <c r="H123" s="91">
        <f>T123</f>
        <v>1964</v>
      </c>
      <c r="I123" s="91">
        <f>0.6*C123</f>
        <v>1260.8879999999999</v>
      </c>
      <c r="J123" s="22"/>
      <c r="K123" s="22"/>
      <c r="L123" s="22"/>
      <c r="M123" s="22"/>
      <c r="N123" s="22" t="s">
        <v>146</v>
      </c>
      <c r="O123" s="91">
        <v>38133</v>
      </c>
      <c r="P123" s="91">
        <v>40097</v>
      </c>
      <c r="Q123" s="122"/>
      <c r="R123" s="173"/>
      <c r="S123" s="151">
        <v>1</v>
      </c>
      <c r="T123" s="91">
        <f>(P123-O123)*S123</f>
        <v>1964</v>
      </c>
      <c r="U123" s="644">
        <v>3275</v>
      </c>
      <c r="V123" s="698" t="s">
        <v>164</v>
      </c>
      <c r="W123" s="14" t="s">
        <v>82</v>
      </c>
      <c r="X123" s="7"/>
      <c r="Y123" s="7"/>
      <c r="Z123" s="7"/>
      <c r="AA123" s="7"/>
      <c r="AB123" s="7"/>
      <c r="AC123" s="7"/>
    </row>
    <row r="124" spans="1:29" ht="52.5">
      <c r="A124" s="19"/>
      <c r="B124" s="90" t="s">
        <v>708</v>
      </c>
      <c r="C124" s="602">
        <f t="shared" si="18"/>
        <v>7276</v>
      </c>
      <c r="D124" s="115"/>
      <c r="E124" s="115">
        <f t="shared" si="17"/>
        <v>476</v>
      </c>
      <c r="F124" s="115">
        <f t="shared" si="15"/>
        <v>272</v>
      </c>
      <c r="G124" s="115">
        <f t="shared" si="16"/>
        <v>204</v>
      </c>
      <c r="H124" s="115">
        <f t="shared" si="19"/>
        <v>6800</v>
      </c>
      <c r="I124" s="115">
        <f>T553</f>
        <v>0</v>
      </c>
      <c r="J124" s="114"/>
      <c r="K124" s="114"/>
      <c r="L124" s="114"/>
      <c r="M124" s="114"/>
      <c r="N124" s="114"/>
      <c r="O124" s="115">
        <v>12784</v>
      </c>
      <c r="P124" s="115">
        <v>12869</v>
      </c>
      <c r="Q124" s="164"/>
      <c r="R124" s="211"/>
      <c r="S124" s="248">
        <v>80</v>
      </c>
      <c r="T124" s="115">
        <f t="shared" si="20"/>
        <v>6800</v>
      </c>
      <c r="U124" s="644"/>
      <c r="V124" s="698" t="s">
        <v>165</v>
      </c>
      <c r="W124" s="14" t="s">
        <v>166</v>
      </c>
      <c r="X124" s="7"/>
      <c r="Y124" s="7"/>
      <c r="Z124" s="7"/>
      <c r="AA124" s="7"/>
      <c r="AB124" s="7"/>
      <c r="AC124" s="7"/>
    </row>
    <row r="125" spans="1:29" ht="25.5">
      <c r="A125" s="19"/>
      <c r="B125" s="172"/>
      <c r="C125" s="91"/>
      <c r="D125" s="91"/>
      <c r="E125" s="91"/>
      <c r="F125" s="91"/>
      <c r="G125" s="91"/>
      <c r="H125" s="91"/>
      <c r="I125" s="91"/>
      <c r="J125" s="22"/>
      <c r="K125" s="22"/>
      <c r="L125" s="22"/>
      <c r="M125" s="22"/>
      <c r="N125" s="22"/>
      <c r="O125" s="91"/>
      <c r="P125" s="91"/>
      <c r="Q125" s="122"/>
      <c r="R125" s="173"/>
      <c r="S125" s="151"/>
      <c r="T125" s="91"/>
      <c r="U125" s="644"/>
      <c r="V125" s="698"/>
      <c r="W125" s="14" t="s">
        <v>82</v>
      </c>
      <c r="X125" s="7"/>
      <c r="Y125" s="7"/>
      <c r="Z125" s="7"/>
      <c r="AA125" s="7"/>
      <c r="AB125" s="7"/>
      <c r="AC125" s="7"/>
    </row>
    <row r="126" spans="1:29" ht="25.5">
      <c r="A126" s="19"/>
      <c r="B126" s="148" t="s">
        <v>167</v>
      </c>
      <c r="C126" s="91">
        <f>H126+E126</f>
        <v>1515.75</v>
      </c>
      <c r="D126" s="91"/>
      <c r="E126" s="91">
        <f t="shared" si="17"/>
        <v>105.75</v>
      </c>
      <c r="F126" s="91">
        <f>0.035*H126</f>
        <v>49.35</v>
      </c>
      <c r="G126" s="91">
        <f>H126*0.04</f>
        <v>56.4</v>
      </c>
      <c r="H126" s="91">
        <f t="shared" si="19"/>
        <v>1410</v>
      </c>
      <c r="I126" s="91">
        <f t="shared" ref="I126:I130" si="21">0.6*C126</f>
        <v>909.44999999999993</v>
      </c>
      <c r="J126" s="22"/>
      <c r="K126" s="22"/>
      <c r="L126" s="22"/>
      <c r="M126" s="22"/>
      <c r="N126" s="22"/>
      <c r="O126" s="91">
        <v>8270</v>
      </c>
      <c r="P126" s="91">
        <v>8340.5</v>
      </c>
      <c r="Q126" s="122"/>
      <c r="R126" s="173"/>
      <c r="S126" s="151">
        <v>20</v>
      </c>
      <c r="T126" s="91">
        <f t="shared" si="20"/>
        <v>1410</v>
      </c>
      <c r="U126" s="644">
        <v>33780</v>
      </c>
      <c r="V126" s="698" t="s">
        <v>168</v>
      </c>
      <c r="W126" s="14" t="s">
        <v>22</v>
      </c>
      <c r="X126" s="7"/>
      <c r="Y126" s="7"/>
      <c r="Z126" s="7"/>
      <c r="AA126" s="7"/>
      <c r="AB126" s="7"/>
      <c r="AC126" s="7"/>
    </row>
    <row r="127" spans="1:29" ht="25.5">
      <c r="A127" s="19"/>
      <c r="B127" s="166" t="s">
        <v>169</v>
      </c>
      <c r="C127" s="56">
        <f t="shared" si="18"/>
        <v>0</v>
      </c>
      <c r="D127" s="56"/>
      <c r="E127" s="56">
        <f t="shared" si="17"/>
        <v>0</v>
      </c>
      <c r="F127" s="56">
        <f>0.04*H127</f>
        <v>0</v>
      </c>
      <c r="G127" s="56">
        <f>0.03*H127</f>
        <v>0</v>
      </c>
      <c r="H127" s="56">
        <f t="shared" si="19"/>
        <v>0</v>
      </c>
      <c r="I127" s="56">
        <f t="shared" si="21"/>
        <v>0</v>
      </c>
      <c r="J127" s="57"/>
      <c r="K127" s="57"/>
      <c r="L127" s="57"/>
      <c r="M127" s="57"/>
      <c r="N127" s="57" t="s">
        <v>170</v>
      </c>
      <c r="O127" s="56">
        <v>16165</v>
      </c>
      <c r="P127" s="56">
        <v>16165</v>
      </c>
      <c r="Q127" s="169"/>
      <c r="R127" s="170"/>
      <c r="S127" s="56">
        <v>1</v>
      </c>
      <c r="T127" s="56">
        <f t="shared" si="20"/>
        <v>0</v>
      </c>
      <c r="U127" s="721">
        <v>24339</v>
      </c>
      <c r="V127" s="60" t="s">
        <v>171</v>
      </c>
      <c r="W127" s="14"/>
      <c r="X127" s="7"/>
      <c r="Y127" s="7"/>
      <c r="Z127" s="7"/>
      <c r="AA127" s="7"/>
      <c r="AB127" s="7"/>
      <c r="AC127" s="7"/>
    </row>
    <row r="128" spans="1:29" ht="25.5">
      <c r="A128" s="19"/>
      <c r="B128" s="104" t="s">
        <v>945</v>
      </c>
      <c r="C128" s="91">
        <f t="shared" si="18"/>
        <v>521.09</v>
      </c>
      <c r="D128" s="91"/>
      <c r="E128" s="91">
        <f t="shared" si="17"/>
        <v>34.090000000000003</v>
      </c>
      <c r="F128" s="91">
        <f>0.04*H128</f>
        <v>19.48</v>
      </c>
      <c r="G128" s="91">
        <f>0.03*H128</f>
        <v>14.61</v>
      </c>
      <c r="H128" s="91">
        <f t="shared" si="19"/>
        <v>487</v>
      </c>
      <c r="I128" s="91">
        <f t="shared" si="21"/>
        <v>312.654</v>
      </c>
      <c r="J128" s="22"/>
      <c r="K128" s="22"/>
      <c r="L128" s="22"/>
      <c r="M128" s="22"/>
      <c r="N128" s="22"/>
      <c r="O128" s="91">
        <v>3163</v>
      </c>
      <c r="P128" s="91">
        <v>3650</v>
      </c>
      <c r="Q128" s="122"/>
      <c r="R128" s="173"/>
      <c r="S128" s="151">
        <v>1</v>
      </c>
      <c r="T128" s="91">
        <f t="shared" si="20"/>
        <v>487</v>
      </c>
      <c r="U128" s="644">
        <v>2466</v>
      </c>
      <c r="V128" s="698" t="s">
        <v>173</v>
      </c>
      <c r="W128" s="14"/>
      <c r="X128" s="7"/>
      <c r="Y128" s="7"/>
      <c r="Z128" s="7"/>
      <c r="AA128" s="7"/>
      <c r="AB128" s="7"/>
      <c r="AC128" s="7"/>
    </row>
    <row r="129" spans="1:29" ht="26.25">
      <c r="A129" s="19"/>
      <c r="B129" s="174"/>
      <c r="C129" s="56">
        <f t="shared" si="18"/>
        <v>0</v>
      </c>
      <c r="D129" s="175"/>
      <c r="E129" s="56">
        <f t="shared" si="17"/>
        <v>0</v>
      </c>
      <c r="F129" s="56">
        <f>0.04*H129</f>
        <v>0</v>
      </c>
      <c r="G129" s="56">
        <f>0.03*H129</f>
        <v>0</v>
      </c>
      <c r="H129" s="56">
        <f t="shared" si="19"/>
        <v>0</v>
      </c>
      <c r="I129" s="176">
        <f t="shared" si="21"/>
        <v>0</v>
      </c>
      <c r="J129" s="58"/>
      <c r="K129" s="58"/>
      <c r="L129" s="58"/>
      <c r="M129" s="58"/>
      <c r="N129" s="58"/>
      <c r="O129" s="175">
        <v>16982</v>
      </c>
      <c r="P129" s="175">
        <v>16982</v>
      </c>
      <c r="Q129" s="177"/>
      <c r="R129" s="178"/>
      <c r="S129" s="175">
        <v>1</v>
      </c>
      <c r="T129" s="56">
        <f t="shared" si="20"/>
        <v>0</v>
      </c>
      <c r="U129" s="721">
        <v>2437131</v>
      </c>
      <c r="V129" s="60" t="s">
        <v>174</v>
      </c>
      <c r="W129" s="14"/>
      <c r="X129" s="7"/>
      <c r="Y129" s="7"/>
      <c r="Z129" s="7"/>
      <c r="AA129" s="7"/>
      <c r="AB129" s="7"/>
      <c r="AC129" s="7"/>
    </row>
    <row r="130" spans="1:29" ht="26.25">
      <c r="A130" s="19"/>
      <c r="B130" s="148" t="s">
        <v>175</v>
      </c>
      <c r="C130" s="91">
        <f t="shared" si="18"/>
        <v>0</v>
      </c>
      <c r="D130" s="92"/>
      <c r="E130" s="91">
        <f t="shared" si="17"/>
        <v>0</v>
      </c>
      <c r="F130" s="91">
        <f>0.04*H130</f>
        <v>0</v>
      </c>
      <c r="G130" s="91">
        <f>0.03*H130</f>
        <v>0</v>
      </c>
      <c r="H130" s="91">
        <f t="shared" si="19"/>
        <v>0</v>
      </c>
      <c r="I130" s="115">
        <f t="shared" si="21"/>
        <v>0</v>
      </c>
      <c r="J130" s="98"/>
      <c r="K130" s="98"/>
      <c r="L130" s="98"/>
      <c r="M130" s="98"/>
      <c r="N130" s="98"/>
      <c r="O130" s="92">
        <v>31237</v>
      </c>
      <c r="P130" s="92">
        <v>31237</v>
      </c>
      <c r="Q130" s="105"/>
      <c r="R130" s="106"/>
      <c r="S130" s="92">
        <v>1</v>
      </c>
      <c r="T130" s="91">
        <f t="shared" si="20"/>
        <v>0</v>
      </c>
      <c r="U130" s="644">
        <v>286946</v>
      </c>
      <c r="V130" s="698" t="s">
        <v>176</v>
      </c>
      <c r="W130" s="14" t="s">
        <v>22</v>
      </c>
      <c r="X130" s="7"/>
      <c r="Y130" s="7"/>
      <c r="Z130" s="7"/>
      <c r="AA130" s="7"/>
      <c r="AB130" s="7"/>
      <c r="AC130" s="7"/>
    </row>
    <row r="131" spans="1:29" ht="25.5">
      <c r="A131" s="19"/>
      <c r="B131" s="129"/>
      <c r="C131" s="84"/>
      <c r="D131" s="84"/>
      <c r="E131" s="84"/>
      <c r="F131" s="84"/>
      <c r="G131" s="84"/>
      <c r="H131" s="84"/>
      <c r="I131" s="84"/>
      <c r="J131" s="130"/>
      <c r="K131" s="130"/>
      <c r="L131" s="130"/>
      <c r="M131" s="130"/>
      <c r="N131" s="130"/>
      <c r="O131" s="84"/>
      <c r="P131" s="84"/>
      <c r="Q131" s="86"/>
      <c r="R131" s="179"/>
      <c r="S131" s="156"/>
      <c r="T131" s="84"/>
      <c r="U131" s="722"/>
      <c r="V131" s="89"/>
      <c r="W131" s="14"/>
      <c r="X131" s="7"/>
      <c r="Y131" s="7"/>
      <c r="Z131" s="7"/>
      <c r="AA131" s="7"/>
      <c r="AB131" s="7"/>
      <c r="AC131" s="7"/>
    </row>
    <row r="132" spans="1:29" ht="27.75">
      <c r="A132" s="19"/>
      <c r="B132" s="141" t="s">
        <v>86</v>
      </c>
      <c r="C132" s="97">
        <f>SUM(C114:C131)</f>
        <v>91906.140000000029</v>
      </c>
      <c r="D132" s="115"/>
      <c r="E132" s="115"/>
      <c r="F132" s="91"/>
      <c r="G132" s="91"/>
      <c r="H132" s="91"/>
      <c r="I132" s="124"/>
      <c r="J132" s="164"/>
      <c r="K132" s="164"/>
      <c r="L132" s="164"/>
      <c r="M132" s="164"/>
      <c r="N132" s="164"/>
      <c r="O132" s="91"/>
      <c r="P132" s="91"/>
      <c r="Q132" s="7"/>
      <c r="R132" s="94"/>
      <c r="S132" s="91"/>
      <c r="T132" s="91"/>
      <c r="U132" s="644"/>
      <c r="V132" s="695"/>
      <c r="W132" s="14"/>
      <c r="X132" s="7"/>
      <c r="Y132" s="7"/>
      <c r="Z132" s="7"/>
      <c r="AA132" s="7"/>
      <c r="AB132" s="7"/>
      <c r="AC132" s="7"/>
    </row>
    <row r="133" spans="1:29" ht="27.75">
      <c r="A133" s="19"/>
      <c r="B133" s="180" t="s">
        <v>177</v>
      </c>
      <c r="C133" s="91"/>
      <c r="D133" s="115"/>
      <c r="E133" s="115"/>
      <c r="F133" s="91"/>
      <c r="G133" s="91"/>
      <c r="H133" s="91"/>
      <c r="I133" s="124"/>
      <c r="J133" s="164"/>
      <c r="K133" s="164"/>
      <c r="L133" s="164"/>
      <c r="M133" s="164"/>
      <c r="N133" s="164"/>
      <c r="O133" s="91"/>
      <c r="P133" s="91"/>
      <c r="Q133" s="7"/>
      <c r="R133" s="94"/>
      <c r="S133" s="91"/>
      <c r="T133" s="91"/>
      <c r="U133" s="644"/>
      <c r="V133" s="695"/>
      <c r="W133" s="14"/>
      <c r="X133" s="7"/>
      <c r="Y133" s="7"/>
      <c r="Z133" s="7"/>
      <c r="AA133" s="7"/>
      <c r="AB133" s="7"/>
      <c r="AC133" s="7"/>
    </row>
    <row r="134" spans="1:29" ht="26.25">
      <c r="A134" s="19"/>
      <c r="B134" s="123" t="s">
        <v>178</v>
      </c>
      <c r="C134" s="97">
        <f>H134+E134</f>
        <v>2318.3013000000019</v>
      </c>
      <c r="D134" s="124">
        <f>D138+D139</f>
        <v>33118.590000000026</v>
      </c>
      <c r="E134" s="124">
        <f>F134+G134</f>
        <v>2318.3013000000019</v>
      </c>
      <c r="F134" s="124">
        <f>0.04*D134</f>
        <v>1324.7436000000012</v>
      </c>
      <c r="G134" s="124">
        <f>0.03*D134</f>
        <v>993.55770000000075</v>
      </c>
      <c r="H134" s="124"/>
      <c r="I134" s="124">
        <v>0</v>
      </c>
      <c r="J134" s="126"/>
      <c r="K134" s="126"/>
      <c r="L134" s="126"/>
      <c r="M134" s="126"/>
      <c r="N134" s="126"/>
      <c r="O134" s="188">
        <v>2825.09</v>
      </c>
      <c r="P134" s="188">
        <v>2910.06</v>
      </c>
      <c r="Q134" s="138"/>
      <c r="R134" s="215"/>
      <c r="S134" s="124">
        <v>60</v>
      </c>
      <c r="T134" s="124">
        <f t="shared" ref="T134:T144" si="22">(P134-O134)*S134</f>
        <v>5098.199999999988</v>
      </c>
      <c r="U134" s="717">
        <v>1906</v>
      </c>
      <c r="V134" s="128" t="s">
        <v>179</v>
      </c>
      <c r="W134" s="14" t="s">
        <v>22</v>
      </c>
      <c r="X134" s="7"/>
      <c r="Y134" s="7"/>
      <c r="Z134" s="7"/>
      <c r="AA134" s="7"/>
      <c r="AB134" s="7"/>
      <c r="AC134" s="7"/>
    </row>
    <row r="135" spans="1:29" ht="26.25">
      <c r="A135" s="19"/>
      <c r="B135" s="158"/>
      <c r="C135" s="124"/>
      <c r="D135" s="124"/>
      <c r="E135" s="124"/>
      <c r="F135" s="124"/>
      <c r="G135" s="124"/>
      <c r="H135" s="124"/>
      <c r="I135" s="97"/>
      <c r="J135" s="126"/>
      <c r="K135" s="126"/>
      <c r="L135" s="126"/>
      <c r="M135" s="126"/>
      <c r="N135" s="126"/>
      <c r="O135" s="188">
        <v>1439.2</v>
      </c>
      <c r="P135" s="188">
        <v>1478.75</v>
      </c>
      <c r="Q135" s="138"/>
      <c r="R135" s="215"/>
      <c r="S135" s="124">
        <v>20</v>
      </c>
      <c r="T135" s="124">
        <f t="shared" si="22"/>
        <v>790.99999999999909</v>
      </c>
      <c r="U135" s="717">
        <v>1821</v>
      </c>
      <c r="V135" s="128" t="s">
        <v>180</v>
      </c>
      <c r="W135" s="14" t="s">
        <v>22</v>
      </c>
      <c r="X135" s="7"/>
      <c r="Y135" s="7"/>
      <c r="Z135" s="7"/>
      <c r="AA135" s="7"/>
      <c r="AB135" s="7"/>
      <c r="AC135" s="7"/>
    </row>
    <row r="136" spans="1:29" ht="25.5">
      <c r="A136" s="19"/>
      <c r="B136" s="158"/>
      <c r="C136" s="124"/>
      <c r="D136" s="124"/>
      <c r="E136" s="124"/>
      <c r="F136" s="124"/>
      <c r="G136" s="124"/>
      <c r="H136" s="124"/>
      <c r="I136" s="124"/>
      <c r="J136" s="126"/>
      <c r="K136" s="126"/>
      <c r="L136" s="126"/>
      <c r="M136" s="126"/>
      <c r="N136" s="126"/>
      <c r="O136" s="188">
        <v>679.34550000000002</v>
      </c>
      <c r="P136" s="188">
        <v>702.09</v>
      </c>
      <c r="Q136" s="138"/>
      <c r="R136" s="627"/>
      <c r="S136" s="124">
        <v>60</v>
      </c>
      <c r="T136" s="124">
        <f t="shared" si="22"/>
        <v>1364.670000000001</v>
      </c>
      <c r="U136" s="717">
        <v>1903</v>
      </c>
      <c r="V136" s="128" t="s">
        <v>181</v>
      </c>
      <c r="W136" s="14" t="s">
        <v>22</v>
      </c>
      <c r="X136" s="7"/>
      <c r="Y136" s="7"/>
      <c r="Z136" s="7"/>
      <c r="AA136" s="7"/>
      <c r="AB136" s="7"/>
      <c r="AC136" s="7"/>
    </row>
    <row r="137" spans="1:29" ht="25.5">
      <c r="A137" s="19"/>
      <c r="B137" s="158" t="s">
        <v>182</v>
      </c>
      <c r="C137" s="124"/>
      <c r="D137" s="124"/>
      <c r="E137" s="124"/>
      <c r="F137" s="124"/>
      <c r="G137" s="124"/>
      <c r="H137" s="124"/>
      <c r="I137" s="124"/>
      <c r="J137" s="126"/>
      <c r="K137" s="126"/>
      <c r="L137" s="126"/>
      <c r="M137" s="126"/>
      <c r="N137" s="126"/>
      <c r="O137" s="188">
        <v>87513.707999999999</v>
      </c>
      <c r="P137" s="188">
        <v>88972.53</v>
      </c>
      <c r="Q137" s="138"/>
      <c r="R137" s="674"/>
      <c r="S137" s="124">
        <v>1</v>
      </c>
      <c r="T137" s="124">
        <f t="shared" si="22"/>
        <v>1458.8220000000001</v>
      </c>
      <c r="U137" s="717">
        <v>9454</v>
      </c>
      <c r="V137" s="128" t="s">
        <v>957</v>
      </c>
      <c r="W137" s="14" t="s">
        <v>22</v>
      </c>
      <c r="X137" s="7"/>
      <c r="Y137" s="7"/>
      <c r="Z137" s="7"/>
      <c r="AA137" s="7"/>
      <c r="AB137" s="7"/>
      <c r="AC137" s="7"/>
    </row>
    <row r="138" spans="1:29" ht="25.5">
      <c r="A138" s="19"/>
      <c r="B138" s="158" t="s">
        <v>184</v>
      </c>
      <c r="C138" s="124"/>
      <c r="D138" s="124">
        <f>T134+T135+T136+T137+T138</f>
        <v>8750.1899999999878</v>
      </c>
      <c r="E138" s="124"/>
      <c r="F138" s="124"/>
      <c r="G138" s="124"/>
      <c r="H138" s="124"/>
      <c r="I138" s="124"/>
      <c r="J138" s="126"/>
      <c r="K138" s="126"/>
      <c r="L138" s="126"/>
      <c r="M138" s="126"/>
      <c r="N138" s="126"/>
      <c r="O138" s="188">
        <v>2031.722</v>
      </c>
      <c r="P138" s="188">
        <v>2069.2199999999998</v>
      </c>
      <c r="Q138" s="138"/>
      <c r="R138" s="242"/>
      <c r="S138" s="124">
        <v>1</v>
      </c>
      <c r="T138" s="124">
        <f t="shared" si="22"/>
        <v>37.49799999999982</v>
      </c>
      <c r="U138" s="717">
        <v>9314</v>
      </c>
      <c r="V138" s="128" t="s">
        <v>180</v>
      </c>
      <c r="W138" s="14" t="s">
        <v>22</v>
      </c>
      <c r="X138" s="7"/>
      <c r="Y138" s="7"/>
      <c r="Z138" s="7"/>
      <c r="AA138" s="7"/>
      <c r="AB138" s="7"/>
      <c r="AC138" s="7"/>
    </row>
    <row r="139" spans="1:29" ht="25.5">
      <c r="A139" s="19"/>
      <c r="B139" s="158" t="s">
        <v>185</v>
      </c>
      <c r="C139" s="124"/>
      <c r="D139" s="124">
        <f>T139+T140</f>
        <v>24368.400000000038</v>
      </c>
      <c r="E139" s="124"/>
      <c r="F139" s="124"/>
      <c r="G139" s="124"/>
      <c r="H139" s="124"/>
      <c r="I139" s="124"/>
      <c r="J139" s="126"/>
      <c r="K139" s="126"/>
      <c r="L139" s="126"/>
      <c r="M139" s="126"/>
      <c r="N139" s="126"/>
      <c r="O139" s="188">
        <v>24561.75</v>
      </c>
      <c r="P139" s="188">
        <v>25112.22</v>
      </c>
      <c r="Q139" s="138"/>
      <c r="R139" s="242"/>
      <c r="S139" s="124">
        <v>40</v>
      </c>
      <c r="T139" s="124">
        <f t="shared" si="22"/>
        <v>22018.800000000047</v>
      </c>
      <c r="U139" s="717">
        <v>1793</v>
      </c>
      <c r="V139" s="128" t="s">
        <v>186</v>
      </c>
      <c r="W139" s="14" t="s">
        <v>22</v>
      </c>
      <c r="X139" s="7"/>
      <c r="Y139" s="7"/>
      <c r="Z139" s="7"/>
      <c r="AA139" s="7"/>
      <c r="AB139" s="7"/>
      <c r="AC139" s="7"/>
    </row>
    <row r="140" spans="1:29" ht="26.25">
      <c r="A140" s="19"/>
      <c r="B140" s="331"/>
      <c r="C140" s="124"/>
      <c r="D140" s="97"/>
      <c r="E140" s="97"/>
      <c r="F140" s="124"/>
      <c r="G140" s="124"/>
      <c r="H140" s="124"/>
      <c r="I140" s="124"/>
      <c r="J140" s="332"/>
      <c r="K140" s="332"/>
      <c r="L140" s="332"/>
      <c r="M140" s="332"/>
      <c r="N140" s="332"/>
      <c r="O140" s="188">
        <v>3101.53</v>
      </c>
      <c r="P140" s="188">
        <v>3160.27</v>
      </c>
      <c r="Q140" s="7"/>
      <c r="R140" s="94"/>
      <c r="S140" s="124">
        <v>40</v>
      </c>
      <c r="T140" s="124">
        <f t="shared" si="22"/>
        <v>2349.5999999999913</v>
      </c>
      <c r="U140" s="717">
        <v>9996</v>
      </c>
      <c r="V140" s="128" t="s">
        <v>186</v>
      </c>
      <c r="W140" s="14" t="s">
        <v>22</v>
      </c>
      <c r="X140" s="7"/>
      <c r="Y140" s="7"/>
      <c r="Z140" s="7"/>
      <c r="AA140" s="7"/>
      <c r="AB140" s="7"/>
      <c r="AC140" s="7"/>
    </row>
    <row r="141" spans="1:29" ht="26.25">
      <c r="A141" s="19"/>
      <c r="B141" s="184"/>
      <c r="C141" s="84"/>
      <c r="D141" s="154"/>
      <c r="E141" s="185"/>
      <c r="F141" s="84"/>
      <c r="G141" s="84"/>
      <c r="H141" s="84"/>
      <c r="I141" s="84"/>
      <c r="J141" s="183"/>
      <c r="K141" s="183"/>
      <c r="L141" s="183"/>
      <c r="M141" s="183"/>
      <c r="N141" s="183"/>
      <c r="O141" s="155"/>
      <c r="P141" s="155"/>
      <c r="Q141" s="86"/>
      <c r="R141" s="87"/>
      <c r="S141" s="84"/>
      <c r="T141" s="84"/>
      <c r="U141" s="722"/>
      <c r="V141" s="89"/>
      <c r="W141" s="14"/>
      <c r="X141" s="7"/>
      <c r="Y141" s="7"/>
      <c r="Z141" s="7"/>
      <c r="AA141" s="7"/>
      <c r="AB141" s="7"/>
      <c r="AC141" s="7"/>
    </row>
    <row r="142" spans="1:29" ht="26.25">
      <c r="A142" s="19"/>
      <c r="B142" s="603" t="s">
        <v>709</v>
      </c>
      <c r="C142" s="604">
        <f>H142+E142+C144</f>
        <v>7891.7999999999993</v>
      </c>
      <c r="D142" s="605">
        <f>T142</f>
        <v>99020</v>
      </c>
      <c r="E142" s="606">
        <f>F142+G142</f>
        <v>6931.4</v>
      </c>
      <c r="F142" s="605">
        <f>0.04*D142</f>
        <v>3960.8</v>
      </c>
      <c r="G142" s="605">
        <f>0.03*D142</f>
        <v>2970.6</v>
      </c>
      <c r="H142" s="605"/>
      <c r="I142" s="124">
        <f>T143</f>
        <v>0</v>
      </c>
      <c r="J142" s="607"/>
      <c r="K142" s="607"/>
      <c r="L142" s="607"/>
      <c r="M142" s="607"/>
      <c r="N142" s="607" t="s">
        <v>187</v>
      </c>
      <c r="O142" s="124">
        <v>46019.35</v>
      </c>
      <c r="P142" s="124">
        <v>47898.35</v>
      </c>
      <c r="Q142" s="608"/>
      <c r="R142" s="609"/>
      <c r="S142" s="605">
        <v>60</v>
      </c>
      <c r="T142" s="605">
        <f>(P142-O142)*S142-T144</f>
        <v>99020</v>
      </c>
      <c r="U142" s="717">
        <v>14314</v>
      </c>
      <c r="V142" s="611" t="s">
        <v>188</v>
      </c>
      <c r="W142" s="14" t="s">
        <v>189</v>
      </c>
      <c r="X142" s="7"/>
      <c r="Y142" s="7"/>
      <c r="Z142" s="7"/>
      <c r="AA142" s="7"/>
      <c r="AB142" s="7"/>
      <c r="AC142" s="7"/>
    </row>
    <row r="143" spans="1:29" ht="26.25">
      <c r="A143" s="19"/>
      <c r="B143" s="186"/>
      <c r="C143" s="97"/>
      <c r="D143" s="124"/>
      <c r="E143" s="187"/>
      <c r="F143" s="124"/>
      <c r="G143" s="124"/>
      <c r="H143" s="124"/>
      <c r="I143" s="124"/>
      <c r="J143" s="126"/>
      <c r="K143" s="126"/>
      <c r="L143" s="126"/>
      <c r="M143" s="126"/>
      <c r="N143" s="126"/>
      <c r="O143" s="124"/>
      <c r="P143" s="124"/>
      <c r="Q143" s="7"/>
      <c r="R143" s="159"/>
      <c r="S143" s="124"/>
      <c r="T143" s="124"/>
      <c r="U143" s="717"/>
      <c r="V143" s="128"/>
      <c r="W143" s="14"/>
      <c r="X143" s="7"/>
      <c r="Y143" s="7"/>
      <c r="Z143" s="7"/>
      <c r="AA143" s="7"/>
      <c r="AB143" s="7"/>
      <c r="AC143" s="7"/>
    </row>
    <row r="144" spans="1:29" ht="26.25">
      <c r="A144" s="19"/>
      <c r="B144" s="331" t="s">
        <v>190</v>
      </c>
      <c r="C144" s="604">
        <f>H144+E144</f>
        <v>960.40000000000009</v>
      </c>
      <c r="D144" s="605">
        <f>T144</f>
        <v>13720</v>
      </c>
      <c r="E144" s="606">
        <f>F144+G144</f>
        <v>960.40000000000009</v>
      </c>
      <c r="F144" s="605">
        <f>0.04*D144</f>
        <v>548.80000000000007</v>
      </c>
      <c r="G144" s="605">
        <f>0.03*D144</f>
        <v>411.59999999999997</v>
      </c>
      <c r="H144" s="605"/>
      <c r="I144" s="124">
        <f>T145</f>
        <v>14000</v>
      </c>
      <c r="J144" s="607"/>
      <c r="K144" s="607"/>
      <c r="L144" s="607"/>
      <c r="M144" s="607"/>
      <c r="N144" s="607" t="s">
        <v>187</v>
      </c>
      <c r="O144" s="124">
        <v>6525</v>
      </c>
      <c r="P144" s="124">
        <v>6868</v>
      </c>
      <c r="Q144" s="608"/>
      <c r="R144" s="609"/>
      <c r="S144" s="605">
        <v>40</v>
      </c>
      <c r="T144" s="605">
        <f t="shared" si="22"/>
        <v>13720</v>
      </c>
      <c r="U144" s="717"/>
      <c r="V144" s="128" t="s">
        <v>191</v>
      </c>
      <c r="W144" s="14" t="s">
        <v>189</v>
      </c>
      <c r="X144" s="7"/>
      <c r="Y144" s="7"/>
      <c r="Z144" s="7"/>
      <c r="AA144" s="7"/>
      <c r="AB144" s="7"/>
      <c r="AC144" s="7"/>
    </row>
    <row r="145" spans="1:29" ht="26.25">
      <c r="A145" s="19"/>
      <c r="B145" s="331" t="s">
        <v>192</v>
      </c>
      <c r="C145" s="612">
        <f>E145+E146</f>
        <v>1394.16</v>
      </c>
      <c r="D145" s="124">
        <f>T145</f>
        <v>14000</v>
      </c>
      <c r="E145" s="124">
        <f>F145+G145</f>
        <v>1302</v>
      </c>
      <c r="F145" s="124">
        <f>0.05*D145</f>
        <v>700</v>
      </c>
      <c r="G145" s="124">
        <f>0.043*D145</f>
        <v>602</v>
      </c>
      <c r="H145" s="124"/>
      <c r="I145" s="124">
        <f>0.6*D145</f>
        <v>8400</v>
      </c>
      <c r="J145" s="126"/>
      <c r="K145" s="126"/>
      <c r="L145" s="126"/>
      <c r="M145" s="126"/>
      <c r="N145" s="126"/>
      <c r="O145" s="605">
        <v>16682</v>
      </c>
      <c r="P145" s="605">
        <v>17032</v>
      </c>
      <c r="Q145" s="126" t="s">
        <v>37</v>
      </c>
      <c r="R145" s="159"/>
      <c r="S145" s="140">
        <v>40</v>
      </c>
      <c r="T145" s="124">
        <f>(P145-O145)*S145</f>
        <v>14000</v>
      </c>
      <c r="U145" s="717">
        <v>1571</v>
      </c>
      <c r="V145" s="128" t="s">
        <v>193</v>
      </c>
      <c r="W145" s="14" t="s">
        <v>43</v>
      </c>
      <c r="X145" s="7"/>
      <c r="Y145" s="7"/>
      <c r="Z145" s="7"/>
      <c r="AA145" s="7"/>
      <c r="AB145" s="7"/>
      <c r="AC145" s="7"/>
    </row>
    <row r="146" spans="1:29" ht="26.25">
      <c r="A146" s="19"/>
      <c r="B146" s="158"/>
      <c r="C146" s="97"/>
      <c r="D146" s="124">
        <f>T146</f>
        <v>3072</v>
      </c>
      <c r="E146" s="124">
        <f>F146+G146</f>
        <v>92.16</v>
      </c>
      <c r="F146" s="124">
        <f>0.02*D146</f>
        <v>61.44</v>
      </c>
      <c r="G146" s="124">
        <f>0.01*D146</f>
        <v>30.72</v>
      </c>
      <c r="H146" s="124"/>
      <c r="I146" s="124">
        <f>0.6*D146</f>
        <v>1843.1999999999998</v>
      </c>
      <c r="J146" s="126"/>
      <c r="K146" s="126"/>
      <c r="L146" s="126"/>
      <c r="M146" s="126"/>
      <c r="N146" s="126"/>
      <c r="O146" s="605">
        <v>118412</v>
      </c>
      <c r="P146" s="605">
        <v>121484</v>
      </c>
      <c r="Q146" s="126"/>
      <c r="R146" s="159"/>
      <c r="S146" s="140">
        <v>1</v>
      </c>
      <c r="T146" s="124">
        <f>(P146-O146)*S146</f>
        <v>3072</v>
      </c>
      <c r="U146" s="717">
        <v>8673</v>
      </c>
      <c r="V146" s="128" t="s">
        <v>194</v>
      </c>
      <c r="W146" s="14" t="s">
        <v>43</v>
      </c>
      <c r="X146" s="7"/>
      <c r="Y146" s="7"/>
      <c r="Z146" s="7"/>
      <c r="AA146" s="7"/>
      <c r="AB146" s="7"/>
      <c r="AC146" s="7"/>
    </row>
    <row r="147" spans="1:29" ht="26.25">
      <c r="A147" s="19"/>
      <c r="B147" s="331"/>
      <c r="C147" s="97"/>
      <c r="D147" s="124"/>
      <c r="E147" s="124"/>
      <c r="F147" s="124"/>
      <c r="G147" s="124"/>
      <c r="H147" s="124"/>
      <c r="I147" s="124"/>
      <c r="J147" s="126"/>
      <c r="K147" s="126"/>
      <c r="L147" s="126"/>
      <c r="M147" s="126"/>
      <c r="N147" s="126"/>
      <c r="O147" s="124"/>
      <c r="P147" s="124"/>
      <c r="Q147" s="7"/>
      <c r="R147" s="94"/>
      <c r="S147" s="124"/>
      <c r="T147" s="124"/>
      <c r="U147" s="717"/>
      <c r="V147" s="128" t="s">
        <v>195</v>
      </c>
      <c r="W147" s="14"/>
      <c r="X147" s="7"/>
      <c r="Y147" s="7"/>
      <c r="Z147" s="7"/>
      <c r="AA147" s="7"/>
      <c r="AB147" s="7"/>
      <c r="AC147" s="7"/>
    </row>
    <row r="148" spans="1:29" ht="26.25">
      <c r="A148" s="19"/>
      <c r="B148" s="123" t="s">
        <v>196</v>
      </c>
      <c r="C148" s="612">
        <f>F148+G148</f>
        <v>3086.569499999996</v>
      </c>
      <c r="D148" s="124">
        <f>T148</f>
        <v>44093.849999999948</v>
      </c>
      <c r="E148" s="124">
        <f>F148+G148</f>
        <v>3086.569499999996</v>
      </c>
      <c r="F148" s="124">
        <f>0.04*H148</f>
        <v>1763.7539999999979</v>
      </c>
      <c r="G148" s="124">
        <f>0.03*H148</f>
        <v>1322.8154999999983</v>
      </c>
      <c r="H148" s="124">
        <f>T148</f>
        <v>44093.849999999948</v>
      </c>
      <c r="I148" s="124">
        <f>Z525</f>
        <v>6780</v>
      </c>
      <c r="J148" s="126"/>
      <c r="K148" s="126"/>
      <c r="L148" s="126"/>
      <c r="M148" s="126"/>
      <c r="N148" s="126"/>
      <c r="O148" s="613" t="s">
        <v>922</v>
      </c>
      <c r="P148" s="613" t="s">
        <v>941</v>
      </c>
      <c r="Q148" s="126" t="s">
        <v>50</v>
      </c>
      <c r="R148" s="159"/>
      <c r="S148" s="140">
        <v>60</v>
      </c>
      <c r="T148" s="124">
        <f>(P148-O148)*S148</f>
        <v>44093.849999999948</v>
      </c>
      <c r="U148" s="717">
        <v>27421830</v>
      </c>
      <c r="V148" s="128" t="s">
        <v>197</v>
      </c>
      <c r="W148" s="14" t="s">
        <v>198</v>
      </c>
      <c r="X148" s="7"/>
      <c r="Y148" s="7"/>
      <c r="Z148" s="7"/>
      <c r="AA148" s="7"/>
      <c r="AB148" s="7"/>
      <c r="AC148" s="7"/>
    </row>
    <row r="149" spans="1:29" ht="26.25">
      <c r="A149" s="19"/>
      <c r="B149" s="331"/>
      <c r="C149" s="97"/>
      <c r="D149" s="97"/>
      <c r="E149" s="97"/>
      <c r="F149" s="124"/>
      <c r="G149" s="124"/>
      <c r="H149" s="124"/>
      <c r="I149" s="124"/>
      <c r="J149" s="332"/>
      <c r="K149" s="332"/>
      <c r="L149" s="332"/>
      <c r="M149" s="332"/>
      <c r="N149" s="332"/>
      <c r="O149" s="124"/>
      <c r="P149" s="124"/>
      <c r="Q149" s="7"/>
      <c r="R149" s="94"/>
      <c r="S149" s="124"/>
      <c r="T149" s="124"/>
      <c r="U149" s="717"/>
      <c r="V149" s="128"/>
      <c r="W149" s="14"/>
      <c r="X149" s="7"/>
      <c r="Y149" s="7"/>
      <c r="Z149" s="7"/>
      <c r="AA149" s="7"/>
      <c r="AB149" s="7"/>
      <c r="AC149" s="7"/>
    </row>
    <row r="150" spans="1:29" ht="26.25">
      <c r="A150" s="19"/>
      <c r="B150" s="123" t="s">
        <v>199</v>
      </c>
      <c r="C150" s="97">
        <f>H150+E150</f>
        <v>0</v>
      </c>
      <c r="D150" s="124">
        <f>T150+T151</f>
        <v>0</v>
      </c>
      <c r="E150" s="124">
        <f>F150+G150</f>
        <v>0</v>
      </c>
      <c r="F150" s="124">
        <f>0.04*(H150+D150)</f>
        <v>0</v>
      </c>
      <c r="G150" s="124">
        <f>0.03*(H150+D150)</f>
        <v>0</v>
      </c>
      <c r="H150" s="124">
        <f>T152</f>
        <v>0</v>
      </c>
      <c r="I150" s="124">
        <f>0.4*C150</f>
        <v>0</v>
      </c>
      <c r="J150" s="126"/>
      <c r="K150" s="126"/>
      <c r="L150" s="126"/>
      <c r="M150" s="126"/>
      <c r="N150" s="126" t="s">
        <v>200</v>
      </c>
      <c r="O150" s="188">
        <v>1034.443</v>
      </c>
      <c r="P150" s="188">
        <v>1034.443</v>
      </c>
      <c r="Q150" s="7"/>
      <c r="R150" s="242"/>
      <c r="S150" s="140">
        <v>40</v>
      </c>
      <c r="T150" s="124">
        <f>(P150-O150)*S150</f>
        <v>0</v>
      </c>
      <c r="U150" s="717">
        <v>9834</v>
      </c>
      <c r="V150" s="128" t="s">
        <v>197</v>
      </c>
      <c r="W150" s="14" t="s">
        <v>116</v>
      </c>
      <c r="X150" s="7"/>
      <c r="Y150" s="7"/>
      <c r="Z150" s="7"/>
      <c r="AA150" s="7"/>
      <c r="AB150" s="7"/>
      <c r="AC150" s="7"/>
    </row>
    <row r="151" spans="1:29" ht="26.25">
      <c r="A151" s="19"/>
      <c r="B151" s="158"/>
      <c r="C151" s="97"/>
      <c r="D151" s="124"/>
      <c r="E151" s="124"/>
      <c r="F151" s="124"/>
      <c r="G151" s="124"/>
      <c r="H151" s="124"/>
      <c r="I151" s="124">
        <f>0.4*C151</f>
        <v>0</v>
      </c>
      <c r="J151" s="126"/>
      <c r="K151" s="126"/>
      <c r="L151" s="126"/>
      <c r="M151" s="126"/>
      <c r="N151" s="126"/>
      <c r="O151" s="188">
        <v>400.12200000000001</v>
      </c>
      <c r="P151" s="188">
        <v>400.12200000000001</v>
      </c>
      <c r="Q151" s="7"/>
      <c r="R151" s="159"/>
      <c r="S151" s="140">
        <v>30</v>
      </c>
      <c r="T151" s="124">
        <f>(P151-O151)*S151</f>
        <v>0</v>
      </c>
      <c r="U151" s="717">
        <v>9861</v>
      </c>
      <c r="V151" s="128"/>
      <c r="W151" s="14" t="s">
        <v>116</v>
      </c>
      <c r="X151" s="7"/>
      <c r="Y151" s="7"/>
      <c r="Z151" s="7"/>
      <c r="AA151" s="7"/>
      <c r="AB151" s="7"/>
      <c r="AC151" s="7"/>
    </row>
    <row r="152" spans="1:29" ht="26.25">
      <c r="A152" s="19"/>
      <c r="B152" s="83"/>
      <c r="C152" s="154"/>
      <c r="D152" s="84"/>
      <c r="E152" s="84"/>
      <c r="F152" s="84"/>
      <c r="G152" s="84"/>
      <c r="H152" s="84"/>
      <c r="I152" s="154"/>
      <c r="J152" s="130"/>
      <c r="K152" s="130"/>
      <c r="L152" s="130"/>
      <c r="M152" s="130"/>
      <c r="N152" s="130"/>
      <c r="O152" s="84"/>
      <c r="P152" s="84"/>
      <c r="Q152" s="86"/>
      <c r="R152" s="130"/>
      <c r="S152" s="85"/>
      <c r="T152" s="84"/>
      <c r="U152" s="722"/>
      <c r="V152" s="89"/>
      <c r="W152" s="14"/>
      <c r="X152" s="7"/>
      <c r="Y152" s="7"/>
      <c r="Z152" s="7"/>
      <c r="AA152" s="7"/>
      <c r="AB152" s="7"/>
      <c r="AC152" s="7"/>
    </row>
    <row r="153" spans="1:29" ht="26.25">
      <c r="A153" s="19"/>
      <c r="B153" s="158"/>
      <c r="C153" s="97"/>
      <c r="D153" s="124"/>
      <c r="E153" s="124"/>
      <c r="F153" s="124"/>
      <c r="G153" s="124"/>
      <c r="H153" s="124"/>
      <c r="I153" s="97"/>
      <c r="J153" s="126"/>
      <c r="K153" s="126"/>
      <c r="L153" s="126"/>
      <c r="M153" s="126"/>
      <c r="N153" s="126"/>
      <c r="O153" s="188"/>
      <c r="P153" s="188"/>
      <c r="Q153" s="7"/>
      <c r="R153" s="189"/>
      <c r="S153" s="140"/>
      <c r="T153" s="124"/>
      <c r="U153" s="717"/>
      <c r="V153" s="128"/>
      <c r="W153" s="14"/>
      <c r="X153" s="7"/>
      <c r="Y153" s="7"/>
      <c r="Z153" s="7"/>
      <c r="AA153" s="7"/>
      <c r="AB153" s="7"/>
      <c r="AC153" s="7"/>
    </row>
    <row r="154" spans="1:29" ht="26.25">
      <c r="A154" s="19"/>
      <c r="B154" s="123" t="s">
        <v>201</v>
      </c>
      <c r="C154" s="97">
        <f>H154+E154</f>
        <v>136.62600000000052</v>
      </c>
      <c r="D154" s="345">
        <f>T154+T156+T157+T159+T160+T161</f>
        <v>307608.59999999992</v>
      </c>
      <c r="E154" s="124">
        <f>G154+F154</f>
        <v>136.62600000000052</v>
      </c>
      <c r="F154" s="124">
        <f>0.04*(T160+T161)</f>
        <v>78.072000000000301</v>
      </c>
      <c r="G154" s="124">
        <f>0.03*(T160+T161)</f>
        <v>58.554000000000222</v>
      </c>
      <c r="H154" s="124"/>
      <c r="I154" s="124">
        <f>0.54*(T160+T161)*0</f>
        <v>0</v>
      </c>
      <c r="J154" s="126"/>
      <c r="K154" s="126"/>
      <c r="L154" s="126"/>
      <c r="M154" s="126"/>
      <c r="N154" s="126"/>
      <c r="O154" s="188"/>
      <c r="P154" s="188"/>
      <c r="Q154" s="7"/>
      <c r="R154" s="242"/>
      <c r="S154" s="140"/>
      <c r="T154" s="124"/>
      <c r="U154" s="717"/>
      <c r="V154" s="128" t="s">
        <v>197</v>
      </c>
      <c r="W154" s="14"/>
      <c r="X154" s="7"/>
      <c r="Y154" s="7"/>
      <c r="Z154" s="7"/>
      <c r="AA154" s="7"/>
      <c r="AB154" s="7"/>
      <c r="AC154" s="7"/>
    </row>
    <row r="155" spans="1:29" ht="25.5">
      <c r="A155" s="19"/>
      <c r="B155" s="158"/>
      <c r="C155" s="124"/>
      <c r="D155" s="124"/>
      <c r="E155" s="124"/>
      <c r="F155" s="124"/>
      <c r="G155" s="124"/>
      <c r="H155" s="124"/>
      <c r="I155" s="124">
        <f>0.54*C155</f>
        <v>0</v>
      </c>
      <c r="J155" s="126"/>
      <c r="K155" s="126"/>
      <c r="L155" s="126"/>
      <c r="M155" s="126"/>
      <c r="N155" s="126"/>
      <c r="O155" s="675"/>
      <c r="P155" s="675"/>
      <c r="Q155" s="7"/>
      <c r="R155" s="242"/>
      <c r="S155" s="140"/>
      <c r="T155" s="124"/>
      <c r="U155" s="717"/>
      <c r="V155" s="128"/>
      <c r="W155" s="14"/>
      <c r="X155" s="7"/>
      <c r="Y155" s="7"/>
      <c r="Z155" s="7"/>
      <c r="AA155" s="7"/>
      <c r="AB155" s="7"/>
      <c r="AC155" s="7"/>
    </row>
    <row r="156" spans="1:29" ht="25.5">
      <c r="A156" s="19"/>
      <c r="B156" s="158"/>
      <c r="C156" s="124"/>
      <c r="D156" s="124"/>
      <c r="E156" s="124"/>
      <c r="F156" s="124"/>
      <c r="G156" s="124"/>
      <c r="H156" s="124"/>
      <c r="I156" s="124">
        <f>0.54*C156</f>
        <v>0</v>
      </c>
      <c r="J156" s="126"/>
      <c r="K156" s="126"/>
      <c r="L156" s="126"/>
      <c r="M156" s="126"/>
      <c r="N156" s="126"/>
      <c r="O156" s="613" t="s">
        <v>936</v>
      </c>
      <c r="P156" s="613" t="s">
        <v>955</v>
      </c>
      <c r="Q156" s="7"/>
      <c r="R156" s="242"/>
      <c r="S156" s="140">
        <v>300</v>
      </c>
      <c r="T156" s="124">
        <f>(P156-O156)*S156</f>
        <v>158730.59999999969</v>
      </c>
      <c r="U156" s="717">
        <v>257</v>
      </c>
      <c r="V156" s="128" t="s">
        <v>202</v>
      </c>
      <c r="W156" s="191" t="s">
        <v>203</v>
      </c>
      <c r="X156" s="7"/>
      <c r="Y156" s="7"/>
      <c r="Z156" s="7"/>
      <c r="AA156" s="7"/>
      <c r="AB156" s="7"/>
      <c r="AC156" s="7"/>
    </row>
    <row r="157" spans="1:29" ht="25.5">
      <c r="A157" s="19"/>
      <c r="B157" s="158"/>
      <c r="C157" s="124"/>
      <c r="D157" s="124"/>
      <c r="E157" s="124"/>
      <c r="F157" s="124"/>
      <c r="G157" s="124"/>
      <c r="H157" s="124"/>
      <c r="I157" s="124">
        <f>0.54*C157</f>
        <v>0</v>
      </c>
      <c r="J157" s="126"/>
      <c r="K157" s="126"/>
      <c r="L157" s="126"/>
      <c r="M157" s="126"/>
      <c r="N157" s="126"/>
      <c r="O157" s="613" t="s">
        <v>937</v>
      </c>
      <c r="P157" s="613" t="s">
        <v>956</v>
      </c>
      <c r="Q157" s="7"/>
      <c r="R157" s="242"/>
      <c r="S157" s="140">
        <v>300</v>
      </c>
      <c r="T157" s="124">
        <f>(P157-O157)*S157</f>
        <v>146926.20000000024</v>
      </c>
      <c r="U157" s="717">
        <v>851</v>
      </c>
      <c r="V157" s="128" t="s">
        <v>202</v>
      </c>
      <c r="W157" s="14" t="s">
        <v>35</v>
      </c>
      <c r="X157" s="7"/>
      <c r="Y157" s="7"/>
      <c r="Z157" s="7"/>
      <c r="AA157" s="7"/>
      <c r="AB157" s="7"/>
      <c r="AC157" s="7"/>
    </row>
    <row r="158" spans="1:29" ht="25.5">
      <c r="A158" s="19"/>
      <c r="B158" s="83"/>
      <c r="C158" s="84"/>
      <c r="D158" s="84"/>
      <c r="E158" s="84"/>
      <c r="F158" s="84"/>
      <c r="G158" s="84"/>
      <c r="H158" s="84"/>
      <c r="I158" s="84"/>
      <c r="J158" s="130"/>
      <c r="K158" s="130"/>
      <c r="L158" s="130"/>
      <c r="M158" s="130"/>
      <c r="N158" s="130"/>
      <c r="O158" s="190"/>
      <c r="P158" s="190"/>
      <c r="Q158" s="86"/>
      <c r="R158" s="181"/>
      <c r="S158" s="156"/>
      <c r="T158" s="84"/>
      <c r="U158" s="722"/>
      <c r="V158" s="89"/>
      <c r="W158" s="14"/>
      <c r="X158" s="7"/>
      <c r="Y158" s="7"/>
      <c r="Z158" s="7"/>
      <c r="AA158" s="7"/>
      <c r="AB158" s="7"/>
      <c r="AC158" s="7"/>
    </row>
    <row r="159" spans="1:29" ht="25.5">
      <c r="A159" s="19"/>
      <c r="B159" s="158"/>
      <c r="C159" s="124"/>
      <c r="D159" s="124"/>
      <c r="E159" s="124"/>
      <c r="F159" s="124"/>
      <c r="G159" s="124"/>
      <c r="H159" s="124"/>
      <c r="I159" s="124"/>
      <c r="J159" s="126"/>
      <c r="K159" s="126"/>
      <c r="L159" s="126"/>
      <c r="M159" s="126"/>
      <c r="N159" s="126"/>
      <c r="O159" s="188"/>
      <c r="P159" s="188"/>
      <c r="Q159" s="7"/>
      <c r="R159" s="242"/>
      <c r="S159" s="140"/>
      <c r="T159" s="124"/>
      <c r="U159" s="717"/>
      <c r="V159" s="128"/>
      <c r="W159" s="14"/>
      <c r="X159" s="7"/>
      <c r="Y159" s="7"/>
      <c r="Z159" s="7"/>
      <c r="AA159" s="7"/>
      <c r="AB159" s="7"/>
      <c r="AC159" s="7"/>
    </row>
    <row r="160" spans="1:29" ht="25.5">
      <c r="A160" s="19"/>
      <c r="B160" s="158"/>
      <c r="C160" s="124"/>
      <c r="D160" s="124"/>
      <c r="E160" s="124"/>
      <c r="F160" s="124"/>
      <c r="G160" s="124"/>
      <c r="H160" s="124"/>
      <c r="I160" s="124">
        <f>0.54*C160</f>
        <v>0</v>
      </c>
      <c r="J160" s="126"/>
      <c r="K160" s="126"/>
      <c r="L160" s="126"/>
      <c r="M160" s="126"/>
      <c r="N160" s="126"/>
      <c r="O160" s="188">
        <v>2350.1289999999999</v>
      </c>
      <c r="P160" s="188">
        <v>2390.0619999999999</v>
      </c>
      <c r="Q160" s="7"/>
      <c r="R160" s="242"/>
      <c r="S160" s="140">
        <v>40</v>
      </c>
      <c r="T160" s="124">
        <f>(P160-O160)*S160</f>
        <v>1597.3199999999997</v>
      </c>
      <c r="U160" s="717">
        <v>6289</v>
      </c>
      <c r="V160" s="128" t="s">
        <v>204</v>
      </c>
      <c r="W160" s="14" t="s">
        <v>116</v>
      </c>
      <c r="X160" s="7"/>
      <c r="Y160" s="7"/>
      <c r="Z160" s="7"/>
      <c r="AA160" s="7"/>
      <c r="AB160" s="7"/>
      <c r="AC160" s="7"/>
    </row>
    <row r="161" spans="1:29" ht="25.5">
      <c r="A161" s="19"/>
      <c r="B161" s="158"/>
      <c r="C161" s="124"/>
      <c r="D161" s="124"/>
      <c r="E161" s="124"/>
      <c r="F161" s="124"/>
      <c r="G161" s="124"/>
      <c r="H161" s="124"/>
      <c r="I161" s="124">
        <f>0.54*C161</f>
        <v>0</v>
      </c>
      <c r="J161" s="126"/>
      <c r="K161" s="126"/>
      <c r="L161" s="126"/>
      <c r="M161" s="126"/>
      <c r="N161" s="126"/>
      <c r="O161" s="188">
        <v>2064.0729999999999</v>
      </c>
      <c r="P161" s="188">
        <v>2075.8890000000001</v>
      </c>
      <c r="Q161" s="7"/>
      <c r="R161" s="242"/>
      <c r="S161" s="140">
        <v>30</v>
      </c>
      <c r="T161" s="124">
        <f>(P161-O161)*S161</f>
        <v>354.48000000000775</v>
      </c>
      <c r="U161" s="717">
        <v>9845</v>
      </c>
      <c r="V161" s="128" t="s">
        <v>204</v>
      </c>
      <c r="W161" s="14" t="s">
        <v>116</v>
      </c>
      <c r="X161" s="7"/>
      <c r="Y161" s="7"/>
      <c r="Z161" s="7"/>
      <c r="AA161" s="7"/>
      <c r="AB161" s="7"/>
      <c r="AC161" s="7"/>
    </row>
    <row r="162" spans="1:29" ht="26.25">
      <c r="A162" s="19"/>
      <c r="B162" s="123" t="s">
        <v>205</v>
      </c>
      <c r="C162" s="612">
        <f>F162+G162</f>
        <v>359.97527999999801</v>
      </c>
      <c r="D162" s="124">
        <f>H162+E162</f>
        <v>5502.4792799999695</v>
      </c>
      <c r="E162" s="124">
        <f>F162+G162</f>
        <v>359.97527999999801</v>
      </c>
      <c r="F162" s="124">
        <f>0.04*H162</f>
        <v>205.70015999999887</v>
      </c>
      <c r="G162" s="124">
        <f>0.03*H162</f>
        <v>154.27511999999913</v>
      </c>
      <c r="H162" s="124">
        <f>T162</f>
        <v>5142.5039999999717</v>
      </c>
      <c r="I162" s="124">
        <f>(X518-W518)*40</f>
        <v>856.400000000001</v>
      </c>
      <c r="J162" s="126"/>
      <c r="K162" s="126"/>
      <c r="L162" s="126"/>
      <c r="M162" s="126"/>
      <c r="N162" s="126"/>
      <c r="O162" s="188">
        <v>9068.4940000000006</v>
      </c>
      <c r="P162" s="188">
        <v>9282.7649999999994</v>
      </c>
      <c r="Q162" s="138"/>
      <c r="R162" s="215"/>
      <c r="S162" s="140">
        <v>24</v>
      </c>
      <c r="T162" s="124">
        <f>(P162-O162)*S162</f>
        <v>5142.5039999999717</v>
      </c>
      <c r="U162" s="717">
        <v>5667</v>
      </c>
      <c r="V162" s="128" t="s">
        <v>206</v>
      </c>
      <c r="W162" s="14" t="s">
        <v>116</v>
      </c>
      <c r="X162" s="7"/>
      <c r="Y162" s="7"/>
      <c r="Z162" s="7"/>
      <c r="AA162" s="7"/>
      <c r="AB162" s="7"/>
      <c r="AC162" s="7"/>
    </row>
    <row r="163" spans="1:29" ht="26.25">
      <c r="A163" s="19"/>
      <c r="B163" s="96" t="s">
        <v>207</v>
      </c>
      <c r="C163" s="192">
        <f>SUM(C134:C162)</f>
        <v>16147.832079999996</v>
      </c>
      <c r="D163" s="124">
        <f>SUM(D138:D162)</f>
        <v>520135.51927999989</v>
      </c>
      <c r="E163" s="115"/>
      <c r="F163" s="115"/>
      <c r="G163" s="115"/>
      <c r="H163" s="115"/>
      <c r="I163" s="115"/>
      <c r="J163" s="164"/>
      <c r="K163" s="164"/>
      <c r="L163" s="164"/>
      <c r="M163" s="164"/>
      <c r="N163" s="164"/>
      <c r="O163" s="91"/>
      <c r="P163" s="91"/>
      <c r="Q163" s="7"/>
      <c r="R163" s="94"/>
      <c r="S163" s="91"/>
      <c r="T163" s="91"/>
      <c r="U163" s="644"/>
      <c r="V163" s="695"/>
      <c r="W163" s="14"/>
      <c r="X163" s="7"/>
      <c r="Y163" s="7"/>
      <c r="Z163" s="7"/>
      <c r="AA163" s="7"/>
      <c r="AB163" s="7"/>
      <c r="AC163" s="7"/>
    </row>
    <row r="164" spans="1:29" ht="56.25" customHeight="1">
      <c r="A164" s="19"/>
      <c r="B164" s="499"/>
      <c r="C164" s="500"/>
      <c r="D164" s="501"/>
      <c r="E164" s="502"/>
      <c r="F164" s="500"/>
      <c r="G164" s="500"/>
      <c r="H164" s="500"/>
      <c r="I164" s="500"/>
      <c r="J164" s="503"/>
      <c r="K164" s="503"/>
      <c r="L164" s="503"/>
      <c r="M164" s="503"/>
      <c r="N164" s="503"/>
      <c r="O164" s="500"/>
      <c r="P164" s="500"/>
      <c r="Q164" s="504"/>
      <c r="R164" s="505"/>
      <c r="S164" s="500"/>
      <c r="T164" s="500"/>
      <c r="U164" s="723"/>
      <c r="V164" s="507"/>
      <c r="W164" s="14"/>
      <c r="X164" s="7"/>
      <c r="Y164" s="7"/>
      <c r="Z164" s="7"/>
      <c r="AA164" s="7"/>
      <c r="AB164" s="7"/>
      <c r="AC164" s="7"/>
    </row>
    <row r="165" spans="1:29" ht="26.25">
      <c r="A165" s="19"/>
      <c r="B165" s="193" t="s">
        <v>208</v>
      </c>
      <c r="C165" s="91"/>
      <c r="D165" s="115"/>
      <c r="E165" s="115"/>
      <c r="F165" s="91"/>
      <c r="G165" s="91"/>
      <c r="H165" s="91"/>
      <c r="I165" s="91"/>
      <c r="J165" s="164"/>
      <c r="K165" s="164"/>
      <c r="L165" s="164"/>
      <c r="M165" s="164"/>
      <c r="N165" s="164"/>
      <c r="O165" s="91"/>
      <c r="P165" s="91"/>
      <c r="Q165" s="7"/>
      <c r="R165" s="94"/>
      <c r="S165" s="91"/>
      <c r="T165" s="91"/>
      <c r="U165" s="644"/>
      <c r="V165" s="695"/>
      <c r="W165" s="14"/>
      <c r="X165" s="7"/>
      <c r="Y165" s="7"/>
      <c r="Z165" s="7"/>
      <c r="AA165" s="7"/>
      <c r="AB165" s="7"/>
      <c r="AC165" s="7"/>
    </row>
    <row r="166" spans="1:29" ht="25.5">
      <c r="A166" s="19"/>
      <c r="B166" s="132" t="s">
        <v>209</v>
      </c>
      <c r="C166" s="124">
        <f t="shared" ref="C166:C176" si="23">H166+E166</f>
        <v>1092.47</v>
      </c>
      <c r="D166" s="124"/>
      <c r="E166" s="124">
        <f t="shared" ref="E166:E174" si="24">F166+G166</f>
        <v>71.47</v>
      </c>
      <c r="F166" s="124">
        <f t="shared" ref="F166:F174" si="25">0.04*H166</f>
        <v>40.840000000000003</v>
      </c>
      <c r="G166" s="124">
        <f t="shared" ref="G166:G174" si="26">0.03*H166</f>
        <v>30.63</v>
      </c>
      <c r="H166" s="124">
        <f>T166</f>
        <v>1021</v>
      </c>
      <c r="I166" s="124">
        <f t="shared" ref="I166:I173" si="27">0.6*C166</f>
        <v>655.48199999999997</v>
      </c>
      <c r="J166" s="126"/>
      <c r="K166" s="126"/>
      <c r="L166" s="126"/>
      <c r="M166" s="126"/>
      <c r="N166" s="126"/>
      <c r="O166" s="124">
        <v>25796</v>
      </c>
      <c r="P166" s="124">
        <v>26817</v>
      </c>
      <c r="Q166" s="7"/>
      <c r="R166" s="94"/>
      <c r="S166" s="124">
        <v>1</v>
      </c>
      <c r="T166" s="124">
        <f t="shared" ref="T166:T230" si="28">(P166-O166)*S166</f>
        <v>1021</v>
      </c>
      <c r="U166" s="717" t="s">
        <v>959</v>
      </c>
      <c r="V166" s="128" t="s">
        <v>210</v>
      </c>
      <c r="W166" s="14" t="s">
        <v>82</v>
      </c>
      <c r="X166" s="7"/>
      <c r="Y166" s="7"/>
      <c r="Z166" s="7"/>
      <c r="AA166" s="7"/>
      <c r="AB166" s="7"/>
      <c r="AC166" s="7"/>
    </row>
    <row r="167" spans="1:29" ht="25.5">
      <c r="A167" s="19"/>
      <c r="B167" s="158" t="s">
        <v>897</v>
      </c>
      <c r="C167" s="124">
        <f t="shared" si="23"/>
        <v>116.63</v>
      </c>
      <c r="D167" s="124"/>
      <c r="E167" s="124">
        <f t="shared" si="24"/>
        <v>7.6300000000000008</v>
      </c>
      <c r="F167" s="124">
        <f t="shared" si="25"/>
        <v>4.3600000000000003</v>
      </c>
      <c r="G167" s="124">
        <f t="shared" si="26"/>
        <v>3.27</v>
      </c>
      <c r="H167" s="124">
        <f t="shared" ref="H167:H182" si="29">T167</f>
        <v>109</v>
      </c>
      <c r="I167" s="124">
        <f t="shared" si="27"/>
        <v>69.977999999999994</v>
      </c>
      <c r="J167" s="126"/>
      <c r="K167" s="126"/>
      <c r="L167" s="126"/>
      <c r="M167" s="126"/>
      <c r="N167" s="126"/>
      <c r="O167" s="124">
        <v>70681</v>
      </c>
      <c r="P167" s="124">
        <v>70790</v>
      </c>
      <c r="Q167" s="138"/>
      <c r="R167" s="215"/>
      <c r="S167" s="140">
        <v>1</v>
      </c>
      <c r="T167" s="124">
        <f>(P167-O167)*S167</f>
        <v>109</v>
      </c>
      <c r="U167" s="717" t="s">
        <v>960</v>
      </c>
      <c r="V167" s="128" t="s">
        <v>807</v>
      </c>
      <c r="W167" s="14" t="s">
        <v>212</v>
      </c>
      <c r="X167" s="7"/>
      <c r="Y167" s="7"/>
      <c r="Z167" s="7"/>
      <c r="AA167" s="7"/>
      <c r="AB167" s="7"/>
      <c r="AC167" s="7"/>
    </row>
    <row r="168" spans="1:29" ht="25.5">
      <c r="A168" s="19"/>
      <c r="B168" s="158" t="s">
        <v>213</v>
      </c>
      <c r="C168" s="124">
        <f t="shared" si="23"/>
        <v>108.07</v>
      </c>
      <c r="D168" s="124"/>
      <c r="E168" s="124">
        <f t="shared" si="24"/>
        <v>7.07</v>
      </c>
      <c r="F168" s="124">
        <f t="shared" si="25"/>
        <v>4.04</v>
      </c>
      <c r="G168" s="124">
        <f t="shared" si="26"/>
        <v>3.03</v>
      </c>
      <c r="H168" s="124">
        <f t="shared" si="29"/>
        <v>101</v>
      </c>
      <c r="I168" s="124">
        <f t="shared" si="27"/>
        <v>64.841999999999999</v>
      </c>
      <c r="J168" s="126"/>
      <c r="K168" s="126"/>
      <c r="L168" s="126"/>
      <c r="M168" s="126"/>
      <c r="N168" s="126"/>
      <c r="O168" s="124">
        <v>9874</v>
      </c>
      <c r="P168" s="124">
        <v>9975</v>
      </c>
      <c r="Q168" s="126" t="s">
        <v>33</v>
      </c>
      <c r="R168" s="159"/>
      <c r="S168" s="140">
        <v>1</v>
      </c>
      <c r="T168" s="124">
        <f t="shared" si="28"/>
        <v>101</v>
      </c>
      <c r="U168" s="717" t="s">
        <v>961</v>
      </c>
      <c r="V168" s="128" t="s">
        <v>214</v>
      </c>
      <c r="W168" s="14" t="s">
        <v>212</v>
      </c>
      <c r="X168" s="7"/>
      <c r="Y168" s="7"/>
      <c r="Z168" s="7"/>
      <c r="AA168" s="7"/>
      <c r="AB168" s="7"/>
      <c r="AC168" s="7"/>
    </row>
    <row r="169" spans="1:29" ht="25.5">
      <c r="A169" s="19"/>
      <c r="B169" s="158" t="s">
        <v>215</v>
      </c>
      <c r="C169" s="625">
        <f t="shared" si="23"/>
        <v>698.71</v>
      </c>
      <c r="D169" s="625"/>
      <c r="E169" s="625">
        <f t="shared" si="24"/>
        <v>45.71</v>
      </c>
      <c r="F169" s="625">
        <f t="shared" si="25"/>
        <v>26.12</v>
      </c>
      <c r="G169" s="625">
        <f t="shared" si="26"/>
        <v>19.59</v>
      </c>
      <c r="H169" s="625">
        <f t="shared" si="29"/>
        <v>653</v>
      </c>
      <c r="I169" s="625">
        <f t="shared" si="27"/>
        <v>419.226</v>
      </c>
      <c r="J169" s="626"/>
      <c r="K169" s="626"/>
      <c r="L169" s="626"/>
      <c r="M169" s="626"/>
      <c r="N169" s="626"/>
      <c r="O169" s="625">
        <v>23497</v>
      </c>
      <c r="P169" s="625">
        <v>24150</v>
      </c>
      <c r="Q169" s="626" t="s">
        <v>33</v>
      </c>
      <c r="R169" s="627"/>
      <c r="S169" s="628">
        <v>1</v>
      </c>
      <c r="T169" s="625">
        <f t="shared" si="28"/>
        <v>653</v>
      </c>
      <c r="U169" s="717" t="s">
        <v>962</v>
      </c>
      <c r="V169" s="128" t="s">
        <v>216</v>
      </c>
      <c r="W169" s="14" t="s">
        <v>48</v>
      </c>
      <c r="X169" s="7"/>
      <c r="Y169" s="7"/>
      <c r="Z169" s="7"/>
      <c r="AA169" s="7"/>
      <c r="AB169" s="7"/>
      <c r="AC169" s="7"/>
    </row>
    <row r="170" spans="1:29" ht="25.5">
      <c r="A170" s="19"/>
      <c r="B170" s="158" t="s">
        <v>217</v>
      </c>
      <c r="C170" s="124">
        <f t="shared" si="23"/>
        <v>3549.19</v>
      </c>
      <c r="D170" s="124"/>
      <c r="E170" s="124">
        <f t="shared" si="24"/>
        <v>232.19</v>
      </c>
      <c r="F170" s="124">
        <f t="shared" si="25"/>
        <v>132.68</v>
      </c>
      <c r="G170" s="124">
        <f t="shared" si="26"/>
        <v>99.509999999999991</v>
      </c>
      <c r="H170" s="124">
        <f t="shared" si="29"/>
        <v>3317</v>
      </c>
      <c r="I170" s="124">
        <f t="shared" si="27"/>
        <v>2129.5140000000001</v>
      </c>
      <c r="J170" s="126"/>
      <c r="K170" s="126"/>
      <c r="L170" s="126"/>
      <c r="M170" s="126"/>
      <c r="N170" s="126"/>
      <c r="O170" s="124">
        <v>83709</v>
      </c>
      <c r="P170" s="124">
        <v>87026</v>
      </c>
      <c r="Q170" s="7"/>
      <c r="R170" s="94"/>
      <c r="S170" s="140">
        <v>1</v>
      </c>
      <c r="T170" s="124">
        <f t="shared" si="28"/>
        <v>3317</v>
      </c>
      <c r="U170" s="717" t="s">
        <v>963</v>
      </c>
      <c r="V170" s="128" t="s">
        <v>218</v>
      </c>
      <c r="W170" s="14" t="s">
        <v>212</v>
      </c>
      <c r="X170" s="7"/>
      <c r="Y170" s="7"/>
      <c r="Z170" s="7"/>
      <c r="AA170" s="7"/>
      <c r="AB170" s="7"/>
      <c r="AC170" s="7"/>
    </row>
    <row r="171" spans="1:29" ht="25.5">
      <c r="A171" s="19"/>
      <c r="B171" s="158" t="s">
        <v>219</v>
      </c>
      <c r="C171" s="124">
        <f t="shared" si="23"/>
        <v>7554.2</v>
      </c>
      <c r="D171" s="124"/>
      <c r="E171" s="124">
        <f t="shared" si="24"/>
        <v>494.20000000000005</v>
      </c>
      <c r="F171" s="124">
        <f t="shared" si="25"/>
        <v>282.40000000000003</v>
      </c>
      <c r="G171" s="124">
        <f t="shared" si="26"/>
        <v>211.79999999999998</v>
      </c>
      <c r="H171" s="124">
        <f t="shared" si="29"/>
        <v>7060</v>
      </c>
      <c r="I171" s="124">
        <f t="shared" si="27"/>
        <v>4532.5199999999995</v>
      </c>
      <c r="J171" s="126"/>
      <c r="K171" s="126"/>
      <c r="L171" s="126"/>
      <c r="M171" s="126"/>
      <c r="N171" s="126"/>
      <c r="O171" s="124">
        <v>206853</v>
      </c>
      <c r="P171" s="124">
        <v>213913</v>
      </c>
      <c r="Q171" s="126"/>
      <c r="R171" s="159"/>
      <c r="S171" s="140">
        <v>1</v>
      </c>
      <c r="T171" s="124">
        <f t="shared" si="28"/>
        <v>7060</v>
      </c>
      <c r="U171" s="717" t="s">
        <v>964</v>
      </c>
      <c r="V171" s="128" t="s">
        <v>220</v>
      </c>
      <c r="W171" s="14" t="s">
        <v>212</v>
      </c>
      <c r="X171" s="7"/>
      <c r="Y171" s="7"/>
      <c r="Z171" s="7"/>
      <c r="AA171" s="7"/>
      <c r="AB171" s="7"/>
      <c r="AC171" s="7"/>
    </row>
    <row r="172" spans="1:29" s="195" customFormat="1" ht="25.5">
      <c r="A172" s="194"/>
      <c r="B172" s="158" t="s">
        <v>221</v>
      </c>
      <c r="C172" s="124">
        <f t="shared" si="23"/>
        <v>1048.5999999999999</v>
      </c>
      <c r="D172" s="124"/>
      <c r="E172" s="124">
        <f t="shared" si="24"/>
        <v>68.599999999999994</v>
      </c>
      <c r="F172" s="124">
        <f t="shared" si="25"/>
        <v>39.200000000000003</v>
      </c>
      <c r="G172" s="124">
        <f t="shared" si="26"/>
        <v>29.4</v>
      </c>
      <c r="H172" s="124">
        <f t="shared" si="29"/>
        <v>980</v>
      </c>
      <c r="I172" s="124">
        <f t="shared" si="27"/>
        <v>629.16</v>
      </c>
      <c r="J172" s="332"/>
      <c r="K172" s="332"/>
      <c r="L172" s="332"/>
      <c r="M172" s="332"/>
      <c r="N172" s="332"/>
      <c r="O172" s="124">
        <v>33762</v>
      </c>
      <c r="P172" s="124">
        <v>34742</v>
      </c>
      <c r="Q172" s="7"/>
      <c r="R172" s="159"/>
      <c r="S172" s="140">
        <v>1</v>
      </c>
      <c r="T172" s="124">
        <f t="shared" si="28"/>
        <v>980</v>
      </c>
      <c r="U172" s="717" t="s">
        <v>965</v>
      </c>
      <c r="V172" s="128" t="s">
        <v>222</v>
      </c>
      <c r="W172" s="14" t="s">
        <v>212</v>
      </c>
      <c r="X172" s="86"/>
      <c r="Y172" s="86"/>
      <c r="Z172" s="86"/>
      <c r="AA172" s="86"/>
      <c r="AB172" s="86"/>
      <c r="AC172" s="86"/>
    </row>
    <row r="173" spans="1:29" ht="25.5">
      <c r="A173" s="19"/>
      <c r="B173" s="132"/>
      <c r="C173" s="124">
        <f t="shared" si="23"/>
        <v>231.12</v>
      </c>
      <c r="D173" s="124"/>
      <c r="E173" s="124">
        <f t="shared" si="24"/>
        <v>15.120000000000001</v>
      </c>
      <c r="F173" s="124">
        <f t="shared" si="25"/>
        <v>8.64</v>
      </c>
      <c r="G173" s="124">
        <f t="shared" si="26"/>
        <v>6.4799999999999995</v>
      </c>
      <c r="H173" s="124">
        <f t="shared" si="29"/>
        <v>216</v>
      </c>
      <c r="I173" s="124">
        <f t="shared" si="27"/>
        <v>138.672</v>
      </c>
      <c r="J173" s="126"/>
      <c r="K173" s="126"/>
      <c r="L173" s="126"/>
      <c r="M173" s="126"/>
      <c r="N173" s="126"/>
      <c r="O173" s="124">
        <v>26424</v>
      </c>
      <c r="P173" s="124">
        <v>26640</v>
      </c>
      <c r="Q173" s="7"/>
      <c r="R173" s="94"/>
      <c r="S173" s="140">
        <v>1</v>
      </c>
      <c r="T173" s="124">
        <f t="shared" si="28"/>
        <v>216</v>
      </c>
      <c r="U173" s="717">
        <v>8383</v>
      </c>
      <c r="V173" s="128" t="s">
        <v>223</v>
      </c>
      <c r="W173" s="14" t="s">
        <v>212</v>
      </c>
      <c r="X173" s="7"/>
      <c r="Y173" s="7"/>
      <c r="Z173" s="7"/>
      <c r="AA173" s="7"/>
      <c r="AB173" s="7"/>
      <c r="AC173" s="7"/>
    </row>
    <row r="174" spans="1:29" ht="40.5" customHeight="1">
      <c r="A174" s="19"/>
      <c r="B174" s="123" t="s">
        <v>224</v>
      </c>
      <c r="C174" s="97">
        <f t="shared" si="23"/>
        <v>21338.710399999971</v>
      </c>
      <c r="D174" s="97"/>
      <c r="E174" s="97">
        <f t="shared" si="24"/>
        <v>1395.9903999999979</v>
      </c>
      <c r="F174" s="97">
        <f t="shared" si="25"/>
        <v>797.70879999999886</v>
      </c>
      <c r="G174" s="97">
        <f t="shared" si="26"/>
        <v>598.28159999999912</v>
      </c>
      <c r="H174" s="97">
        <f t="shared" si="29"/>
        <v>19942.719999999972</v>
      </c>
      <c r="I174" s="97">
        <f>T175+250+750</f>
        <v>1589</v>
      </c>
      <c r="J174" s="332"/>
      <c r="K174" s="332"/>
      <c r="L174" s="332"/>
      <c r="M174" s="332"/>
      <c r="N174" s="332"/>
      <c r="O174" s="629">
        <v>64498.046000000002</v>
      </c>
      <c r="P174" s="629">
        <v>64996.614000000001</v>
      </c>
      <c r="Q174" s="138"/>
      <c r="R174" s="215"/>
      <c r="S174" s="97">
        <v>40</v>
      </c>
      <c r="T174" s="124">
        <f t="shared" si="28"/>
        <v>19942.719999999972</v>
      </c>
      <c r="U174" s="717" t="s">
        <v>966</v>
      </c>
      <c r="V174" s="128" t="s">
        <v>225</v>
      </c>
      <c r="W174" s="14" t="s">
        <v>48</v>
      </c>
      <c r="X174" s="7"/>
      <c r="Y174" s="7"/>
      <c r="Z174" s="7"/>
      <c r="AA174" s="7"/>
      <c r="AB174" s="7"/>
      <c r="AC174" s="7"/>
    </row>
    <row r="175" spans="1:29" ht="26.25">
      <c r="A175" s="19"/>
      <c r="B175" s="700" t="s">
        <v>953</v>
      </c>
      <c r="C175" s="124">
        <f t="shared" si="23"/>
        <v>630.23</v>
      </c>
      <c r="D175" s="124"/>
      <c r="E175" s="124">
        <f>F175+G175</f>
        <v>41.23</v>
      </c>
      <c r="F175" s="124">
        <f>0.04*H175</f>
        <v>23.56</v>
      </c>
      <c r="G175" s="124">
        <f>0.03*H175</f>
        <v>17.669999999999998</v>
      </c>
      <c r="H175" s="124">
        <f t="shared" si="29"/>
        <v>589</v>
      </c>
      <c r="I175" s="124">
        <f>0.6*C175</f>
        <v>378.13799999999998</v>
      </c>
      <c r="J175" s="126"/>
      <c r="K175" s="126"/>
      <c r="L175" s="126"/>
      <c r="M175" s="126"/>
      <c r="N175" s="126"/>
      <c r="O175" s="124">
        <v>358</v>
      </c>
      <c r="P175" s="124">
        <v>947</v>
      </c>
      <c r="Q175" s="7"/>
      <c r="R175" s="94"/>
      <c r="S175" s="140">
        <v>1</v>
      </c>
      <c r="T175" s="124">
        <f t="shared" si="28"/>
        <v>589</v>
      </c>
      <c r="U175" s="717" t="s">
        <v>967</v>
      </c>
      <c r="V175" s="128" t="s">
        <v>884</v>
      </c>
      <c r="W175" s="14"/>
      <c r="X175" s="7"/>
      <c r="Y175" s="7"/>
      <c r="Z175" s="7"/>
      <c r="AA175" s="7"/>
      <c r="AB175" s="7"/>
      <c r="AC175" s="7"/>
    </row>
    <row r="176" spans="1:29" ht="25.5">
      <c r="A176" s="19"/>
      <c r="B176" s="835" t="s">
        <v>226</v>
      </c>
      <c r="C176" s="124">
        <f t="shared" si="23"/>
        <v>759.7</v>
      </c>
      <c r="D176" s="124"/>
      <c r="E176" s="124">
        <f>F176+G176</f>
        <v>49.7</v>
      </c>
      <c r="F176" s="124">
        <f>0.04*H176</f>
        <v>28.400000000000002</v>
      </c>
      <c r="G176" s="124">
        <f>0.03*H176</f>
        <v>21.3</v>
      </c>
      <c r="H176" s="124">
        <f t="shared" si="29"/>
        <v>710</v>
      </c>
      <c r="I176" s="124">
        <f>0.6*C176</f>
        <v>455.82</v>
      </c>
      <c r="J176" s="126"/>
      <c r="K176" s="126"/>
      <c r="L176" s="126"/>
      <c r="M176" s="126"/>
      <c r="N176" s="126"/>
      <c r="O176" s="124">
        <v>32392</v>
      </c>
      <c r="P176" s="124">
        <v>33102</v>
      </c>
      <c r="Q176" s="7"/>
      <c r="R176" s="94"/>
      <c r="S176" s="140">
        <v>1</v>
      </c>
      <c r="T176" s="124">
        <f t="shared" si="28"/>
        <v>710</v>
      </c>
      <c r="U176" s="726" t="s">
        <v>968</v>
      </c>
      <c r="V176" s="698" t="s">
        <v>227</v>
      </c>
      <c r="W176" s="14" t="s">
        <v>212</v>
      </c>
      <c r="X176" s="7"/>
      <c r="Y176" s="7"/>
      <c r="Z176" s="7"/>
      <c r="AA176" s="7"/>
      <c r="AB176" s="7"/>
      <c r="AC176" s="7"/>
    </row>
    <row r="177" spans="1:29" ht="25.5">
      <c r="A177" s="19"/>
      <c r="B177" s="836"/>
      <c r="C177" s="113">
        <f>H177+E177</f>
        <v>15388.739999999812</v>
      </c>
      <c r="D177" s="113"/>
      <c r="E177" s="113">
        <f>F177+G177</f>
        <v>1006.7399999999877</v>
      </c>
      <c r="F177" s="113">
        <f>0.04*H177</f>
        <v>575.27999999999304</v>
      </c>
      <c r="G177" s="113">
        <f>0.03*H177</f>
        <v>431.45999999999475</v>
      </c>
      <c r="H177" s="113">
        <f t="shared" si="29"/>
        <v>14381.999999999825</v>
      </c>
      <c r="I177" s="187">
        <f>0.6*C177</f>
        <v>9233.2439999998878</v>
      </c>
      <c r="J177" s="22"/>
      <c r="K177" s="22"/>
      <c r="L177" s="22"/>
      <c r="M177" s="22"/>
      <c r="N177" s="22"/>
      <c r="O177" s="630">
        <v>37304.9</v>
      </c>
      <c r="P177" s="630">
        <v>37544.6</v>
      </c>
      <c r="Q177" s="22" t="s">
        <v>33</v>
      </c>
      <c r="R177" s="631"/>
      <c r="S177" s="632">
        <v>60</v>
      </c>
      <c r="T177" s="113">
        <f t="shared" si="28"/>
        <v>14381.999999999825</v>
      </c>
      <c r="U177" s="644" t="s">
        <v>969</v>
      </c>
      <c r="V177" s="698" t="s">
        <v>228</v>
      </c>
      <c r="W177" s="14" t="s">
        <v>212</v>
      </c>
      <c r="X177" s="7"/>
      <c r="Y177" s="7"/>
      <c r="Z177" s="7"/>
      <c r="AA177" s="7"/>
      <c r="AB177" s="7"/>
      <c r="AC177" s="7"/>
    </row>
    <row r="178" spans="1:29" ht="25.5">
      <c r="A178" s="19"/>
      <c r="B178" s="633" t="s">
        <v>229</v>
      </c>
      <c r="C178" s="229">
        <f>H178+E178</f>
        <v>3319.14</v>
      </c>
      <c r="D178" s="229"/>
      <c r="E178" s="229">
        <f>G178+F178</f>
        <v>217.14</v>
      </c>
      <c r="F178" s="229">
        <f>0.04*H178</f>
        <v>124.08</v>
      </c>
      <c r="G178" s="229">
        <f>0.03*H178</f>
        <v>93.06</v>
      </c>
      <c r="H178" s="229">
        <f t="shared" si="29"/>
        <v>3102</v>
      </c>
      <c r="I178" s="229">
        <f>0.6*C178</f>
        <v>1991.4839999999999</v>
      </c>
      <c r="J178" s="634"/>
      <c r="K178" s="634"/>
      <c r="L178" s="634"/>
      <c r="M178" s="634"/>
      <c r="N178" s="634"/>
      <c r="O178" s="229">
        <v>97411</v>
      </c>
      <c r="P178" s="229">
        <v>100513</v>
      </c>
      <c r="Q178" s="635"/>
      <c r="R178" s="636"/>
      <c r="S178" s="637">
        <v>1</v>
      </c>
      <c r="T178" s="229">
        <f t="shared" si="28"/>
        <v>3102</v>
      </c>
      <c r="U178" s="644" t="s">
        <v>970</v>
      </c>
      <c r="V178" s="698" t="s">
        <v>943</v>
      </c>
      <c r="W178" s="14" t="s">
        <v>212</v>
      </c>
      <c r="X178" s="7"/>
      <c r="Y178" s="7"/>
      <c r="Z178" s="7"/>
      <c r="AA178" s="7"/>
      <c r="AB178" s="7"/>
      <c r="AC178" s="7"/>
    </row>
    <row r="179" spans="1:29" s="195" customFormat="1" ht="25.5">
      <c r="A179" s="194"/>
      <c r="B179" s="148" t="s">
        <v>768</v>
      </c>
      <c r="C179" s="91">
        <f t="shared" ref="C179:C230" si="30">H179+E179</f>
        <v>712.62</v>
      </c>
      <c r="D179" s="91"/>
      <c r="E179" s="91">
        <f>F179+G179</f>
        <v>46.620000000000005</v>
      </c>
      <c r="F179" s="91">
        <f t="shared" ref="F179:F230" si="31">0.04*H179</f>
        <v>26.64</v>
      </c>
      <c r="G179" s="91">
        <f t="shared" ref="G179:G230" si="32">0.03*H179</f>
        <v>19.98</v>
      </c>
      <c r="H179" s="91">
        <f t="shared" si="29"/>
        <v>666</v>
      </c>
      <c r="I179" s="91">
        <f t="shared" ref="I179:I197" si="33">0.6*C179</f>
        <v>427.572</v>
      </c>
      <c r="J179" s="22"/>
      <c r="K179" s="22"/>
      <c r="L179" s="22"/>
      <c r="M179" s="22"/>
      <c r="N179" s="22"/>
      <c r="O179" s="91">
        <v>8339</v>
      </c>
      <c r="P179" s="91">
        <v>9005</v>
      </c>
      <c r="Q179" s="122"/>
      <c r="R179" s="173"/>
      <c r="S179" s="151">
        <v>1</v>
      </c>
      <c r="T179" s="91">
        <f t="shared" si="28"/>
        <v>666</v>
      </c>
      <c r="U179" s="644" t="s">
        <v>971</v>
      </c>
      <c r="V179" s="698" t="s">
        <v>686</v>
      </c>
      <c r="W179" s="191" t="s">
        <v>48</v>
      </c>
      <c r="X179" s="86"/>
      <c r="Y179" s="86"/>
      <c r="Z179" s="86"/>
      <c r="AA179" s="86"/>
      <c r="AB179" s="86"/>
      <c r="AC179" s="86"/>
    </row>
    <row r="180" spans="1:29" ht="34.5" customHeight="1">
      <c r="A180" s="19"/>
      <c r="B180" s="148" t="s">
        <v>850</v>
      </c>
      <c r="C180" s="91">
        <f t="shared" si="30"/>
        <v>695.5</v>
      </c>
      <c r="D180" s="91"/>
      <c r="E180" s="91">
        <f>F180+G180</f>
        <v>45.5</v>
      </c>
      <c r="F180" s="91">
        <f t="shared" si="31"/>
        <v>26</v>
      </c>
      <c r="G180" s="91">
        <f t="shared" si="32"/>
        <v>19.5</v>
      </c>
      <c r="H180" s="91">
        <f t="shared" si="29"/>
        <v>650</v>
      </c>
      <c r="I180" s="91">
        <f t="shared" si="33"/>
        <v>417.3</v>
      </c>
      <c r="J180" s="22"/>
      <c r="K180" s="22"/>
      <c r="L180" s="22"/>
      <c r="M180" s="22"/>
      <c r="N180" s="22"/>
      <c r="O180" s="91">
        <v>4476</v>
      </c>
      <c r="P180" s="91">
        <v>5126</v>
      </c>
      <c r="Q180" s="122"/>
      <c r="R180" s="173"/>
      <c r="S180" s="151">
        <v>1</v>
      </c>
      <c r="T180" s="91">
        <f t="shared" si="28"/>
        <v>650</v>
      </c>
      <c r="U180" s="644">
        <v>70373</v>
      </c>
      <c r="V180" s="698" t="s">
        <v>231</v>
      </c>
      <c r="W180" s="191" t="s">
        <v>48</v>
      </c>
      <c r="X180" s="7"/>
      <c r="Y180" s="7"/>
      <c r="Z180" s="7"/>
      <c r="AA180" s="7"/>
      <c r="AB180" s="7"/>
      <c r="AC180" s="7"/>
    </row>
    <row r="181" spans="1:29" s="198" customFormat="1" ht="33" customHeight="1">
      <c r="A181" s="196"/>
      <c r="B181" s="148" t="s">
        <v>851</v>
      </c>
      <c r="C181" s="91">
        <f t="shared" si="30"/>
        <v>848.51</v>
      </c>
      <c r="D181" s="91"/>
      <c r="E181" s="91">
        <f>F181+G181</f>
        <v>55.510000000000005</v>
      </c>
      <c r="F181" s="91">
        <f t="shared" si="31"/>
        <v>31.720000000000002</v>
      </c>
      <c r="G181" s="91">
        <f t="shared" si="32"/>
        <v>23.79</v>
      </c>
      <c r="H181" s="91">
        <f t="shared" si="29"/>
        <v>793</v>
      </c>
      <c r="I181" s="91">
        <f t="shared" si="33"/>
        <v>509.10599999999999</v>
      </c>
      <c r="J181" s="22"/>
      <c r="K181" s="22"/>
      <c r="L181" s="22"/>
      <c r="M181" s="22"/>
      <c r="N181" s="22"/>
      <c r="O181" s="91">
        <v>9697</v>
      </c>
      <c r="P181" s="91">
        <v>10490</v>
      </c>
      <c r="Q181" s="122"/>
      <c r="R181" s="173"/>
      <c r="S181" s="91">
        <v>1</v>
      </c>
      <c r="T181" s="91">
        <f t="shared" si="28"/>
        <v>793</v>
      </c>
      <c r="U181" s="644">
        <v>99648</v>
      </c>
      <c r="V181" s="698" t="s">
        <v>232</v>
      </c>
      <c r="W181" s="191" t="s">
        <v>48</v>
      </c>
      <c r="X181" s="197"/>
      <c r="Y181" s="197"/>
      <c r="Z181" s="197"/>
      <c r="AA181" s="197"/>
      <c r="AB181" s="197"/>
      <c r="AC181" s="197"/>
    </row>
    <row r="182" spans="1:29" ht="26.25">
      <c r="A182" s="19"/>
      <c r="B182" s="148" t="s">
        <v>852</v>
      </c>
      <c r="C182" s="91">
        <f t="shared" si="30"/>
        <v>820.69</v>
      </c>
      <c r="D182" s="91"/>
      <c r="E182" s="91">
        <f>F182+G182</f>
        <v>53.69</v>
      </c>
      <c r="F182" s="91">
        <f t="shared" si="31"/>
        <v>30.68</v>
      </c>
      <c r="G182" s="91">
        <f t="shared" si="32"/>
        <v>23.009999999999998</v>
      </c>
      <c r="H182" s="91">
        <f t="shared" si="29"/>
        <v>767</v>
      </c>
      <c r="I182" s="91">
        <f t="shared" si="33"/>
        <v>492.41399999999999</v>
      </c>
      <c r="J182" s="22"/>
      <c r="K182" s="22"/>
      <c r="L182" s="22"/>
      <c r="M182" s="22"/>
      <c r="N182" s="22" t="s">
        <v>233</v>
      </c>
      <c r="O182" s="91">
        <v>35202</v>
      </c>
      <c r="P182" s="91">
        <v>35969</v>
      </c>
      <c r="Q182" s="149"/>
      <c r="R182" s="161"/>
      <c r="S182" s="91">
        <v>1</v>
      </c>
      <c r="T182" s="91">
        <f t="shared" si="28"/>
        <v>767</v>
      </c>
      <c r="U182" s="644">
        <v>98600</v>
      </c>
      <c r="V182" s="698" t="s">
        <v>234</v>
      </c>
      <c r="W182" s="191" t="s">
        <v>48</v>
      </c>
      <c r="X182" s="7"/>
      <c r="Y182" s="7"/>
      <c r="Z182" s="7"/>
      <c r="AA182" s="7"/>
      <c r="AB182" s="7"/>
      <c r="AC182" s="7"/>
    </row>
    <row r="183" spans="1:29" ht="26.25">
      <c r="A183" s="19"/>
      <c r="B183" s="148" t="s">
        <v>898</v>
      </c>
      <c r="C183" s="91">
        <f t="shared" si="30"/>
        <v>480.43</v>
      </c>
      <c r="D183" s="91"/>
      <c r="E183" s="91">
        <f>F183+G183</f>
        <v>31.43</v>
      </c>
      <c r="F183" s="91">
        <f t="shared" si="31"/>
        <v>17.96</v>
      </c>
      <c r="G183" s="91">
        <f t="shared" si="32"/>
        <v>13.469999999999999</v>
      </c>
      <c r="H183" s="91">
        <f>T183</f>
        <v>449</v>
      </c>
      <c r="I183" s="91">
        <f t="shared" si="33"/>
        <v>288.25799999999998</v>
      </c>
      <c r="J183" s="22"/>
      <c r="K183" s="22"/>
      <c r="L183" s="22"/>
      <c r="M183" s="22"/>
      <c r="N183" s="22" t="s">
        <v>235</v>
      </c>
      <c r="O183" s="91">
        <v>87000</v>
      </c>
      <c r="P183" s="91">
        <v>87449</v>
      </c>
      <c r="Q183" s="122"/>
      <c r="R183" s="173"/>
      <c r="S183" s="91">
        <v>1</v>
      </c>
      <c r="T183" s="91">
        <f t="shared" si="28"/>
        <v>449</v>
      </c>
      <c r="U183" s="644">
        <v>98517</v>
      </c>
      <c r="V183" s="698" t="s">
        <v>846</v>
      </c>
      <c r="W183" s="191" t="s">
        <v>48</v>
      </c>
      <c r="X183" s="7"/>
      <c r="Y183" s="7"/>
      <c r="Z183" s="7"/>
      <c r="AA183" s="7"/>
      <c r="AB183" s="7"/>
      <c r="AC183" s="7"/>
    </row>
    <row r="184" spans="1:29" ht="26.25">
      <c r="A184" s="19"/>
      <c r="B184" s="148" t="s">
        <v>853</v>
      </c>
      <c r="C184" s="91">
        <f t="shared" si="30"/>
        <v>889.17</v>
      </c>
      <c r="D184" s="91"/>
      <c r="E184" s="91">
        <f>F184++G184</f>
        <v>58.17</v>
      </c>
      <c r="F184" s="91">
        <f t="shared" si="31"/>
        <v>33.24</v>
      </c>
      <c r="G184" s="91">
        <f t="shared" si="32"/>
        <v>24.93</v>
      </c>
      <c r="H184" s="91">
        <f t="shared" ref="H184:H199" si="34">T184</f>
        <v>831</v>
      </c>
      <c r="I184" s="91">
        <f t="shared" si="33"/>
        <v>533.50199999999995</v>
      </c>
      <c r="J184" s="22"/>
      <c r="K184" s="22"/>
      <c r="L184" s="22"/>
      <c r="M184" s="22"/>
      <c r="N184" s="22" t="s">
        <v>237</v>
      </c>
      <c r="O184" s="91">
        <v>46443</v>
      </c>
      <c r="P184" s="91">
        <v>47274</v>
      </c>
      <c r="Q184" s="22" t="s">
        <v>33</v>
      </c>
      <c r="R184" s="142"/>
      <c r="S184" s="151">
        <v>1</v>
      </c>
      <c r="T184" s="91">
        <f t="shared" si="28"/>
        <v>831</v>
      </c>
      <c r="U184" s="644">
        <v>98627</v>
      </c>
      <c r="V184" s="698" t="s">
        <v>238</v>
      </c>
      <c r="W184" s="191" t="s">
        <v>48</v>
      </c>
      <c r="X184" s="7"/>
      <c r="Y184" s="7"/>
      <c r="Z184" s="7"/>
      <c r="AA184" s="7"/>
      <c r="AB184" s="7"/>
      <c r="AC184" s="7"/>
    </row>
    <row r="185" spans="1:29" ht="26.25">
      <c r="A185" s="19"/>
      <c r="B185" s="90" t="s">
        <v>899</v>
      </c>
      <c r="C185" s="91">
        <f t="shared" si="30"/>
        <v>282.48</v>
      </c>
      <c r="D185" s="91"/>
      <c r="E185" s="91">
        <f>G185+F185</f>
        <v>18.48</v>
      </c>
      <c r="F185" s="91">
        <f t="shared" si="31"/>
        <v>10.56</v>
      </c>
      <c r="G185" s="91">
        <f t="shared" si="32"/>
        <v>7.92</v>
      </c>
      <c r="H185" s="91">
        <f t="shared" si="34"/>
        <v>264</v>
      </c>
      <c r="I185" s="91">
        <f t="shared" si="33"/>
        <v>169.488</v>
      </c>
      <c r="J185" s="22"/>
      <c r="K185" s="22"/>
      <c r="L185" s="22"/>
      <c r="M185" s="22"/>
      <c r="N185" s="22"/>
      <c r="O185" s="91">
        <v>74211</v>
      </c>
      <c r="P185" s="91">
        <v>74475</v>
      </c>
      <c r="Q185" s="149"/>
      <c r="R185" s="161"/>
      <c r="S185" s="151">
        <v>1</v>
      </c>
      <c r="T185" s="91">
        <f t="shared" si="28"/>
        <v>264</v>
      </c>
      <c r="U185" s="644">
        <v>98556</v>
      </c>
      <c r="V185" s="698" t="s">
        <v>240</v>
      </c>
      <c r="W185" s="191" t="s">
        <v>48</v>
      </c>
      <c r="X185" s="7"/>
      <c r="Y185" s="7"/>
      <c r="Z185" s="7"/>
      <c r="AA185" s="7"/>
      <c r="AB185" s="7"/>
      <c r="AC185" s="7"/>
    </row>
    <row r="186" spans="1:29" ht="26.25">
      <c r="A186" s="19"/>
      <c r="B186" s="148" t="s">
        <v>854</v>
      </c>
      <c r="C186" s="91">
        <f t="shared" si="30"/>
        <v>464.38</v>
      </c>
      <c r="D186" s="91"/>
      <c r="E186" s="91">
        <f t="shared" ref="E186:E193" si="35">F186+G186</f>
        <v>30.38</v>
      </c>
      <c r="F186" s="91">
        <f t="shared" si="31"/>
        <v>17.36</v>
      </c>
      <c r="G186" s="91">
        <f t="shared" si="32"/>
        <v>13.02</v>
      </c>
      <c r="H186" s="91">
        <f t="shared" si="34"/>
        <v>434</v>
      </c>
      <c r="I186" s="91">
        <f t="shared" si="33"/>
        <v>278.62799999999999</v>
      </c>
      <c r="J186" s="22"/>
      <c r="K186" s="22"/>
      <c r="L186" s="22"/>
      <c r="M186" s="22"/>
      <c r="N186" s="22"/>
      <c r="O186" s="91">
        <v>71754</v>
      </c>
      <c r="P186" s="91">
        <v>72188</v>
      </c>
      <c r="Q186" s="122"/>
      <c r="R186" s="173"/>
      <c r="S186" s="151">
        <v>1</v>
      </c>
      <c r="T186" s="91">
        <f t="shared" si="28"/>
        <v>434</v>
      </c>
      <c r="U186" s="644">
        <v>98503</v>
      </c>
      <c r="V186" s="698" t="s">
        <v>241</v>
      </c>
      <c r="W186" s="191" t="s">
        <v>48</v>
      </c>
      <c r="X186" s="7"/>
      <c r="Y186" s="7"/>
      <c r="Z186" s="7"/>
      <c r="AA186" s="7"/>
      <c r="AB186" s="7"/>
      <c r="AC186" s="7"/>
    </row>
    <row r="187" spans="1:29" ht="26.25" customHeight="1">
      <c r="A187" s="19"/>
      <c r="B187" s="837" t="s">
        <v>242</v>
      </c>
      <c r="C187" s="91">
        <f t="shared" si="30"/>
        <v>811.06</v>
      </c>
      <c r="D187" s="91"/>
      <c r="E187" s="91">
        <f t="shared" si="35"/>
        <v>53.06</v>
      </c>
      <c r="F187" s="91">
        <f t="shared" si="31"/>
        <v>30.32</v>
      </c>
      <c r="G187" s="91">
        <f t="shared" si="32"/>
        <v>22.74</v>
      </c>
      <c r="H187" s="91">
        <f t="shared" si="34"/>
        <v>758</v>
      </c>
      <c r="I187" s="91">
        <f t="shared" si="33"/>
        <v>486.63599999999997</v>
      </c>
      <c r="J187" s="22"/>
      <c r="K187" s="22"/>
      <c r="L187" s="22"/>
      <c r="M187" s="22"/>
      <c r="N187" s="22"/>
      <c r="O187" s="91">
        <v>83668</v>
      </c>
      <c r="P187" s="91">
        <v>84426</v>
      </c>
      <c r="Q187" s="149"/>
      <c r="R187" s="161"/>
      <c r="S187" s="151">
        <v>1</v>
      </c>
      <c r="T187" s="91">
        <f t="shared" si="28"/>
        <v>758</v>
      </c>
      <c r="U187" s="644">
        <v>98630</v>
      </c>
      <c r="V187" s="698" t="s">
        <v>243</v>
      </c>
      <c r="W187" s="191" t="s">
        <v>48</v>
      </c>
      <c r="X187" s="7"/>
      <c r="Y187" s="7"/>
      <c r="Z187" s="7"/>
      <c r="AA187" s="7"/>
      <c r="AB187" s="7"/>
      <c r="AC187" s="7"/>
    </row>
    <row r="188" spans="1:29" ht="30" customHeight="1">
      <c r="A188" s="19"/>
      <c r="B188" s="838"/>
      <c r="C188" s="199">
        <f t="shared" si="30"/>
        <v>793.94</v>
      </c>
      <c r="D188" s="91"/>
      <c r="E188" s="91">
        <f t="shared" si="35"/>
        <v>51.94</v>
      </c>
      <c r="F188" s="91">
        <f t="shared" si="31"/>
        <v>29.68</v>
      </c>
      <c r="G188" s="91">
        <f t="shared" si="32"/>
        <v>22.259999999999998</v>
      </c>
      <c r="H188" s="91">
        <f t="shared" si="34"/>
        <v>742</v>
      </c>
      <c r="I188" s="91">
        <f t="shared" si="33"/>
        <v>476.36400000000003</v>
      </c>
      <c r="J188" s="22"/>
      <c r="K188" s="22"/>
      <c r="L188" s="22"/>
      <c r="M188" s="22"/>
      <c r="N188" s="22"/>
      <c r="O188" s="91">
        <v>76284</v>
      </c>
      <c r="P188" s="91">
        <v>77026</v>
      </c>
      <c r="Q188" s="122"/>
      <c r="R188" s="200"/>
      <c r="S188" s="151">
        <v>1</v>
      </c>
      <c r="T188" s="91">
        <f t="shared" si="28"/>
        <v>742</v>
      </c>
      <c r="U188" s="644" t="s">
        <v>972</v>
      </c>
      <c r="V188" s="698" t="s">
        <v>244</v>
      </c>
      <c r="W188" s="191" t="s">
        <v>48</v>
      </c>
      <c r="X188" s="7"/>
      <c r="Y188" s="7"/>
      <c r="Z188" s="7"/>
      <c r="AA188" s="7"/>
      <c r="AB188" s="7"/>
      <c r="AC188" s="7"/>
    </row>
    <row r="189" spans="1:29" ht="25.5">
      <c r="A189" s="19"/>
      <c r="B189" s="148" t="s">
        <v>245</v>
      </c>
      <c r="C189" s="91">
        <f>H189+E189</f>
        <v>0</v>
      </c>
      <c r="D189" s="91"/>
      <c r="E189" s="91">
        <f>F189+G189</f>
        <v>0</v>
      </c>
      <c r="F189" s="91">
        <f>0.04*H189</f>
        <v>0</v>
      </c>
      <c r="G189" s="91">
        <f>0.03*H189</f>
        <v>0</v>
      </c>
      <c r="H189" s="91">
        <f>T189</f>
        <v>0</v>
      </c>
      <c r="I189" s="91">
        <f>0.6*C189</f>
        <v>0</v>
      </c>
      <c r="J189" s="22"/>
      <c r="K189" s="22"/>
      <c r="L189" s="22"/>
      <c r="M189" s="22"/>
      <c r="N189" s="22"/>
      <c r="O189" s="91">
        <v>19403</v>
      </c>
      <c r="P189" s="91">
        <v>19403</v>
      </c>
      <c r="Q189" s="122"/>
      <c r="R189" s="92"/>
      <c r="S189" s="91">
        <v>1</v>
      </c>
      <c r="T189" s="91">
        <f>(P189-O189)*S189</f>
        <v>0</v>
      </c>
      <c r="U189" s="644">
        <v>8726</v>
      </c>
      <c r="V189" s="698" t="s">
        <v>246</v>
      </c>
      <c r="W189" s="191" t="s">
        <v>48</v>
      </c>
      <c r="X189" s="7"/>
      <c r="Y189" s="7"/>
      <c r="Z189" s="7"/>
      <c r="AA189" s="7"/>
      <c r="AB189" s="7"/>
      <c r="AC189" s="7"/>
    </row>
    <row r="190" spans="1:29" ht="26.25">
      <c r="A190" s="19"/>
      <c r="B190" s="148" t="s">
        <v>900</v>
      </c>
      <c r="C190" s="91">
        <f t="shared" si="30"/>
        <v>1557.92</v>
      </c>
      <c r="D190" s="91"/>
      <c r="E190" s="91">
        <f t="shared" si="35"/>
        <v>101.92</v>
      </c>
      <c r="F190" s="91">
        <f t="shared" si="31"/>
        <v>58.24</v>
      </c>
      <c r="G190" s="91">
        <f t="shared" si="32"/>
        <v>43.68</v>
      </c>
      <c r="H190" s="91">
        <f t="shared" si="34"/>
        <v>1456</v>
      </c>
      <c r="I190" s="91">
        <f t="shared" si="33"/>
        <v>934.75199999999995</v>
      </c>
      <c r="J190" s="22"/>
      <c r="K190" s="22"/>
      <c r="L190" s="22"/>
      <c r="M190" s="22"/>
      <c r="N190" s="22"/>
      <c r="O190" s="91">
        <v>133705</v>
      </c>
      <c r="P190" s="91">
        <v>135161</v>
      </c>
      <c r="Q190" s="122"/>
      <c r="R190" s="173"/>
      <c r="S190" s="91">
        <v>1</v>
      </c>
      <c r="T190" s="91">
        <f t="shared" si="28"/>
        <v>1456</v>
      </c>
      <c r="U190" s="644">
        <v>542003</v>
      </c>
      <c r="V190" s="698" t="s">
        <v>247</v>
      </c>
      <c r="W190" s="191" t="s">
        <v>48</v>
      </c>
      <c r="X190" s="7"/>
      <c r="Y190" s="7"/>
      <c r="Z190" s="7"/>
      <c r="AA190" s="7"/>
      <c r="AB190" s="7"/>
      <c r="AC190" s="7"/>
    </row>
    <row r="191" spans="1:29" ht="26.25">
      <c r="A191" s="19"/>
      <c r="B191" s="148" t="s">
        <v>855</v>
      </c>
      <c r="C191" s="91">
        <f t="shared" si="30"/>
        <v>360.59</v>
      </c>
      <c r="D191" s="91"/>
      <c r="E191" s="91">
        <f t="shared" si="35"/>
        <v>23.59</v>
      </c>
      <c r="F191" s="91">
        <f t="shared" si="31"/>
        <v>13.48</v>
      </c>
      <c r="G191" s="91">
        <f t="shared" si="32"/>
        <v>10.11</v>
      </c>
      <c r="H191" s="91">
        <f t="shared" si="34"/>
        <v>337</v>
      </c>
      <c r="I191" s="91">
        <f t="shared" si="33"/>
        <v>216.35399999999998</v>
      </c>
      <c r="J191" s="22"/>
      <c r="K191" s="22"/>
      <c r="L191" s="22"/>
      <c r="M191" s="22"/>
      <c r="N191" s="22" t="s">
        <v>248</v>
      </c>
      <c r="O191" s="91">
        <v>43990</v>
      </c>
      <c r="P191" s="91">
        <v>44327</v>
      </c>
      <c r="Q191" s="22" t="s">
        <v>37</v>
      </c>
      <c r="R191" s="142"/>
      <c r="S191" s="91">
        <v>1</v>
      </c>
      <c r="T191" s="91">
        <f t="shared" si="28"/>
        <v>337</v>
      </c>
      <c r="U191" s="644">
        <v>100986</v>
      </c>
      <c r="V191" s="698" t="s">
        <v>273</v>
      </c>
      <c r="W191" s="191" t="s">
        <v>48</v>
      </c>
      <c r="X191" s="7"/>
      <c r="Y191" s="7"/>
      <c r="Z191" s="7"/>
      <c r="AA191" s="7"/>
      <c r="AB191" s="7"/>
      <c r="AC191" s="7"/>
    </row>
    <row r="192" spans="1:29" ht="26.25">
      <c r="A192" s="19"/>
      <c r="B192" s="148" t="s">
        <v>856</v>
      </c>
      <c r="C192" s="91">
        <f t="shared" si="30"/>
        <v>586.36</v>
      </c>
      <c r="D192" s="91"/>
      <c r="E192" s="91">
        <f t="shared" si="35"/>
        <v>38.36</v>
      </c>
      <c r="F192" s="91">
        <f t="shared" si="31"/>
        <v>21.92</v>
      </c>
      <c r="G192" s="91">
        <f t="shared" si="32"/>
        <v>16.439999999999998</v>
      </c>
      <c r="H192" s="91">
        <f t="shared" si="34"/>
        <v>548</v>
      </c>
      <c r="I192" s="91">
        <f t="shared" si="33"/>
        <v>351.81599999999997</v>
      </c>
      <c r="J192" s="22"/>
      <c r="K192" s="22"/>
      <c r="L192" s="22"/>
      <c r="M192" s="22"/>
      <c r="N192" s="22"/>
      <c r="O192" s="91">
        <v>96461</v>
      </c>
      <c r="P192" s="91">
        <v>97009</v>
      </c>
      <c r="Q192" s="22" t="s">
        <v>28</v>
      </c>
      <c r="R192" s="142"/>
      <c r="S192" s="91">
        <v>1</v>
      </c>
      <c r="T192" s="91">
        <f t="shared" si="28"/>
        <v>548</v>
      </c>
      <c r="U192" s="644">
        <v>70386</v>
      </c>
      <c r="V192" s="698" t="s">
        <v>250</v>
      </c>
      <c r="W192" s="191" t="s">
        <v>48</v>
      </c>
      <c r="X192" s="7"/>
      <c r="Y192" s="7"/>
      <c r="Z192" s="7"/>
      <c r="AA192" s="7"/>
      <c r="AB192" s="7"/>
      <c r="AC192" s="7"/>
    </row>
    <row r="193" spans="1:29" ht="26.25">
      <c r="A193" s="19"/>
      <c r="B193" s="148" t="s">
        <v>901</v>
      </c>
      <c r="C193" s="91">
        <f t="shared" si="30"/>
        <v>658.05</v>
      </c>
      <c r="D193" s="91"/>
      <c r="E193" s="91">
        <f t="shared" si="35"/>
        <v>43.05</v>
      </c>
      <c r="F193" s="91">
        <f t="shared" si="31"/>
        <v>24.6</v>
      </c>
      <c r="G193" s="91">
        <f t="shared" si="32"/>
        <v>18.45</v>
      </c>
      <c r="H193" s="91">
        <f t="shared" si="34"/>
        <v>615</v>
      </c>
      <c r="I193" s="91">
        <f t="shared" si="33"/>
        <v>394.83</v>
      </c>
      <c r="J193" s="22"/>
      <c r="K193" s="22"/>
      <c r="L193" s="22"/>
      <c r="M193" s="22"/>
      <c r="N193" s="22"/>
      <c r="O193" s="91">
        <v>56642</v>
      </c>
      <c r="P193" s="91">
        <v>57257</v>
      </c>
      <c r="Q193" s="22" t="s">
        <v>37</v>
      </c>
      <c r="R193" s="142"/>
      <c r="S193" s="91">
        <v>1</v>
      </c>
      <c r="T193" s="91">
        <f t="shared" si="28"/>
        <v>615</v>
      </c>
      <c r="U193" s="644">
        <v>64591</v>
      </c>
      <c r="V193" s="698" t="s">
        <v>251</v>
      </c>
      <c r="W193" s="191" t="s">
        <v>48</v>
      </c>
      <c r="X193" s="7"/>
      <c r="Y193" s="7"/>
      <c r="Z193" s="7"/>
      <c r="AA193" s="7"/>
      <c r="AB193" s="7"/>
      <c r="AC193" s="7"/>
    </row>
    <row r="194" spans="1:29" ht="26.25">
      <c r="A194" s="19"/>
      <c r="B194" s="104" t="s">
        <v>902</v>
      </c>
      <c r="C194" s="91">
        <f t="shared" si="30"/>
        <v>2105.7600000000002</v>
      </c>
      <c r="D194" s="91"/>
      <c r="E194" s="91">
        <f>G194+F194</f>
        <v>137.76</v>
      </c>
      <c r="F194" s="91">
        <f t="shared" si="31"/>
        <v>78.72</v>
      </c>
      <c r="G194" s="91">
        <f t="shared" si="32"/>
        <v>59.04</v>
      </c>
      <c r="H194" s="91">
        <f t="shared" si="34"/>
        <v>1968</v>
      </c>
      <c r="I194" s="91">
        <f t="shared" si="33"/>
        <v>1263.4560000000001</v>
      </c>
      <c r="J194" s="22"/>
      <c r="K194" s="22"/>
      <c r="L194" s="22"/>
      <c r="M194" s="22"/>
      <c r="N194" s="22"/>
      <c r="O194" s="91">
        <v>38394</v>
      </c>
      <c r="P194" s="91">
        <v>40362</v>
      </c>
      <c r="Q194" s="149"/>
      <c r="R194" s="161"/>
      <c r="S194" s="151">
        <v>1</v>
      </c>
      <c r="T194" s="91">
        <f t="shared" si="28"/>
        <v>1968</v>
      </c>
      <c r="U194" s="644">
        <v>87125</v>
      </c>
      <c r="V194" s="698" t="s">
        <v>808</v>
      </c>
      <c r="W194" s="191" t="s">
        <v>48</v>
      </c>
      <c r="X194" s="7"/>
      <c r="Y194" s="7"/>
      <c r="Z194" s="7"/>
      <c r="AA194" s="7"/>
      <c r="AB194" s="7"/>
      <c r="AC194" s="7"/>
    </row>
    <row r="195" spans="1:29" ht="26.25">
      <c r="A195" s="19"/>
      <c r="B195" s="148" t="s">
        <v>857</v>
      </c>
      <c r="C195" s="91">
        <f t="shared" si="30"/>
        <v>1110.6600000000001</v>
      </c>
      <c r="D195" s="91"/>
      <c r="E195" s="91">
        <f>G195+F195</f>
        <v>72.66</v>
      </c>
      <c r="F195" s="91">
        <f t="shared" si="31"/>
        <v>41.52</v>
      </c>
      <c r="G195" s="91">
        <f t="shared" si="32"/>
        <v>31.14</v>
      </c>
      <c r="H195" s="91">
        <f t="shared" si="34"/>
        <v>1038</v>
      </c>
      <c r="I195" s="91">
        <f t="shared" si="33"/>
        <v>666.39600000000007</v>
      </c>
      <c r="J195" s="22"/>
      <c r="K195" s="22"/>
      <c r="L195" s="22"/>
      <c r="M195" s="22"/>
      <c r="N195" s="22"/>
      <c r="O195" s="91">
        <v>74894</v>
      </c>
      <c r="P195" s="91">
        <v>75932</v>
      </c>
      <c r="Q195" s="122"/>
      <c r="R195" s="200"/>
      <c r="S195" s="151">
        <v>1</v>
      </c>
      <c r="T195" s="91">
        <f t="shared" si="28"/>
        <v>1038</v>
      </c>
      <c r="U195" s="644">
        <v>87202</v>
      </c>
      <c r="V195" s="698" t="s">
        <v>777</v>
      </c>
      <c r="W195" s="191" t="s">
        <v>48</v>
      </c>
      <c r="X195" s="7"/>
      <c r="Y195" s="7"/>
      <c r="Z195" s="7"/>
      <c r="AA195" s="7"/>
      <c r="AB195" s="7"/>
      <c r="AC195" s="7"/>
    </row>
    <row r="196" spans="1:29" ht="26.25">
      <c r="A196" s="19"/>
      <c r="B196" s="148" t="s">
        <v>858</v>
      </c>
      <c r="C196" s="91">
        <f t="shared" si="30"/>
        <v>363.8</v>
      </c>
      <c r="D196" s="91"/>
      <c r="E196" s="91">
        <f>F196+G196</f>
        <v>23.799999999999997</v>
      </c>
      <c r="F196" s="91">
        <f t="shared" si="31"/>
        <v>13.6</v>
      </c>
      <c r="G196" s="91">
        <f t="shared" si="32"/>
        <v>10.199999999999999</v>
      </c>
      <c r="H196" s="91">
        <f t="shared" si="34"/>
        <v>340</v>
      </c>
      <c r="I196" s="91">
        <f t="shared" si="33"/>
        <v>218.28</v>
      </c>
      <c r="J196" s="22"/>
      <c r="K196" s="22"/>
      <c r="L196" s="22"/>
      <c r="M196" s="22"/>
      <c r="N196" s="22"/>
      <c r="O196" s="91">
        <v>33000</v>
      </c>
      <c r="P196" s="91">
        <v>33340</v>
      </c>
      <c r="Q196" s="122"/>
      <c r="R196" s="173"/>
      <c r="S196" s="151">
        <v>1</v>
      </c>
      <c r="T196" s="91">
        <f t="shared" si="28"/>
        <v>340</v>
      </c>
      <c r="U196" s="644">
        <v>99475</v>
      </c>
      <c r="V196" s="698" t="s">
        <v>252</v>
      </c>
      <c r="W196" s="191" t="s">
        <v>48</v>
      </c>
      <c r="X196" s="7"/>
      <c r="Y196" s="7"/>
      <c r="Z196" s="7"/>
      <c r="AA196" s="7"/>
      <c r="AB196" s="7"/>
      <c r="AC196" s="7"/>
    </row>
    <row r="197" spans="1:29" ht="26.25">
      <c r="A197" s="19"/>
      <c r="B197" s="148" t="s">
        <v>859</v>
      </c>
      <c r="C197" s="91">
        <f t="shared" si="30"/>
        <v>288.89999999999998</v>
      </c>
      <c r="D197" s="91"/>
      <c r="E197" s="91">
        <f>F197+G197</f>
        <v>18.899999999999999</v>
      </c>
      <c r="F197" s="91">
        <f t="shared" si="31"/>
        <v>10.8</v>
      </c>
      <c r="G197" s="91">
        <f t="shared" si="32"/>
        <v>8.1</v>
      </c>
      <c r="H197" s="91">
        <f t="shared" si="34"/>
        <v>270</v>
      </c>
      <c r="I197" s="91">
        <f t="shared" si="33"/>
        <v>173.33999999999997</v>
      </c>
      <c r="J197" s="22"/>
      <c r="K197" s="22"/>
      <c r="L197" s="22"/>
      <c r="M197" s="22"/>
      <c r="N197" s="22"/>
      <c r="O197" s="91">
        <v>57042</v>
      </c>
      <c r="P197" s="91">
        <v>57312</v>
      </c>
      <c r="Q197" s="22"/>
      <c r="R197" s="142"/>
      <c r="S197" s="91">
        <v>1</v>
      </c>
      <c r="T197" s="91">
        <f t="shared" si="28"/>
        <v>270</v>
      </c>
      <c r="U197" s="644">
        <v>100985</v>
      </c>
      <c r="V197" s="698" t="s">
        <v>253</v>
      </c>
      <c r="W197" s="191" t="s">
        <v>48</v>
      </c>
      <c r="X197" s="7"/>
      <c r="Y197" s="7"/>
      <c r="Z197" s="7"/>
      <c r="AA197" s="7"/>
      <c r="AB197" s="7"/>
      <c r="AC197" s="7"/>
    </row>
    <row r="198" spans="1:29" ht="26.25">
      <c r="A198" s="19"/>
      <c r="B198" s="148" t="s">
        <v>859</v>
      </c>
      <c r="C198" s="91">
        <f t="shared" si="30"/>
        <v>150.87</v>
      </c>
      <c r="D198" s="91"/>
      <c r="E198" s="91">
        <f>F198+G198</f>
        <v>9.8699999999999992</v>
      </c>
      <c r="F198" s="91">
        <f t="shared" si="31"/>
        <v>5.64</v>
      </c>
      <c r="G198" s="91">
        <f t="shared" si="32"/>
        <v>4.2299999999999995</v>
      </c>
      <c r="H198" s="91">
        <f t="shared" si="34"/>
        <v>141</v>
      </c>
      <c r="I198" s="91">
        <f>0.5*C198</f>
        <v>75.435000000000002</v>
      </c>
      <c r="J198" s="22"/>
      <c r="K198" s="22"/>
      <c r="L198" s="22"/>
      <c r="M198" s="22"/>
      <c r="N198" s="22"/>
      <c r="O198" s="91">
        <v>32848</v>
      </c>
      <c r="P198" s="91">
        <v>32989</v>
      </c>
      <c r="Q198" s="149"/>
      <c r="R198" s="161"/>
      <c r="S198" s="151">
        <v>1</v>
      </c>
      <c r="T198" s="91">
        <f t="shared" si="28"/>
        <v>141</v>
      </c>
      <c r="U198" s="644">
        <v>100839</v>
      </c>
      <c r="V198" s="698" t="s">
        <v>253</v>
      </c>
      <c r="W198" s="191" t="s">
        <v>48</v>
      </c>
      <c r="X198" s="7"/>
      <c r="Y198" s="7"/>
      <c r="Z198" s="7"/>
      <c r="AA198" s="7"/>
      <c r="AB198" s="7"/>
      <c r="AC198" s="7"/>
    </row>
    <row r="199" spans="1:29" ht="26.25">
      <c r="A199" s="19"/>
      <c r="B199" s="148" t="s">
        <v>860</v>
      </c>
      <c r="C199" s="91">
        <f t="shared" si="30"/>
        <v>159.43</v>
      </c>
      <c r="D199" s="91"/>
      <c r="E199" s="91">
        <f>G199+F199</f>
        <v>10.43</v>
      </c>
      <c r="F199" s="91">
        <f t="shared" si="31"/>
        <v>5.96</v>
      </c>
      <c r="G199" s="91">
        <f t="shared" si="32"/>
        <v>4.47</v>
      </c>
      <c r="H199" s="91">
        <f t="shared" si="34"/>
        <v>149</v>
      </c>
      <c r="I199" s="91">
        <f t="shared" ref="I199:I223" si="36">0.6*C199</f>
        <v>95.658000000000001</v>
      </c>
      <c r="J199" s="22"/>
      <c r="K199" s="22"/>
      <c r="L199" s="22"/>
      <c r="M199" s="22"/>
      <c r="N199" s="22"/>
      <c r="O199" s="91">
        <v>23437</v>
      </c>
      <c r="P199" s="91">
        <v>23586</v>
      </c>
      <c r="Q199" s="122"/>
      <c r="R199" s="200"/>
      <c r="S199" s="151">
        <v>1</v>
      </c>
      <c r="T199" s="91">
        <f t="shared" si="28"/>
        <v>149</v>
      </c>
      <c r="U199" s="644">
        <v>100976</v>
      </c>
      <c r="V199" s="698" t="s">
        <v>254</v>
      </c>
      <c r="W199" s="191" t="s">
        <v>48</v>
      </c>
      <c r="X199" s="7"/>
      <c r="Y199" s="7"/>
      <c r="Z199" s="7"/>
      <c r="AA199" s="7"/>
      <c r="AB199" s="7"/>
      <c r="AC199" s="7"/>
    </row>
    <row r="200" spans="1:29" ht="29.25" customHeight="1">
      <c r="A200" s="19"/>
      <c r="B200" s="148" t="s">
        <v>255</v>
      </c>
      <c r="C200" s="91">
        <f t="shared" si="30"/>
        <v>240.75</v>
      </c>
      <c r="D200" s="91"/>
      <c r="E200" s="91">
        <f t="shared" ref="E200:E207" si="37">F200+G200</f>
        <v>15.75</v>
      </c>
      <c r="F200" s="91">
        <f t="shared" si="31"/>
        <v>9</v>
      </c>
      <c r="G200" s="91">
        <f t="shared" si="32"/>
        <v>6.75</v>
      </c>
      <c r="H200" s="91">
        <f>T200</f>
        <v>225</v>
      </c>
      <c r="I200" s="91">
        <f t="shared" si="36"/>
        <v>144.44999999999999</v>
      </c>
      <c r="J200" s="22"/>
      <c r="K200" s="22"/>
      <c r="L200" s="22"/>
      <c r="M200" s="22"/>
      <c r="N200" s="22"/>
      <c r="O200" s="91">
        <v>41011</v>
      </c>
      <c r="P200" s="91">
        <v>41236</v>
      </c>
      <c r="Q200" s="122"/>
      <c r="R200" s="173"/>
      <c r="S200" s="91">
        <v>1</v>
      </c>
      <c r="T200" s="91">
        <f t="shared" si="28"/>
        <v>225</v>
      </c>
      <c r="U200" s="644">
        <v>99491</v>
      </c>
      <c r="V200" s="839" t="s">
        <v>256</v>
      </c>
      <c r="W200" s="191" t="s">
        <v>48</v>
      </c>
      <c r="X200" s="7"/>
      <c r="Y200" s="7"/>
      <c r="Z200" s="7"/>
      <c r="AA200" s="7"/>
      <c r="AB200" s="7"/>
      <c r="AC200" s="7"/>
    </row>
    <row r="201" spans="1:29" ht="25.5">
      <c r="A201" s="19"/>
      <c r="B201" s="148" t="s">
        <v>255</v>
      </c>
      <c r="C201" s="91">
        <f t="shared" si="30"/>
        <v>240.75</v>
      </c>
      <c r="D201" s="91"/>
      <c r="E201" s="91">
        <f t="shared" si="37"/>
        <v>15.75</v>
      </c>
      <c r="F201" s="91">
        <f t="shared" si="31"/>
        <v>9</v>
      </c>
      <c r="G201" s="91">
        <f t="shared" si="32"/>
        <v>6.75</v>
      </c>
      <c r="H201" s="91">
        <f t="shared" ref="H201:H211" si="38">T201</f>
        <v>225</v>
      </c>
      <c r="I201" s="91">
        <f t="shared" si="36"/>
        <v>144.44999999999999</v>
      </c>
      <c r="J201" s="98"/>
      <c r="K201" s="98"/>
      <c r="L201" s="98"/>
      <c r="M201" s="98"/>
      <c r="N201" s="98"/>
      <c r="O201" s="91">
        <v>32993</v>
      </c>
      <c r="P201" s="91">
        <v>33218</v>
      </c>
      <c r="Q201" s="149"/>
      <c r="R201" s="161"/>
      <c r="S201" s="151">
        <v>1</v>
      </c>
      <c r="T201" s="91">
        <f t="shared" si="28"/>
        <v>225</v>
      </c>
      <c r="U201" s="644">
        <v>99470</v>
      </c>
      <c r="V201" s="839"/>
      <c r="W201" s="191" t="s">
        <v>48</v>
      </c>
      <c r="X201" s="7"/>
      <c r="Y201" s="7"/>
      <c r="Z201" s="7"/>
      <c r="AA201" s="7"/>
      <c r="AB201" s="7"/>
      <c r="AC201" s="7"/>
    </row>
    <row r="202" spans="1:29" ht="26.25">
      <c r="A202" s="19"/>
      <c r="B202" s="148" t="s">
        <v>861</v>
      </c>
      <c r="C202" s="91">
        <f t="shared" si="30"/>
        <v>210.79</v>
      </c>
      <c r="D202" s="91"/>
      <c r="E202" s="91">
        <f t="shared" si="37"/>
        <v>13.79</v>
      </c>
      <c r="F202" s="91">
        <f t="shared" si="31"/>
        <v>7.88</v>
      </c>
      <c r="G202" s="91">
        <f t="shared" si="32"/>
        <v>5.91</v>
      </c>
      <c r="H202" s="91">
        <f t="shared" si="38"/>
        <v>197</v>
      </c>
      <c r="I202" s="91">
        <f t="shared" si="36"/>
        <v>126.47399999999999</v>
      </c>
      <c r="J202" s="22"/>
      <c r="K202" s="22"/>
      <c r="L202" s="22"/>
      <c r="M202" s="22"/>
      <c r="N202" s="22"/>
      <c r="O202" s="91">
        <v>31183</v>
      </c>
      <c r="P202" s="91">
        <v>31380</v>
      </c>
      <c r="Q202" s="122"/>
      <c r="R202" s="173"/>
      <c r="S202" s="151">
        <v>1</v>
      </c>
      <c r="T202" s="91">
        <f t="shared" si="28"/>
        <v>197</v>
      </c>
      <c r="U202" s="644">
        <v>99541</v>
      </c>
      <c r="V202" s="698" t="s">
        <v>809</v>
      </c>
      <c r="W202" s="191" t="s">
        <v>48</v>
      </c>
      <c r="X202" s="7"/>
      <c r="Y202" s="7"/>
      <c r="Z202" s="7"/>
      <c r="AA202" s="7"/>
      <c r="AB202" s="7"/>
      <c r="AC202" s="7"/>
    </row>
    <row r="203" spans="1:29" ht="26.25">
      <c r="A203" s="19"/>
      <c r="B203" s="148" t="s">
        <v>903</v>
      </c>
      <c r="C203" s="91">
        <f>H203+E203</f>
        <v>194.74</v>
      </c>
      <c r="D203" s="91"/>
      <c r="E203" s="91">
        <f t="shared" si="37"/>
        <v>12.74</v>
      </c>
      <c r="F203" s="91">
        <f t="shared" si="31"/>
        <v>7.28</v>
      </c>
      <c r="G203" s="91">
        <f t="shared" si="32"/>
        <v>5.46</v>
      </c>
      <c r="H203" s="91">
        <f t="shared" si="38"/>
        <v>182</v>
      </c>
      <c r="I203" s="91">
        <f>0.6*C203</f>
        <v>116.84399999999999</v>
      </c>
      <c r="J203" s="22"/>
      <c r="K203" s="22"/>
      <c r="L203" s="22"/>
      <c r="M203" s="22"/>
      <c r="N203" s="22"/>
      <c r="O203" s="91">
        <v>29926</v>
      </c>
      <c r="P203" s="91">
        <v>30108</v>
      </c>
      <c r="Q203" s="149"/>
      <c r="R203" s="161"/>
      <c r="S203" s="151">
        <v>1</v>
      </c>
      <c r="T203" s="91">
        <f t="shared" si="28"/>
        <v>182</v>
      </c>
      <c r="U203" s="644">
        <v>99680</v>
      </c>
      <c r="V203" s="698" t="s">
        <v>810</v>
      </c>
      <c r="W203" s="191" t="s">
        <v>48</v>
      </c>
      <c r="X203" s="7"/>
      <c r="Y203" s="7"/>
      <c r="Z203" s="7"/>
      <c r="AA203" s="7"/>
      <c r="AB203" s="7"/>
      <c r="AC203" s="7"/>
    </row>
    <row r="204" spans="1:29" ht="25.5">
      <c r="A204" s="19"/>
      <c r="B204" s="148" t="s">
        <v>904</v>
      </c>
      <c r="C204" s="91">
        <f t="shared" si="30"/>
        <v>353.1</v>
      </c>
      <c r="D204" s="91"/>
      <c r="E204" s="91">
        <f t="shared" si="37"/>
        <v>23.1</v>
      </c>
      <c r="F204" s="91">
        <f t="shared" si="31"/>
        <v>13.200000000000001</v>
      </c>
      <c r="G204" s="91">
        <f t="shared" si="32"/>
        <v>9.9</v>
      </c>
      <c r="H204" s="91">
        <f t="shared" si="38"/>
        <v>330</v>
      </c>
      <c r="I204" s="91">
        <f t="shared" si="36"/>
        <v>211.86</v>
      </c>
      <c r="J204" s="22"/>
      <c r="K204" s="22"/>
      <c r="L204" s="22"/>
      <c r="M204" s="22"/>
      <c r="N204" s="22"/>
      <c r="O204" s="91">
        <v>65197</v>
      </c>
      <c r="P204" s="91">
        <v>65527</v>
      </c>
      <c r="Q204" s="22" t="s">
        <v>26</v>
      </c>
      <c r="R204" s="142"/>
      <c r="S204" s="151">
        <v>1</v>
      </c>
      <c r="T204" s="91">
        <f t="shared" si="28"/>
        <v>330</v>
      </c>
      <c r="U204" s="644">
        <v>100829</v>
      </c>
      <c r="V204" s="698" t="s">
        <v>258</v>
      </c>
      <c r="W204" s="191" t="s">
        <v>48</v>
      </c>
      <c r="X204" s="7"/>
      <c r="Y204" s="7"/>
      <c r="Z204" s="7"/>
      <c r="AA204" s="7"/>
      <c r="AB204" s="7"/>
      <c r="AC204" s="7"/>
    </row>
    <row r="205" spans="1:29" ht="25.5">
      <c r="A205" s="19"/>
      <c r="B205" s="638" t="s">
        <v>905</v>
      </c>
      <c r="C205" s="91">
        <f t="shared" si="30"/>
        <v>774.68</v>
      </c>
      <c r="D205" s="91"/>
      <c r="E205" s="91">
        <f t="shared" si="37"/>
        <v>50.68</v>
      </c>
      <c r="F205" s="91">
        <f t="shared" si="31"/>
        <v>28.96</v>
      </c>
      <c r="G205" s="91">
        <f t="shared" si="32"/>
        <v>21.72</v>
      </c>
      <c r="H205" s="91">
        <f t="shared" si="38"/>
        <v>724</v>
      </c>
      <c r="I205" s="91">
        <f t="shared" si="36"/>
        <v>464.80799999999994</v>
      </c>
      <c r="J205" s="22"/>
      <c r="K205" s="22"/>
      <c r="L205" s="22"/>
      <c r="M205" s="22"/>
      <c r="N205" s="22" t="s">
        <v>260</v>
      </c>
      <c r="O205" s="91">
        <v>57175</v>
      </c>
      <c r="P205" s="91">
        <v>57899</v>
      </c>
      <c r="Q205" s="122"/>
      <c r="R205" s="173"/>
      <c r="S205" s="151">
        <v>1</v>
      </c>
      <c r="T205" s="91">
        <f t="shared" si="28"/>
        <v>724</v>
      </c>
      <c r="U205" s="644">
        <v>100980</v>
      </c>
      <c r="V205" s="698" t="s">
        <v>276</v>
      </c>
      <c r="W205" s="191" t="s">
        <v>48</v>
      </c>
      <c r="X205" s="7"/>
      <c r="Y205" s="7"/>
      <c r="Z205" s="7"/>
      <c r="AA205" s="7"/>
      <c r="AB205" s="7"/>
      <c r="AC205" s="7"/>
    </row>
    <row r="206" spans="1:29" ht="41.25">
      <c r="A206" s="19"/>
      <c r="B206" s="148" t="s">
        <v>862</v>
      </c>
      <c r="C206" s="91">
        <f t="shared" si="30"/>
        <v>558.54</v>
      </c>
      <c r="D206" s="91"/>
      <c r="E206" s="91">
        <f t="shared" si="37"/>
        <v>36.54</v>
      </c>
      <c r="F206" s="91">
        <f t="shared" si="31"/>
        <v>20.88</v>
      </c>
      <c r="G206" s="91">
        <f t="shared" si="32"/>
        <v>15.66</v>
      </c>
      <c r="H206" s="91">
        <f t="shared" si="38"/>
        <v>522</v>
      </c>
      <c r="I206" s="91">
        <f t="shared" si="36"/>
        <v>335.12399999999997</v>
      </c>
      <c r="J206" s="22"/>
      <c r="K206" s="22"/>
      <c r="L206" s="22"/>
      <c r="M206" s="22"/>
      <c r="N206" s="22"/>
      <c r="O206" s="91">
        <v>44823</v>
      </c>
      <c r="P206" s="91">
        <v>45345</v>
      </c>
      <c r="Q206" s="122"/>
      <c r="R206" s="173"/>
      <c r="S206" s="91">
        <v>1</v>
      </c>
      <c r="T206" s="91">
        <f t="shared" si="28"/>
        <v>522</v>
      </c>
      <c r="U206" s="644" t="s">
        <v>973</v>
      </c>
      <c r="V206" s="698" t="s">
        <v>261</v>
      </c>
      <c r="W206" s="191" t="s">
        <v>48</v>
      </c>
      <c r="X206" s="7"/>
      <c r="Y206" s="7"/>
      <c r="Z206" s="7"/>
      <c r="AA206" s="7"/>
      <c r="AB206" s="7"/>
      <c r="AC206" s="7"/>
    </row>
    <row r="207" spans="1:29" ht="25.5">
      <c r="A207" s="19"/>
      <c r="B207" s="639" t="s">
        <v>863</v>
      </c>
      <c r="C207" s="91">
        <f t="shared" si="30"/>
        <v>359.52</v>
      </c>
      <c r="D207" s="91"/>
      <c r="E207" s="91">
        <f t="shared" si="37"/>
        <v>23.52</v>
      </c>
      <c r="F207" s="91">
        <f t="shared" si="31"/>
        <v>13.44</v>
      </c>
      <c r="G207" s="91">
        <f t="shared" si="32"/>
        <v>10.08</v>
      </c>
      <c r="H207" s="91">
        <f t="shared" si="38"/>
        <v>336</v>
      </c>
      <c r="I207" s="91">
        <f t="shared" si="36"/>
        <v>215.71199999999999</v>
      </c>
      <c r="J207" s="22"/>
      <c r="K207" s="22"/>
      <c r="L207" s="22"/>
      <c r="M207" s="22"/>
      <c r="N207" s="22"/>
      <c r="O207" s="91">
        <v>7096</v>
      </c>
      <c r="P207" s="91">
        <v>7432</v>
      </c>
      <c r="Q207" s="122"/>
      <c r="R207" s="173"/>
      <c r="S207" s="151">
        <v>1</v>
      </c>
      <c r="T207" s="91">
        <f>(P207-O207)*S207</f>
        <v>336</v>
      </c>
      <c r="U207" s="644" t="s">
        <v>974</v>
      </c>
      <c r="V207" s="698" t="s">
        <v>262</v>
      </c>
      <c r="W207" s="191" t="s">
        <v>48</v>
      </c>
      <c r="X207" s="7"/>
      <c r="Y207" s="7"/>
      <c r="Z207" s="7"/>
      <c r="AA207" s="7"/>
      <c r="AB207" s="7"/>
      <c r="AC207" s="7"/>
    </row>
    <row r="208" spans="1:29" ht="29.25" customHeight="1">
      <c r="A208" s="19"/>
      <c r="B208" s="148" t="s">
        <v>864</v>
      </c>
      <c r="C208" s="91">
        <f t="shared" si="30"/>
        <v>0</v>
      </c>
      <c r="D208" s="91"/>
      <c r="E208" s="91">
        <f>G208+F208</f>
        <v>0</v>
      </c>
      <c r="F208" s="91">
        <f t="shared" si="31"/>
        <v>0</v>
      </c>
      <c r="G208" s="91">
        <f t="shared" si="32"/>
        <v>0</v>
      </c>
      <c r="H208" s="91">
        <f t="shared" si="38"/>
        <v>0</v>
      </c>
      <c r="I208" s="91">
        <f t="shared" si="36"/>
        <v>0</v>
      </c>
      <c r="J208" s="22"/>
      <c r="K208" s="22"/>
      <c r="L208" s="22"/>
      <c r="M208" s="22"/>
      <c r="N208" s="22"/>
      <c r="O208" s="91">
        <v>68475</v>
      </c>
      <c r="P208" s="91">
        <v>68475</v>
      </c>
      <c r="Q208" s="122"/>
      <c r="R208" s="200"/>
      <c r="S208" s="151">
        <v>1</v>
      </c>
      <c r="T208" s="91">
        <f t="shared" si="28"/>
        <v>0</v>
      </c>
      <c r="U208" s="644">
        <v>492735</v>
      </c>
      <c r="V208" s="698" t="s">
        <v>263</v>
      </c>
      <c r="W208" s="191" t="s">
        <v>48</v>
      </c>
      <c r="X208" s="7"/>
      <c r="Y208" s="7"/>
      <c r="Z208" s="7"/>
      <c r="AA208" s="7"/>
      <c r="AB208" s="7"/>
      <c r="AC208" s="7"/>
    </row>
    <row r="209" spans="1:29" ht="30" customHeight="1">
      <c r="A209" s="19"/>
      <c r="B209" s="148" t="s">
        <v>865</v>
      </c>
      <c r="C209" s="91">
        <f t="shared" si="30"/>
        <v>346.68</v>
      </c>
      <c r="D209" s="91"/>
      <c r="E209" s="91">
        <f>F209++G209</f>
        <v>22.68</v>
      </c>
      <c r="F209" s="91">
        <f t="shared" si="31"/>
        <v>12.96</v>
      </c>
      <c r="G209" s="91">
        <f t="shared" si="32"/>
        <v>9.7199999999999989</v>
      </c>
      <c r="H209" s="91">
        <f t="shared" si="38"/>
        <v>324</v>
      </c>
      <c r="I209" s="91">
        <f t="shared" si="36"/>
        <v>208.00800000000001</v>
      </c>
      <c r="J209" s="22"/>
      <c r="K209" s="22"/>
      <c r="L209" s="22"/>
      <c r="M209" s="22"/>
      <c r="N209" s="22"/>
      <c r="O209" s="91">
        <v>2487</v>
      </c>
      <c r="P209" s="91">
        <v>2811</v>
      </c>
      <c r="Q209" s="22" t="s">
        <v>28</v>
      </c>
      <c r="R209" s="142"/>
      <c r="S209" s="151">
        <v>1</v>
      </c>
      <c r="T209" s="91">
        <f t="shared" si="28"/>
        <v>324</v>
      </c>
      <c r="U209" s="644">
        <v>77006572</v>
      </c>
      <c r="V209" s="698" t="s">
        <v>264</v>
      </c>
      <c r="W209" s="191" t="s">
        <v>48</v>
      </c>
      <c r="X209" s="7"/>
      <c r="Y209" s="7"/>
      <c r="Z209" s="7"/>
      <c r="AA209" s="7"/>
      <c r="AB209" s="7"/>
      <c r="AC209" s="7"/>
    </row>
    <row r="210" spans="1:29" ht="26.25">
      <c r="A210" s="19"/>
      <c r="B210" s="148" t="s">
        <v>866</v>
      </c>
      <c r="C210" s="91">
        <f t="shared" si="30"/>
        <v>495.40999999999997</v>
      </c>
      <c r="D210" s="91"/>
      <c r="E210" s="91">
        <f>F210+G210</f>
        <v>32.409999999999997</v>
      </c>
      <c r="F210" s="91">
        <f t="shared" si="31"/>
        <v>18.52</v>
      </c>
      <c r="G210" s="91">
        <f t="shared" si="32"/>
        <v>13.889999999999999</v>
      </c>
      <c r="H210" s="91">
        <f t="shared" si="38"/>
        <v>463</v>
      </c>
      <c r="I210" s="91">
        <f t="shared" si="36"/>
        <v>297.24599999999998</v>
      </c>
      <c r="J210" s="22"/>
      <c r="K210" s="22"/>
      <c r="L210" s="22"/>
      <c r="M210" s="22"/>
      <c r="N210" s="22"/>
      <c r="O210" s="91">
        <v>86496</v>
      </c>
      <c r="P210" s="91">
        <v>86959</v>
      </c>
      <c r="Q210" s="22"/>
      <c r="R210" s="142"/>
      <c r="S210" s="91">
        <v>1</v>
      </c>
      <c r="T210" s="91">
        <f t="shared" si="28"/>
        <v>463</v>
      </c>
      <c r="U210" s="644">
        <v>503440</v>
      </c>
      <c r="V210" s="698" t="s">
        <v>265</v>
      </c>
      <c r="W210" s="191" t="s">
        <v>48</v>
      </c>
      <c r="X210" s="7"/>
      <c r="Y210" s="7"/>
      <c r="Z210" s="7"/>
      <c r="AA210" s="7"/>
      <c r="AB210" s="7"/>
      <c r="AC210" s="7"/>
    </row>
    <row r="211" spans="1:29" ht="26.25">
      <c r="A211" s="19"/>
      <c r="B211" s="148" t="s">
        <v>867</v>
      </c>
      <c r="C211" s="91">
        <f t="shared" si="30"/>
        <v>216.14</v>
      </c>
      <c r="D211" s="91"/>
      <c r="E211" s="91">
        <f>F211+G211</f>
        <v>14.14</v>
      </c>
      <c r="F211" s="91">
        <f t="shared" si="31"/>
        <v>8.08</v>
      </c>
      <c r="G211" s="91">
        <f t="shared" si="32"/>
        <v>6.06</v>
      </c>
      <c r="H211" s="91">
        <f t="shared" si="38"/>
        <v>202</v>
      </c>
      <c r="I211" s="91">
        <f t="shared" si="36"/>
        <v>129.684</v>
      </c>
      <c r="J211" s="98"/>
      <c r="K211" s="98"/>
      <c r="L211" s="98"/>
      <c r="M211" s="98"/>
      <c r="N211" s="98"/>
      <c r="O211" s="91">
        <v>53888</v>
      </c>
      <c r="P211" s="91">
        <v>54090</v>
      </c>
      <c r="Q211" s="149"/>
      <c r="R211" s="161"/>
      <c r="S211" s="151">
        <v>1</v>
      </c>
      <c r="T211" s="91">
        <f t="shared" si="28"/>
        <v>202</v>
      </c>
      <c r="U211" s="644">
        <v>492892</v>
      </c>
      <c r="V211" s="840" t="s">
        <v>266</v>
      </c>
      <c r="W211" s="191" t="s">
        <v>48</v>
      </c>
      <c r="X211" s="7"/>
      <c r="Y211" s="7"/>
      <c r="Z211" s="7"/>
      <c r="AA211" s="7"/>
      <c r="AB211" s="7"/>
      <c r="AC211" s="7"/>
    </row>
    <row r="212" spans="1:29" ht="30" customHeight="1">
      <c r="A212" s="19"/>
      <c r="B212" s="148" t="s">
        <v>868</v>
      </c>
      <c r="C212" s="91">
        <f t="shared" si="30"/>
        <v>196.88</v>
      </c>
      <c r="D212" s="91"/>
      <c r="E212" s="91">
        <f>F212+G212</f>
        <v>12.879999999999999</v>
      </c>
      <c r="F212" s="91">
        <f t="shared" si="31"/>
        <v>7.36</v>
      </c>
      <c r="G212" s="91">
        <f t="shared" si="32"/>
        <v>5.52</v>
      </c>
      <c r="H212" s="91">
        <f>T212</f>
        <v>184</v>
      </c>
      <c r="I212" s="91">
        <f t="shared" si="36"/>
        <v>118.12799999999999</v>
      </c>
      <c r="J212" s="22"/>
      <c r="K212" s="22"/>
      <c r="L212" s="22"/>
      <c r="M212" s="22"/>
      <c r="N212" s="22"/>
      <c r="O212" s="91">
        <v>35957</v>
      </c>
      <c r="P212" s="91">
        <v>36141</v>
      </c>
      <c r="Q212" s="122"/>
      <c r="R212" s="173"/>
      <c r="S212" s="91">
        <v>1</v>
      </c>
      <c r="T212" s="91">
        <f t="shared" si="28"/>
        <v>184</v>
      </c>
      <c r="U212" s="644">
        <v>503014</v>
      </c>
      <c r="V212" s="840"/>
      <c r="W212" s="191" t="s">
        <v>48</v>
      </c>
      <c r="X212" s="7"/>
      <c r="Y212" s="7"/>
      <c r="Z212" s="7"/>
      <c r="AA212" s="7"/>
      <c r="AB212" s="7"/>
      <c r="AC212" s="7"/>
    </row>
    <row r="213" spans="1:29" ht="26.25">
      <c r="A213" s="19"/>
      <c r="B213" s="633" t="s">
        <v>869</v>
      </c>
      <c r="C213" s="229">
        <f t="shared" si="30"/>
        <v>418.37</v>
      </c>
      <c r="D213" s="229"/>
      <c r="E213" s="229">
        <f>G213+F213</f>
        <v>27.37</v>
      </c>
      <c r="F213" s="229">
        <f t="shared" si="31"/>
        <v>15.64</v>
      </c>
      <c r="G213" s="229">
        <f t="shared" si="32"/>
        <v>11.73</v>
      </c>
      <c r="H213" s="229">
        <f t="shared" ref="H213:H271" si="39">T213</f>
        <v>391</v>
      </c>
      <c r="I213" s="229">
        <f t="shared" si="36"/>
        <v>251.02199999999999</v>
      </c>
      <c r="J213" s="634"/>
      <c r="K213" s="634"/>
      <c r="L213" s="634"/>
      <c r="M213" s="634"/>
      <c r="N213" s="634"/>
      <c r="O213" s="229">
        <v>34594</v>
      </c>
      <c r="P213" s="229">
        <v>34985</v>
      </c>
      <c r="Q213" s="641"/>
      <c r="R213" s="642"/>
      <c r="S213" s="637">
        <v>1</v>
      </c>
      <c r="T213" s="229">
        <f t="shared" si="28"/>
        <v>391</v>
      </c>
      <c r="U213" s="644">
        <v>88031383</v>
      </c>
      <c r="V213" s="698" t="s">
        <v>267</v>
      </c>
      <c r="W213" s="191" t="s">
        <v>48</v>
      </c>
      <c r="X213" s="7"/>
      <c r="Y213" s="7"/>
      <c r="Z213" s="7"/>
      <c r="AA213" s="7"/>
      <c r="AB213" s="7"/>
      <c r="AC213" s="7"/>
    </row>
    <row r="214" spans="1:29" ht="25.5">
      <c r="A214" s="19"/>
      <c r="B214" s="148" t="s">
        <v>268</v>
      </c>
      <c r="C214" s="91">
        <f t="shared" si="30"/>
        <v>187.25</v>
      </c>
      <c r="D214" s="91"/>
      <c r="E214" s="91">
        <f>F214+G214</f>
        <v>12.25</v>
      </c>
      <c r="F214" s="91">
        <f t="shared" si="31"/>
        <v>7</v>
      </c>
      <c r="G214" s="91">
        <f t="shared" si="32"/>
        <v>5.25</v>
      </c>
      <c r="H214" s="91">
        <f t="shared" si="39"/>
        <v>175</v>
      </c>
      <c r="I214" s="91">
        <f t="shared" si="36"/>
        <v>112.35</v>
      </c>
      <c r="J214" s="22"/>
      <c r="K214" s="22"/>
      <c r="L214" s="22"/>
      <c r="M214" s="22"/>
      <c r="N214" s="22"/>
      <c r="O214" s="91">
        <v>28587</v>
      </c>
      <c r="P214" s="91">
        <v>28762</v>
      </c>
      <c r="Q214" s="122"/>
      <c r="R214" s="173"/>
      <c r="S214" s="91">
        <v>1</v>
      </c>
      <c r="T214" s="91">
        <f t="shared" si="28"/>
        <v>175</v>
      </c>
      <c r="U214" s="644">
        <v>16596</v>
      </c>
      <c r="V214" s="698" t="s">
        <v>563</v>
      </c>
      <c r="W214" s="191" t="s">
        <v>48</v>
      </c>
      <c r="X214" s="7"/>
      <c r="Y214" s="7"/>
      <c r="Z214" s="7"/>
      <c r="AA214" s="7"/>
      <c r="AB214" s="7"/>
      <c r="AC214" s="7"/>
    </row>
    <row r="215" spans="1:29" ht="26.25">
      <c r="A215" s="19"/>
      <c r="B215" s="148" t="s">
        <v>870</v>
      </c>
      <c r="C215" s="91">
        <f t="shared" si="30"/>
        <v>205.44</v>
      </c>
      <c r="D215" s="91"/>
      <c r="E215" s="91">
        <f>F215+G215</f>
        <v>13.44</v>
      </c>
      <c r="F215" s="91">
        <f t="shared" si="31"/>
        <v>7.68</v>
      </c>
      <c r="G215" s="91">
        <f t="shared" si="32"/>
        <v>5.76</v>
      </c>
      <c r="H215" s="91">
        <f t="shared" si="39"/>
        <v>192</v>
      </c>
      <c r="I215" s="91">
        <f t="shared" si="36"/>
        <v>123.264</v>
      </c>
      <c r="J215" s="22"/>
      <c r="K215" s="22"/>
      <c r="L215" s="22"/>
      <c r="M215" s="22"/>
      <c r="N215" s="22"/>
      <c r="O215" s="91">
        <v>41480</v>
      </c>
      <c r="P215" s="91">
        <v>41672</v>
      </c>
      <c r="Q215" s="22"/>
      <c r="R215" s="142"/>
      <c r="S215" s="91">
        <v>1</v>
      </c>
      <c r="T215" s="91">
        <f t="shared" si="28"/>
        <v>192</v>
      </c>
      <c r="U215" s="644">
        <v>88031436</v>
      </c>
      <c r="V215" s="698" t="s">
        <v>269</v>
      </c>
      <c r="W215" s="191" t="s">
        <v>48</v>
      </c>
      <c r="X215" s="7"/>
      <c r="Y215" s="7"/>
      <c r="Z215" s="7"/>
      <c r="AA215" s="7"/>
      <c r="AB215" s="7"/>
      <c r="AC215" s="7"/>
    </row>
    <row r="216" spans="1:29" ht="35.25" customHeight="1">
      <c r="A216" s="19"/>
      <c r="B216" s="148" t="s">
        <v>871</v>
      </c>
      <c r="C216" s="91">
        <f t="shared" si="30"/>
        <v>918.06</v>
      </c>
      <c r="D216" s="91"/>
      <c r="E216" s="91">
        <f>F216+G216</f>
        <v>60.06</v>
      </c>
      <c r="F216" s="91">
        <f t="shared" si="31"/>
        <v>34.32</v>
      </c>
      <c r="G216" s="91">
        <f t="shared" si="32"/>
        <v>25.74</v>
      </c>
      <c r="H216" s="91">
        <f t="shared" si="39"/>
        <v>858</v>
      </c>
      <c r="I216" s="91">
        <f t="shared" si="36"/>
        <v>550.8359999999999</v>
      </c>
      <c r="J216" s="22"/>
      <c r="K216" s="22"/>
      <c r="L216" s="22"/>
      <c r="M216" s="22"/>
      <c r="N216" s="22"/>
      <c r="O216" s="643">
        <v>58605</v>
      </c>
      <c r="P216" s="643">
        <v>59463</v>
      </c>
      <c r="Q216" s="122"/>
      <c r="R216" s="173"/>
      <c r="S216" s="91">
        <v>1</v>
      </c>
      <c r="T216" s="91">
        <f t="shared" si="28"/>
        <v>858</v>
      </c>
      <c r="U216" s="644">
        <v>88031413</v>
      </c>
      <c r="V216" s="698" t="s">
        <v>778</v>
      </c>
      <c r="W216" s="191" t="s">
        <v>48</v>
      </c>
      <c r="X216" s="7"/>
      <c r="Y216" s="7"/>
      <c r="Z216" s="7"/>
      <c r="AA216" s="7"/>
      <c r="AB216" s="7"/>
      <c r="AC216" s="7"/>
    </row>
    <row r="217" spans="1:29" ht="25.5">
      <c r="A217" s="19"/>
      <c r="B217" s="148" t="s">
        <v>270</v>
      </c>
      <c r="C217" s="117">
        <f t="shared" si="30"/>
        <v>1625.33</v>
      </c>
      <c r="D217" s="117"/>
      <c r="E217" s="117">
        <f>F217+G217</f>
        <v>106.33</v>
      </c>
      <c r="F217" s="117">
        <f t="shared" si="31"/>
        <v>60.76</v>
      </c>
      <c r="G217" s="117">
        <f t="shared" si="32"/>
        <v>45.57</v>
      </c>
      <c r="H217" s="117">
        <f t="shared" si="39"/>
        <v>1519</v>
      </c>
      <c r="I217" s="117"/>
      <c r="J217" s="22"/>
      <c r="K217" s="22"/>
      <c r="L217" s="22"/>
      <c r="M217" s="22"/>
      <c r="N217" s="22" t="s">
        <v>271</v>
      </c>
      <c r="O217" s="117">
        <v>31042</v>
      </c>
      <c r="P217" s="117">
        <v>32561</v>
      </c>
      <c r="Q217" s="149"/>
      <c r="R217" s="309"/>
      <c r="S217" s="117">
        <v>1</v>
      </c>
      <c r="T217" s="91">
        <f t="shared" si="28"/>
        <v>1519</v>
      </c>
      <c r="U217" s="726" t="s">
        <v>975</v>
      </c>
      <c r="V217" s="698" t="s">
        <v>272</v>
      </c>
      <c r="W217" s="14" t="s">
        <v>82</v>
      </c>
      <c r="X217" s="7"/>
      <c r="Y217" s="7"/>
      <c r="Z217" s="7"/>
      <c r="AA217" s="7"/>
      <c r="AB217" s="7"/>
      <c r="AC217" s="7"/>
    </row>
    <row r="218" spans="1:29" ht="33.75" customHeight="1">
      <c r="A218" s="19"/>
      <c r="B218" s="148" t="s">
        <v>872</v>
      </c>
      <c r="C218" s="91">
        <f t="shared" si="30"/>
        <v>0</v>
      </c>
      <c r="D218" s="91"/>
      <c r="E218" s="91">
        <f>G218+F218</f>
        <v>0</v>
      </c>
      <c r="F218" s="91">
        <f t="shared" si="31"/>
        <v>0</v>
      </c>
      <c r="G218" s="91">
        <f t="shared" si="32"/>
        <v>0</v>
      </c>
      <c r="H218" s="91">
        <f t="shared" si="39"/>
        <v>0</v>
      </c>
      <c r="I218" s="91">
        <f t="shared" si="36"/>
        <v>0</v>
      </c>
      <c r="J218" s="22"/>
      <c r="K218" s="22"/>
      <c r="L218" s="22"/>
      <c r="M218" s="22"/>
      <c r="N218" s="22"/>
      <c r="O218" s="91">
        <v>38589</v>
      </c>
      <c r="P218" s="91">
        <v>38589</v>
      </c>
      <c r="Q218" s="122"/>
      <c r="R218" s="200"/>
      <c r="S218" s="151">
        <v>1</v>
      </c>
      <c r="T218" s="91">
        <f t="shared" si="28"/>
        <v>0</v>
      </c>
      <c r="U218" s="644">
        <v>4369</v>
      </c>
      <c r="V218" s="698" t="s">
        <v>273</v>
      </c>
      <c r="W218" s="14" t="s">
        <v>48</v>
      </c>
      <c r="X218" s="7"/>
      <c r="Y218" s="7"/>
      <c r="Z218" s="7"/>
      <c r="AA218" s="7"/>
      <c r="AB218" s="7"/>
      <c r="AC218" s="7"/>
    </row>
    <row r="219" spans="1:29" s="198" customFormat="1" ht="24.75" customHeight="1">
      <c r="A219" s="196"/>
      <c r="B219" s="148" t="s">
        <v>873</v>
      </c>
      <c r="C219" s="199">
        <f t="shared" si="30"/>
        <v>0</v>
      </c>
      <c r="D219" s="91"/>
      <c r="E219" s="91">
        <f>F219+G219</f>
        <v>0</v>
      </c>
      <c r="F219" s="91">
        <f t="shared" si="31"/>
        <v>0</v>
      </c>
      <c r="G219" s="91">
        <f t="shared" si="32"/>
        <v>0</v>
      </c>
      <c r="H219" s="91">
        <f t="shared" si="39"/>
        <v>0</v>
      </c>
      <c r="I219" s="91">
        <f t="shared" si="36"/>
        <v>0</v>
      </c>
      <c r="J219" s="22"/>
      <c r="K219" s="22"/>
      <c r="L219" s="22"/>
      <c r="M219" s="22"/>
      <c r="N219" s="22"/>
      <c r="O219" s="91">
        <v>36462</v>
      </c>
      <c r="P219" s="91">
        <v>36462</v>
      </c>
      <c r="Q219" s="122"/>
      <c r="R219" s="200"/>
      <c r="S219" s="151">
        <v>1</v>
      </c>
      <c r="T219" s="91">
        <f t="shared" si="28"/>
        <v>0</v>
      </c>
      <c r="U219" s="644">
        <v>1400</v>
      </c>
      <c r="V219" s="698" t="s">
        <v>274</v>
      </c>
      <c r="W219" s="14" t="s">
        <v>48</v>
      </c>
      <c r="X219" s="197"/>
      <c r="Y219" s="197"/>
      <c r="Z219" s="197"/>
      <c r="AA219" s="197"/>
      <c r="AB219" s="197"/>
      <c r="AC219" s="197"/>
    </row>
    <row r="220" spans="1:29" ht="26.25">
      <c r="A220" s="19"/>
      <c r="B220" s="148" t="s">
        <v>874</v>
      </c>
      <c r="C220" s="91">
        <f t="shared" si="30"/>
        <v>0</v>
      </c>
      <c r="D220" s="91"/>
      <c r="E220" s="91">
        <f>G220+F220</f>
        <v>0</v>
      </c>
      <c r="F220" s="91">
        <f t="shared" si="31"/>
        <v>0</v>
      </c>
      <c r="G220" s="91">
        <f t="shared" si="32"/>
        <v>0</v>
      </c>
      <c r="H220" s="91">
        <f t="shared" si="39"/>
        <v>0</v>
      </c>
      <c r="I220" s="91">
        <f t="shared" si="36"/>
        <v>0</v>
      </c>
      <c r="J220" s="22"/>
      <c r="K220" s="22"/>
      <c r="L220" s="22"/>
      <c r="M220" s="22"/>
      <c r="N220" s="22"/>
      <c r="O220" s="91">
        <v>43342</v>
      </c>
      <c r="P220" s="91">
        <v>43342</v>
      </c>
      <c r="Q220" s="149"/>
      <c r="R220" s="161"/>
      <c r="S220" s="151">
        <v>1</v>
      </c>
      <c r="T220" s="91">
        <f t="shared" si="28"/>
        <v>0</v>
      </c>
      <c r="U220" s="644">
        <v>2328</v>
      </c>
      <c r="V220" s="698" t="s">
        <v>275</v>
      </c>
      <c r="W220" s="14" t="s">
        <v>48</v>
      </c>
      <c r="X220" s="7"/>
      <c r="Y220" s="7"/>
      <c r="Z220" s="7"/>
      <c r="AA220" s="7"/>
      <c r="AB220" s="7"/>
      <c r="AC220" s="7"/>
    </row>
    <row r="221" spans="1:29" ht="26.25">
      <c r="A221" s="19"/>
      <c r="B221" s="148" t="s">
        <v>875</v>
      </c>
      <c r="C221" s="199">
        <f t="shared" si="30"/>
        <v>0</v>
      </c>
      <c r="D221" s="91"/>
      <c r="E221" s="91">
        <f t="shared" ref="E221:E230" si="40">F221+G221</f>
        <v>0</v>
      </c>
      <c r="F221" s="91">
        <f t="shared" si="31"/>
        <v>0</v>
      </c>
      <c r="G221" s="91">
        <f t="shared" si="32"/>
        <v>0</v>
      </c>
      <c r="H221" s="91">
        <f t="shared" si="39"/>
        <v>0</v>
      </c>
      <c r="I221" s="91">
        <f t="shared" si="36"/>
        <v>0</v>
      </c>
      <c r="J221" s="22"/>
      <c r="K221" s="22"/>
      <c r="L221" s="22"/>
      <c r="M221" s="22"/>
      <c r="N221" s="22"/>
      <c r="O221" s="91">
        <v>77142</v>
      </c>
      <c r="P221" s="91">
        <v>77142</v>
      </c>
      <c r="Q221" s="122"/>
      <c r="R221" s="200"/>
      <c r="S221" s="151">
        <v>1</v>
      </c>
      <c r="T221" s="91">
        <f t="shared" si="28"/>
        <v>0</v>
      </c>
      <c r="U221" s="644">
        <v>6910</v>
      </c>
      <c r="V221" s="698" t="s">
        <v>276</v>
      </c>
      <c r="W221" s="14" t="s">
        <v>48</v>
      </c>
      <c r="X221" s="7"/>
      <c r="Y221" s="7"/>
      <c r="Z221" s="7"/>
      <c r="AA221" s="7"/>
      <c r="AB221" s="7"/>
      <c r="AC221" s="7"/>
    </row>
    <row r="222" spans="1:29" ht="25.5">
      <c r="A222" s="19"/>
      <c r="B222" s="638" t="s">
        <v>876</v>
      </c>
      <c r="C222" s="91">
        <f t="shared" si="30"/>
        <v>282.48</v>
      </c>
      <c r="D222" s="91"/>
      <c r="E222" s="91">
        <f t="shared" si="40"/>
        <v>18.48</v>
      </c>
      <c r="F222" s="91">
        <f t="shared" si="31"/>
        <v>10.56</v>
      </c>
      <c r="G222" s="91">
        <f t="shared" si="32"/>
        <v>7.92</v>
      </c>
      <c r="H222" s="91">
        <f t="shared" si="39"/>
        <v>264</v>
      </c>
      <c r="I222" s="91">
        <f t="shared" si="36"/>
        <v>169.488</v>
      </c>
      <c r="J222" s="22"/>
      <c r="K222" s="22"/>
      <c r="L222" s="22"/>
      <c r="M222" s="22"/>
      <c r="N222" s="22"/>
      <c r="O222" s="91">
        <v>7806</v>
      </c>
      <c r="P222" s="91">
        <v>8070</v>
      </c>
      <c r="Q222" s="122"/>
      <c r="R222" s="173"/>
      <c r="S222" s="151">
        <v>1</v>
      </c>
      <c r="T222" s="91">
        <f t="shared" si="28"/>
        <v>264</v>
      </c>
      <c r="U222" s="644" t="s">
        <v>976</v>
      </c>
      <c r="V222" s="698" t="s">
        <v>277</v>
      </c>
      <c r="W222" s="14" t="s">
        <v>48</v>
      </c>
      <c r="X222" s="7"/>
      <c r="Y222" s="7"/>
      <c r="Z222" s="7"/>
      <c r="AA222" s="7"/>
      <c r="AB222" s="7"/>
      <c r="AC222" s="7"/>
    </row>
    <row r="223" spans="1:29" ht="26.25">
      <c r="A223" s="19"/>
      <c r="B223" s="90" t="s">
        <v>278</v>
      </c>
      <c r="C223" s="91">
        <f t="shared" si="30"/>
        <v>532.86</v>
      </c>
      <c r="D223" s="91"/>
      <c r="E223" s="91">
        <f t="shared" si="40"/>
        <v>34.86</v>
      </c>
      <c r="F223" s="91">
        <f t="shared" si="31"/>
        <v>19.920000000000002</v>
      </c>
      <c r="G223" s="91">
        <f t="shared" si="32"/>
        <v>14.94</v>
      </c>
      <c r="H223" s="91">
        <f t="shared" si="39"/>
        <v>498</v>
      </c>
      <c r="I223" s="91">
        <f t="shared" si="36"/>
        <v>319.71600000000001</v>
      </c>
      <c r="J223" s="22"/>
      <c r="K223" s="22"/>
      <c r="L223" s="22"/>
      <c r="M223" s="22"/>
      <c r="N223" s="22"/>
      <c r="O223" s="91">
        <v>23286</v>
      </c>
      <c r="P223" s="91">
        <v>23784</v>
      </c>
      <c r="Q223" s="149"/>
      <c r="R223" s="161"/>
      <c r="S223" s="151">
        <v>1</v>
      </c>
      <c r="T223" s="91">
        <f t="shared" si="28"/>
        <v>498</v>
      </c>
      <c r="U223" s="644" t="s">
        <v>977</v>
      </c>
      <c r="V223" s="698" t="s">
        <v>279</v>
      </c>
      <c r="W223" s="14" t="s">
        <v>48</v>
      </c>
      <c r="X223" s="7"/>
      <c r="Y223" s="7"/>
      <c r="Z223" s="7"/>
      <c r="AA223" s="7"/>
      <c r="AB223" s="7"/>
      <c r="AC223" s="7"/>
    </row>
    <row r="224" spans="1:29" ht="26.25">
      <c r="A224" s="19"/>
      <c r="B224" s="148" t="s">
        <v>877</v>
      </c>
      <c r="C224" s="91">
        <f t="shared" si="30"/>
        <v>222.56</v>
      </c>
      <c r="D224" s="91"/>
      <c r="E224" s="91">
        <f t="shared" si="40"/>
        <v>14.56</v>
      </c>
      <c r="F224" s="91">
        <f t="shared" si="31"/>
        <v>8.32</v>
      </c>
      <c r="G224" s="91">
        <f t="shared" si="32"/>
        <v>6.24</v>
      </c>
      <c r="H224" s="91">
        <f t="shared" si="39"/>
        <v>208</v>
      </c>
      <c r="I224" s="91">
        <f>0.5*C224</f>
        <v>111.28</v>
      </c>
      <c r="J224" s="22"/>
      <c r="K224" s="22"/>
      <c r="L224" s="22"/>
      <c r="M224" s="22"/>
      <c r="N224" s="22"/>
      <c r="O224" s="91">
        <v>6878</v>
      </c>
      <c r="P224" s="91">
        <v>7086</v>
      </c>
      <c r="Q224" s="122"/>
      <c r="R224" s="173"/>
      <c r="S224" s="91">
        <v>1</v>
      </c>
      <c r="T224" s="91">
        <f t="shared" si="28"/>
        <v>208</v>
      </c>
      <c r="U224" s="644" t="s">
        <v>978</v>
      </c>
      <c r="V224" s="698" t="s">
        <v>280</v>
      </c>
      <c r="W224" s="14" t="s">
        <v>48</v>
      </c>
      <c r="X224" s="7"/>
      <c r="Y224" s="7"/>
      <c r="Z224" s="7"/>
      <c r="AA224" s="7"/>
      <c r="AB224" s="7"/>
      <c r="AC224" s="7"/>
    </row>
    <row r="225" spans="1:29" ht="25.5">
      <c r="A225" s="19"/>
      <c r="B225" s="148" t="s">
        <v>281</v>
      </c>
      <c r="C225" s="91">
        <f t="shared" si="30"/>
        <v>205.44</v>
      </c>
      <c r="D225" s="91"/>
      <c r="E225" s="91">
        <f t="shared" si="40"/>
        <v>13.44</v>
      </c>
      <c r="F225" s="91">
        <f t="shared" si="31"/>
        <v>7.68</v>
      </c>
      <c r="G225" s="91">
        <f t="shared" si="32"/>
        <v>5.76</v>
      </c>
      <c r="H225" s="91">
        <f t="shared" si="39"/>
        <v>192</v>
      </c>
      <c r="I225" s="91">
        <f>0.5*C225</f>
        <v>102.72</v>
      </c>
      <c r="J225" s="22"/>
      <c r="K225" s="22"/>
      <c r="L225" s="22"/>
      <c r="M225" s="22"/>
      <c r="N225" s="22"/>
      <c r="O225" s="91">
        <v>37675</v>
      </c>
      <c r="P225" s="91">
        <v>37867</v>
      </c>
      <c r="Q225" s="122"/>
      <c r="R225" s="173"/>
      <c r="S225" s="91">
        <v>1</v>
      </c>
      <c r="T225" s="91">
        <f t="shared" si="28"/>
        <v>192</v>
      </c>
      <c r="U225" s="644" t="s">
        <v>979</v>
      </c>
      <c r="V225" s="698" t="s">
        <v>282</v>
      </c>
      <c r="W225" s="14" t="s">
        <v>48</v>
      </c>
      <c r="X225" s="7"/>
      <c r="Y225" s="7"/>
      <c r="Z225" s="7"/>
      <c r="AA225" s="7"/>
      <c r="AB225" s="7"/>
      <c r="AC225" s="7"/>
    </row>
    <row r="226" spans="1:29" ht="26.25">
      <c r="A226" s="19"/>
      <c r="B226" s="148" t="s">
        <v>283</v>
      </c>
      <c r="C226" s="91">
        <f t="shared" si="30"/>
        <v>194.74</v>
      </c>
      <c r="D226" s="91"/>
      <c r="E226" s="91">
        <f t="shared" si="40"/>
        <v>12.74</v>
      </c>
      <c r="F226" s="91">
        <f t="shared" si="31"/>
        <v>7.28</v>
      </c>
      <c r="G226" s="91">
        <f t="shared" si="32"/>
        <v>5.46</v>
      </c>
      <c r="H226" s="91">
        <f t="shared" si="39"/>
        <v>182</v>
      </c>
      <c r="I226" s="115">
        <f>0.6*C226</f>
        <v>116.84399999999999</v>
      </c>
      <c r="J226" s="22"/>
      <c r="K226" s="22"/>
      <c r="L226" s="22"/>
      <c r="M226" s="22"/>
      <c r="N226" s="22"/>
      <c r="O226" s="91">
        <v>4124</v>
      </c>
      <c r="P226" s="91">
        <v>4306</v>
      </c>
      <c r="Q226" s="122"/>
      <c r="R226" s="173"/>
      <c r="S226" s="151">
        <v>1</v>
      </c>
      <c r="T226" s="91">
        <f t="shared" si="28"/>
        <v>182</v>
      </c>
      <c r="U226" s="644" t="s">
        <v>980</v>
      </c>
      <c r="V226" s="698" t="s">
        <v>284</v>
      </c>
      <c r="W226" s="14" t="s">
        <v>48</v>
      </c>
      <c r="X226" s="7"/>
      <c r="Y226" s="7"/>
      <c r="Z226" s="7"/>
      <c r="AA226" s="7"/>
      <c r="AB226" s="7"/>
      <c r="AC226" s="7"/>
    </row>
    <row r="227" spans="1:29" ht="26.25">
      <c r="A227" s="19"/>
      <c r="B227" s="148" t="s">
        <v>878</v>
      </c>
      <c r="C227" s="91">
        <f t="shared" si="30"/>
        <v>65.27</v>
      </c>
      <c r="D227" s="91"/>
      <c r="E227" s="91">
        <f t="shared" si="40"/>
        <v>4.2699999999999996</v>
      </c>
      <c r="F227" s="91">
        <f t="shared" si="31"/>
        <v>2.44</v>
      </c>
      <c r="G227" s="91">
        <f t="shared" si="32"/>
        <v>1.8299999999999998</v>
      </c>
      <c r="H227" s="91">
        <f t="shared" si="39"/>
        <v>61</v>
      </c>
      <c r="I227" s="115">
        <f>0.6*C227</f>
        <v>39.161999999999999</v>
      </c>
      <c r="J227" s="22"/>
      <c r="K227" s="22"/>
      <c r="L227" s="22"/>
      <c r="M227" s="22"/>
      <c r="N227" s="22"/>
      <c r="O227" s="91">
        <v>22184</v>
      </c>
      <c r="P227" s="91">
        <v>22245</v>
      </c>
      <c r="Q227" s="122"/>
      <c r="R227" s="173"/>
      <c r="S227" s="151">
        <v>1</v>
      </c>
      <c r="T227" s="91">
        <f t="shared" si="28"/>
        <v>61</v>
      </c>
      <c r="U227" s="644">
        <v>530958</v>
      </c>
      <c r="V227" s="698" t="s">
        <v>285</v>
      </c>
      <c r="W227" s="14" t="s">
        <v>48</v>
      </c>
      <c r="X227" s="7"/>
      <c r="Y227" s="7"/>
      <c r="Z227" s="7"/>
      <c r="AA227" s="7"/>
      <c r="AB227" s="7"/>
      <c r="AC227" s="7"/>
    </row>
    <row r="228" spans="1:29" ht="26.25">
      <c r="A228" s="19"/>
      <c r="B228" s="148" t="s">
        <v>879</v>
      </c>
      <c r="C228" s="91">
        <f t="shared" si="30"/>
        <v>289.97000000000003</v>
      </c>
      <c r="D228" s="91"/>
      <c r="E228" s="91">
        <f t="shared" si="40"/>
        <v>18.97</v>
      </c>
      <c r="F228" s="91">
        <f t="shared" si="31"/>
        <v>10.84</v>
      </c>
      <c r="G228" s="91">
        <f t="shared" si="32"/>
        <v>8.129999999999999</v>
      </c>
      <c r="H228" s="91">
        <f t="shared" si="39"/>
        <v>271</v>
      </c>
      <c r="I228" s="91">
        <f>0.6*C228</f>
        <v>173.982</v>
      </c>
      <c r="J228" s="22"/>
      <c r="K228" s="22"/>
      <c r="L228" s="22"/>
      <c r="M228" s="22"/>
      <c r="N228" s="22"/>
      <c r="O228" s="91">
        <v>18178</v>
      </c>
      <c r="P228" s="91">
        <v>18449</v>
      </c>
      <c r="Q228" s="122"/>
      <c r="R228" s="173"/>
      <c r="S228" s="91">
        <v>1</v>
      </c>
      <c r="T228" s="91">
        <f t="shared" si="28"/>
        <v>271</v>
      </c>
      <c r="U228" s="644">
        <v>607637</v>
      </c>
      <c r="V228" s="698" t="s">
        <v>286</v>
      </c>
      <c r="W228" s="14" t="s">
        <v>48</v>
      </c>
      <c r="X228" s="7"/>
      <c r="Y228" s="7"/>
      <c r="Z228" s="7"/>
      <c r="AA228" s="7"/>
      <c r="AB228" s="7"/>
      <c r="AC228" s="7"/>
    </row>
    <row r="229" spans="1:29" ht="26.25">
      <c r="A229" s="19"/>
      <c r="B229" s="148" t="s">
        <v>287</v>
      </c>
      <c r="C229" s="91">
        <f t="shared" si="30"/>
        <v>227.91</v>
      </c>
      <c r="D229" s="91"/>
      <c r="E229" s="91">
        <f t="shared" si="40"/>
        <v>14.91</v>
      </c>
      <c r="F229" s="91">
        <f t="shared" si="31"/>
        <v>8.52</v>
      </c>
      <c r="G229" s="91">
        <f t="shared" si="32"/>
        <v>6.39</v>
      </c>
      <c r="H229" s="91">
        <f t="shared" si="39"/>
        <v>213</v>
      </c>
      <c r="I229" s="115">
        <f>0.6*C229</f>
        <v>136.74599999999998</v>
      </c>
      <c r="J229" s="22"/>
      <c r="K229" s="22"/>
      <c r="L229" s="22"/>
      <c r="M229" s="22"/>
      <c r="N229" s="22"/>
      <c r="O229" s="91">
        <v>13571</v>
      </c>
      <c r="P229" s="91">
        <v>13784</v>
      </c>
      <c r="Q229" s="149"/>
      <c r="R229" s="247"/>
      <c r="S229" s="151">
        <v>1</v>
      </c>
      <c r="T229" s="91">
        <f t="shared" si="28"/>
        <v>213</v>
      </c>
      <c r="U229" s="644">
        <v>56067</v>
      </c>
      <c r="V229" s="698" t="s">
        <v>288</v>
      </c>
      <c r="W229" s="14" t="s">
        <v>48</v>
      </c>
      <c r="X229" s="7"/>
      <c r="Y229" s="7"/>
      <c r="Z229" s="7"/>
      <c r="AA229" s="7"/>
      <c r="AB229" s="7"/>
      <c r="AC229" s="7"/>
    </row>
    <row r="230" spans="1:29" ht="26.25">
      <c r="A230" s="19"/>
      <c r="B230" s="143" t="s">
        <v>766</v>
      </c>
      <c r="C230" s="115">
        <f t="shared" si="30"/>
        <v>8046.4</v>
      </c>
      <c r="D230" s="115"/>
      <c r="E230" s="115">
        <f t="shared" si="40"/>
        <v>526.4</v>
      </c>
      <c r="F230" s="115">
        <f t="shared" si="31"/>
        <v>300.8</v>
      </c>
      <c r="G230" s="115">
        <f t="shared" si="32"/>
        <v>225.6</v>
      </c>
      <c r="H230" s="115">
        <f t="shared" si="39"/>
        <v>7520</v>
      </c>
      <c r="I230" s="115"/>
      <c r="J230" s="22"/>
      <c r="K230" s="22"/>
      <c r="L230" s="22"/>
      <c r="M230" s="22"/>
      <c r="N230" s="22"/>
      <c r="O230" s="653">
        <v>35113.4</v>
      </c>
      <c r="P230" s="653">
        <v>35301.4</v>
      </c>
      <c r="Q230" s="122"/>
      <c r="R230" s="142"/>
      <c r="S230" s="151">
        <v>40</v>
      </c>
      <c r="T230" s="91">
        <f t="shared" si="28"/>
        <v>7520</v>
      </c>
      <c r="U230" s="644">
        <v>1535390</v>
      </c>
      <c r="V230" s="698" t="s">
        <v>789</v>
      </c>
      <c r="W230" s="14" t="s">
        <v>53</v>
      </c>
      <c r="X230" s="7"/>
      <c r="Y230" s="7"/>
      <c r="Z230" s="7"/>
      <c r="AA230" s="7"/>
      <c r="AB230" s="7"/>
      <c r="AC230" s="7"/>
    </row>
    <row r="231" spans="1:29" ht="28.5" customHeight="1">
      <c r="A231" s="252"/>
      <c r="B231" s="104" t="s">
        <v>610</v>
      </c>
      <c r="C231" s="91">
        <f>H231+E231</f>
        <v>5769.9750000000013</v>
      </c>
      <c r="D231" s="92"/>
      <c r="E231" s="91">
        <f>F231+G231</f>
        <v>377.47500000000008</v>
      </c>
      <c r="F231" s="91">
        <f>0.04*T231</f>
        <v>215.70000000000005</v>
      </c>
      <c r="G231" s="91">
        <f>0.03*T231</f>
        <v>161.77500000000003</v>
      </c>
      <c r="H231" s="91">
        <f>T231</f>
        <v>5392.5000000000009</v>
      </c>
      <c r="I231" s="91">
        <f>H231*0.5</f>
        <v>2696.2500000000005</v>
      </c>
      <c r="J231" s="98"/>
      <c r="K231" s="98"/>
      <c r="L231" s="98"/>
      <c r="M231" s="98"/>
      <c r="N231" s="98"/>
      <c r="O231" s="92">
        <v>771.35</v>
      </c>
      <c r="P231" s="92">
        <v>879.2</v>
      </c>
      <c r="Q231" s="105"/>
      <c r="R231" s="106"/>
      <c r="S231" s="92">
        <v>50</v>
      </c>
      <c r="T231" s="91">
        <f>(P231-O231)*S231</f>
        <v>5392.5000000000009</v>
      </c>
      <c r="U231" s="644" t="s">
        <v>981</v>
      </c>
      <c r="V231" s="698" t="s">
        <v>752</v>
      </c>
      <c r="W231" s="14" t="s">
        <v>48</v>
      </c>
      <c r="X231" s="7"/>
      <c r="Y231" s="7"/>
      <c r="Z231" s="7"/>
      <c r="AA231" s="7"/>
      <c r="AB231" s="7"/>
      <c r="AC231" s="7"/>
    </row>
    <row r="232" spans="1:29" ht="26.25">
      <c r="A232" s="19"/>
      <c r="B232" s="104" t="s">
        <v>906</v>
      </c>
      <c r="C232" s="91">
        <f t="shared" ref="C232" si="41">H232+E232</f>
        <v>2525.1999999999998</v>
      </c>
      <c r="D232" s="91"/>
      <c r="E232" s="91">
        <f>G232+F232</f>
        <v>165.2</v>
      </c>
      <c r="F232" s="91">
        <f>H232*0.04</f>
        <v>94.4</v>
      </c>
      <c r="G232" s="91">
        <f>H232*0.03</f>
        <v>70.8</v>
      </c>
      <c r="H232" s="91">
        <f t="shared" ref="H232" si="42">T232</f>
        <v>2360</v>
      </c>
      <c r="I232" s="91">
        <f>0.6*C232</f>
        <v>1515.12</v>
      </c>
      <c r="J232" s="22"/>
      <c r="K232" s="22"/>
      <c r="L232" s="22"/>
      <c r="M232" s="22"/>
      <c r="N232" s="22"/>
      <c r="O232" s="115">
        <v>816260</v>
      </c>
      <c r="P232" s="115">
        <v>818620</v>
      </c>
      <c r="Q232" s="122"/>
      <c r="R232" s="614"/>
      <c r="S232" s="151">
        <v>1</v>
      </c>
      <c r="T232" s="91">
        <f t="shared" ref="T232" si="43">(P232-O232)*S232</f>
        <v>2360</v>
      </c>
      <c r="U232" s="644">
        <v>399479</v>
      </c>
      <c r="V232" s="698" t="s">
        <v>788</v>
      </c>
      <c r="W232" s="14" t="s">
        <v>48</v>
      </c>
      <c r="X232" s="7"/>
      <c r="Y232" s="7"/>
      <c r="Z232" s="7"/>
      <c r="AA232" s="7"/>
      <c r="AB232" s="7"/>
      <c r="AC232" s="7"/>
    </row>
    <row r="233" spans="1:29" ht="25.5">
      <c r="A233" s="19"/>
      <c r="B233" s="615"/>
      <c r="C233" s="91"/>
      <c r="D233" s="91"/>
      <c r="E233" s="91"/>
      <c r="F233" s="91"/>
      <c r="G233" s="91"/>
      <c r="H233" s="91"/>
      <c r="I233" s="91"/>
      <c r="J233" s="22"/>
      <c r="K233" s="22"/>
      <c r="L233" s="22"/>
      <c r="M233" s="22"/>
      <c r="N233" s="22"/>
      <c r="O233" s="91"/>
      <c r="P233" s="91"/>
      <c r="Q233" s="122"/>
      <c r="R233" s="173"/>
      <c r="S233" s="91"/>
      <c r="T233" s="91"/>
      <c r="U233" s="644"/>
      <c r="V233" s="698"/>
      <c r="W233" s="14" t="s">
        <v>48</v>
      </c>
      <c r="X233" s="7"/>
      <c r="Y233" s="7"/>
      <c r="Z233" s="7"/>
      <c r="AA233" s="7"/>
      <c r="AB233" s="7"/>
      <c r="AC233" s="7"/>
    </row>
    <row r="234" spans="1:29" ht="26.25" hidden="1">
      <c r="A234" s="19"/>
      <c r="B234" s="341"/>
      <c r="C234" s="91"/>
      <c r="D234" s="91"/>
      <c r="E234" s="91"/>
      <c r="F234" s="91"/>
      <c r="G234" s="91"/>
      <c r="H234" s="91"/>
      <c r="I234" s="91"/>
      <c r="J234" s="22"/>
      <c r="K234" s="22"/>
      <c r="L234" s="22"/>
      <c r="M234" s="22"/>
      <c r="N234" s="22"/>
      <c r="O234" s="91"/>
      <c r="P234" s="91"/>
      <c r="Q234" s="122"/>
      <c r="R234" s="173"/>
      <c r="S234" s="91"/>
      <c r="T234" s="91"/>
      <c r="U234" s="644"/>
      <c r="V234" s="698"/>
      <c r="W234" s="14" t="s">
        <v>48</v>
      </c>
      <c r="X234" s="7"/>
      <c r="Y234" s="7"/>
      <c r="Z234" s="7"/>
      <c r="AA234" s="7"/>
      <c r="AB234" s="7"/>
      <c r="AC234" s="7"/>
    </row>
    <row r="235" spans="1:29" ht="25.5" hidden="1">
      <c r="A235" s="19"/>
      <c r="B235" s="148"/>
      <c r="C235" s="91"/>
      <c r="D235" s="91"/>
      <c r="E235" s="91"/>
      <c r="F235" s="91"/>
      <c r="G235" s="91"/>
      <c r="H235" s="91"/>
      <c r="I235" s="91"/>
      <c r="J235" s="22"/>
      <c r="K235" s="22"/>
      <c r="L235" s="22"/>
      <c r="M235" s="22"/>
      <c r="N235" s="22"/>
      <c r="O235" s="91"/>
      <c r="P235" s="91"/>
      <c r="Q235" s="122"/>
      <c r="R235" s="173"/>
      <c r="S235" s="91"/>
      <c r="T235" s="91"/>
      <c r="U235" s="644"/>
      <c r="V235" s="698"/>
      <c r="W235" s="14" t="s">
        <v>48</v>
      </c>
      <c r="X235" s="7"/>
      <c r="Y235" s="7"/>
      <c r="Z235" s="7"/>
      <c r="AA235" s="7"/>
      <c r="AB235" s="7"/>
      <c r="AC235" s="7"/>
    </row>
    <row r="236" spans="1:29" ht="25.5" hidden="1">
      <c r="A236" s="19"/>
      <c r="B236" s="148"/>
      <c r="C236" s="91"/>
      <c r="D236" s="91"/>
      <c r="E236" s="91"/>
      <c r="F236" s="91"/>
      <c r="G236" s="91"/>
      <c r="H236" s="91"/>
      <c r="I236" s="91"/>
      <c r="J236" s="22"/>
      <c r="K236" s="22"/>
      <c r="L236" s="22"/>
      <c r="M236" s="22"/>
      <c r="N236" s="22"/>
      <c r="O236" s="91"/>
      <c r="P236" s="91"/>
      <c r="Q236" s="122"/>
      <c r="R236" s="173"/>
      <c r="S236" s="91"/>
      <c r="T236" s="91"/>
      <c r="U236" s="644"/>
      <c r="V236" s="698"/>
      <c r="W236" s="14" t="s">
        <v>48</v>
      </c>
      <c r="X236" s="7"/>
      <c r="Y236" s="7"/>
      <c r="Z236" s="7"/>
      <c r="AA236" s="7"/>
      <c r="AB236" s="7"/>
      <c r="AC236" s="7"/>
    </row>
    <row r="237" spans="1:29" ht="25.5" hidden="1">
      <c r="A237" s="19"/>
      <c r="B237" s="148"/>
      <c r="C237" s="91"/>
      <c r="D237" s="91"/>
      <c r="E237" s="91"/>
      <c r="F237" s="91"/>
      <c r="G237" s="91"/>
      <c r="H237" s="91"/>
      <c r="I237" s="91"/>
      <c r="J237" s="22"/>
      <c r="K237" s="22"/>
      <c r="L237" s="22"/>
      <c r="M237" s="22"/>
      <c r="N237" s="22"/>
      <c r="O237" s="91"/>
      <c r="P237" s="91"/>
      <c r="Q237" s="149"/>
      <c r="R237" s="142"/>
      <c r="S237" s="91"/>
      <c r="T237" s="91"/>
      <c r="U237" s="644"/>
      <c r="V237" s="698"/>
      <c r="W237" s="14" t="s">
        <v>48</v>
      </c>
      <c r="X237" s="7"/>
      <c r="Y237" s="7"/>
      <c r="Z237" s="7"/>
      <c r="AA237" s="7"/>
      <c r="AB237" s="7"/>
      <c r="AC237" s="7"/>
    </row>
    <row r="238" spans="1:29" ht="25.5" hidden="1">
      <c r="A238" s="19"/>
      <c r="B238" s="148"/>
      <c r="C238" s="91"/>
      <c r="D238" s="91"/>
      <c r="E238" s="91"/>
      <c r="F238" s="91"/>
      <c r="G238" s="91"/>
      <c r="H238" s="91"/>
      <c r="I238" s="91"/>
      <c r="J238" s="22"/>
      <c r="K238" s="22"/>
      <c r="L238" s="22"/>
      <c r="M238" s="22"/>
      <c r="N238" s="22"/>
      <c r="O238" s="91"/>
      <c r="P238" s="91"/>
      <c r="Q238" s="122"/>
      <c r="R238" s="200"/>
      <c r="S238" s="151"/>
      <c r="T238" s="91"/>
      <c r="U238" s="644"/>
      <c r="V238" s="698"/>
      <c r="W238" s="14" t="s">
        <v>48</v>
      </c>
      <c r="X238" s="7"/>
      <c r="Y238" s="7"/>
      <c r="Z238" s="7"/>
      <c r="AA238" s="7"/>
      <c r="AB238" s="7"/>
      <c r="AC238" s="7"/>
    </row>
    <row r="239" spans="1:29" ht="25.5" hidden="1">
      <c r="A239" s="19"/>
      <c r="B239" s="148"/>
      <c r="C239" s="91"/>
      <c r="D239" s="91"/>
      <c r="E239" s="91"/>
      <c r="F239" s="91"/>
      <c r="G239" s="91"/>
      <c r="H239" s="91"/>
      <c r="I239" s="91"/>
      <c r="J239" s="22"/>
      <c r="K239" s="22"/>
      <c r="L239" s="22"/>
      <c r="M239" s="22"/>
      <c r="N239" s="22"/>
      <c r="O239" s="91"/>
      <c r="P239" s="91"/>
      <c r="Q239" s="122"/>
      <c r="R239" s="200"/>
      <c r="S239" s="151"/>
      <c r="T239" s="91"/>
      <c r="U239" s="644"/>
      <c r="V239" s="698"/>
      <c r="W239" s="14" t="s">
        <v>48</v>
      </c>
      <c r="X239" s="7"/>
      <c r="Y239" s="7"/>
      <c r="Z239" s="7"/>
      <c r="AA239" s="7"/>
      <c r="AB239" s="7"/>
      <c r="AC239" s="7"/>
    </row>
    <row r="240" spans="1:29" ht="25.5" hidden="1">
      <c r="A240" s="19"/>
      <c r="B240" s="148"/>
      <c r="C240" s="91"/>
      <c r="D240" s="91"/>
      <c r="E240" s="91"/>
      <c r="F240" s="91"/>
      <c r="G240" s="91"/>
      <c r="H240" s="91"/>
      <c r="I240" s="91"/>
      <c r="J240" s="22"/>
      <c r="K240" s="22"/>
      <c r="L240" s="22"/>
      <c r="M240" s="22"/>
      <c r="N240" s="22"/>
      <c r="O240" s="117"/>
      <c r="P240" s="117"/>
      <c r="Q240" s="122"/>
      <c r="R240" s="342"/>
      <c r="S240" s="330"/>
      <c r="T240" s="117"/>
      <c r="U240" s="644"/>
      <c r="V240" s="698"/>
      <c r="W240" s="14" t="s">
        <v>48</v>
      </c>
      <c r="X240" s="7"/>
      <c r="Y240" s="7"/>
      <c r="Z240" s="7"/>
      <c r="AA240" s="7"/>
      <c r="AB240" s="7"/>
      <c r="AC240" s="7"/>
    </row>
    <row r="241" spans="1:29" ht="25.5" hidden="1">
      <c r="A241" s="19"/>
      <c r="B241" s="148"/>
      <c r="C241" s="91"/>
      <c r="D241" s="91"/>
      <c r="E241" s="91"/>
      <c r="F241" s="91"/>
      <c r="G241" s="91"/>
      <c r="H241" s="91"/>
      <c r="I241" s="91"/>
      <c r="J241" s="22"/>
      <c r="K241" s="22"/>
      <c r="L241" s="22"/>
      <c r="M241" s="22"/>
      <c r="N241" s="22"/>
      <c r="O241" s="117"/>
      <c r="P241" s="117"/>
      <c r="Q241" s="122"/>
      <c r="R241" s="342"/>
      <c r="S241" s="330"/>
      <c r="T241" s="117"/>
      <c r="U241" s="644"/>
      <c r="V241" s="698"/>
      <c r="W241" s="14" t="s">
        <v>48</v>
      </c>
      <c r="X241" s="7"/>
      <c r="Y241" s="7"/>
      <c r="Z241" s="7"/>
      <c r="AA241" s="7"/>
      <c r="AB241" s="7"/>
      <c r="AC241" s="7"/>
    </row>
    <row r="242" spans="1:29" ht="25.5" hidden="1">
      <c r="A242" s="19"/>
      <c r="B242" s="329"/>
      <c r="C242" s="117"/>
      <c r="D242" s="117"/>
      <c r="E242" s="117"/>
      <c r="F242" s="117"/>
      <c r="G242" s="117"/>
      <c r="H242" s="117"/>
      <c r="I242" s="117"/>
      <c r="J242" s="22"/>
      <c r="K242" s="22"/>
      <c r="L242" s="22"/>
      <c r="M242" s="22"/>
      <c r="N242" s="22"/>
      <c r="O242" s="91"/>
      <c r="P242" s="91"/>
      <c r="Q242" s="173"/>
      <c r="R242" s="200"/>
      <c r="S242" s="91"/>
      <c r="T242" s="91"/>
      <c r="U242" s="644"/>
      <c r="V242" s="698"/>
      <c r="W242" s="14" t="s">
        <v>48</v>
      </c>
      <c r="X242" s="7"/>
      <c r="Y242" s="7"/>
      <c r="Z242" s="7"/>
      <c r="AA242" s="7"/>
      <c r="AB242" s="7"/>
      <c r="AC242" s="7"/>
    </row>
    <row r="243" spans="1:29" ht="25.5">
      <c r="A243" s="19"/>
      <c r="B243" s="148" t="s">
        <v>290</v>
      </c>
      <c r="C243" s="91">
        <f t="shared" ref="C243:C268" si="44">H243+E243</f>
        <v>578.87</v>
      </c>
      <c r="D243" s="91"/>
      <c r="E243" s="91">
        <f t="shared" ref="E243:E273" si="45">F243+G243</f>
        <v>37.870000000000005</v>
      </c>
      <c r="F243" s="91">
        <f t="shared" ref="F243:F273" si="46">0.04*H243</f>
        <v>21.64</v>
      </c>
      <c r="G243" s="91">
        <f t="shared" ref="G243:G273" si="47">0.03*H243</f>
        <v>16.23</v>
      </c>
      <c r="H243" s="91">
        <f t="shared" si="39"/>
        <v>541</v>
      </c>
      <c r="I243" s="91"/>
      <c r="J243" s="142"/>
      <c r="K243" s="142"/>
      <c r="L243" s="142"/>
      <c r="M243" s="142"/>
      <c r="N243" s="142"/>
      <c r="O243" s="113">
        <v>51108</v>
      </c>
      <c r="P243" s="113">
        <v>51649</v>
      </c>
      <c r="Q243" s="149"/>
      <c r="R243" s="616"/>
      <c r="S243" s="113">
        <v>1</v>
      </c>
      <c r="T243" s="113">
        <f>P243-O243</f>
        <v>541</v>
      </c>
      <c r="U243" s="644" t="s">
        <v>982</v>
      </c>
      <c r="V243" s="698" t="s">
        <v>291</v>
      </c>
      <c r="W243" s="14" t="s">
        <v>48</v>
      </c>
      <c r="X243" s="7"/>
      <c r="Y243" s="7"/>
      <c r="Z243" s="7"/>
      <c r="AA243" s="7"/>
      <c r="AB243" s="7"/>
      <c r="AC243" s="7"/>
    </row>
    <row r="244" spans="1:29" ht="25.5">
      <c r="A244" s="19"/>
      <c r="B244" s="213" t="s">
        <v>292</v>
      </c>
      <c r="C244" s="113">
        <f t="shared" si="44"/>
        <v>1191.98</v>
      </c>
      <c r="D244" s="113"/>
      <c r="E244" s="113">
        <f t="shared" si="45"/>
        <v>77.98</v>
      </c>
      <c r="F244" s="113">
        <f t="shared" si="46"/>
        <v>44.56</v>
      </c>
      <c r="G244" s="113">
        <f t="shared" si="47"/>
        <v>33.42</v>
      </c>
      <c r="H244" s="113">
        <f t="shared" si="39"/>
        <v>1114</v>
      </c>
      <c r="I244" s="113"/>
      <c r="J244" s="22"/>
      <c r="K244" s="22"/>
      <c r="L244" s="22"/>
      <c r="M244" s="22"/>
      <c r="N244" s="22"/>
      <c r="O244" s="91">
        <v>70765</v>
      </c>
      <c r="P244" s="91">
        <v>71879</v>
      </c>
      <c r="Q244" s="149"/>
      <c r="R244" s="232"/>
      <c r="S244" s="91">
        <v>1</v>
      </c>
      <c r="T244" s="91">
        <f>P244-O244</f>
        <v>1114</v>
      </c>
      <c r="U244" s="644" t="s">
        <v>983</v>
      </c>
      <c r="V244" s="698" t="s">
        <v>293</v>
      </c>
      <c r="W244" s="14" t="s">
        <v>48</v>
      </c>
      <c r="X244" s="7"/>
      <c r="Y244" s="7"/>
      <c r="Z244" s="7"/>
      <c r="AA244" s="7"/>
      <c r="AB244" s="7"/>
      <c r="AC244" s="7"/>
    </row>
    <row r="245" spans="1:29" ht="25.5">
      <c r="A245" s="19"/>
      <c r="B245" s="148" t="s">
        <v>294</v>
      </c>
      <c r="C245" s="91">
        <f t="shared" si="44"/>
        <v>293.18</v>
      </c>
      <c r="D245" s="91"/>
      <c r="E245" s="91">
        <f t="shared" si="45"/>
        <v>19.18</v>
      </c>
      <c r="F245" s="91">
        <f t="shared" si="46"/>
        <v>10.96</v>
      </c>
      <c r="G245" s="91">
        <f t="shared" si="47"/>
        <v>8.2199999999999989</v>
      </c>
      <c r="H245" s="91">
        <f t="shared" si="39"/>
        <v>274</v>
      </c>
      <c r="I245" s="91"/>
      <c r="J245" s="22"/>
      <c r="K245" s="22"/>
      <c r="L245" s="22"/>
      <c r="M245" s="22"/>
      <c r="N245" s="22"/>
      <c r="O245" s="91">
        <v>23733</v>
      </c>
      <c r="P245" s="91">
        <v>24007</v>
      </c>
      <c r="Q245" s="149"/>
      <c r="R245" s="232"/>
      <c r="S245" s="91">
        <v>1</v>
      </c>
      <c r="T245" s="91">
        <f>P245-O245</f>
        <v>274</v>
      </c>
      <c r="U245" s="644" t="s">
        <v>984</v>
      </c>
      <c r="V245" s="698" t="s">
        <v>296</v>
      </c>
      <c r="W245" s="14" t="s">
        <v>48</v>
      </c>
      <c r="X245" s="7"/>
      <c r="Y245" s="7"/>
      <c r="Z245" s="7"/>
      <c r="AA245" s="7"/>
      <c r="AB245" s="7"/>
      <c r="AC245" s="7"/>
    </row>
    <row r="246" spans="1:29" ht="25.5">
      <c r="A246" s="19"/>
      <c r="B246" s="148" t="s">
        <v>848</v>
      </c>
      <c r="C246" s="91">
        <f t="shared" si="44"/>
        <v>1432.73</v>
      </c>
      <c r="D246" s="91"/>
      <c r="E246" s="91">
        <f t="shared" si="45"/>
        <v>93.73</v>
      </c>
      <c r="F246" s="91">
        <f t="shared" si="46"/>
        <v>53.56</v>
      </c>
      <c r="G246" s="91">
        <f t="shared" si="47"/>
        <v>40.17</v>
      </c>
      <c r="H246" s="91">
        <f t="shared" si="39"/>
        <v>1339</v>
      </c>
      <c r="I246" s="91"/>
      <c r="J246" s="22"/>
      <c r="K246" s="22"/>
      <c r="L246" s="22"/>
      <c r="M246" s="22"/>
      <c r="N246" s="22"/>
      <c r="O246" s="91">
        <v>99106</v>
      </c>
      <c r="P246" s="91">
        <v>100445</v>
      </c>
      <c r="Q246" s="149"/>
      <c r="R246" s="232"/>
      <c r="S246" s="91">
        <v>1</v>
      </c>
      <c r="T246" s="91">
        <f>P246-O246</f>
        <v>1339</v>
      </c>
      <c r="U246" s="644" t="s">
        <v>985</v>
      </c>
      <c r="V246" s="698" t="s">
        <v>942</v>
      </c>
      <c r="W246" s="14" t="s">
        <v>48</v>
      </c>
      <c r="X246" s="7"/>
      <c r="Y246" s="7"/>
      <c r="Z246" s="7"/>
      <c r="AA246" s="7"/>
      <c r="AB246" s="7"/>
      <c r="AC246" s="7"/>
    </row>
    <row r="247" spans="1:29" ht="26.25">
      <c r="A247" s="19"/>
      <c r="B247" s="812" t="s">
        <v>298</v>
      </c>
      <c r="C247" s="115">
        <f t="shared" si="44"/>
        <v>14595.869999999906</v>
      </c>
      <c r="D247" s="91"/>
      <c r="E247" s="91">
        <f t="shared" si="45"/>
        <v>954.86999999999375</v>
      </c>
      <c r="F247" s="91">
        <f t="shared" si="46"/>
        <v>545.63999999999646</v>
      </c>
      <c r="G247" s="91">
        <f t="shared" si="47"/>
        <v>409.22999999999735</v>
      </c>
      <c r="H247" s="91">
        <f t="shared" si="39"/>
        <v>13640.999999999913</v>
      </c>
      <c r="I247" s="91"/>
      <c r="J247" s="22"/>
      <c r="K247" s="22"/>
      <c r="L247" s="22"/>
      <c r="M247" s="22"/>
      <c r="N247" s="22"/>
      <c r="O247" s="589">
        <v>25895.9</v>
      </c>
      <c r="P247" s="589">
        <v>26350.6</v>
      </c>
      <c r="Q247" s="149"/>
      <c r="R247" s="232"/>
      <c r="S247" s="91">
        <v>30</v>
      </c>
      <c r="T247" s="91">
        <f>(P247-O247)*S247</f>
        <v>13640.999999999913</v>
      </c>
      <c r="U247" s="644" t="s">
        <v>986</v>
      </c>
      <c r="V247" s="839" t="s">
        <v>300</v>
      </c>
      <c r="W247" s="14" t="s">
        <v>48</v>
      </c>
      <c r="X247" s="7"/>
      <c r="Y247" s="7"/>
      <c r="Z247" s="7"/>
      <c r="AA247" s="7"/>
      <c r="AB247" s="7"/>
      <c r="AC247" s="7"/>
    </row>
    <row r="248" spans="1:29" ht="26.25">
      <c r="A248" s="19"/>
      <c r="B248" s="813"/>
      <c r="C248" s="115">
        <f t="shared" si="44"/>
        <v>4492.93</v>
      </c>
      <c r="D248" s="91"/>
      <c r="E248" s="91">
        <f t="shared" si="45"/>
        <v>293.93</v>
      </c>
      <c r="F248" s="91">
        <f t="shared" si="46"/>
        <v>167.96</v>
      </c>
      <c r="G248" s="91">
        <f t="shared" si="47"/>
        <v>125.97</v>
      </c>
      <c r="H248" s="91">
        <f t="shared" si="39"/>
        <v>4199</v>
      </c>
      <c r="I248" s="91"/>
      <c r="J248" s="22"/>
      <c r="K248" s="22"/>
      <c r="L248" s="22"/>
      <c r="M248" s="22"/>
      <c r="N248" s="22"/>
      <c r="O248" s="91">
        <v>84596</v>
      </c>
      <c r="P248" s="91">
        <v>88795</v>
      </c>
      <c r="Q248" s="149"/>
      <c r="R248" s="232"/>
      <c r="S248" s="91">
        <v>1</v>
      </c>
      <c r="T248" s="91">
        <f t="shared" ref="T248:T254" si="48">P248-O248</f>
        <v>4199</v>
      </c>
      <c r="U248" s="644" t="s">
        <v>987</v>
      </c>
      <c r="V248" s="839"/>
      <c r="W248" s="14" t="s">
        <v>48</v>
      </c>
      <c r="X248" s="7"/>
      <c r="Y248" s="7"/>
      <c r="Z248" s="7"/>
      <c r="AA248" s="7"/>
      <c r="AB248" s="7"/>
      <c r="AC248" s="7"/>
    </row>
    <row r="249" spans="1:29" ht="25.5">
      <c r="A249" s="19"/>
      <c r="B249" s="148" t="s">
        <v>907</v>
      </c>
      <c r="C249" s="91">
        <f t="shared" si="44"/>
        <v>1730.19</v>
      </c>
      <c r="D249" s="91"/>
      <c r="E249" s="91">
        <f t="shared" si="45"/>
        <v>113.19</v>
      </c>
      <c r="F249" s="91">
        <f t="shared" si="46"/>
        <v>64.680000000000007</v>
      </c>
      <c r="G249" s="91">
        <f t="shared" si="47"/>
        <v>48.51</v>
      </c>
      <c r="H249" s="91">
        <f t="shared" si="39"/>
        <v>1617</v>
      </c>
      <c r="I249" s="91"/>
      <c r="J249" s="22"/>
      <c r="K249" s="22"/>
      <c r="L249" s="22"/>
      <c r="M249" s="22"/>
      <c r="N249" s="22"/>
      <c r="O249" s="91">
        <v>82451</v>
      </c>
      <c r="P249" s="91">
        <v>84068</v>
      </c>
      <c r="Q249" s="149"/>
      <c r="R249" s="232"/>
      <c r="S249" s="91">
        <v>1</v>
      </c>
      <c r="T249" s="91">
        <f t="shared" si="48"/>
        <v>1617</v>
      </c>
      <c r="U249" s="644" t="s">
        <v>988</v>
      </c>
      <c r="V249" s="698" t="s">
        <v>779</v>
      </c>
      <c r="W249" s="14" t="s">
        <v>48</v>
      </c>
      <c r="X249" s="7"/>
      <c r="Y249" s="7"/>
      <c r="Z249" s="7"/>
      <c r="AA249" s="7"/>
      <c r="AB249" s="7"/>
      <c r="AC249" s="7"/>
    </row>
    <row r="250" spans="1:29" ht="30.75" customHeight="1">
      <c r="A250" s="19"/>
      <c r="B250" s="148" t="s">
        <v>303</v>
      </c>
      <c r="C250" s="91">
        <f t="shared" si="44"/>
        <v>2813.0299999999997</v>
      </c>
      <c r="D250" s="91"/>
      <c r="E250" s="91">
        <f t="shared" si="45"/>
        <v>184.02999999999997</v>
      </c>
      <c r="F250" s="91">
        <f t="shared" si="46"/>
        <v>105.16</v>
      </c>
      <c r="G250" s="91">
        <f t="shared" si="47"/>
        <v>78.86999999999999</v>
      </c>
      <c r="H250" s="91">
        <f t="shared" si="39"/>
        <v>2629</v>
      </c>
      <c r="I250" s="91"/>
      <c r="J250" s="22"/>
      <c r="K250" s="22"/>
      <c r="L250" s="22"/>
      <c r="M250" s="22"/>
      <c r="N250" s="22"/>
      <c r="O250" s="91">
        <v>89744</v>
      </c>
      <c r="P250" s="91">
        <v>92373</v>
      </c>
      <c r="Q250" s="149"/>
      <c r="R250" s="232"/>
      <c r="S250" s="91">
        <v>1</v>
      </c>
      <c r="T250" s="91">
        <f t="shared" si="48"/>
        <v>2629</v>
      </c>
      <c r="U250" s="644" t="s">
        <v>989</v>
      </c>
      <c r="V250" s="698" t="s">
        <v>304</v>
      </c>
      <c r="W250" s="14" t="s">
        <v>48</v>
      </c>
      <c r="X250" s="7"/>
      <c r="Y250" s="7"/>
      <c r="Z250" s="7"/>
      <c r="AA250" s="7"/>
      <c r="AB250" s="7"/>
      <c r="AC250" s="7"/>
    </row>
    <row r="251" spans="1:29" ht="26.25">
      <c r="A251" s="19"/>
      <c r="B251" s="618"/>
      <c r="C251" s="199">
        <f t="shared" si="44"/>
        <v>0</v>
      </c>
      <c r="D251" s="199"/>
      <c r="E251" s="199">
        <f t="shared" si="45"/>
        <v>0</v>
      </c>
      <c r="F251" s="199">
        <f t="shared" si="46"/>
        <v>0</v>
      </c>
      <c r="G251" s="199">
        <f t="shared" si="47"/>
        <v>0</v>
      </c>
      <c r="H251" s="199">
        <f t="shared" si="39"/>
        <v>0</v>
      </c>
      <c r="I251" s="199"/>
      <c r="J251" s="333"/>
      <c r="K251" s="333"/>
      <c r="L251" s="333"/>
      <c r="M251" s="333"/>
      <c r="N251" s="333"/>
      <c r="O251" s="199">
        <v>0</v>
      </c>
      <c r="P251" s="199">
        <v>0</v>
      </c>
      <c r="Q251" s="334"/>
      <c r="R251" s="335"/>
      <c r="S251" s="199">
        <v>1</v>
      </c>
      <c r="T251" s="199">
        <f t="shared" si="48"/>
        <v>0</v>
      </c>
      <c r="U251" s="644"/>
      <c r="V251" s="698"/>
      <c r="W251" s="14" t="s">
        <v>48</v>
      </c>
      <c r="X251" s="7"/>
      <c r="Y251" s="7"/>
      <c r="Z251" s="7"/>
      <c r="AA251" s="7"/>
      <c r="AB251" s="7"/>
      <c r="AC251" s="7"/>
    </row>
    <row r="252" spans="1:29" ht="27.75" customHeight="1">
      <c r="A252" s="19"/>
      <c r="B252" s="329" t="s">
        <v>305</v>
      </c>
      <c r="C252" s="117">
        <f t="shared" si="44"/>
        <v>368.08</v>
      </c>
      <c r="D252" s="117"/>
      <c r="E252" s="117">
        <f t="shared" si="45"/>
        <v>24.08</v>
      </c>
      <c r="F252" s="117">
        <f t="shared" si="46"/>
        <v>13.76</v>
      </c>
      <c r="G252" s="117">
        <f t="shared" si="47"/>
        <v>10.32</v>
      </c>
      <c r="H252" s="117">
        <f t="shared" si="39"/>
        <v>344</v>
      </c>
      <c r="I252" s="117"/>
      <c r="J252" s="22"/>
      <c r="K252" s="22"/>
      <c r="L252" s="22"/>
      <c r="M252" s="22"/>
      <c r="N252" s="22" t="s">
        <v>271</v>
      </c>
      <c r="O252" s="117">
        <v>22451</v>
      </c>
      <c r="P252" s="117">
        <v>22795</v>
      </c>
      <c r="Q252" s="149"/>
      <c r="R252" s="309"/>
      <c r="S252" s="117">
        <v>1</v>
      </c>
      <c r="T252" s="117">
        <f t="shared" si="48"/>
        <v>344</v>
      </c>
      <c r="U252" s="644" t="s">
        <v>990</v>
      </c>
      <c r="V252" s="698" t="s">
        <v>307</v>
      </c>
      <c r="W252" s="14" t="s">
        <v>48</v>
      </c>
      <c r="X252" s="7"/>
      <c r="Y252" s="7"/>
      <c r="Z252" s="7"/>
      <c r="AA252" s="7"/>
      <c r="AB252" s="7"/>
      <c r="AC252" s="7"/>
    </row>
    <row r="253" spans="1:29" ht="27.75" customHeight="1">
      <c r="A253" s="19"/>
      <c r="B253" s="329" t="s">
        <v>308</v>
      </c>
      <c r="C253" s="117">
        <f t="shared" si="44"/>
        <v>253.59</v>
      </c>
      <c r="D253" s="117"/>
      <c r="E253" s="117">
        <f t="shared" si="45"/>
        <v>16.59</v>
      </c>
      <c r="F253" s="117">
        <f t="shared" si="46"/>
        <v>9.48</v>
      </c>
      <c r="G253" s="117">
        <f t="shared" si="47"/>
        <v>7.1099999999999994</v>
      </c>
      <c r="H253" s="117">
        <f t="shared" si="39"/>
        <v>237</v>
      </c>
      <c r="I253" s="117"/>
      <c r="J253" s="22"/>
      <c r="K253" s="22"/>
      <c r="L253" s="22"/>
      <c r="M253" s="22"/>
      <c r="N253" s="22" t="s">
        <v>271</v>
      </c>
      <c r="O253" s="117">
        <v>5125</v>
      </c>
      <c r="P253" s="117">
        <v>5362</v>
      </c>
      <c r="Q253" s="149"/>
      <c r="R253" s="309"/>
      <c r="S253" s="117">
        <v>1</v>
      </c>
      <c r="T253" s="117">
        <f t="shared" si="48"/>
        <v>237</v>
      </c>
      <c r="U253" s="644" t="s">
        <v>991</v>
      </c>
      <c r="V253" s="698" t="s">
        <v>309</v>
      </c>
      <c r="W253" s="14" t="s">
        <v>82</v>
      </c>
      <c r="X253" s="7"/>
      <c r="Y253" s="7"/>
      <c r="Z253" s="7"/>
      <c r="AA253" s="7"/>
      <c r="AB253" s="7"/>
      <c r="AC253" s="7"/>
    </row>
    <row r="254" spans="1:29" ht="27">
      <c r="A254" s="19"/>
      <c r="B254" s="619" t="s">
        <v>310</v>
      </c>
      <c r="C254" s="117">
        <f t="shared" si="44"/>
        <v>342.4</v>
      </c>
      <c r="D254" s="117"/>
      <c r="E254" s="117">
        <f t="shared" si="45"/>
        <v>22.4</v>
      </c>
      <c r="F254" s="117">
        <f t="shared" si="46"/>
        <v>12.8</v>
      </c>
      <c r="G254" s="117">
        <f t="shared" si="47"/>
        <v>9.6</v>
      </c>
      <c r="H254" s="117">
        <f t="shared" si="39"/>
        <v>320</v>
      </c>
      <c r="I254" s="117"/>
      <c r="J254" s="22"/>
      <c r="K254" s="22"/>
      <c r="L254" s="22"/>
      <c r="M254" s="22"/>
      <c r="N254" s="22" t="s">
        <v>271</v>
      </c>
      <c r="O254" s="117">
        <v>13286</v>
      </c>
      <c r="P254" s="117">
        <v>13606</v>
      </c>
      <c r="Q254" s="149"/>
      <c r="R254" s="309"/>
      <c r="S254" s="117">
        <v>1</v>
      </c>
      <c r="T254" s="117">
        <f t="shared" si="48"/>
        <v>320</v>
      </c>
      <c r="U254" s="725" t="s">
        <v>992</v>
      </c>
      <c r="V254" s="698" t="s">
        <v>311</v>
      </c>
      <c r="W254" s="14" t="s">
        <v>82</v>
      </c>
      <c r="X254" s="7"/>
      <c r="Y254" s="7"/>
      <c r="Z254" s="7"/>
      <c r="AA254" s="7"/>
      <c r="AB254" s="7"/>
      <c r="AC254" s="7"/>
    </row>
    <row r="255" spans="1:29" ht="25.5">
      <c r="A255" s="19"/>
      <c r="B255" s="620" t="s">
        <v>312</v>
      </c>
      <c r="C255" s="91">
        <f t="shared" si="44"/>
        <v>1260.46</v>
      </c>
      <c r="D255" s="91"/>
      <c r="E255" s="91">
        <f t="shared" si="45"/>
        <v>82.46</v>
      </c>
      <c r="F255" s="91">
        <f t="shared" si="46"/>
        <v>47.12</v>
      </c>
      <c r="G255" s="91">
        <f t="shared" si="47"/>
        <v>35.339999999999996</v>
      </c>
      <c r="H255" s="91">
        <f t="shared" si="39"/>
        <v>1178</v>
      </c>
      <c r="I255" s="91"/>
      <c r="J255" s="142"/>
      <c r="K255" s="142"/>
      <c r="L255" s="142"/>
      <c r="M255" s="142"/>
      <c r="N255" s="142"/>
      <c r="O255" s="91">
        <v>77243</v>
      </c>
      <c r="P255" s="91">
        <v>78421</v>
      </c>
      <c r="Q255" s="161"/>
      <c r="R255" s="200"/>
      <c r="S255" s="91">
        <v>1</v>
      </c>
      <c r="T255" s="91">
        <f>P255-O255</f>
        <v>1178</v>
      </c>
      <c r="U255" s="644" t="s">
        <v>993</v>
      </c>
      <c r="V255" s="698" t="s">
        <v>313</v>
      </c>
      <c r="W255" s="14" t="s">
        <v>48</v>
      </c>
      <c r="X255" s="7"/>
      <c r="Y255" s="7"/>
      <c r="Z255" s="7"/>
      <c r="AA255" s="7"/>
      <c r="AB255" s="7"/>
      <c r="AC255" s="7"/>
    </row>
    <row r="256" spans="1:29" ht="25.5">
      <c r="A256" s="19"/>
      <c r="B256" s="148" t="s">
        <v>314</v>
      </c>
      <c r="C256" s="113">
        <f t="shared" si="44"/>
        <v>1091.4000000000001</v>
      </c>
      <c r="D256" s="113"/>
      <c r="E256" s="113">
        <f t="shared" si="45"/>
        <v>71.400000000000006</v>
      </c>
      <c r="F256" s="113">
        <f t="shared" si="46"/>
        <v>40.800000000000004</v>
      </c>
      <c r="G256" s="113">
        <f t="shared" si="47"/>
        <v>30.599999999999998</v>
      </c>
      <c r="H256" s="113">
        <f t="shared" si="39"/>
        <v>1020</v>
      </c>
      <c r="I256" s="113"/>
      <c r="J256" s="22"/>
      <c r="K256" s="22"/>
      <c r="L256" s="22"/>
      <c r="M256" s="22"/>
      <c r="N256" s="22"/>
      <c r="O256" s="113">
        <v>56335</v>
      </c>
      <c r="P256" s="113">
        <v>57355</v>
      </c>
      <c r="Q256" s="149"/>
      <c r="R256" s="621"/>
      <c r="S256" s="113">
        <v>1</v>
      </c>
      <c r="T256" s="113">
        <f>P256-O256</f>
        <v>1020</v>
      </c>
      <c r="U256" s="644" t="s">
        <v>994</v>
      </c>
      <c r="V256" s="698" t="s">
        <v>315</v>
      </c>
      <c r="W256" s="14" t="s">
        <v>48</v>
      </c>
      <c r="X256" s="7"/>
      <c r="Y256" s="7"/>
      <c r="Z256" s="7"/>
      <c r="AA256" s="7"/>
      <c r="AB256" s="7"/>
      <c r="AC256" s="7"/>
    </row>
    <row r="257" spans="1:29" ht="25.5">
      <c r="A257" s="19"/>
      <c r="B257" s="148" t="s">
        <v>316</v>
      </c>
      <c r="C257" s="91">
        <f t="shared" si="44"/>
        <v>117.7</v>
      </c>
      <c r="D257" s="91"/>
      <c r="E257" s="91">
        <f>F257+G257</f>
        <v>7.7</v>
      </c>
      <c r="F257" s="91">
        <f t="shared" si="46"/>
        <v>4.4000000000000004</v>
      </c>
      <c r="G257" s="91">
        <f>0.03*H257</f>
        <v>3.3</v>
      </c>
      <c r="H257" s="91">
        <f>T257</f>
        <v>110</v>
      </c>
      <c r="I257" s="91"/>
      <c r="J257" s="22"/>
      <c r="K257" s="22"/>
      <c r="L257" s="22"/>
      <c r="M257" s="22"/>
      <c r="N257" s="22"/>
      <c r="O257" s="91">
        <v>27543</v>
      </c>
      <c r="P257" s="91">
        <v>27653</v>
      </c>
      <c r="Q257" s="149"/>
      <c r="R257" s="200"/>
      <c r="S257" s="91">
        <v>1</v>
      </c>
      <c r="T257" s="91">
        <f>P257-O257</f>
        <v>110</v>
      </c>
      <c r="U257" s="644" t="s">
        <v>995</v>
      </c>
      <c r="V257" s="698" t="s">
        <v>317</v>
      </c>
      <c r="W257" s="14" t="s">
        <v>48</v>
      </c>
      <c r="X257" s="7"/>
      <c r="Y257" s="7"/>
      <c r="Z257" s="7"/>
      <c r="AA257" s="7"/>
      <c r="AB257" s="7"/>
      <c r="AC257" s="7"/>
    </row>
    <row r="258" spans="1:29" ht="25.5">
      <c r="A258" s="19"/>
      <c r="B258" s="148" t="s">
        <v>318</v>
      </c>
      <c r="C258" s="91">
        <f t="shared" si="44"/>
        <v>1155.5999999999999</v>
      </c>
      <c r="D258" s="91"/>
      <c r="E258" s="91">
        <f>F258+G258</f>
        <v>75.599999999999994</v>
      </c>
      <c r="F258" s="91">
        <f>0.04*H258</f>
        <v>43.2</v>
      </c>
      <c r="G258" s="91">
        <f>0.03*H258</f>
        <v>32.4</v>
      </c>
      <c r="H258" s="91">
        <f>T258</f>
        <v>1080</v>
      </c>
      <c r="I258" s="91"/>
      <c r="J258" s="22"/>
      <c r="K258" s="22"/>
      <c r="L258" s="22"/>
      <c r="M258" s="22"/>
      <c r="N258" s="22"/>
      <c r="O258" s="91">
        <v>81027</v>
      </c>
      <c r="P258" s="91">
        <v>82107</v>
      </c>
      <c r="Q258" s="149"/>
      <c r="R258" s="200"/>
      <c r="S258" s="91">
        <v>1</v>
      </c>
      <c r="T258" s="91">
        <f>P258-O258</f>
        <v>1080</v>
      </c>
      <c r="U258" s="644" t="s">
        <v>996</v>
      </c>
      <c r="V258" s="698" t="s">
        <v>317</v>
      </c>
      <c r="W258" s="14" t="s">
        <v>48</v>
      </c>
      <c r="X258" s="7"/>
      <c r="Y258" s="7"/>
      <c r="Z258" s="7"/>
      <c r="AA258" s="7"/>
      <c r="AB258" s="7"/>
      <c r="AC258" s="7"/>
    </row>
    <row r="259" spans="1:29" ht="25.5">
      <c r="A259" s="19"/>
      <c r="B259" s="148" t="s">
        <v>319</v>
      </c>
      <c r="C259" s="91">
        <f t="shared" si="44"/>
        <v>1302.19</v>
      </c>
      <c r="D259" s="91"/>
      <c r="E259" s="91">
        <f>F259+G259</f>
        <v>85.19</v>
      </c>
      <c r="F259" s="91">
        <f t="shared" si="46"/>
        <v>48.68</v>
      </c>
      <c r="G259" s="91">
        <f t="shared" si="47"/>
        <v>36.51</v>
      </c>
      <c r="H259" s="91">
        <f t="shared" si="39"/>
        <v>1217</v>
      </c>
      <c r="I259" s="91"/>
      <c r="J259" s="22"/>
      <c r="K259" s="22"/>
      <c r="L259" s="22"/>
      <c r="M259" s="22"/>
      <c r="N259" s="22"/>
      <c r="O259" s="91">
        <v>112073</v>
      </c>
      <c r="P259" s="91">
        <v>113290</v>
      </c>
      <c r="Q259" s="149"/>
      <c r="R259" s="200"/>
      <c r="S259" s="91">
        <v>1</v>
      </c>
      <c r="T259" s="91">
        <f>P259-O259</f>
        <v>1217</v>
      </c>
      <c r="U259" s="644" t="s">
        <v>997</v>
      </c>
      <c r="V259" s="698" t="s">
        <v>320</v>
      </c>
      <c r="W259" s="14" t="s">
        <v>82</v>
      </c>
      <c r="X259" s="7"/>
      <c r="Y259" s="7"/>
      <c r="Z259" s="7"/>
      <c r="AA259" s="7"/>
      <c r="AB259" s="7"/>
      <c r="AC259" s="7"/>
    </row>
    <row r="260" spans="1:29" ht="25.5">
      <c r="A260" s="19"/>
      <c r="B260" s="148" t="s">
        <v>321</v>
      </c>
      <c r="C260" s="91">
        <f t="shared" si="44"/>
        <v>1204.82</v>
      </c>
      <c r="D260" s="91"/>
      <c r="E260" s="91">
        <f t="shared" si="45"/>
        <v>78.819999999999993</v>
      </c>
      <c r="F260" s="91">
        <f t="shared" si="46"/>
        <v>45.04</v>
      </c>
      <c r="G260" s="91">
        <f t="shared" si="47"/>
        <v>33.78</v>
      </c>
      <c r="H260" s="91">
        <f t="shared" si="39"/>
        <v>1126</v>
      </c>
      <c r="I260" s="91">
        <f t="shared" ref="I260:I273" si="49">0.6*C260</f>
        <v>722.89199999999994</v>
      </c>
      <c r="J260" s="22"/>
      <c r="K260" s="22"/>
      <c r="L260" s="22"/>
      <c r="M260" s="22"/>
      <c r="N260" s="22"/>
      <c r="O260" s="206">
        <v>19114</v>
      </c>
      <c r="P260" s="206">
        <v>20240</v>
      </c>
      <c r="Q260" s="22"/>
      <c r="R260" s="142"/>
      <c r="S260" s="151">
        <v>1</v>
      </c>
      <c r="T260" s="91">
        <f t="shared" ref="T260:T273" si="50">(P260-O260)*S260</f>
        <v>1126</v>
      </c>
      <c r="U260" s="644">
        <v>34431</v>
      </c>
      <c r="V260" s="698" t="s">
        <v>322</v>
      </c>
      <c r="W260" s="14" t="s">
        <v>82</v>
      </c>
      <c r="X260" s="7"/>
      <c r="Y260" s="7"/>
      <c r="Z260" s="7"/>
      <c r="AA260" s="7"/>
      <c r="AB260" s="7"/>
      <c r="AC260" s="7"/>
    </row>
    <row r="261" spans="1:29" ht="25.5">
      <c r="A261" s="19"/>
      <c r="B261" s="622" t="s">
        <v>323</v>
      </c>
      <c r="C261" s="91">
        <f t="shared" si="44"/>
        <v>1401.7</v>
      </c>
      <c r="D261" s="91"/>
      <c r="E261" s="91">
        <f t="shared" si="45"/>
        <v>91.699999999999989</v>
      </c>
      <c r="F261" s="91">
        <f t="shared" si="46"/>
        <v>52.4</v>
      </c>
      <c r="G261" s="91">
        <f t="shared" si="47"/>
        <v>39.299999999999997</v>
      </c>
      <c r="H261" s="91">
        <f t="shared" si="39"/>
        <v>1310</v>
      </c>
      <c r="I261" s="91">
        <f t="shared" si="49"/>
        <v>841.02</v>
      </c>
      <c r="J261" s="22"/>
      <c r="K261" s="22"/>
      <c r="L261" s="22"/>
      <c r="M261" s="22"/>
      <c r="N261" s="22"/>
      <c r="O261" s="206">
        <v>65810</v>
      </c>
      <c r="P261" s="206">
        <v>67120</v>
      </c>
      <c r="Q261" s="22"/>
      <c r="R261" s="142"/>
      <c r="S261" s="151">
        <v>1</v>
      </c>
      <c r="T261" s="91">
        <f>(P261-O261)*S261</f>
        <v>1310</v>
      </c>
      <c r="U261" s="644" t="s">
        <v>998</v>
      </c>
      <c r="V261" s="698" t="s">
        <v>324</v>
      </c>
      <c r="W261" s="14" t="s">
        <v>82</v>
      </c>
      <c r="X261" s="7"/>
      <c r="Y261" s="7"/>
      <c r="Z261" s="7"/>
      <c r="AA261" s="7"/>
      <c r="AB261" s="7"/>
      <c r="AC261" s="7"/>
    </row>
    <row r="262" spans="1:29" ht="54.75" customHeight="1">
      <c r="A262" s="19"/>
      <c r="B262" s="148" t="s">
        <v>292</v>
      </c>
      <c r="C262" s="91">
        <f t="shared" si="44"/>
        <v>712.62</v>
      </c>
      <c r="D262" s="91"/>
      <c r="E262" s="91">
        <f t="shared" si="45"/>
        <v>46.620000000000005</v>
      </c>
      <c r="F262" s="91">
        <f t="shared" si="46"/>
        <v>26.64</v>
      </c>
      <c r="G262" s="91">
        <f t="shared" si="47"/>
        <v>19.98</v>
      </c>
      <c r="H262" s="91">
        <f t="shared" si="39"/>
        <v>666</v>
      </c>
      <c r="I262" s="91">
        <f t="shared" si="49"/>
        <v>427.572</v>
      </c>
      <c r="J262" s="22"/>
      <c r="K262" s="22"/>
      <c r="L262" s="22"/>
      <c r="M262" s="22"/>
      <c r="N262" s="22"/>
      <c r="O262" s="206">
        <v>32287</v>
      </c>
      <c r="P262" s="206">
        <v>32953</v>
      </c>
      <c r="Q262" s="22"/>
      <c r="R262" s="142"/>
      <c r="S262" s="151">
        <v>1</v>
      </c>
      <c r="T262" s="91">
        <f>(P262-O262)*S262</f>
        <v>666</v>
      </c>
      <c r="U262" s="726" t="s">
        <v>999</v>
      </c>
      <c r="V262" s="698" t="s">
        <v>325</v>
      </c>
      <c r="W262" s="14" t="s">
        <v>82</v>
      </c>
      <c r="X262" s="7"/>
      <c r="Y262" s="7"/>
      <c r="Z262" s="7"/>
      <c r="AA262" s="7"/>
      <c r="AB262" s="7"/>
      <c r="AC262" s="7"/>
    </row>
    <row r="263" spans="1:29" ht="25.5">
      <c r="A263" s="19"/>
      <c r="B263" s="158" t="s">
        <v>849</v>
      </c>
      <c r="C263" s="91">
        <f t="shared" si="44"/>
        <v>927.69</v>
      </c>
      <c r="D263" s="91"/>
      <c r="E263" s="91">
        <f t="shared" si="45"/>
        <v>60.69</v>
      </c>
      <c r="F263" s="91">
        <f t="shared" si="46"/>
        <v>34.68</v>
      </c>
      <c r="G263" s="91">
        <f t="shared" si="47"/>
        <v>26.009999999999998</v>
      </c>
      <c r="H263" s="91">
        <f t="shared" si="39"/>
        <v>867</v>
      </c>
      <c r="I263" s="91">
        <f t="shared" si="49"/>
        <v>556.61400000000003</v>
      </c>
      <c r="J263" s="22"/>
      <c r="K263" s="22"/>
      <c r="L263" s="22"/>
      <c r="M263" s="22"/>
      <c r="N263" s="22"/>
      <c r="O263" s="206">
        <v>37564</v>
      </c>
      <c r="P263" s="206">
        <v>38431</v>
      </c>
      <c r="Q263" s="22"/>
      <c r="R263" s="142"/>
      <c r="S263" s="151">
        <v>1</v>
      </c>
      <c r="T263" s="91">
        <f t="shared" si="50"/>
        <v>867</v>
      </c>
      <c r="U263" s="644" t="s">
        <v>1000</v>
      </c>
      <c r="V263" s="698" t="s">
        <v>326</v>
      </c>
      <c r="W263" s="14" t="s">
        <v>82</v>
      </c>
      <c r="X263" s="7"/>
      <c r="Y263" s="7"/>
      <c r="Z263" s="7"/>
      <c r="AA263" s="7"/>
      <c r="AB263" s="7"/>
      <c r="AC263" s="7"/>
    </row>
    <row r="264" spans="1:29" ht="25.5">
      <c r="A264" s="19"/>
      <c r="B264" s="622" t="s">
        <v>693</v>
      </c>
      <c r="C264" s="124">
        <f t="shared" si="44"/>
        <v>1166.3</v>
      </c>
      <c r="D264" s="124"/>
      <c r="E264" s="124">
        <f t="shared" si="45"/>
        <v>76.3</v>
      </c>
      <c r="F264" s="124">
        <f t="shared" si="46"/>
        <v>43.6</v>
      </c>
      <c r="G264" s="124">
        <f t="shared" si="47"/>
        <v>32.699999999999996</v>
      </c>
      <c r="H264" s="124">
        <f t="shared" si="39"/>
        <v>1090</v>
      </c>
      <c r="I264" s="124">
        <f t="shared" si="49"/>
        <v>699.78</v>
      </c>
      <c r="J264" s="126"/>
      <c r="K264" s="126"/>
      <c r="L264" s="126"/>
      <c r="M264" s="126"/>
      <c r="N264" s="126"/>
      <c r="O264" s="124">
        <v>62297</v>
      </c>
      <c r="P264" s="124">
        <v>63387</v>
      </c>
      <c r="Q264" s="126"/>
      <c r="R264" s="159"/>
      <c r="S264" s="140">
        <v>1</v>
      </c>
      <c r="T264" s="124">
        <f t="shared" si="50"/>
        <v>1090</v>
      </c>
      <c r="U264" s="717" t="s">
        <v>1001</v>
      </c>
      <c r="V264" s="128" t="s">
        <v>327</v>
      </c>
      <c r="W264" s="14" t="s">
        <v>82</v>
      </c>
      <c r="X264" s="7"/>
      <c r="Y264" s="7"/>
      <c r="Z264" s="7"/>
      <c r="AA264" s="7"/>
      <c r="AB264" s="7"/>
      <c r="AC264" s="7"/>
    </row>
    <row r="265" spans="1:29" ht="25.5">
      <c r="A265" s="194"/>
      <c r="B265" s="587" t="s">
        <v>908</v>
      </c>
      <c r="C265" s="91">
        <f t="shared" si="44"/>
        <v>1596.44</v>
      </c>
      <c r="D265" s="91"/>
      <c r="E265" s="91">
        <f t="shared" si="45"/>
        <v>104.44</v>
      </c>
      <c r="F265" s="91">
        <f t="shared" si="46"/>
        <v>59.68</v>
      </c>
      <c r="G265" s="91">
        <f t="shared" si="47"/>
        <v>44.76</v>
      </c>
      <c r="H265" s="91">
        <f t="shared" si="39"/>
        <v>1492</v>
      </c>
      <c r="I265" s="91">
        <f t="shared" si="49"/>
        <v>957.86400000000003</v>
      </c>
      <c r="J265" s="22"/>
      <c r="K265" s="22"/>
      <c r="L265" s="22"/>
      <c r="M265" s="22"/>
      <c r="N265" s="22"/>
      <c r="O265" s="206">
        <v>74971</v>
      </c>
      <c r="P265" s="206">
        <v>76463</v>
      </c>
      <c r="Q265" s="22"/>
      <c r="R265" s="142"/>
      <c r="S265" s="151">
        <v>1</v>
      </c>
      <c r="T265" s="91">
        <f t="shared" si="50"/>
        <v>1492</v>
      </c>
      <c r="U265" s="644" t="s">
        <v>1002</v>
      </c>
      <c r="V265" s="698" t="s">
        <v>811</v>
      </c>
      <c r="W265" s="14" t="s">
        <v>82</v>
      </c>
      <c r="X265" s="7"/>
      <c r="Y265" s="7"/>
      <c r="Z265" s="7"/>
      <c r="AA265" s="7"/>
      <c r="AB265" s="7"/>
      <c r="AC265" s="7"/>
    </row>
    <row r="266" spans="1:29" ht="25.5">
      <c r="A266" s="19"/>
      <c r="B266" s="148" t="s">
        <v>909</v>
      </c>
      <c r="C266" s="91">
        <f t="shared" si="44"/>
        <v>922.34</v>
      </c>
      <c r="D266" s="91"/>
      <c r="E266" s="91">
        <f>F266+G266</f>
        <v>60.34</v>
      </c>
      <c r="F266" s="91">
        <f>0.04*H266</f>
        <v>34.480000000000004</v>
      </c>
      <c r="G266" s="91">
        <f>0.03*H266</f>
        <v>25.86</v>
      </c>
      <c r="H266" s="91">
        <f>T266</f>
        <v>862</v>
      </c>
      <c r="I266" s="91">
        <f>0.5*C266</f>
        <v>461.17</v>
      </c>
      <c r="J266" s="22"/>
      <c r="K266" s="22"/>
      <c r="L266" s="22"/>
      <c r="M266" s="22"/>
      <c r="N266" s="22"/>
      <c r="O266" s="229">
        <v>17477</v>
      </c>
      <c r="P266" s="229">
        <v>18339</v>
      </c>
      <c r="Q266" s="149"/>
      <c r="R266" s="150"/>
      <c r="S266" s="151">
        <v>1</v>
      </c>
      <c r="T266" s="91">
        <f>(P266-O266)*S266</f>
        <v>862</v>
      </c>
      <c r="U266" s="644" t="s">
        <v>1003</v>
      </c>
      <c r="V266" s="698" t="s">
        <v>381</v>
      </c>
      <c r="W266" s="14" t="s">
        <v>82</v>
      </c>
      <c r="X266" s="7"/>
      <c r="Y266" s="7"/>
      <c r="Z266" s="7"/>
      <c r="AA266" s="7"/>
      <c r="AB266" s="7"/>
      <c r="AC266" s="7"/>
    </row>
    <row r="267" spans="1:29" ht="25.5">
      <c r="A267" s="19"/>
      <c r="B267" s="148" t="s">
        <v>329</v>
      </c>
      <c r="C267" s="91">
        <f t="shared" si="44"/>
        <v>1180.21</v>
      </c>
      <c r="D267" s="91"/>
      <c r="E267" s="91">
        <f t="shared" si="45"/>
        <v>77.209999999999994</v>
      </c>
      <c r="F267" s="91">
        <f t="shared" si="46"/>
        <v>44.12</v>
      </c>
      <c r="G267" s="91">
        <f t="shared" si="47"/>
        <v>33.089999999999996</v>
      </c>
      <c r="H267" s="91">
        <f t="shared" si="39"/>
        <v>1103</v>
      </c>
      <c r="I267" s="91">
        <f t="shared" si="49"/>
        <v>708.12599999999998</v>
      </c>
      <c r="J267" s="22"/>
      <c r="K267" s="22"/>
      <c r="L267" s="22"/>
      <c r="M267" s="22"/>
      <c r="N267" s="22"/>
      <c r="O267" s="206">
        <v>64752</v>
      </c>
      <c r="P267" s="206">
        <v>65855</v>
      </c>
      <c r="Q267" s="22"/>
      <c r="R267" s="142"/>
      <c r="S267" s="151">
        <v>1</v>
      </c>
      <c r="T267" s="91">
        <f t="shared" si="50"/>
        <v>1103</v>
      </c>
      <c r="U267" s="644" t="s">
        <v>1004</v>
      </c>
      <c r="V267" s="698" t="s">
        <v>330</v>
      </c>
      <c r="W267" s="14" t="s">
        <v>82</v>
      </c>
      <c r="X267" s="7"/>
      <c r="Y267" s="7"/>
      <c r="Z267" s="7"/>
      <c r="AA267" s="7"/>
      <c r="AB267" s="7"/>
      <c r="AC267" s="7"/>
    </row>
    <row r="268" spans="1:29" ht="25.5">
      <c r="A268" s="19"/>
      <c r="B268" s="148" t="s">
        <v>331</v>
      </c>
      <c r="C268" s="91">
        <f t="shared" si="44"/>
        <v>849.58</v>
      </c>
      <c r="D268" s="91"/>
      <c r="E268" s="91">
        <f t="shared" si="45"/>
        <v>55.58</v>
      </c>
      <c r="F268" s="91">
        <f t="shared" si="46"/>
        <v>31.76</v>
      </c>
      <c r="G268" s="91">
        <f t="shared" si="47"/>
        <v>23.82</v>
      </c>
      <c r="H268" s="91">
        <f t="shared" si="39"/>
        <v>794</v>
      </c>
      <c r="I268" s="91">
        <f t="shared" si="49"/>
        <v>509.74799999999999</v>
      </c>
      <c r="J268" s="22"/>
      <c r="K268" s="22"/>
      <c r="L268" s="22"/>
      <c r="M268" s="22"/>
      <c r="N268" s="22"/>
      <c r="O268" s="206">
        <v>38370</v>
      </c>
      <c r="P268" s="206">
        <v>39164</v>
      </c>
      <c r="Q268" s="22"/>
      <c r="R268" s="142"/>
      <c r="S268" s="151">
        <v>1</v>
      </c>
      <c r="T268" s="91">
        <f t="shared" si="50"/>
        <v>794</v>
      </c>
      <c r="U268" s="644" t="s">
        <v>1005</v>
      </c>
      <c r="V268" s="698" t="s">
        <v>332</v>
      </c>
      <c r="W268" s="14" t="s">
        <v>82</v>
      </c>
      <c r="X268" s="7"/>
      <c r="Y268" s="7"/>
      <c r="Z268" s="7"/>
      <c r="AA268" s="7"/>
      <c r="AB268" s="7"/>
      <c r="AC268" s="7"/>
    </row>
    <row r="269" spans="1:29" ht="25.5">
      <c r="A269" s="19"/>
      <c r="B269" s="148"/>
      <c r="C269" s="91"/>
      <c r="D269" s="91"/>
      <c r="E269" s="91"/>
      <c r="F269" s="91"/>
      <c r="G269" s="91"/>
      <c r="H269" s="91"/>
      <c r="I269" s="91"/>
      <c r="J269" s="22"/>
      <c r="K269" s="22"/>
      <c r="L269" s="22"/>
      <c r="M269" s="22"/>
      <c r="N269" s="22"/>
      <c r="O269" s="91"/>
      <c r="P269" s="91"/>
      <c r="Q269" s="22"/>
      <c r="R269" s="142"/>
      <c r="S269" s="151"/>
      <c r="T269" s="91"/>
      <c r="U269" s="644"/>
      <c r="V269" s="698"/>
      <c r="W269" s="14"/>
      <c r="X269" s="7"/>
      <c r="Y269" s="7"/>
      <c r="Z269" s="7"/>
      <c r="AA269" s="7"/>
      <c r="AB269" s="7"/>
      <c r="AC269" s="7"/>
    </row>
    <row r="270" spans="1:29" ht="25.5">
      <c r="A270" s="19"/>
      <c r="B270" s="587" t="s">
        <v>910</v>
      </c>
      <c r="C270" s="91">
        <f>H270+E270</f>
        <v>32.1</v>
      </c>
      <c r="D270" s="91"/>
      <c r="E270" s="91">
        <f t="shared" si="45"/>
        <v>2.0999999999999996</v>
      </c>
      <c r="F270" s="91">
        <f t="shared" si="46"/>
        <v>1.2</v>
      </c>
      <c r="G270" s="91">
        <f t="shared" si="47"/>
        <v>0.89999999999999991</v>
      </c>
      <c r="H270" s="91">
        <f t="shared" si="39"/>
        <v>30</v>
      </c>
      <c r="I270" s="91">
        <f t="shared" si="49"/>
        <v>19.260000000000002</v>
      </c>
      <c r="J270" s="22"/>
      <c r="K270" s="22"/>
      <c r="L270" s="22"/>
      <c r="M270" s="22"/>
      <c r="N270" s="22"/>
      <c r="O270" s="91">
        <v>376787</v>
      </c>
      <c r="P270" s="91">
        <v>376817</v>
      </c>
      <c r="Q270" s="22" t="s">
        <v>33</v>
      </c>
      <c r="R270" s="142"/>
      <c r="S270" s="91">
        <v>1</v>
      </c>
      <c r="T270" s="91">
        <f t="shared" si="50"/>
        <v>30</v>
      </c>
      <c r="U270" s="644" t="s">
        <v>1079</v>
      </c>
      <c r="V270" s="698" t="s">
        <v>812</v>
      </c>
      <c r="W270" s="14" t="s">
        <v>57</v>
      </c>
      <c r="X270" s="7"/>
      <c r="Y270" s="7"/>
      <c r="Z270" s="7"/>
      <c r="AA270" s="7"/>
      <c r="AB270" s="7"/>
      <c r="AC270" s="7"/>
    </row>
    <row r="271" spans="1:29" ht="25.5">
      <c r="A271" s="19"/>
      <c r="B271" s="624" t="s">
        <v>399</v>
      </c>
      <c r="C271" s="124">
        <f t="shared" ref="C271" si="51">H271+E271</f>
        <v>0</v>
      </c>
      <c r="D271" s="124"/>
      <c r="E271" s="124">
        <f t="shared" si="45"/>
        <v>0</v>
      </c>
      <c r="F271" s="124">
        <f t="shared" si="46"/>
        <v>0</v>
      </c>
      <c r="G271" s="124">
        <f t="shared" si="47"/>
        <v>0</v>
      </c>
      <c r="H271" s="124">
        <f t="shared" si="39"/>
        <v>0</v>
      </c>
      <c r="I271" s="124">
        <f t="shared" si="49"/>
        <v>0</v>
      </c>
      <c r="J271" s="126"/>
      <c r="K271" s="126"/>
      <c r="L271" s="126"/>
      <c r="M271" s="126"/>
      <c r="N271" s="126"/>
      <c r="O271" s="124">
        <v>38296</v>
      </c>
      <c r="P271" s="124">
        <v>38296</v>
      </c>
      <c r="Q271" s="138"/>
      <c r="R271" s="215"/>
      <c r="S271" s="140">
        <v>1</v>
      </c>
      <c r="T271" s="124">
        <f>(P271-O271)*S271</f>
        <v>0</v>
      </c>
      <c r="U271" s="717"/>
      <c r="V271" s="128" t="s">
        <v>400</v>
      </c>
      <c r="W271" s="14"/>
      <c r="X271" s="7"/>
      <c r="Y271" s="7"/>
      <c r="Z271" s="7"/>
      <c r="AA271" s="7"/>
      <c r="AB271" s="7"/>
      <c r="AC271" s="7"/>
    </row>
    <row r="272" spans="1:29" ht="27.75" customHeight="1">
      <c r="A272" s="19"/>
      <c r="B272" s="148"/>
      <c r="C272" s="91"/>
      <c r="D272" s="91"/>
      <c r="E272" s="91"/>
      <c r="F272" s="91"/>
      <c r="G272" s="91"/>
      <c r="H272" s="91"/>
      <c r="I272" s="91"/>
      <c r="J272" s="22"/>
      <c r="K272" s="22"/>
      <c r="L272" s="22"/>
      <c r="M272" s="22"/>
      <c r="N272" s="22"/>
      <c r="O272" s="91"/>
      <c r="P272" s="91"/>
      <c r="Q272" s="122"/>
      <c r="R272" s="173"/>
      <c r="S272" s="91"/>
      <c r="T272" s="91"/>
      <c r="U272" s="644"/>
      <c r="V272" s="695"/>
      <c r="W272" s="14" t="s">
        <v>57</v>
      </c>
      <c r="X272" s="7"/>
      <c r="Y272" s="7"/>
      <c r="Z272" s="7"/>
      <c r="AA272" s="7"/>
      <c r="AB272" s="7"/>
      <c r="AC272" s="7"/>
    </row>
    <row r="273" spans="1:29" ht="51" customHeight="1">
      <c r="A273" s="19"/>
      <c r="B273" s="494" t="s">
        <v>911</v>
      </c>
      <c r="C273" s="219">
        <v>50</v>
      </c>
      <c r="D273" s="219"/>
      <c r="E273" s="219">
        <f t="shared" si="45"/>
        <v>0</v>
      </c>
      <c r="F273" s="219">
        <f t="shared" si="46"/>
        <v>0</v>
      </c>
      <c r="G273" s="219">
        <f t="shared" si="47"/>
        <v>0</v>
      </c>
      <c r="H273" s="219">
        <v>0</v>
      </c>
      <c r="I273" s="219">
        <f t="shared" si="49"/>
        <v>30</v>
      </c>
      <c r="J273" s="220"/>
      <c r="K273" s="220"/>
      <c r="L273" s="220"/>
      <c r="M273" s="220"/>
      <c r="N273" s="220"/>
      <c r="O273" s="514"/>
      <c r="P273" s="514"/>
      <c r="Q273" s="515"/>
      <c r="R273" s="516"/>
      <c r="S273" s="514"/>
      <c r="T273" s="219">
        <f t="shared" si="50"/>
        <v>0</v>
      </c>
      <c r="U273" s="727" t="s">
        <v>336</v>
      </c>
      <c r="V273" s="222" t="s">
        <v>337</v>
      </c>
      <c r="W273" s="14"/>
      <c r="X273" s="7"/>
      <c r="Y273" s="7"/>
      <c r="Z273" s="7"/>
      <c r="AA273" s="7"/>
      <c r="AB273" s="7"/>
      <c r="AC273" s="7"/>
    </row>
    <row r="274" spans="1:29" ht="26.25">
      <c r="A274" s="19"/>
      <c r="B274" s="201"/>
      <c r="C274" s="202"/>
      <c r="D274" s="202"/>
      <c r="E274" s="202"/>
      <c r="F274" s="202"/>
      <c r="G274" s="202"/>
      <c r="H274" s="202"/>
      <c r="I274" s="202"/>
      <c r="J274" s="203"/>
      <c r="K274" s="203"/>
      <c r="L274" s="203"/>
      <c r="M274" s="203"/>
      <c r="N274" s="203"/>
      <c r="O274" s="204"/>
      <c r="P274" s="204"/>
      <c r="Q274" s="203"/>
      <c r="R274" s="205"/>
      <c r="S274" s="202"/>
      <c r="T274" s="206"/>
      <c r="U274" s="644"/>
      <c r="V274" s="695"/>
      <c r="W274" s="14"/>
      <c r="X274" s="7"/>
      <c r="Y274" s="7"/>
      <c r="Z274" s="7"/>
      <c r="AA274" s="7"/>
      <c r="AB274" s="7"/>
      <c r="AC274" s="7"/>
    </row>
    <row r="275" spans="1:29" ht="26.25">
      <c r="A275" s="19"/>
      <c r="B275" s="207"/>
      <c r="C275" s="202"/>
      <c r="D275" s="202"/>
      <c r="E275" s="208"/>
      <c r="F275" s="202"/>
      <c r="G275" s="202"/>
      <c r="H275" s="202"/>
      <c r="I275" s="202"/>
      <c r="J275" s="203"/>
      <c r="K275" s="203"/>
      <c r="L275" s="203"/>
      <c r="M275" s="203"/>
      <c r="N275" s="203"/>
      <c r="O275" s="204"/>
      <c r="P275" s="204"/>
      <c r="Q275" s="203"/>
      <c r="R275" s="205"/>
      <c r="S275" s="202"/>
      <c r="T275" s="206"/>
      <c r="U275" s="644"/>
      <c r="V275" s="698"/>
      <c r="W275" s="14"/>
      <c r="X275" s="7"/>
      <c r="Y275" s="7"/>
      <c r="Z275" s="7"/>
      <c r="AA275" s="7"/>
      <c r="AB275" s="7"/>
      <c r="AC275" s="7"/>
    </row>
    <row r="276" spans="1:29" ht="26.25">
      <c r="A276" s="19"/>
      <c r="B276" s="209"/>
      <c r="C276" s="115"/>
      <c r="D276" s="115"/>
      <c r="E276" s="112"/>
      <c r="F276" s="115"/>
      <c r="G276" s="115"/>
      <c r="H276" s="115"/>
      <c r="I276" s="115"/>
      <c r="J276" s="164"/>
      <c r="K276" s="164"/>
      <c r="L276" s="164"/>
      <c r="M276" s="164"/>
      <c r="N276" s="164"/>
      <c r="O276" s="210"/>
      <c r="P276" s="210"/>
      <c r="Q276" s="149"/>
      <c r="R276" s="211"/>
      <c r="S276" s="115"/>
      <c r="T276" s="91"/>
      <c r="U276" s="644"/>
      <c r="V276" s="698"/>
      <c r="W276" s="14"/>
      <c r="X276" s="7"/>
      <c r="Y276" s="7"/>
      <c r="Z276" s="7"/>
      <c r="AA276" s="7"/>
      <c r="AB276" s="7"/>
      <c r="AC276" s="7"/>
    </row>
    <row r="277" spans="1:29" ht="26.25">
      <c r="A277" s="19"/>
      <c r="B277" s="217" t="s">
        <v>338</v>
      </c>
      <c r="C277" s="212">
        <f>'Яблоко и ТП-7март'!B73</f>
        <v>119719.55000000482</v>
      </c>
      <c r="D277" s="115"/>
      <c r="E277" s="112"/>
      <c r="F277" s="115"/>
      <c r="G277" s="115"/>
      <c r="H277" s="115"/>
      <c r="I277" s="115"/>
      <c r="J277" s="164"/>
      <c r="K277" s="164"/>
      <c r="L277" s="164"/>
      <c r="M277" s="164"/>
      <c r="N277" s="164"/>
      <c r="O277" s="210"/>
      <c r="P277" s="210"/>
      <c r="Q277" s="149"/>
      <c r="R277" s="211"/>
      <c r="S277" s="248"/>
      <c r="T277" s="91"/>
      <c r="U277" s="644"/>
      <c r="V277" s="698"/>
      <c r="W277" s="14" t="s">
        <v>82</v>
      </c>
      <c r="X277" s="7"/>
      <c r="Y277" s="7"/>
      <c r="Z277" s="7"/>
      <c r="AA277" s="7"/>
      <c r="AB277" s="7"/>
      <c r="AC277" s="7"/>
    </row>
    <row r="278" spans="1:29" ht="26.25">
      <c r="A278" s="19"/>
      <c r="B278" s="90" t="s">
        <v>339</v>
      </c>
      <c r="C278" s="212">
        <f>'Яблоко и ТП-7март'!B62</f>
        <v>184421.2</v>
      </c>
      <c r="D278" s="91"/>
      <c r="E278" s="91"/>
      <c r="F278" s="91"/>
      <c r="G278" s="91"/>
      <c r="H278" s="91"/>
      <c r="I278" s="91"/>
      <c r="J278" s="22"/>
      <c r="K278" s="22"/>
      <c r="L278" s="22"/>
      <c r="M278" s="22"/>
      <c r="N278" s="22"/>
      <c r="O278" s="91"/>
      <c r="P278" s="91"/>
      <c r="Q278" s="122"/>
      <c r="R278" s="200"/>
      <c r="S278" s="151"/>
      <c r="T278" s="91"/>
      <c r="U278" s="644"/>
      <c r="V278" s="698" t="s">
        <v>82</v>
      </c>
      <c r="W278" s="14" t="s">
        <v>82</v>
      </c>
      <c r="X278" s="7"/>
      <c r="Y278" s="7"/>
      <c r="Z278" s="7"/>
      <c r="AA278" s="7"/>
      <c r="AB278" s="7"/>
      <c r="AC278" s="7"/>
    </row>
    <row r="279" spans="1:29" ht="46.5">
      <c r="A279" s="19"/>
      <c r="B279" s="587" t="s">
        <v>340</v>
      </c>
      <c r="C279" s="91">
        <f t="shared" ref="C279:C284" si="52">H279+E279</f>
        <v>377.71</v>
      </c>
      <c r="D279" s="91"/>
      <c r="E279" s="91">
        <f>G279+F279</f>
        <v>24.71</v>
      </c>
      <c r="F279" s="91">
        <f t="shared" ref="F279:F284" si="53">0.04*H279</f>
        <v>14.120000000000001</v>
      </c>
      <c r="G279" s="91">
        <f t="shared" ref="G279:G284" si="54">0.03*H279</f>
        <v>10.59</v>
      </c>
      <c r="H279" s="91">
        <f t="shared" ref="H279:H284" si="55">T279</f>
        <v>353</v>
      </c>
      <c r="I279" s="91">
        <f t="shared" ref="I279:I284" si="56">0.6*C279</f>
        <v>226.62599999999998</v>
      </c>
      <c r="J279" s="22"/>
      <c r="K279" s="22"/>
      <c r="L279" s="22"/>
      <c r="M279" s="22"/>
      <c r="N279" s="22"/>
      <c r="O279" s="91">
        <v>50790</v>
      </c>
      <c r="P279" s="91">
        <v>51143</v>
      </c>
      <c r="Q279" s="122"/>
      <c r="R279" s="200"/>
      <c r="S279" s="151">
        <v>1</v>
      </c>
      <c r="T279" s="91">
        <f>(P279-O279)*S279</f>
        <v>353</v>
      </c>
      <c r="U279" s="644" t="s">
        <v>1006</v>
      </c>
      <c r="V279" s="698" t="s">
        <v>342</v>
      </c>
      <c r="W279" s="14" t="s">
        <v>57</v>
      </c>
      <c r="X279" s="7"/>
      <c r="Y279" s="7"/>
      <c r="Z279" s="7"/>
      <c r="AA279" s="7"/>
      <c r="AB279" s="7"/>
      <c r="AC279" s="7"/>
    </row>
    <row r="280" spans="1:29" ht="25.5">
      <c r="A280" s="19"/>
      <c r="B280" s="148" t="s">
        <v>343</v>
      </c>
      <c r="C280" s="91">
        <f t="shared" si="52"/>
        <v>0</v>
      </c>
      <c r="D280" s="91"/>
      <c r="E280" s="91">
        <f t="shared" ref="E280:E326" si="57">F280+G280</f>
        <v>0</v>
      </c>
      <c r="F280" s="91">
        <f t="shared" si="53"/>
        <v>0</v>
      </c>
      <c r="G280" s="91">
        <f t="shared" si="54"/>
        <v>0</v>
      </c>
      <c r="H280" s="91">
        <f t="shared" si="55"/>
        <v>0</v>
      </c>
      <c r="I280" s="91">
        <f t="shared" si="56"/>
        <v>0</v>
      </c>
      <c r="J280" s="22"/>
      <c r="K280" s="22"/>
      <c r="L280" s="22"/>
      <c r="M280" s="22"/>
      <c r="N280" s="22"/>
      <c r="O280" s="91">
        <v>19323</v>
      </c>
      <c r="P280" s="91">
        <v>19323</v>
      </c>
      <c r="Q280" s="149"/>
      <c r="R280" s="161"/>
      <c r="S280" s="151">
        <v>1</v>
      </c>
      <c r="T280" s="91">
        <f>(P280-O280)*S280</f>
        <v>0</v>
      </c>
      <c r="U280" s="644">
        <v>282335</v>
      </c>
      <c r="V280" s="698" t="s">
        <v>344</v>
      </c>
      <c r="W280" s="14" t="s">
        <v>57</v>
      </c>
      <c r="X280" s="7"/>
      <c r="Y280" s="7"/>
      <c r="Z280" s="7"/>
      <c r="AA280" s="7"/>
      <c r="AB280" s="7"/>
      <c r="AC280" s="7"/>
    </row>
    <row r="281" spans="1:29" ht="24.75" customHeight="1">
      <c r="A281" s="19"/>
      <c r="B281" s="213"/>
      <c r="C281" s="91"/>
      <c r="D281" s="91"/>
      <c r="E281" s="91"/>
      <c r="F281" s="91"/>
      <c r="G281" s="91"/>
      <c r="H281" s="91"/>
      <c r="I281" s="91"/>
      <c r="J281" s="22"/>
      <c r="K281" s="22"/>
      <c r="L281" s="22"/>
      <c r="M281" s="22"/>
      <c r="N281" s="22"/>
      <c r="O281" s="91"/>
      <c r="P281" s="91"/>
      <c r="Q281" s="149"/>
      <c r="R281" s="161"/>
      <c r="S281" s="151"/>
      <c r="T281" s="91"/>
      <c r="U281" s="644"/>
      <c r="V281" s="698"/>
      <c r="W281" s="14"/>
      <c r="X281" s="7"/>
      <c r="Y281" s="7"/>
      <c r="Z281" s="7"/>
      <c r="AA281" s="7"/>
      <c r="AB281" s="7"/>
      <c r="AC281" s="7"/>
    </row>
    <row r="282" spans="1:29" ht="25.5">
      <c r="A282" s="19"/>
      <c r="B282" s="213"/>
      <c r="C282" s="91"/>
      <c r="D282" s="91"/>
      <c r="E282" s="91"/>
      <c r="F282" s="91"/>
      <c r="G282" s="91"/>
      <c r="H282" s="91"/>
      <c r="I282" s="91"/>
      <c r="J282" s="22"/>
      <c r="K282" s="22"/>
      <c r="L282" s="22"/>
      <c r="M282" s="22"/>
      <c r="N282" s="22"/>
      <c r="O282" s="91"/>
      <c r="P282" s="91"/>
      <c r="Q282" s="149"/>
      <c r="R282" s="161"/>
      <c r="S282" s="151"/>
      <c r="T282" s="91"/>
      <c r="U282" s="644"/>
      <c r="V282" s="698"/>
      <c r="W282" s="14" t="s">
        <v>48</v>
      </c>
      <c r="X282" s="7"/>
      <c r="Y282" s="7"/>
      <c r="Z282" s="7"/>
      <c r="AA282" s="7"/>
      <c r="AB282" s="7"/>
      <c r="AC282" s="7"/>
    </row>
    <row r="283" spans="1:29" ht="25.5">
      <c r="A283" s="19"/>
      <c r="B283" s="213"/>
      <c r="C283" s="91"/>
      <c r="D283" s="91"/>
      <c r="E283" s="91"/>
      <c r="F283" s="91"/>
      <c r="G283" s="91"/>
      <c r="H283" s="91"/>
      <c r="I283" s="91"/>
      <c r="J283" s="22"/>
      <c r="K283" s="22"/>
      <c r="L283" s="22"/>
      <c r="M283" s="22"/>
      <c r="N283" s="22"/>
      <c r="O283" s="91"/>
      <c r="P283" s="91"/>
      <c r="Q283" s="149"/>
      <c r="R283" s="161"/>
      <c r="S283" s="151"/>
      <c r="T283" s="91"/>
      <c r="U283" s="644"/>
      <c r="V283" s="698"/>
      <c r="W283" s="14"/>
      <c r="X283" s="7"/>
      <c r="Y283" s="7"/>
      <c r="Z283" s="7"/>
      <c r="AA283" s="7"/>
      <c r="AB283" s="7"/>
      <c r="AC283" s="7"/>
    </row>
    <row r="284" spans="1:29" ht="25.5">
      <c r="A284" s="19"/>
      <c r="B284" s="213" t="s">
        <v>696</v>
      </c>
      <c r="C284" s="91">
        <f t="shared" si="52"/>
        <v>38.520000000000003</v>
      </c>
      <c r="D284" s="91"/>
      <c r="E284" s="91">
        <f t="shared" si="57"/>
        <v>2.52</v>
      </c>
      <c r="F284" s="91">
        <f t="shared" si="53"/>
        <v>1.44</v>
      </c>
      <c r="G284" s="91">
        <f t="shared" si="54"/>
        <v>1.08</v>
      </c>
      <c r="H284" s="91">
        <f t="shared" si="55"/>
        <v>36</v>
      </c>
      <c r="I284" s="91">
        <f t="shared" si="56"/>
        <v>23.112000000000002</v>
      </c>
      <c r="J284" s="22"/>
      <c r="K284" s="22"/>
      <c r="L284" s="22"/>
      <c r="M284" s="22"/>
      <c r="N284" s="22"/>
      <c r="O284" s="91">
        <v>14004</v>
      </c>
      <c r="P284" s="91">
        <v>14040</v>
      </c>
      <c r="Q284" s="149"/>
      <c r="R284" s="161"/>
      <c r="S284" s="151">
        <v>1</v>
      </c>
      <c r="T284" s="91">
        <f>(P284-O284)*S284</f>
        <v>36</v>
      </c>
      <c r="U284" s="644" t="s">
        <v>1007</v>
      </c>
      <c r="V284" s="698" t="s">
        <v>345</v>
      </c>
      <c r="W284" s="14" t="s">
        <v>57</v>
      </c>
      <c r="X284" s="7"/>
      <c r="Y284" s="7"/>
      <c r="Z284" s="7"/>
      <c r="AA284" s="7"/>
      <c r="AB284" s="7"/>
      <c r="AC284" s="7"/>
    </row>
    <row r="285" spans="1:29" ht="26.25">
      <c r="A285" s="19"/>
      <c r="B285" s="214" t="s">
        <v>346</v>
      </c>
      <c r="C285" s="124"/>
      <c r="D285" s="124"/>
      <c r="E285" s="124"/>
      <c r="F285" s="124"/>
      <c r="G285" s="124"/>
      <c r="H285" s="124"/>
      <c r="I285" s="97"/>
      <c r="J285" s="126"/>
      <c r="K285" s="126"/>
      <c r="L285" s="126"/>
      <c r="M285" s="126"/>
      <c r="N285" s="126"/>
      <c r="O285" s="124"/>
      <c r="P285" s="124"/>
      <c r="Q285" s="138"/>
      <c r="R285" s="215"/>
      <c r="S285" s="140"/>
      <c r="T285" s="124"/>
      <c r="U285" s="717"/>
      <c r="V285" s="128"/>
      <c r="W285" s="14"/>
      <c r="X285" s="7"/>
      <c r="Y285" s="7"/>
      <c r="Z285" s="7"/>
      <c r="AA285" s="7"/>
      <c r="AB285" s="7"/>
      <c r="AC285" s="7"/>
    </row>
    <row r="286" spans="1:29" ht="26.25">
      <c r="A286" s="19"/>
      <c r="B286" s="654"/>
      <c r="C286" s="124">
        <f>H286+E286</f>
        <v>2387.17</v>
      </c>
      <c r="D286" s="124"/>
      <c r="E286" s="124">
        <f>F286+G286</f>
        <v>156.16999999999999</v>
      </c>
      <c r="F286" s="124">
        <f>0.04*H286</f>
        <v>89.24</v>
      </c>
      <c r="G286" s="124">
        <f>0.03*H286</f>
        <v>66.929999999999993</v>
      </c>
      <c r="H286" s="124">
        <f>T286</f>
        <v>2231</v>
      </c>
      <c r="I286" s="124">
        <f>0.6*C286</f>
        <v>1432.3019999999999</v>
      </c>
      <c r="J286" s="126"/>
      <c r="K286" s="126"/>
      <c r="L286" s="126"/>
      <c r="M286" s="126"/>
      <c r="N286" s="126"/>
      <c r="O286" s="124">
        <v>95982</v>
      </c>
      <c r="P286" s="124">
        <v>98213</v>
      </c>
      <c r="Q286" s="138"/>
      <c r="R286" s="215"/>
      <c r="S286" s="140">
        <v>1</v>
      </c>
      <c r="T286" s="124">
        <f t="shared" ref="T286:T322" si="58">(P286-O286)*S286</f>
        <v>2231</v>
      </c>
      <c r="U286" s="717" t="s">
        <v>1008</v>
      </c>
      <c r="V286" s="128" t="s">
        <v>347</v>
      </c>
      <c r="W286" s="14" t="s">
        <v>82</v>
      </c>
      <c r="X286" s="7"/>
      <c r="Y286" s="7"/>
      <c r="Z286" s="7"/>
      <c r="AA286" s="7"/>
      <c r="AB286" s="7"/>
      <c r="AC286" s="7"/>
    </row>
    <row r="287" spans="1:29" ht="25.5">
      <c r="A287" s="19"/>
      <c r="B287" s="336" t="s">
        <v>348</v>
      </c>
      <c r="C287" s="124">
        <f>H287+E287</f>
        <v>1250.83</v>
      </c>
      <c r="D287" s="124"/>
      <c r="E287" s="124">
        <f>F287+G287</f>
        <v>81.83</v>
      </c>
      <c r="F287" s="124">
        <f>0.04*H287</f>
        <v>46.76</v>
      </c>
      <c r="G287" s="124">
        <f>0.03*H287</f>
        <v>35.07</v>
      </c>
      <c r="H287" s="124">
        <f>T287</f>
        <v>1169</v>
      </c>
      <c r="I287" s="124">
        <f>0.6*C287</f>
        <v>750.49799999999993</v>
      </c>
      <c r="J287" s="126"/>
      <c r="K287" s="126"/>
      <c r="L287" s="126"/>
      <c r="M287" s="126"/>
      <c r="N287" s="126"/>
      <c r="O287" s="124">
        <v>320895</v>
      </c>
      <c r="P287" s="124">
        <v>322064</v>
      </c>
      <c r="Q287" s="138"/>
      <c r="R287" s="215"/>
      <c r="S287" s="140">
        <v>1</v>
      </c>
      <c r="T287" s="124">
        <f t="shared" si="58"/>
        <v>1169</v>
      </c>
      <c r="U287" s="717" t="s">
        <v>1009</v>
      </c>
      <c r="V287" s="307" t="s">
        <v>349</v>
      </c>
      <c r="W287" s="14" t="s">
        <v>82</v>
      </c>
      <c r="X287" s="7"/>
      <c r="Y287" s="7"/>
      <c r="Z287" s="7"/>
      <c r="AA287" s="7"/>
      <c r="AB287" s="7"/>
      <c r="AC287" s="7"/>
    </row>
    <row r="288" spans="1:29" ht="25.5">
      <c r="A288" s="19"/>
      <c r="B288" s="655" t="s">
        <v>350</v>
      </c>
      <c r="C288" s="124">
        <f>H288+E288</f>
        <v>9618.23</v>
      </c>
      <c r="D288" s="124"/>
      <c r="E288" s="124">
        <f t="shared" si="57"/>
        <v>629.23</v>
      </c>
      <c r="F288" s="124">
        <f>0.04*H288</f>
        <v>359.56</v>
      </c>
      <c r="G288" s="124">
        <f>0.03*H288</f>
        <v>269.67</v>
      </c>
      <c r="H288" s="124">
        <f>T288</f>
        <v>8989</v>
      </c>
      <c r="I288" s="124">
        <f>0.6*C288</f>
        <v>5770.9379999999992</v>
      </c>
      <c r="J288" s="126"/>
      <c r="K288" s="126"/>
      <c r="L288" s="126"/>
      <c r="M288" s="126"/>
      <c r="N288" s="126"/>
      <c r="O288" s="124">
        <v>355718</v>
      </c>
      <c r="P288" s="124">
        <v>364707</v>
      </c>
      <c r="Q288" s="138"/>
      <c r="R288" s="215"/>
      <c r="S288" s="140">
        <v>1</v>
      </c>
      <c r="T288" s="124">
        <f t="shared" si="58"/>
        <v>8989</v>
      </c>
      <c r="U288" s="717" t="s">
        <v>1010</v>
      </c>
      <c r="V288" s="307" t="s">
        <v>351</v>
      </c>
      <c r="W288" s="14" t="s">
        <v>82</v>
      </c>
      <c r="X288" s="7"/>
      <c r="Y288" s="7"/>
      <c r="Z288" s="7"/>
      <c r="AA288" s="7"/>
      <c r="AB288" s="7"/>
      <c r="AC288" s="7"/>
    </row>
    <row r="289" spans="1:29" ht="25.5">
      <c r="A289" s="19"/>
      <c r="B289" s="336" t="s">
        <v>352</v>
      </c>
      <c r="C289" s="124">
        <f t="shared" ref="C289:C326" si="59">H289+E289</f>
        <v>19966.2</v>
      </c>
      <c r="D289" s="124"/>
      <c r="E289" s="124">
        <f t="shared" si="57"/>
        <v>1306.1999999999998</v>
      </c>
      <c r="F289" s="124">
        <f t="shared" ref="F289:F326" si="60">0.04*H289</f>
        <v>746.4</v>
      </c>
      <c r="G289" s="124">
        <f t="shared" ref="G289:G326" si="61">0.03*H289</f>
        <v>559.79999999999995</v>
      </c>
      <c r="H289" s="124">
        <f t="shared" ref="H289:H326" si="62">T289</f>
        <v>18660</v>
      </c>
      <c r="I289" s="124">
        <f t="shared" ref="I289:I328" si="63">0.6*C289</f>
        <v>11979.72</v>
      </c>
      <c r="J289" s="126"/>
      <c r="K289" s="126"/>
      <c r="L289" s="126"/>
      <c r="M289" s="126"/>
      <c r="N289" s="126"/>
      <c r="O289" s="124">
        <v>12733</v>
      </c>
      <c r="P289" s="124">
        <v>13039</v>
      </c>
      <c r="Q289" s="138"/>
      <c r="R289" s="215"/>
      <c r="S289" s="140">
        <v>60</v>
      </c>
      <c r="T289" s="124">
        <f>(P289-O289)*S289+300</f>
        <v>18660</v>
      </c>
      <c r="U289" s="717" t="s">
        <v>1011</v>
      </c>
      <c r="V289" s="307" t="s">
        <v>353</v>
      </c>
      <c r="W289" s="14" t="s">
        <v>82</v>
      </c>
      <c r="X289" s="7"/>
      <c r="Y289" s="7"/>
      <c r="Z289" s="7"/>
      <c r="AA289" s="7"/>
      <c r="AB289" s="7"/>
      <c r="AC289" s="7"/>
    </row>
    <row r="290" spans="1:29" ht="25.5">
      <c r="A290" s="19"/>
      <c r="B290" s="336" t="s">
        <v>354</v>
      </c>
      <c r="C290" s="124">
        <f t="shared" si="59"/>
        <v>356.31</v>
      </c>
      <c r="D290" s="124"/>
      <c r="E290" s="124">
        <f t="shared" si="57"/>
        <v>23.310000000000002</v>
      </c>
      <c r="F290" s="124">
        <f t="shared" si="60"/>
        <v>13.32</v>
      </c>
      <c r="G290" s="124">
        <f t="shared" si="61"/>
        <v>9.99</v>
      </c>
      <c r="H290" s="124">
        <f t="shared" si="62"/>
        <v>333</v>
      </c>
      <c r="I290" s="124">
        <f t="shared" si="63"/>
        <v>213.786</v>
      </c>
      <c r="J290" s="126"/>
      <c r="K290" s="126"/>
      <c r="L290" s="126"/>
      <c r="M290" s="126"/>
      <c r="N290" s="126"/>
      <c r="O290" s="124">
        <v>124577</v>
      </c>
      <c r="P290" s="124">
        <v>124910</v>
      </c>
      <c r="Q290" s="138"/>
      <c r="R290" s="215"/>
      <c r="S290" s="140">
        <v>1</v>
      </c>
      <c r="T290" s="124">
        <f t="shared" si="58"/>
        <v>333</v>
      </c>
      <c r="U290" s="717" t="s">
        <v>1012</v>
      </c>
      <c r="V290" s="699" t="s">
        <v>355</v>
      </c>
      <c r="W290" s="14" t="s">
        <v>82</v>
      </c>
      <c r="X290" s="7"/>
      <c r="Y290" s="7"/>
      <c r="Z290" s="7"/>
      <c r="AA290" s="7"/>
      <c r="AB290" s="7"/>
      <c r="AC290" s="7"/>
    </row>
    <row r="291" spans="1:29" ht="25.5">
      <c r="A291" s="19"/>
      <c r="B291" s="336" t="s">
        <v>356</v>
      </c>
      <c r="C291" s="124">
        <f t="shared" si="59"/>
        <v>756.49</v>
      </c>
      <c r="D291" s="124"/>
      <c r="E291" s="124">
        <f t="shared" si="57"/>
        <v>49.49</v>
      </c>
      <c r="F291" s="124">
        <f t="shared" si="60"/>
        <v>28.28</v>
      </c>
      <c r="G291" s="124">
        <f t="shared" si="61"/>
        <v>21.21</v>
      </c>
      <c r="H291" s="124">
        <f t="shared" si="62"/>
        <v>707</v>
      </c>
      <c r="I291" s="124">
        <f t="shared" si="63"/>
        <v>453.89400000000001</v>
      </c>
      <c r="J291" s="126"/>
      <c r="K291" s="126"/>
      <c r="L291" s="126"/>
      <c r="M291" s="126"/>
      <c r="N291" s="126"/>
      <c r="O291" s="124">
        <v>42185</v>
      </c>
      <c r="P291" s="124">
        <v>42892</v>
      </c>
      <c r="Q291" s="138"/>
      <c r="R291" s="215"/>
      <c r="S291" s="140">
        <v>1</v>
      </c>
      <c r="T291" s="124">
        <f t="shared" si="58"/>
        <v>707</v>
      </c>
      <c r="U291" s="717" t="s">
        <v>1013</v>
      </c>
      <c r="V291" s="307" t="s">
        <v>357</v>
      </c>
      <c r="W291" s="14" t="s">
        <v>82</v>
      </c>
      <c r="X291" s="7"/>
      <c r="Y291" s="7"/>
      <c r="Z291" s="7"/>
      <c r="AA291" s="7"/>
      <c r="AB291" s="7"/>
      <c r="AC291" s="7"/>
    </row>
    <row r="292" spans="1:29" ht="28.5" customHeight="1">
      <c r="A292" s="19"/>
      <c r="B292" s="656" t="s">
        <v>358</v>
      </c>
      <c r="C292" s="124">
        <f t="shared" si="59"/>
        <v>0</v>
      </c>
      <c r="D292" s="124"/>
      <c r="E292" s="124">
        <f t="shared" si="57"/>
        <v>0</v>
      </c>
      <c r="F292" s="124">
        <f t="shared" si="60"/>
        <v>0</v>
      </c>
      <c r="G292" s="124">
        <f t="shared" si="61"/>
        <v>0</v>
      </c>
      <c r="H292" s="124">
        <f t="shared" si="62"/>
        <v>0</v>
      </c>
      <c r="I292" s="124">
        <f t="shared" si="63"/>
        <v>0</v>
      </c>
      <c r="J292" s="126"/>
      <c r="K292" s="126"/>
      <c r="L292" s="126"/>
      <c r="M292" s="126"/>
      <c r="N292" s="126"/>
      <c r="O292" s="124">
        <v>153727</v>
      </c>
      <c r="P292" s="124">
        <v>153727</v>
      </c>
      <c r="Q292" s="138"/>
      <c r="R292" s="215"/>
      <c r="S292" s="140">
        <v>1</v>
      </c>
      <c r="T292" s="124">
        <f t="shared" si="58"/>
        <v>0</v>
      </c>
      <c r="U292" s="717">
        <v>5006</v>
      </c>
      <c r="V292" s="307" t="s">
        <v>928</v>
      </c>
      <c r="W292" s="14" t="s">
        <v>82</v>
      </c>
      <c r="X292" s="7"/>
      <c r="Y292" s="7"/>
      <c r="Z292" s="7"/>
      <c r="AA292" s="7"/>
      <c r="AB292" s="7"/>
      <c r="AC292" s="7"/>
    </row>
    <row r="293" spans="1:29" ht="25.5">
      <c r="A293" s="19"/>
      <c r="B293" s="336"/>
      <c r="C293" s="124"/>
      <c r="D293" s="124"/>
      <c r="E293" s="124"/>
      <c r="F293" s="124"/>
      <c r="G293" s="124"/>
      <c r="H293" s="124"/>
      <c r="I293" s="124"/>
      <c r="J293" s="126"/>
      <c r="K293" s="126"/>
      <c r="L293" s="126"/>
      <c r="M293" s="126"/>
      <c r="N293" s="126"/>
      <c r="O293" s="124"/>
      <c r="P293" s="124"/>
      <c r="Q293" s="138"/>
      <c r="R293" s="215"/>
      <c r="S293" s="140"/>
      <c r="T293" s="124"/>
      <c r="U293" s="717" t="s">
        <v>1027</v>
      </c>
      <c r="V293" s="307" t="s">
        <v>1026</v>
      </c>
      <c r="W293" s="14" t="s">
        <v>82</v>
      </c>
      <c r="X293" s="7"/>
      <c r="Y293" s="7"/>
      <c r="Z293" s="7"/>
      <c r="AA293" s="7"/>
      <c r="AB293" s="7"/>
      <c r="AC293" s="7"/>
    </row>
    <row r="294" spans="1:29" ht="24.75" customHeight="1">
      <c r="A294" s="19"/>
      <c r="B294" s="336" t="s">
        <v>912</v>
      </c>
      <c r="C294" s="124">
        <f t="shared" si="59"/>
        <v>437.63</v>
      </c>
      <c r="D294" s="124"/>
      <c r="E294" s="124">
        <f t="shared" si="57"/>
        <v>28.63</v>
      </c>
      <c r="F294" s="124">
        <f t="shared" si="60"/>
        <v>16.36</v>
      </c>
      <c r="G294" s="124">
        <f t="shared" si="61"/>
        <v>12.27</v>
      </c>
      <c r="H294" s="124">
        <f t="shared" si="62"/>
        <v>409</v>
      </c>
      <c r="I294" s="124">
        <f t="shared" si="63"/>
        <v>262.57799999999997</v>
      </c>
      <c r="J294" s="126"/>
      <c r="K294" s="126"/>
      <c r="L294" s="126"/>
      <c r="M294" s="126"/>
      <c r="N294" s="126"/>
      <c r="O294" s="124">
        <v>2901</v>
      </c>
      <c r="P294" s="124">
        <v>3310</v>
      </c>
      <c r="Q294" s="138"/>
      <c r="R294" s="215"/>
      <c r="S294" s="140">
        <v>1</v>
      </c>
      <c r="T294" s="124">
        <f t="shared" si="58"/>
        <v>409</v>
      </c>
      <c r="U294" s="717" t="s">
        <v>1014</v>
      </c>
      <c r="V294" s="307" t="s">
        <v>802</v>
      </c>
      <c r="W294" s="14" t="s">
        <v>82</v>
      </c>
      <c r="X294" s="7"/>
      <c r="Y294" s="7"/>
      <c r="Z294" s="7"/>
      <c r="AA294" s="7"/>
      <c r="AB294" s="7"/>
      <c r="AC294" s="7"/>
    </row>
    <row r="295" spans="1:29" ht="25.5">
      <c r="A295" s="19"/>
      <c r="B295" s="336" t="s">
        <v>361</v>
      </c>
      <c r="C295" s="124">
        <f t="shared" si="59"/>
        <v>3967.56</v>
      </c>
      <c r="D295" s="124"/>
      <c r="E295" s="124">
        <f t="shared" si="57"/>
        <v>259.56</v>
      </c>
      <c r="F295" s="124">
        <f t="shared" si="60"/>
        <v>148.32</v>
      </c>
      <c r="G295" s="124">
        <f t="shared" si="61"/>
        <v>111.24</v>
      </c>
      <c r="H295" s="124">
        <f t="shared" si="62"/>
        <v>3708</v>
      </c>
      <c r="I295" s="124">
        <f t="shared" si="63"/>
        <v>2380.5360000000001</v>
      </c>
      <c r="J295" s="126"/>
      <c r="K295" s="126"/>
      <c r="L295" s="126"/>
      <c r="M295" s="126"/>
      <c r="N295" s="126"/>
      <c r="O295" s="124">
        <v>453134</v>
      </c>
      <c r="P295" s="124">
        <v>456842</v>
      </c>
      <c r="Q295" s="138"/>
      <c r="R295" s="215"/>
      <c r="S295" s="140">
        <v>1</v>
      </c>
      <c r="T295" s="124">
        <f t="shared" si="58"/>
        <v>3708</v>
      </c>
      <c r="U295" s="717" t="s">
        <v>1015</v>
      </c>
      <c r="V295" s="307" t="s">
        <v>362</v>
      </c>
      <c r="W295" s="14" t="s">
        <v>82</v>
      </c>
      <c r="X295" s="7"/>
      <c r="Y295" s="7"/>
      <c r="Z295" s="7"/>
      <c r="AA295" s="7"/>
      <c r="AB295" s="7"/>
      <c r="AC295" s="7"/>
    </row>
    <row r="296" spans="1:29" ht="25.5">
      <c r="A296" s="19"/>
      <c r="B296" s="336" t="s">
        <v>363</v>
      </c>
      <c r="C296" s="124">
        <f t="shared" si="59"/>
        <v>9474.85</v>
      </c>
      <c r="D296" s="124"/>
      <c r="E296" s="124">
        <f t="shared" si="57"/>
        <v>619.84999999999991</v>
      </c>
      <c r="F296" s="124">
        <f t="shared" si="60"/>
        <v>354.2</v>
      </c>
      <c r="G296" s="124">
        <f t="shared" si="61"/>
        <v>265.64999999999998</v>
      </c>
      <c r="H296" s="124">
        <f t="shared" si="62"/>
        <v>8855</v>
      </c>
      <c r="I296" s="124">
        <f t="shared" si="63"/>
        <v>5684.91</v>
      </c>
      <c r="J296" s="126"/>
      <c r="K296" s="126"/>
      <c r="L296" s="126"/>
      <c r="M296" s="126"/>
      <c r="N296" s="126"/>
      <c r="O296" s="124">
        <v>526418</v>
      </c>
      <c r="P296" s="124">
        <v>535273</v>
      </c>
      <c r="Q296" s="138"/>
      <c r="R296" s="215"/>
      <c r="S296" s="140">
        <v>1</v>
      </c>
      <c r="T296" s="124">
        <f t="shared" si="58"/>
        <v>8855</v>
      </c>
      <c r="U296" s="717" t="s">
        <v>1016</v>
      </c>
      <c r="V296" s="307" t="s">
        <v>364</v>
      </c>
      <c r="W296" s="14" t="s">
        <v>82</v>
      </c>
      <c r="X296" s="7"/>
      <c r="Y296" s="7"/>
      <c r="Z296" s="7"/>
      <c r="AA296" s="7"/>
      <c r="AB296" s="7"/>
      <c r="AC296" s="7"/>
    </row>
    <row r="297" spans="1:29" ht="25.5">
      <c r="A297" s="19"/>
      <c r="B297" s="336" t="s">
        <v>913</v>
      </c>
      <c r="C297" s="337">
        <f t="shared" si="59"/>
        <v>7522.1</v>
      </c>
      <c r="D297" s="124"/>
      <c r="E297" s="124">
        <f t="shared" si="57"/>
        <v>492.1</v>
      </c>
      <c r="F297" s="124">
        <f t="shared" si="60"/>
        <v>281.2</v>
      </c>
      <c r="G297" s="124">
        <f t="shared" si="61"/>
        <v>210.9</v>
      </c>
      <c r="H297" s="124">
        <f t="shared" si="62"/>
        <v>7030</v>
      </c>
      <c r="I297" s="124">
        <f t="shared" si="63"/>
        <v>4513.26</v>
      </c>
      <c r="J297" s="126"/>
      <c r="K297" s="126"/>
      <c r="L297" s="126"/>
      <c r="M297" s="126"/>
      <c r="N297" s="126"/>
      <c r="O297" s="124">
        <f>33501+2062</f>
        <v>35563</v>
      </c>
      <c r="P297" s="124">
        <f>39931+2662</f>
        <v>42593</v>
      </c>
      <c r="Q297" s="138"/>
      <c r="R297" s="215"/>
      <c r="S297" s="140">
        <v>1</v>
      </c>
      <c r="T297" s="124">
        <f t="shared" si="58"/>
        <v>7030</v>
      </c>
      <c r="U297" s="717" t="s">
        <v>1080</v>
      </c>
      <c r="V297" s="307" t="s">
        <v>803</v>
      </c>
      <c r="W297" s="14" t="s">
        <v>82</v>
      </c>
      <c r="X297" s="7"/>
      <c r="Y297" s="7"/>
      <c r="Z297" s="7"/>
      <c r="AA297" s="7"/>
      <c r="AB297" s="7"/>
      <c r="AC297" s="7"/>
    </row>
    <row r="298" spans="1:29" ht="25.5">
      <c r="A298" s="19"/>
      <c r="B298" s="336" t="s">
        <v>365</v>
      </c>
      <c r="C298" s="124">
        <f t="shared" si="59"/>
        <v>2331.5300000000002</v>
      </c>
      <c r="D298" s="124"/>
      <c r="E298" s="124">
        <f t="shared" si="57"/>
        <v>152.53</v>
      </c>
      <c r="F298" s="124">
        <f t="shared" si="60"/>
        <v>87.16</v>
      </c>
      <c r="G298" s="124">
        <f t="shared" si="61"/>
        <v>65.37</v>
      </c>
      <c r="H298" s="124">
        <f t="shared" si="62"/>
        <v>2179</v>
      </c>
      <c r="I298" s="124">
        <f t="shared" si="63"/>
        <v>1398.9180000000001</v>
      </c>
      <c r="J298" s="126"/>
      <c r="K298" s="126"/>
      <c r="L298" s="126"/>
      <c r="M298" s="126"/>
      <c r="N298" s="126"/>
      <c r="O298" s="124">
        <v>282150</v>
      </c>
      <c r="P298" s="124">
        <v>284329</v>
      </c>
      <c r="Q298" s="138"/>
      <c r="R298" s="215"/>
      <c r="S298" s="140">
        <v>1</v>
      </c>
      <c r="T298" s="124">
        <f t="shared" si="58"/>
        <v>2179</v>
      </c>
      <c r="U298" s="717" t="s">
        <v>1017</v>
      </c>
      <c r="V298" s="307" t="s">
        <v>366</v>
      </c>
      <c r="W298" s="14" t="s">
        <v>82</v>
      </c>
      <c r="X298" s="7"/>
      <c r="Y298" s="7"/>
      <c r="Z298" s="7"/>
      <c r="AA298" s="7"/>
      <c r="AB298" s="7"/>
      <c r="AC298" s="7"/>
    </row>
    <row r="299" spans="1:29" ht="25.5">
      <c r="A299" s="19"/>
      <c r="B299" s="336" t="s">
        <v>695</v>
      </c>
      <c r="C299" s="124">
        <f t="shared" si="59"/>
        <v>1710.93</v>
      </c>
      <c r="D299" s="124"/>
      <c r="E299" s="124">
        <f t="shared" si="57"/>
        <v>111.93</v>
      </c>
      <c r="F299" s="124">
        <f t="shared" si="60"/>
        <v>63.96</v>
      </c>
      <c r="G299" s="124">
        <f t="shared" si="61"/>
        <v>47.97</v>
      </c>
      <c r="H299" s="124">
        <f t="shared" si="62"/>
        <v>1599</v>
      </c>
      <c r="I299" s="124">
        <f t="shared" si="63"/>
        <v>1026.558</v>
      </c>
      <c r="J299" s="126"/>
      <c r="K299" s="126"/>
      <c r="L299" s="126"/>
      <c r="M299" s="126"/>
      <c r="N299" s="126"/>
      <c r="O299" s="124">
        <v>88236</v>
      </c>
      <c r="P299" s="124">
        <v>89835</v>
      </c>
      <c r="Q299" s="138"/>
      <c r="R299" s="215"/>
      <c r="S299" s="140">
        <v>1</v>
      </c>
      <c r="T299" s="124">
        <f t="shared" si="58"/>
        <v>1599</v>
      </c>
      <c r="U299" s="717" t="s">
        <v>1018</v>
      </c>
      <c r="V299" s="307" t="s">
        <v>367</v>
      </c>
      <c r="W299" s="14" t="s">
        <v>82</v>
      </c>
      <c r="X299" s="7"/>
      <c r="Y299" s="7"/>
      <c r="Z299" s="7"/>
      <c r="AA299" s="7"/>
      <c r="AB299" s="7"/>
      <c r="AC299" s="7"/>
    </row>
    <row r="300" spans="1:29" ht="25.5">
      <c r="A300" s="19"/>
      <c r="B300" s="336" t="s">
        <v>368</v>
      </c>
      <c r="C300" s="124">
        <f t="shared" si="59"/>
        <v>1003.66</v>
      </c>
      <c r="D300" s="124"/>
      <c r="E300" s="124">
        <f t="shared" si="57"/>
        <v>65.66</v>
      </c>
      <c r="F300" s="124">
        <f t="shared" si="60"/>
        <v>37.520000000000003</v>
      </c>
      <c r="G300" s="124">
        <f t="shared" si="61"/>
        <v>28.14</v>
      </c>
      <c r="H300" s="124">
        <f t="shared" si="62"/>
        <v>938</v>
      </c>
      <c r="I300" s="124">
        <f t="shared" si="63"/>
        <v>602.19599999999991</v>
      </c>
      <c r="J300" s="126"/>
      <c r="K300" s="126"/>
      <c r="L300" s="126"/>
      <c r="M300" s="126"/>
      <c r="N300" s="126"/>
      <c r="O300" s="124">
        <v>37511</v>
      </c>
      <c r="P300" s="124">
        <v>38449</v>
      </c>
      <c r="Q300" s="138"/>
      <c r="R300" s="215"/>
      <c r="S300" s="140">
        <v>1</v>
      </c>
      <c r="T300" s="124">
        <f t="shared" si="58"/>
        <v>938</v>
      </c>
      <c r="U300" s="717">
        <v>101522115</v>
      </c>
      <c r="V300" s="307" t="s">
        <v>369</v>
      </c>
      <c r="W300" s="14" t="s">
        <v>82</v>
      </c>
      <c r="X300" s="7"/>
      <c r="Y300" s="7"/>
      <c r="Z300" s="7"/>
      <c r="AA300" s="7"/>
      <c r="AB300" s="7"/>
      <c r="AC300" s="7"/>
    </row>
    <row r="301" spans="1:29" ht="25.5">
      <c r="A301" s="19"/>
      <c r="B301" s="336" t="s">
        <v>697</v>
      </c>
      <c r="C301" s="124">
        <f t="shared" si="59"/>
        <v>449.4</v>
      </c>
      <c r="D301" s="124"/>
      <c r="E301" s="124">
        <f t="shared" si="57"/>
        <v>29.4</v>
      </c>
      <c r="F301" s="124">
        <f t="shared" si="60"/>
        <v>16.8</v>
      </c>
      <c r="G301" s="124">
        <f t="shared" si="61"/>
        <v>12.6</v>
      </c>
      <c r="H301" s="124">
        <f t="shared" si="62"/>
        <v>420</v>
      </c>
      <c r="I301" s="124">
        <f t="shared" si="63"/>
        <v>269.64</v>
      </c>
      <c r="J301" s="126"/>
      <c r="K301" s="126"/>
      <c r="L301" s="126"/>
      <c r="M301" s="126"/>
      <c r="N301" s="126"/>
      <c r="O301" s="124">
        <v>18668</v>
      </c>
      <c r="P301" s="124">
        <v>19088</v>
      </c>
      <c r="Q301" s="138"/>
      <c r="R301" s="215"/>
      <c r="S301" s="140">
        <v>1</v>
      </c>
      <c r="T301" s="124">
        <f t="shared" si="58"/>
        <v>420</v>
      </c>
      <c r="U301" s="717" t="s">
        <v>1019</v>
      </c>
      <c r="V301" s="307" t="s">
        <v>370</v>
      </c>
      <c r="W301" s="14" t="s">
        <v>82</v>
      </c>
      <c r="X301" s="7"/>
      <c r="Y301" s="7"/>
      <c r="Z301" s="7"/>
      <c r="AA301" s="7"/>
      <c r="AB301" s="7"/>
      <c r="AC301" s="7"/>
    </row>
    <row r="302" spans="1:29" ht="25.5">
      <c r="A302" s="19"/>
      <c r="B302" s="336" t="s">
        <v>371</v>
      </c>
      <c r="C302" s="124">
        <f t="shared" si="59"/>
        <v>425.86</v>
      </c>
      <c r="D302" s="124"/>
      <c r="E302" s="124">
        <f t="shared" si="57"/>
        <v>27.86</v>
      </c>
      <c r="F302" s="124">
        <f t="shared" si="60"/>
        <v>15.92</v>
      </c>
      <c r="G302" s="124">
        <f t="shared" si="61"/>
        <v>11.94</v>
      </c>
      <c r="H302" s="124">
        <f t="shared" si="62"/>
        <v>398</v>
      </c>
      <c r="I302" s="124">
        <f t="shared" si="63"/>
        <v>255.51599999999999</v>
      </c>
      <c r="J302" s="126"/>
      <c r="K302" s="126"/>
      <c r="L302" s="126"/>
      <c r="M302" s="126"/>
      <c r="N302" s="126"/>
      <c r="O302" s="124">
        <v>26135</v>
      </c>
      <c r="P302" s="124">
        <v>26533</v>
      </c>
      <c r="Q302" s="138"/>
      <c r="R302" s="215"/>
      <c r="S302" s="140">
        <v>1</v>
      </c>
      <c r="T302" s="124">
        <f t="shared" si="58"/>
        <v>398</v>
      </c>
      <c r="U302" s="717" t="s">
        <v>1020</v>
      </c>
      <c r="V302" s="307" t="s">
        <v>771</v>
      </c>
      <c r="W302" s="14" t="s">
        <v>82</v>
      </c>
      <c r="X302" s="7"/>
      <c r="Y302" s="7"/>
      <c r="Z302" s="7"/>
      <c r="AA302" s="7"/>
      <c r="AB302" s="7"/>
      <c r="AC302" s="7"/>
    </row>
    <row r="303" spans="1:29" ht="25.5">
      <c r="A303" s="19"/>
      <c r="B303" s="336" t="s">
        <v>372</v>
      </c>
      <c r="C303" s="124">
        <f t="shared" si="59"/>
        <v>1668.13</v>
      </c>
      <c r="D303" s="124"/>
      <c r="E303" s="124">
        <f t="shared" si="57"/>
        <v>109.13</v>
      </c>
      <c r="F303" s="124">
        <f t="shared" si="60"/>
        <v>62.36</v>
      </c>
      <c r="G303" s="124">
        <f t="shared" si="61"/>
        <v>46.769999999999996</v>
      </c>
      <c r="H303" s="124">
        <f t="shared" si="62"/>
        <v>1559</v>
      </c>
      <c r="I303" s="124">
        <f t="shared" si="63"/>
        <v>1000.878</v>
      </c>
      <c r="J303" s="126"/>
      <c r="K303" s="126"/>
      <c r="L303" s="126"/>
      <c r="M303" s="126"/>
      <c r="N303" s="126"/>
      <c r="O303" s="124">
        <v>245476</v>
      </c>
      <c r="P303" s="124">
        <v>247035</v>
      </c>
      <c r="Q303" s="138"/>
      <c r="R303" s="215"/>
      <c r="S303" s="140">
        <v>1</v>
      </c>
      <c r="T303" s="124">
        <f t="shared" si="58"/>
        <v>1559</v>
      </c>
      <c r="U303" s="717" t="s">
        <v>1021</v>
      </c>
      <c r="V303" s="307" t="s">
        <v>373</v>
      </c>
      <c r="W303" s="14" t="s">
        <v>82</v>
      </c>
      <c r="X303" s="7"/>
      <c r="Y303" s="7"/>
      <c r="Z303" s="7"/>
      <c r="AA303" s="7"/>
      <c r="AB303" s="7"/>
      <c r="AC303" s="7"/>
    </row>
    <row r="304" spans="1:29" ht="25.5">
      <c r="A304" s="19"/>
      <c r="B304" s="336" t="s">
        <v>374</v>
      </c>
      <c r="C304" s="124">
        <f t="shared" si="59"/>
        <v>5388.52</v>
      </c>
      <c r="D304" s="124"/>
      <c r="E304" s="124">
        <f t="shared" si="57"/>
        <v>352.52</v>
      </c>
      <c r="F304" s="124">
        <f t="shared" si="60"/>
        <v>201.44</v>
      </c>
      <c r="G304" s="124">
        <f t="shared" si="61"/>
        <v>151.07999999999998</v>
      </c>
      <c r="H304" s="124">
        <f t="shared" si="62"/>
        <v>5036</v>
      </c>
      <c r="I304" s="124">
        <f t="shared" si="63"/>
        <v>3233.1120000000001</v>
      </c>
      <c r="J304" s="126"/>
      <c r="K304" s="126"/>
      <c r="L304" s="126"/>
      <c r="M304" s="126"/>
      <c r="N304" s="126"/>
      <c r="O304" s="124">
        <v>388367</v>
      </c>
      <c r="P304" s="124">
        <v>393403</v>
      </c>
      <c r="Q304" s="138"/>
      <c r="R304" s="215"/>
      <c r="S304" s="140">
        <v>1</v>
      </c>
      <c r="T304" s="124">
        <f t="shared" si="58"/>
        <v>5036</v>
      </c>
      <c r="U304" s="717" t="s">
        <v>1081</v>
      </c>
      <c r="V304" s="307" t="s">
        <v>375</v>
      </c>
      <c r="W304" s="14" t="s">
        <v>82</v>
      </c>
      <c r="X304" s="7"/>
      <c r="Y304" s="7"/>
      <c r="Z304" s="7"/>
      <c r="AA304" s="7"/>
      <c r="AB304" s="7"/>
      <c r="AC304" s="7"/>
    </row>
    <row r="305" spans="1:29" ht="25.5">
      <c r="A305" s="19"/>
      <c r="B305" s="336" t="s">
        <v>914</v>
      </c>
      <c r="C305" s="124">
        <f t="shared" si="59"/>
        <v>265.36</v>
      </c>
      <c r="D305" s="124"/>
      <c r="E305" s="124">
        <f t="shared" si="57"/>
        <v>17.36</v>
      </c>
      <c r="F305" s="124">
        <f t="shared" si="60"/>
        <v>9.92</v>
      </c>
      <c r="G305" s="124">
        <f t="shared" si="61"/>
        <v>7.4399999999999995</v>
      </c>
      <c r="H305" s="124">
        <f t="shared" si="62"/>
        <v>248</v>
      </c>
      <c r="I305" s="124">
        <f t="shared" si="63"/>
        <v>159.21600000000001</v>
      </c>
      <c r="J305" s="126"/>
      <c r="K305" s="126"/>
      <c r="L305" s="126"/>
      <c r="M305" s="126"/>
      <c r="N305" s="126"/>
      <c r="O305" s="124">
        <v>80140</v>
      </c>
      <c r="P305" s="124">
        <v>80388</v>
      </c>
      <c r="Q305" s="138"/>
      <c r="R305" s="215"/>
      <c r="S305" s="140">
        <v>1</v>
      </c>
      <c r="T305" s="124">
        <f t="shared" si="58"/>
        <v>248</v>
      </c>
      <c r="U305" s="717" t="s">
        <v>1022</v>
      </c>
      <c r="V305" s="307" t="s">
        <v>804</v>
      </c>
      <c r="W305" s="14" t="s">
        <v>82</v>
      </c>
      <c r="X305" s="7"/>
      <c r="Y305" s="7"/>
      <c r="Z305" s="7"/>
      <c r="AA305" s="7"/>
      <c r="AB305" s="7"/>
      <c r="AC305" s="7"/>
    </row>
    <row r="306" spans="1:29" ht="25.5">
      <c r="A306" s="19"/>
      <c r="B306" s="336" t="s">
        <v>376</v>
      </c>
      <c r="C306" s="124">
        <f t="shared" si="59"/>
        <v>681.59</v>
      </c>
      <c r="D306" s="124"/>
      <c r="E306" s="124">
        <f t="shared" si="57"/>
        <v>44.59</v>
      </c>
      <c r="F306" s="124">
        <f t="shared" si="60"/>
        <v>25.48</v>
      </c>
      <c r="G306" s="124">
        <f t="shared" si="61"/>
        <v>19.11</v>
      </c>
      <c r="H306" s="124">
        <f t="shared" si="62"/>
        <v>637</v>
      </c>
      <c r="I306" s="124">
        <f t="shared" si="63"/>
        <v>408.95400000000001</v>
      </c>
      <c r="J306" s="126"/>
      <c r="K306" s="126"/>
      <c r="L306" s="126"/>
      <c r="M306" s="126"/>
      <c r="N306" s="126"/>
      <c r="O306" s="124">
        <v>199332</v>
      </c>
      <c r="P306" s="124">
        <v>199969</v>
      </c>
      <c r="Q306" s="138"/>
      <c r="R306" s="215"/>
      <c r="S306" s="140">
        <v>1</v>
      </c>
      <c r="T306" s="124">
        <f t="shared" si="58"/>
        <v>637</v>
      </c>
      <c r="U306" s="717" t="s">
        <v>1023</v>
      </c>
      <c r="V306" s="307" t="s">
        <v>377</v>
      </c>
      <c r="W306" s="14" t="s">
        <v>82</v>
      </c>
      <c r="X306" s="7"/>
      <c r="Y306" s="7"/>
      <c r="Z306" s="7"/>
      <c r="AA306" s="7"/>
      <c r="AB306" s="7"/>
      <c r="AC306" s="7"/>
    </row>
    <row r="307" spans="1:29" ht="25.5">
      <c r="A307" s="19"/>
      <c r="B307" s="336" t="s">
        <v>378</v>
      </c>
      <c r="C307" s="124">
        <f t="shared" si="59"/>
        <v>1301.1199999999999</v>
      </c>
      <c r="D307" s="124"/>
      <c r="E307" s="124">
        <f t="shared" si="57"/>
        <v>85.12</v>
      </c>
      <c r="F307" s="124">
        <f t="shared" si="60"/>
        <v>48.64</v>
      </c>
      <c r="G307" s="124">
        <f t="shared" si="61"/>
        <v>36.479999999999997</v>
      </c>
      <c r="H307" s="124">
        <f t="shared" si="62"/>
        <v>1216</v>
      </c>
      <c r="I307" s="124">
        <f t="shared" si="63"/>
        <v>780.67199999999991</v>
      </c>
      <c r="J307" s="126"/>
      <c r="K307" s="126"/>
      <c r="L307" s="126"/>
      <c r="M307" s="126"/>
      <c r="N307" s="126"/>
      <c r="O307" s="124">
        <v>344492</v>
      </c>
      <c r="P307" s="124">
        <v>345708</v>
      </c>
      <c r="Q307" s="138"/>
      <c r="R307" s="215"/>
      <c r="S307" s="140">
        <v>1</v>
      </c>
      <c r="T307" s="124">
        <f t="shared" si="58"/>
        <v>1216</v>
      </c>
      <c r="U307" s="717" t="s">
        <v>1024</v>
      </c>
      <c r="V307" s="307" t="s">
        <v>379</v>
      </c>
      <c r="W307" s="14" t="s">
        <v>82</v>
      </c>
      <c r="X307" s="7"/>
      <c r="Y307" s="7"/>
      <c r="Z307" s="7"/>
      <c r="AA307" s="7"/>
      <c r="AB307" s="7"/>
      <c r="AC307" s="7"/>
    </row>
    <row r="308" spans="1:29" ht="25.5">
      <c r="A308" s="19"/>
      <c r="B308" s="336"/>
      <c r="C308" s="124"/>
      <c r="D308" s="124"/>
      <c r="E308" s="124"/>
      <c r="F308" s="124"/>
      <c r="G308" s="124"/>
      <c r="H308" s="124"/>
      <c r="I308" s="124"/>
      <c r="J308" s="126"/>
      <c r="K308" s="126"/>
      <c r="L308" s="126"/>
      <c r="M308" s="126"/>
      <c r="N308" s="126"/>
      <c r="O308" s="124"/>
      <c r="P308" s="124"/>
      <c r="Q308" s="138"/>
      <c r="R308" s="215"/>
      <c r="S308" s="140"/>
      <c r="T308" s="124"/>
      <c r="U308" s="717"/>
      <c r="V308" s="307"/>
      <c r="W308" s="14" t="s">
        <v>82</v>
      </c>
      <c r="X308" s="7"/>
      <c r="Y308" s="7"/>
      <c r="Z308" s="7"/>
      <c r="AA308" s="7"/>
      <c r="AB308" s="7"/>
      <c r="AC308" s="7"/>
    </row>
    <row r="309" spans="1:29" ht="25.5">
      <c r="A309" s="19"/>
      <c r="B309" s="336" t="s">
        <v>380</v>
      </c>
      <c r="C309" s="124">
        <f t="shared" si="59"/>
        <v>0</v>
      </c>
      <c r="D309" s="124"/>
      <c r="E309" s="124">
        <f t="shared" si="57"/>
        <v>0</v>
      </c>
      <c r="F309" s="124">
        <f t="shared" si="60"/>
        <v>0</v>
      </c>
      <c r="G309" s="124">
        <f t="shared" si="61"/>
        <v>0</v>
      </c>
      <c r="H309" s="124">
        <f t="shared" si="62"/>
        <v>0</v>
      </c>
      <c r="I309" s="124">
        <f t="shared" si="63"/>
        <v>0</v>
      </c>
      <c r="J309" s="126"/>
      <c r="K309" s="126"/>
      <c r="L309" s="126"/>
      <c r="M309" s="126"/>
      <c r="N309" s="126"/>
      <c r="O309" s="124">
        <v>392079</v>
      </c>
      <c r="P309" s="124">
        <v>392079</v>
      </c>
      <c r="Q309" s="138"/>
      <c r="R309" s="215"/>
      <c r="S309" s="140">
        <v>1</v>
      </c>
      <c r="T309" s="124">
        <f t="shared" si="58"/>
        <v>0</v>
      </c>
      <c r="U309" s="717">
        <v>806</v>
      </c>
      <c r="V309" s="307" t="s">
        <v>929</v>
      </c>
      <c r="W309" s="14" t="s">
        <v>82</v>
      </c>
      <c r="X309" s="7"/>
      <c r="Y309" s="7"/>
      <c r="Z309" s="7"/>
      <c r="AA309" s="7"/>
      <c r="AB309" s="7"/>
      <c r="AC309" s="7"/>
    </row>
    <row r="310" spans="1:29" ht="26.25" customHeight="1">
      <c r="A310" s="19"/>
      <c r="B310" s="336" t="s">
        <v>382</v>
      </c>
      <c r="C310" s="124">
        <f t="shared" si="59"/>
        <v>3321.2799999999997</v>
      </c>
      <c r="D310" s="124"/>
      <c r="E310" s="124">
        <f t="shared" si="57"/>
        <v>217.27999999999997</v>
      </c>
      <c r="F310" s="124">
        <f t="shared" si="60"/>
        <v>124.16</v>
      </c>
      <c r="G310" s="124">
        <f t="shared" si="61"/>
        <v>93.11999999999999</v>
      </c>
      <c r="H310" s="124">
        <f t="shared" si="62"/>
        <v>3104</v>
      </c>
      <c r="I310" s="124">
        <f t="shared" si="63"/>
        <v>1992.7679999999998</v>
      </c>
      <c r="J310" s="126"/>
      <c r="K310" s="126"/>
      <c r="L310" s="126"/>
      <c r="M310" s="126"/>
      <c r="N310" s="126"/>
      <c r="O310" s="124">
        <v>123209</v>
      </c>
      <c r="P310" s="124">
        <v>126313</v>
      </c>
      <c r="Q310" s="138"/>
      <c r="R310" s="215"/>
      <c r="S310" s="140">
        <v>1</v>
      </c>
      <c r="T310" s="124">
        <f t="shared" si="58"/>
        <v>3104</v>
      </c>
      <c r="U310" s="717" t="s">
        <v>1025</v>
      </c>
      <c r="V310" s="307" t="s">
        <v>383</v>
      </c>
      <c r="W310" s="14" t="s">
        <v>82</v>
      </c>
      <c r="X310" s="7"/>
      <c r="Y310" s="7"/>
      <c r="Z310" s="7"/>
      <c r="AA310" s="7"/>
      <c r="AB310" s="7"/>
      <c r="AC310" s="7"/>
    </row>
    <row r="311" spans="1:29" ht="25.5">
      <c r="A311" s="19"/>
      <c r="B311" s="336" t="s">
        <v>384</v>
      </c>
      <c r="C311" s="124">
        <f t="shared" si="59"/>
        <v>0</v>
      </c>
      <c r="D311" s="124"/>
      <c r="E311" s="124">
        <f t="shared" si="57"/>
        <v>0</v>
      </c>
      <c r="F311" s="124">
        <f t="shared" si="60"/>
        <v>0</v>
      </c>
      <c r="G311" s="124">
        <f t="shared" si="61"/>
        <v>0</v>
      </c>
      <c r="H311" s="124">
        <f t="shared" si="62"/>
        <v>0</v>
      </c>
      <c r="I311" s="124">
        <f t="shared" si="63"/>
        <v>0</v>
      </c>
      <c r="J311" s="126"/>
      <c r="K311" s="126"/>
      <c r="L311" s="126"/>
      <c r="M311" s="126"/>
      <c r="N311" s="126"/>
      <c r="O311" s="124">
        <v>29110</v>
      </c>
      <c r="P311" s="124">
        <v>29110</v>
      </c>
      <c r="Q311" s="138"/>
      <c r="R311" s="215"/>
      <c r="S311" s="140">
        <v>1</v>
      </c>
      <c r="T311" s="124">
        <f t="shared" si="58"/>
        <v>0</v>
      </c>
      <c r="U311" s="717">
        <v>2125</v>
      </c>
      <c r="V311" s="307" t="s">
        <v>772</v>
      </c>
      <c r="W311" s="14" t="s">
        <v>82</v>
      </c>
      <c r="X311" s="7"/>
      <c r="Y311" s="7"/>
      <c r="Z311" s="7"/>
      <c r="AA311" s="7"/>
      <c r="AB311" s="7"/>
      <c r="AC311" s="7"/>
    </row>
    <row r="312" spans="1:29" ht="25.5">
      <c r="A312" s="19"/>
      <c r="B312" s="336"/>
      <c r="C312" s="337"/>
      <c r="D312" s="124"/>
      <c r="E312" s="124"/>
      <c r="F312" s="124"/>
      <c r="G312" s="124"/>
      <c r="H312" s="124"/>
      <c r="I312" s="124"/>
      <c r="J312" s="126"/>
      <c r="K312" s="126"/>
      <c r="L312" s="126"/>
      <c r="M312" s="126"/>
      <c r="N312" s="126"/>
      <c r="O312" s="124"/>
      <c r="P312" s="124"/>
      <c r="Q312" s="138"/>
      <c r="R312" s="215"/>
      <c r="S312" s="140"/>
      <c r="T312" s="124"/>
      <c r="U312" s="717"/>
      <c r="V312" s="307"/>
      <c r="W312" s="14" t="s">
        <v>82</v>
      </c>
      <c r="X312" s="7"/>
      <c r="Y312" s="7"/>
      <c r="Z312" s="7"/>
      <c r="AA312" s="7"/>
      <c r="AB312" s="7"/>
      <c r="AC312" s="7"/>
    </row>
    <row r="313" spans="1:29" ht="25.5">
      <c r="A313" s="19"/>
      <c r="B313" s="657" t="s">
        <v>915</v>
      </c>
      <c r="C313" s="124">
        <f t="shared" si="59"/>
        <v>227.91</v>
      </c>
      <c r="D313" s="124"/>
      <c r="E313" s="124">
        <f t="shared" si="57"/>
        <v>14.91</v>
      </c>
      <c r="F313" s="124">
        <f t="shared" si="60"/>
        <v>8.52</v>
      </c>
      <c r="G313" s="124">
        <f t="shared" si="61"/>
        <v>6.39</v>
      </c>
      <c r="H313" s="124">
        <f t="shared" si="62"/>
        <v>213</v>
      </c>
      <c r="I313" s="124">
        <f t="shared" si="63"/>
        <v>136.74599999999998</v>
      </c>
      <c r="J313" s="126"/>
      <c r="K313" s="126"/>
      <c r="L313" s="126"/>
      <c r="M313" s="126"/>
      <c r="N313" s="126"/>
      <c r="O313" s="124">
        <v>85852</v>
      </c>
      <c r="P313" s="124">
        <v>86065</v>
      </c>
      <c r="Q313" s="138"/>
      <c r="R313" s="215"/>
      <c r="S313" s="140">
        <v>1</v>
      </c>
      <c r="T313" s="124">
        <f t="shared" si="58"/>
        <v>213</v>
      </c>
      <c r="U313" s="717" t="s">
        <v>1028</v>
      </c>
      <c r="V313" s="307" t="s">
        <v>805</v>
      </c>
      <c r="W313" s="14" t="s">
        <v>82</v>
      </c>
      <c r="X313" s="7"/>
      <c r="Y313" s="7"/>
      <c r="Z313" s="7"/>
      <c r="AA313" s="7"/>
      <c r="AB313" s="7"/>
      <c r="AC313" s="7"/>
    </row>
    <row r="314" spans="1:29" ht="25.5">
      <c r="A314" s="19"/>
      <c r="B314" s="336" t="s">
        <v>699</v>
      </c>
      <c r="C314" s="124">
        <f t="shared" si="59"/>
        <v>1117.08</v>
      </c>
      <c r="D314" s="124"/>
      <c r="E314" s="124">
        <f t="shared" si="57"/>
        <v>73.08</v>
      </c>
      <c r="F314" s="124">
        <f t="shared" si="60"/>
        <v>41.76</v>
      </c>
      <c r="G314" s="124">
        <f t="shared" si="61"/>
        <v>31.32</v>
      </c>
      <c r="H314" s="124">
        <f t="shared" si="62"/>
        <v>1044</v>
      </c>
      <c r="I314" s="124">
        <f t="shared" si="63"/>
        <v>670.24799999999993</v>
      </c>
      <c r="J314" s="126"/>
      <c r="K314" s="126"/>
      <c r="L314" s="126"/>
      <c r="M314" s="126"/>
      <c r="N314" s="126"/>
      <c r="O314" s="124">
        <v>290687</v>
      </c>
      <c r="P314" s="124">
        <v>291731</v>
      </c>
      <c r="Q314" s="138"/>
      <c r="R314" s="215"/>
      <c r="S314" s="140">
        <v>1</v>
      </c>
      <c r="T314" s="124">
        <f t="shared" si="58"/>
        <v>1044</v>
      </c>
      <c r="U314" s="717" t="s">
        <v>1029</v>
      </c>
      <c r="V314" s="307" t="s">
        <v>387</v>
      </c>
      <c r="W314" s="14" t="s">
        <v>82</v>
      </c>
      <c r="X314" s="7"/>
      <c r="Y314" s="7"/>
      <c r="Z314" s="7"/>
      <c r="AA314" s="7"/>
      <c r="AB314" s="7"/>
      <c r="AC314" s="7"/>
    </row>
    <row r="315" spans="1:29" ht="25.5">
      <c r="A315" s="19"/>
      <c r="B315" s="336"/>
      <c r="C315" s="124"/>
      <c r="D315" s="124"/>
      <c r="E315" s="124"/>
      <c r="F315" s="124"/>
      <c r="G315" s="124"/>
      <c r="H315" s="124"/>
      <c r="I315" s="124"/>
      <c r="J315" s="126"/>
      <c r="K315" s="126"/>
      <c r="L315" s="126"/>
      <c r="M315" s="126"/>
      <c r="N315" s="126"/>
      <c r="O315" s="124"/>
      <c r="P315" s="124"/>
      <c r="Q315" s="138"/>
      <c r="R315" s="215"/>
      <c r="S315" s="140"/>
      <c r="T315" s="124"/>
      <c r="U315" s="717"/>
      <c r="V315" s="307"/>
      <c r="W315" s="14" t="s">
        <v>82</v>
      </c>
      <c r="X315" s="7"/>
      <c r="Y315" s="7"/>
      <c r="Z315" s="7"/>
      <c r="AA315" s="7"/>
      <c r="AB315" s="7"/>
      <c r="AC315" s="7"/>
    </row>
    <row r="316" spans="1:29" ht="25.5">
      <c r="A316" s="19"/>
      <c r="B316" s="336" t="s">
        <v>388</v>
      </c>
      <c r="C316" s="124">
        <f t="shared" si="59"/>
        <v>17334</v>
      </c>
      <c r="D316" s="124"/>
      <c r="E316" s="124">
        <f t="shared" si="57"/>
        <v>1134</v>
      </c>
      <c r="F316" s="124">
        <f t="shared" si="60"/>
        <v>648</v>
      </c>
      <c r="G316" s="124">
        <f t="shared" si="61"/>
        <v>486</v>
      </c>
      <c r="H316" s="124">
        <f t="shared" si="62"/>
        <v>16200</v>
      </c>
      <c r="I316" s="124">
        <f t="shared" si="63"/>
        <v>10400.4</v>
      </c>
      <c r="J316" s="126"/>
      <c r="K316" s="126"/>
      <c r="L316" s="126"/>
      <c r="M316" s="126"/>
      <c r="N316" s="126"/>
      <c r="O316" s="124">
        <v>19796</v>
      </c>
      <c r="P316" s="124">
        <v>20606</v>
      </c>
      <c r="Q316" s="138"/>
      <c r="R316" s="215"/>
      <c r="S316" s="140">
        <v>20</v>
      </c>
      <c r="T316" s="124">
        <f t="shared" si="58"/>
        <v>16200</v>
      </c>
      <c r="U316" s="717" t="s">
        <v>1030</v>
      </c>
      <c r="V316" s="307" t="s">
        <v>389</v>
      </c>
      <c r="W316" s="14" t="s">
        <v>82</v>
      </c>
      <c r="X316" s="7"/>
      <c r="Y316" s="7"/>
      <c r="Z316" s="7"/>
      <c r="AA316" s="7"/>
      <c r="AB316" s="7"/>
      <c r="AC316" s="7"/>
    </row>
    <row r="317" spans="1:29" ht="25.5">
      <c r="A317" s="19"/>
      <c r="B317" s="336" t="s">
        <v>390</v>
      </c>
      <c r="C317" s="124">
        <f>H317+E317</f>
        <v>10453.9</v>
      </c>
      <c r="D317" s="124"/>
      <c r="E317" s="124">
        <f t="shared" si="57"/>
        <v>683.9</v>
      </c>
      <c r="F317" s="124">
        <f t="shared" si="60"/>
        <v>390.8</v>
      </c>
      <c r="G317" s="124">
        <f t="shared" si="61"/>
        <v>293.09999999999997</v>
      </c>
      <c r="H317" s="124">
        <f t="shared" si="62"/>
        <v>9770</v>
      </c>
      <c r="I317" s="124">
        <f t="shared" si="63"/>
        <v>6272.3399999999992</v>
      </c>
      <c r="J317" s="126"/>
      <c r="K317" s="126"/>
      <c r="L317" s="126"/>
      <c r="M317" s="126"/>
      <c r="N317" s="126"/>
      <c r="O317" s="124">
        <v>238739</v>
      </c>
      <c r="P317" s="124">
        <v>248509</v>
      </c>
      <c r="Q317" s="138"/>
      <c r="R317" s="215"/>
      <c r="S317" s="140">
        <v>1</v>
      </c>
      <c r="T317" s="124">
        <f t="shared" si="58"/>
        <v>9770</v>
      </c>
      <c r="U317" s="717" t="s">
        <v>1031</v>
      </c>
      <c r="V317" s="307" t="s">
        <v>391</v>
      </c>
      <c r="W317" s="14" t="s">
        <v>82</v>
      </c>
      <c r="X317" s="7"/>
      <c r="Y317" s="7"/>
      <c r="Z317" s="7"/>
      <c r="AA317" s="7"/>
      <c r="AB317" s="7"/>
      <c r="AC317" s="7"/>
    </row>
    <row r="318" spans="1:29" ht="25.5">
      <c r="A318" s="19"/>
      <c r="B318" s="655" t="s">
        <v>916</v>
      </c>
      <c r="C318" s="124">
        <f t="shared" si="59"/>
        <v>4194.3999999999996</v>
      </c>
      <c r="D318" s="124"/>
      <c r="E318" s="124">
        <f t="shared" si="57"/>
        <v>274.39999999999998</v>
      </c>
      <c r="F318" s="124">
        <f t="shared" si="60"/>
        <v>156.80000000000001</v>
      </c>
      <c r="G318" s="124">
        <f t="shared" si="61"/>
        <v>117.6</v>
      </c>
      <c r="H318" s="124">
        <f t="shared" si="62"/>
        <v>3920</v>
      </c>
      <c r="I318" s="124">
        <f t="shared" si="63"/>
        <v>2516.64</v>
      </c>
      <c r="J318" s="126"/>
      <c r="K318" s="126"/>
      <c r="L318" s="126"/>
      <c r="M318" s="126"/>
      <c r="N318" s="126"/>
      <c r="O318" s="124">
        <v>563370</v>
      </c>
      <c r="P318" s="124">
        <v>567290</v>
      </c>
      <c r="Q318" s="138"/>
      <c r="R318" s="215"/>
      <c r="S318" s="140">
        <v>1</v>
      </c>
      <c r="T318" s="124">
        <f t="shared" si="58"/>
        <v>3920</v>
      </c>
      <c r="U318" s="717">
        <v>35821</v>
      </c>
      <c r="V318" s="128" t="s">
        <v>759</v>
      </c>
      <c r="W318" s="14" t="s">
        <v>82</v>
      </c>
      <c r="X318" s="7"/>
      <c r="Y318" s="7"/>
      <c r="Z318" s="7"/>
      <c r="AA318" s="7"/>
      <c r="AB318" s="7"/>
      <c r="AC318" s="7"/>
    </row>
    <row r="319" spans="1:29" ht="25.5">
      <c r="A319" s="19"/>
      <c r="B319" s="158" t="s">
        <v>314</v>
      </c>
      <c r="C319" s="124">
        <f t="shared" si="59"/>
        <v>1048.5999999999999</v>
      </c>
      <c r="D319" s="124"/>
      <c r="E319" s="124">
        <f t="shared" si="57"/>
        <v>68.599999999999994</v>
      </c>
      <c r="F319" s="124">
        <f t="shared" si="60"/>
        <v>39.200000000000003</v>
      </c>
      <c r="G319" s="124">
        <f t="shared" si="61"/>
        <v>29.4</v>
      </c>
      <c r="H319" s="124">
        <f t="shared" si="62"/>
        <v>980</v>
      </c>
      <c r="I319" s="124">
        <f t="shared" si="63"/>
        <v>629.16</v>
      </c>
      <c r="J319" s="126"/>
      <c r="K319" s="126"/>
      <c r="L319" s="126"/>
      <c r="M319" s="126"/>
      <c r="N319" s="126"/>
      <c r="O319" s="124">
        <v>27642</v>
      </c>
      <c r="P319" s="124">
        <v>28622</v>
      </c>
      <c r="Q319" s="138"/>
      <c r="R319" s="215"/>
      <c r="S319" s="140">
        <v>1</v>
      </c>
      <c r="T319" s="124">
        <f t="shared" si="58"/>
        <v>980</v>
      </c>
      <c r="U319" s="717">
        <v>103473542</v>
      </c>
      <c r="V319" s="128" t="s">
        <v>393</v>
      </c>
      <c r="W319" s="14" t="s">
        <v>82</v>
      </c>
      <c r="X319" s="7"/>
      <c r="Y319" s="7"/>
      <c r="Z319" s="7"/>
      <c r="AA319" s="7"/>
      <c r="AB319" s="7"/>
      <c r="AC319" s="7"/>
    </row>
    <row r="320" spans="1:29" ht="25.5">
      <c r="A320" s="19"/>
      <c r="B320" s="655" t="s">
        <v>365</v>
      </c>
      <c r="C320" s="124">
        <f t="shared" si="59"/>
        <v>818.55</v>
      </c>
      <c r="D320" s="124"/>
      <c r="E320" s="124">
        <f t="shared" si="57"/>
        <v>53.55</v>
      </c>
      <c r="F320" s="124">
        <f t="shared" si="60"/>
        <v>30.6</v>
      </c>
      <c r="G320" s="124">
        <f t="shared" si="61"/>
        <v>22.95</v>
      </c>
      <c r="H320" s="124">
        <f t="shared" si="62"/>
        <v>765</v>
      </c>
      <c r="I320" s="124">
        <f t="shared" si="63"/>
        <v>491.12999999999994</v>
      </c>
      <c r="J320" s="126"/>
      <c r="K320" s="126"/>
      <c r="L320" s="126"/>
      <c r="M320" s="126"/>
      <c r="N320" s="126"/>
      <c r="O320" s="124">
        <v>23985</v>
      </c>
      <c r="P320" s="124">
        <v>24750</v>
      </c>
      <c r="Q320" s="138"/>
      <c r="R320" s="215"/>
      <c r="S320" s="140">
        <v>1</v>
      </c>
      <c r="T320" s="124">
        <f t="shared" si="58"/>
        <v>765</v>
      </c>
      <c r="U320" s="717">
        <v>103095559</v>
      </c>
      <c r="V320" s="128" t="s">
        <v>394</v>
      </c>
      <c r="W320" s="14" t="s">
        <v>82</v>
      </c>
      <c r="X320" s="7"/>
      <c r="Y320" s="7"/>
      <c r="Z320" s="7"/>
      <c r="AA320" s="7"/>
      <c r="AB320" s="7"/>
      <c r="AC320" s="7"/>
    </row>
    <row r="321" spans="1:29" ht="25.5">
      <c r="A321" s="19"/>
      <c r="B321" s="655" t="s">
        <v>831</v>
      </c>
      <c r="C321" s="124">
        <f t="shared" si="59"/>
        <v>1173.79</v>
      </c>
      <c r="D321" s="124"/>
      <c r="E321" s="124">
        <f t="shared" si="57"/>
        <v>76.789999999999992</v>
      </c>
      <c r="F321" s="124">
        <f t="shared" si="60"/>
        <v>43.88</v>
      </c>
      <c r="G321" s="124">
        <f t="shared" si="61"/>
        <v>32.909999999999997</v>
      </c>
      <c r="H321" s="124">
        <f t="shared" si="62"/>
        <v>1097</v>
      </c>
      <c r="I321" s="124">
        <f t="shared" si="63"/>
        <v>704.274</v>
      </c>
      <c r="J321" s="126"/>
      <c r="K321" s="126"/>
      <c r="L321" s="126"/>
      <c r="M321" s="126"/>
      <c r="N321" s="126"/>
      <c r="O321" s="124">
        <v>41976</v>
      </c>
      <c r="P321" s="124">
        <v>43073</v>
      </c>
      <c r="Q321" s="138"/>
      <c r="R321" s="215"/>
      <c r="S321" s="140">
        <v>1</v>
      </c>
      <c r="T321" s="124">
        <f t="shared" si="58"/>
        <v>1097</v>
      </c>
      <c r="U321" s="717" t="s">
        <v>1032</v>
      </c>
      <c r="V321" s="128" t="s">
        <v>395</v>
      </c>
      <c r="W321" s="14" t="s">
        <v>82</v>
      </c>
      <c r="X321" s="7"/>
      <c r="Y321" s="7"/>
      <c r="Z321" s="7"/>
      <c r="AA321" s="7"/>
      <c r="AB321" s="7"/>
      <c r="AC321" s="7"/>
    </row>
    <row r="322" spans="1:29" ht="25.5">
      <c r="A322" s="19"/>
      <c r="B322" s="624" t="s">
        <v>396</v>
      </c>
      <c r="C322" s="124">
        <f t="shared" si="59"/>
        <v>0</v>
      </c>
      <c r="D322" s="124"/>
      <c r="E322" s="124">
        <f t="shared" si="57"/>
        <v>0</v>
      </c>
      <c r="F322" s="124">
        <f t="shared" si="60"/>
        <v>0</v>
      </c>
      <c r="G322" s="124">
        <f t="shared" si="61"/>
        <v>0</v>
      </c>
      <c r="H322" s="124">
        <f t="shared" si="62"/>
        <v>0</v>
      </c>
      <c r="I322" s="124">
        <f t="shared" si="63"/>
        <v>0</v>
      </c>
      <c r="J322" s="126"/>
      <c r="K322" s="126"/>
      <c r="L322" s="126"/>
      <c r="M322" s="126"/>
      <c r="N322" s="126"/>
      <c r="O322" s="124">
        <v>59063</v>
      </c>
      <c r="P322" s="124">
        <v>59063</v>
      </c>
      <c r="Q322" s="138"/>
      <c r="R322" s="215"/>
      <c r="S322" s="140">
        <v>1</v>
      </c>
      <c r="T322" s="124">
        <f t="shared" si="58"/>
        <v>0</v>
      </c>
      <c r="U322" s="717">
        <v>4616</v>
      </c>
      <c r="V322" s="128" t="s">
        <v>397</v>
      </c>
      <c r="W322" s="14" t="s">
        <v>82</v>
      </c>
      <c r="X322" s="7"/>
      <c r="Y322" s="7"/>
      <c r="Z322" s="7"/>
      <c r="AA322" s="7"/>
      <c r="AB322" s="7"/>
      <c r="AC322" s="7"/>
    </row>
    <row r="323" spans="1:29" ht="25.5">
      <c r="A323" s="19"/>
      <c r="B323" s="624" t="s">
        <v>806</v>
      </c>
      <c r="C323" s="124">
        <f>H323+E323</f>
        <v>16437.34</v>
      </c>
      <c r="D323" s="124"/>
      <c r="E323" s="124">
        <f t="shared" si="57"/>
        <v>1075.3399999999999</v>
      </c>
      <c r="F323" s="124">
        <f t="shared" si="60"/>
        <v>614.48</v>
      </c>
      <c r="G323" s="124">
        <f t="shared" si="61"/>
        <v>460.85999999999996</v>
      </c>
      <c r="H323" s="124">
        <f t="shared" si="62"/>
        <v>15362</v>
      </c>
      <c r="I323" s="124">
        <f t="shared" si="63"/>
        <v>9862.4040000000005</v>
      </c>
      <c r="J323" s="126"/>
      <c r="K323" s="126"/>
      <c r="L323" s="126"/>
      <c r="M323" s="126"/>
      <c r="N323" s="126"/>
      <c r="O323" s="124">
        <v>63419</v>
      </c>
      <c r="P323" s="124">
        <v>65819</v>
      </c>
      <c r="Q323" s="138"/>
      <c r="R323" s="215"/>
      <c r="S323" s="140">
        <v>20</v>
      </c>
      <c r="T323" s="124">
        <f>(P323-O323)*S323-T326-C327-T286-T317-T324-T325-T167-T168-T173</f>
        <v>15362</v>
      </c>
      <c r="U323" s="717" t="s">
        <v>1033</v>
      </c>
      <c r="V323" s="128" t="s">
        <v>806</v>
      </c>
      <c r="W323" s="14" t="s">
        <v>82</v>
      </c>
      <c r="X323" s="7"/>
      <c r="Y323" s="7"/>
      <c r="Z323" s="7"/>
      <c r="AA323" s="7"/>
      <c r="AB323" s="7"/>
      <c r="AC323" s="7"/>
    </row>
    <row r="324" spans="1:29" ht="25.5">
      <c r="A324" s="19"/>
      <c r="B324" s="624" t="s">
        <v>763</v>
      </c>
      <c r="C324" s="124">
        <f>H324+E324</f>
        <v>6494.9</v>
      </c>
      <c r="D324" s="124"/>
      <c r="E324" s="124">
        <f t="shared" si="57"/>
        <v>424.9</v>
      </c>
      <c r="F324" s="124">
        <f t="shared" si="60"/>
        <v>242.8</v>
      </c>
      <c r="G324" s="124">
        <f t="shared" si="61"/>
        <v>182.1</v>
      </c>
      <c r="H324" s="124">
        <f t="shared" si="62"/>
        <v>6070</v>
      </c>
      <c r="I324" s="124">
        <f t="shared" si="63"/>
        <v>3896.9399999999996</v>
      </c>
      <c r="J324" s="126"/>
      <c r="K324" s="126"/>
      <c r="L324" s="126"/>
      <c r="M324" s="126"/>
      <c r="N324" s="126"/>
      <c r="O324" s="124">
        <v>50448</v>
      </c>
      <c r="P324" s="124">
        <v>56518</v>
      </c>
      <c r="Q324" s="138"/>
      <c r="R324" s="215"/>
      <c r="S324" s="140">
        <v>1</v>
      </c>
      <c r="T324" s="124">
        <f>(P324-O324)*S324</f>
        <v>6070</v>
      </c>
      <c r="U324" s="717" t="s">
        <v>1034</v>
      </c>
      <c r="V324" s="128" t="s">
        <v>769</v>
      </c>
      <c r="W324" s="14" t="s">
        <v>82</v>
      </c>
      <c r="X324" s="7"/>
      <c r="Y324" s="7"/>
      <c r="Z324" s="7"/>
      <c r="AA324" s="7"/>
      <c r="AB324" s="7"/>
      <c r="AC324" s="7"/>
    </row>
    <row r="325" spans="1:29" ht="25.5">
      <c r="A325" s="19"/>
      <c r="B325" s="624"/>
      <c r="C325" s="124">
        <f>H325+E325</f>
        <v>923.41</v>
      </c>
      <c r="D325" s="124"/>
      <c r="E325" s="124">
        <f t="shared" si="57"/>
        <v>60.410000000000004</v>
      </c>
      <c r="F325" s="124">
        <f t="shared" si="60"/>
        <v>34.520000000000003</v>
      </c>
      <c r="G325" s="124">
        <f t="shared" si="61"/>
        <v>25.89</v>
      </c>
      <c r="H325" s="124">
        <f t="shared" si="62"/>
        <v>863</v>
      </c>
      <c r="I325" s="124">
        <f t="shared" si="63"/>
        <v>554.04599999999994</v>
      </c>
      <c r="J325" s="126"/>
      <c r="K325" s="126"/>
      <c r="L325" s="126"/>
      <c r="M325" s="126"/>
      <c r="N325" s="126"/>
      <c r="O325" s="124">
        <v>15073</v>
      </c>
      <c r="P325" s="124">
        <v>15936</v>
      </c>
      <c r="Q325" s="138"/>
      <c r="R325" s="215"/>
      <c r="S325" s="140">
        <v>1</v>
      </c>
      <c r="T325" s="124">
        <f>(P325-O325)*S325</f>
        <v>863</v>
      </c>
      <c r="U325" s="717" t="s">
        <v>1035</v>
      </c>
      <c r="V325" s="128" t="s">
        <v>398</v>
      </c>
      <c r="W325" s="14" t="s">
        <v>82</v>
      </c>
      <c r="X325" s="7"/>
      <c r="Y325" s="7"/>
      <c r="Z325" s="7"/>
      <c r="AA325" s="7"/>
      <c r="AB325" s="7"/>
      <c r="AC325" s="7"/>
    </row>
    <row r="326" spans="1:29" ht="25.5">
      <c r="A326" s="19"/>
      <c r="B326" s="624" t="s">
        <v>763</v>
      </c>
      <c r="C326" s="124">
        <f t="shared" si="59"/>
        <v>1367.46</v>
      </c>
      <c r="D326" s="124"/>
      <c r="E326" s="124">
        <f t="shared" si="57"/>
        <v>89.460000000000008</v>
      </c>
      <c r="F326" s="124">
        <f t="shared" si="60"/>
        <v>51.120000000000005</v>
      </c>
      <c r="G326" s="124">
        <f t="shared" si="61"/>
        <v>38.339999999999996</v>
      </c>
      <c r="H326" s="124">
        <f t="shared" si="62"/>
        <v>1278</v>
      </c>
      <c r="I326" s="124">
        <f t="shared" si="63"/>
        <v>820.476</v>
      </c>
      <c r="J326" s="126"/>
      <c r="K326" s="126"/>
      <c r="L326" s="126"/>
      <c r="M326" s="126"/>
      <c r="N326" s="126"/>
      <c r="O326" s="124">
        <v>9734</v>
      </c>
      <c r="P326" s="124">
        <v>11012</v>
      </c>
      <c r="Q326" s="138"/>
      <c r="R326" s="215"/>
      <c r="S326" s="140">
        <v>1</v>
      </c>
      <c r="T326" s="124">
        <f>(P326-O326)*S326</f>
        <v>1278</v>
      </c>
      <c r="U326" s="717" t="s">
        <v>1036</v>
      </c>
      <c r="V326" s="128" t="s">
        <v>770</v>
      </c>
      <c r="W326" s="14" t="s">
        <v>82</v>
      </c>
      <c r="X326" s="7"/>
      <c r="Y326" s="7"/>
      <c r="Z326" s="7"/>
      <c r="AA326" s="7"/>
      <c r="AB326" s="7"/>
      <c r="AC326" s="7"/>
    </row>
    <row r="327" spans="1:29" ht="25.5">
      <c r="A327" s="19"/>
      <c r="B327" s="655"/>
      <c r="C327" s="124">
        <v>12000</v>
      </c>
      <c r="D327" s="124"/>
      <c r="E327" s="124"/>
      <c r="F327" s="124"/>
      <c r="G327" s="124"/>
      <c r="H327" s="124"/>
      <c r="I327" s="124"/>
      <c r="J327" s="126"/>
      <c r="K327" s="126"/>
      <c r="L327" s="126"/>
      <c r="M327" s="126"/>
      <c r="N327" s="126"/>
      <c r="O327" s="124"/>
      <c r="P327" s="124"/>
      <c r="Q327" s="138"/>
      <c r="R327" s="215"/>
      <c r="S327" s="140"/>
      <c r="T327" s="124">
        <v>0</v>
      </c>
      <c r="U327" s="717"/>
      <c r="V327" s="128" t="s">
        <v>401</v>
      </c>
      <c r="W327" s="14" t="s">
        <v>82</v>
      </c>
      <c r="X327" s="7"/>
      <c r="Y327" s="7"/>
      <c r="Z327" s="7"/>
      <c r="AA327" s="7"/>
      <c r="AB327" s="7"/>
      <c r="AC327" s="7"/>
    </row>
    <row r="328" spans="1:29" ht="26.25">
      <c r="A328" s="19"/>
      <c r="B328" s="213" t="s">
        <v>402</v>
      </c>
      <c r="C328" s="97">
        <f>SUM(C286:C327)</f>
        <v>147876.08999999997</v>
      </c>
      <c r="D328" s="91"/>
      <c r="E328" s="91"/>
      <c r="F328" s="91"/>
      <c r="G328" s="91"/>
      <c r="H328" s="91"/>
      <c r="I328" s="124">
        <f t="shared" si="63"/>
        <v>88725.65399999998</v>
      </c>
      <c r="J328" s="22"/>
      <c r="K328" s="22"/>
      <c r="L328" s="22"/>
      <c r="M328" s="22"/>
      <c r="N328" s="22"/>
      <c r="O328" s="91"/>
      <c r="P328" s="91"/>
      <c r="Q328" s="149"/>
      <c r="R328" s="161"/>
      <c r="S328" s="151"/>
      <c r="T328" s="91"/>
      <c r="U328" s="644"/>
      <c r="V328" s="695"/>
      <c r="W328" s="14"/>
      <c r="X328" s="7"/>
      <c r="Y328" s="7"/>
      <c r="Z328" s="7"/>
      <c r="AA328" s="7"/>
      <c r="AB328" s="7"/>
      <c r="AC328" s="7"/>
    </row>
    <row r="329" spans="1:29" ht="27.75">
      <c r="A329" s="19"/>
      <c r="B329" s="216" t="s">
        <v>403</v>
      </c>
      <c r="C329" s="97">
        <f>SUM(C166:C327)</f>
        <v>591378.9354000045</v>
      </c>
      <c r="D329" s="91"/>
      <c r="E329" s="113"/>
      <c r="F329" s="91"/>
      <c r="G329" s="91"/>
      <c r="H329" s="91"/>
      <c r="I329" s="115"/>
      <c r="J329" s="22"/>
      <c r="K329" s="22"/>
      <c r="L329" s="22"/>
      <c r="M329" s="22"/>
      <c r="N329" s="22"/>
      <c r="O329" s="91"/>
      <c r="P329" s="91"/>
      <c r="Q329" s="149"/>
      <c r="R329" s="161"/>
      <c r="S329" s="151"/>
      <c r="T329" s="91"/>
      <c r="U329" s="644"/>
      <c r="V329" s="695"/>
      <c r="W329" s="14"/>
      <c r="X329" s="7"/>
      <c r="Y329" s="7"/>
      <c r="Z329" s="7"/>
      <c r="AA329" s="7"/>
      <c r="AB329" s="7"/>
      <c r="AC329" s="7"/>
    </row>
    <row r="330" spans="1:29" ht="26.25">
      <c r="A330" s="19"/>
      <c r="B330" s="217"/>
      <c r="C330" s="115"/>
      <c r="D330" s="115"/>
      <c r="E330" s="112"/>
      <c r="F330" s="115"/>
      <c r="G330" s="115"/>
      <c r="H330" s="115"/>
      <c r="I330" s="115"/>
      <c r="J330" s="164"/>
      <c r="K330" s="164"/>
      <c r="L330" s="164"/>
      <c r="M330" s="164"/>
      <c r="N330" s="164"/>
      <c r="O330" s="210"/>
      <c r="P330" s="210"/>
      <c r="Q330" s="149"/>
      <c r="R330" s="211"/>
      <c r="S330" s="115"/>
      <c r="T330" s="91"/>
      <c r="U330" s="644"/>
      <c r="V330" s="695"/>
      <c r="W330" s="14"/>
      <c r="X330" s="7"/>
      <c r="Y330" s="7"/>
      <c r="Z330" s="7"/>
      <c r="AA330" s="7"/>
      <c r="AB330" s="7"/>
      <c r="AC330" s="7"/>
    </row>
    <row r="331" spans="1:29" ht="26.25">
      <c r="A331" s="19"/>
      <c r="B331" s="193" t="s">
        <v>404</v>
      </c>
      <c r="C331" s="91"/>
      <c r="D331" s="115"/>
      <c r="E331" s="115"/>
      <c r="F331" s="91"/>
      <c r="G331" s="91"/>
      <c r="H331" s="91"/>
      <c r="I331" s="91"/>
      <c r="J331" s="164"/>
      <c r="K331" s="164"/>
      <c r="L331" s="164"/>
      <c r="M331" s="164"/>
      <c r="N331" s="164"/>
      <c r="O331" s="91"/>
      <c r="P331" s="91"/>
      <c r="Q331" s="7"/>
      <c r="R331" s="94"/>
      <c r="S331" s="91"/>
      <c r="T331" s="91"/>
      <c r="U331" s="644"/>
      <c r="V331" s="695"/>
      <c r="W331" s="14"/>
      <c r="X331" s="7"/>
      <c r="Y331" s="7"/>
      <c r="Z331" s="7"/>
      <c r="AA331" s="7"/>
      <c r="AB331" s="7"/>
      <c r="AC331" s="7"/>
    </row>
    <row r="332" spans="1:29" ht="25.5">
      <c r="A332" s="19"/>
      <c r="B332" s="1"/>
      <c r="U332" s="724"/>
      <c r="V332" s="695"/>
      <c r="W332" s="14"/>
      <c r="X332" s="7"/>
      <c r="Y332" s="7"/>
      <c r="Z332" s="7"/>
      <c r="AA332" s="7"/>
      <c r="AB332" s="7"/>
      <c r="AC332" s="7"/>
    </row>
    <row r="333" spans="1:29" ht="25.5">
      <c r="A333" s="19"/>
      <c r="B333" s="148" t="s">
        <v>405</v>
      </c>
      <c r="C333" s="91">
        <f t="shared" ref="C333:C354" si="64">H333+E333</f>
        <v>0</v>
      </c>
      <c r="D333" s="91"/>
      <c r="E333" s="91">
        <f t="shared" ref="E333:E355" si="65">F333+G333</f>
        <v>0</v>
      </c>
      <c r="F333" s="91">
        <f t="shared" ref="F333:F376" si="66">0.04*H333</f>
        <v>0</v>
      </c>
      <c r="G333" s="91">
        <f t="shared" ref="G333:G376" si="67">0.03*H333</f>
        <v>0</v>
      </c>
      <c r="H333" s="91">
        <f t="shared" ref="H333:H367" si="68">T333</f>
        <v>0</v>
      </c>
      <c r="I333" s="91">
        <f t="shared" ref="I333:I342" si="69">0.6*C333</f>
        <v>0</v>
      </c>
      <c r="J333" s="22"/>
      <c r="K333" s="22"/>
      <c r="L333" s="22"/>
      <c r="M333" s="22"/>
      <c r="N333" s="22"/>
      <c r="O333" s="91">
        <v>12350</v>
      </c>
      <c r="P333" s="91">
        <v>12350</v>
      </c>
      <c r="Q333" s="22"/>
      <c r="R333" s="142"/>
      <c r="S333" s="151">
        <v>1</v>
      </c>
      <c r="T333" s="91">
        <f t="shared" ref="T333:T348" si="70">(P333-O333)*S333</f>
        <v>0</v>
      </c>
      <c r="U333" s="644">
        <v>55953</v>
      </c>
      <c r="V333" s="698" t="s">
        <v>406</v>
      </c>
      <c r="W333" s="14" t="s">
        <v>212</v>
      </c>
      <c r="X333" s="7"/>
      <c r="Y333" s="7"/>
      <c r="Z333" s="7"/>
      <c r="AA333" s="7"/>
      <c r="AB333" s="7"/>
      <c r="AC333" s="7"/>
    </row>
    <row r="334" spans="1:29" ht="25.5">
      <c r="A334" s="19"/>
      <c r="B334" s="148" t="s">
        <v>407</v>
      </c>
      <c r="C334" s="91">
        <f t="shared" si="64"/>
        <v>177.62</v>
      </c>
      <c r="D334" s="91"/>
      <c r="E334" s="91">
        <f t="shared" si="65"/>
        <v>11.620000000000001</v>
      </c>
      <c r="F334" s="91">
        <f t="shared" si="66"/>
        <v>6.6400000000000006</v>
      </c>
      <c r="G334" s="91">
        <f t="shared" si="67"/>
        <v>4.9799999999999995</v>
      </c>
      <c r="H334" s="91">
        <f t="shared" si="68"/>
        <v>166</v>
      </c>
      <c r="I334" s="91">
        <f t="shared" si="69"/>
        <v>106.572</v>
      </c>
      <c r="J334" s="22"/>
      <c r="K334" s="22"/>
      <c r="L334" s="22"/>
      <c r="M334" s="22"/>
      <c r="N334" s="22"/>
      <c r="O334" s="91">
        <v>17448</v>
      </c>
      <c r="P334" s="91">
        <v>17614</v>
      </c>
      <c r="Q334" s="22"/>
      <c r="R334" s="142"/>
      <c r="S334" s="151">
        <v>1</v>
      </c>
      <c r="T334" s="91">
        <f t="shared" si="70"/>
        <v>166</v>
      </c>
      <c r="U334" s="644">
        <v>1485</v>
      </c>
      <c r="V334" s="698" t="s">
        <v>408</v>
      </c>
      <c r="W334" s="14" t="s">
        <v>212</v>
      </c>
      <c r="X334" s="7"/>
      <c r="Y334" s="7"/>
      <c r="Z334" s="7"/>
      <c r="AA334" s="7"/>
      <c r="AB334" s="7"/>
      <c r="AC334" s="7"/>
    </row>
    <row r="335" spans="1:29" ht="25.5">
      <c r="A335" s="19"/>
      <c r="B335" s="258" t="s">
        <v>826</v>
      </c>
      <c r="C335" s="91">
        <f t="shared" si="64"/>
        <v>17.12</v>
      </c>
      <c r="D335" s="91"/>
      <c r="E335" s="91">
        <f t="shared" si="65"/>
        <v>1.1200000000000001</v>
      </c>
      <c r="F335" s="91">
        <f t="shared" si="66"/>
        <v>0.64</v>
      </c>
      <c r="G335" s="91">
        <f t="shared" si="67"/>
        <v>0.48</v>
      </c>
      <c r="H335" s="91">
        <f t="shared" si="68"/>
        <v>16</v>
      </c>
      <c r="I335" s="91">
        <f t="shared" si="69"/>
        <v>10.272</v>
      </c>
      <c r="J335" s="22"/>
      <c r="K335" s="22"/>
      <c r="L335" s="22"/>
      <c r="M335" s="22"/>
      <c r="N335" s="22"/>
      <c r="O335" s="91">
        <v>15664</v>
      </c>
      <c r="P335" s="91">
        <v>15680</v>
      </c>
      <c r="Q335" s="22"/>
      <c r="R335" s="142"/>
      <c r="S335" s="151">
        <v>1</v>
      </c>
      <c r="T335" s="91">
        <f t="shared" si="70"/>
        <v>16</v>
      </c>
      <c r="U335" s="644"/>
      <c r="V335" s="698" t="s">
        <v>931</v>
      </c>
      <c r="W335" s="14" t="s">
        <v>212</v>
      </c>
      <c r="X335" s="7"/>
      <c r="Y335" s="7"/>
      <c r="Z335" s="7"/>
      <c r="AA335" s="7"/>
      <c r="AB335" s="7"/>
      <c r="AC335" s="7"/>
    </row>
    <row r="336" spans="1:29" ht="25.5">
      <c r="A336" s="19"/>
      <c r="B336" s="258" t="s">
        <v>409</v>
      </c>
      <c r="C336" s="91">
        <f t="shared" si="64"/>
        <v>1485.16</v>
      </c>
      <c r="D336" s="91"/>
      <c r="E336" s="91">
        <f t="shared" si="65"/>
        <v>97.16</v>
      </c>
      <c r="F336" s="91">
        <f t="shared" si="66"/>
        <v>55.52</v>
      </c>
      <c r="G336" s="91">
        <f t="shared" si="67"/>
        <v>41.64</v>
      </c>
      <c r="H336" s="91">
        <f t="shared" si="68"/>
        <v>1388</v>
      </c>
      <c r="I336" s="91">
        <f t="shared" si="69"/>
        <v>891.096</v>
      </c>
      <c r="J336" s="22"/>
      <c r="K336" s="22"/>
      <c r="L336" s="22"/>
      <c r="M336" s="22"/>
      <c r="N336" s="22"/>
      <c r="O336" s="229">
        <f>69506+5771+36134</f>
        <v>111411</v>
      </c>
      <c r="P336" s="229">
        <f>5808+36528+70463</f>
        <v>112799</v>
      </c>
      <c r="Q336" s="22"/>
      <c r="R336" s="142"/>
      <c r="S336" s="151">
        <v>1</v>
      </c>
      <c r="T336" s="91">
        <f t="shared" si="70"/>
        <v>1388</v>
      </c>
      <c r="U336" s="644"/>
      <c r="V336" s="698" t="s">
        <v>410</v>
      </c>
      <c r="W336" s="14" t="s">
        <v>212</v>
      </c>
      <c r="X336" s="7"/>
      <c r="Y336" s="7"/>
      <c r="Z336" s="7"/>
      <c r="AA336" s="7"/>
      <c r="AB336" s="7"/>
      <c r="AC336" s="7"/>
    </row>
    <row r="337" spans="1:29" ht="25.5">
      <c r="A337" s="19"/>
      <c r="B337" s="659" t="s">
        <v>411</v>
      </c>
      <c r="C337" s="91">
        <f t="shared" si="64"/>
        <v>158.36000000000001</v>
      </c>
      <c r="D337" s="91"/>
      <c r="E337" s="91">
        <f t="shared" si="65"/>
        <v>10.36</v>
      </c>
      <c r="F337" s="91">
        <f t="shared" si="66"/>
        <v>5.92</v>
      </c>
      <c r="G337" s="91">
        <f t="shared" si="67"/>
        <v>4.4399999999999995</v>
      </c>
      <c r="H337" s="91">
        <f t="shared" si="68"/>
        <v>148</v>
      </c>
      <c r="I337" s="91">
        <f t="shared" si="69"/>
        <v>95.016000000000005</v>
      </c>
      <c r="J337" s="22"/>
      <c r="K337" s="22"/>
      <c r="L337" s="22"/>
      <c r="M337" s="22"/>
      <c r="N337" s="22"/>
      <c r="O337" s="91">
        <v>1611</v>
      </c>
      <c r="P337" s="91">
        <v>1759</v>
      </c>
      <c r="Q337" s="22"/>
      <c r="R337" s="142"/>
      <c r="S337" s="151">
        <v>1</v>
      </c>
      <c r="T337" s="91">
        <f>(P337-O337)*S337</f>
        <v>148</v>
      </c>
      <c r="U337" s="644" t="s">
        <v>781</v>
      </c>
      <c r="V337" s="698" t="s">
        <v>780</v>
      </c>
      <c r="W337" s="14" t="s">
        <v>212</v>
      </c>
      <c r="X337" s="7"/>
      <c r="Y337" s="7"/>
      <c r="Z337" s="7"/>
      <c r="AA337" s="7"/>
      <c r="AB337" s="7"/>
      <c r="AC337" s="7"/>
    </row>
    <row r="338" spans="1:29" ht="25.5">
      <c r="A338" s="19"/>
      <c r="B338" s="660" t="s">
        <v>412</v>
      </c>
      <c r="C338" s="91">
        <f t="shared" si="64"/>
        <v>44.94</v>
      </c>
      <c r="D338" s="91"/>
      <c r="E338" s="91">
        <f t="shared" si="65"/>
        <v>2.94</v>
      </c>
      <c r="F338" s="91">
        <f t="shared" si="66"/>
        <v>1.68</v>
      </c>
      <c r="G338" s="91">
        <f t="shared" si="67"/>
        <v>1.26</v>
      </c>
      <c r="H338" s="91">
        <f t="shared" si="68"/>
        <v>42</v>
      </c>
      <c r="I338" s="91">
        <f t="shared" si="69"/>
        <v>26.963999999999999</v>
      </c>
      <c r="J338" s="22"/>
      <c r="K338" s="22"/>
      <c r="L338" s="22"/>
      <c r="M338" s="22"/>
      <c r="N338" s="22"/>
      <c r="O338" s="91">
        <v>1397</v>
      </c>
      <c r="P338" s="91">
        <v>1439</v>
      </c>
      <c r="Q338" s="22"/>
      <c r="R338" s="142"/>
      <c r="S338" s="151">
        <v>1</v>
      </c>
      <c r="T338" s="91">
        <f>(P338-O338)*S338</f>
        <v>42</v>
      </c>
      <c r="U338" s="644" t="s">
        <v>782</v>
      </c>
      <c r="V338" s="698" t="s">
        <v>413</v>
      </c>
      <c r="W338" s="14" t="s">
        <v>212</v>
      </c>
      <c r="X338" s="7"/>
      <c r="Y338" s="7"/>
      <c r="Z338" s="7"/>
      <c r="AA338" s="7"/>
      <c r="AB338" s="7"/>
      <c r="AC338" s="7"/>
    </row>
    <row r="339" spans="1:29" ht="25.5">
      <c r="A339" s="19"/>
      <c r="B339" s="660" t="s">
        <v>414</v>
      </c>
      <c r="C339" s="91">
        <f t="shared" si="64"/>
        <v>64.2</v>
      </c>
      <c r="D339" s="91"/>
      <c r="E339" s="91">
        <f t="shared" si="65"/>
        <v>4.1999999999999993</v>
      </c>
      <c r="F339" s="91">
        <f t="shared" si="66"/>
        <v>2.4</v>
      </c>
      <c r="G339" s="91">
        <f t="shared" si="67"/>
        <v>1.7999999999999998</v>
      </c>
      <c r="H339" s="91">
        <f t="shared" si="68"/>
        <v>60</v>
      </c>
      <c r="I339" s="91">
        <f t="shared" si="69"/>
        <v>38.520000000000003</v>
      </c>
      <c r="J339" s="22"/>
      <c r="K339" s="22"/>
      <c r="L339" s="22"/>
      <c r="M339" s="22"/>
      <c r="N339" s="22"/>
      <c r="O339" s="91">
        <v>4379</v>
      </c>
      <c r="P339" s="91">
        <v>4439</v>
      </c>
      <c r="Q339" s="22"/>
      <c r="R339" s="142"/>
      <c r="S339" s="151">
        <v>1</v>
      </c>
      <c r="T339" s="91">
        <f>(P339-O339)*S339</f>
        <v>60</v>
      </c>
      <c r="U339" s="644" t="s">
        <v>783</v>
      </c>
      <c r="V339" s="698" t="s">
        <v>415</v>
      </c>
      <c r="W339" s="14" t="s">
        <v>212</v>
      </c>
      <c r="X339" s="7"/>
      <c r="Y339" s="7"/>
      <c r="Z339" s="7"/>
      <c r="AA339" s="7"/>
      <c r="AB339" s="7"/>
      <c r="AC339" s="7"/>
    </row>
    <row r="340" spans="1:29" ht="25.5">
      <c r="A340" s="19"/>
      <c r="B340" s="661" t="s">
        <v>828</v>
      </c>
      <c r="C340" s="91">
        <f t="shared" si="64"/>
        <v>133.75</v>
      </c>
      <c r="D340" s="91"/>
      <c r="E340" s="91">
        <f t="shared" si="65"/>
        <v>8.75</v>
      </c>
      <c r="F340" s="91">
        <f t="shared" si="66"/>
        <v>5</v>
      </c>
      <c r="G340" s="91">
        <f t="shared" si="67"/>
        <v>3.75</v>
      </c>
      <c r="H340" s="91">
        <f t="shared" si="68"/>
        <v>125</v>
      </c>
      <c r="I340" s="91">
        <f t="shared" si="69"/>
        <v>80.25</v>
      </c>
      <c r="J340" s="22"/>
      <c r="K340" s="22"/>
      <c r="L340" s="22"/>
      <c r="M340" s="22"/>
      <c r="N340" s="22"/>
      <c r="O340" s="91">
        <v>1246</v>
      </c>
      <c r="P340" s="91">
        <v>1371</v>
      </c>
      <c r="Q340" s="22"/>
      <c r="R340" s="142"/>
      <c r="S340" s="151">
        <v>1</v>
      </c>
      <c r="T340" s="91">
        <f>(P340-O340)*S340</f>
        <v>125</v>
      </c>
      <c r="U340" s="644" t="s">
        <v>784</v>
      </c>
      <c r="V340" s="698" t="s">
        <v>819</v>
      </c>
      <c r="W340" s="14" t="s">
        <v>212</v>
      </c>
      <c r="X340" s="7"/>
      <c r="Y340" s="7"/>
      <c r="Z340" s="7"/>
      <c r="AA340" s="7"/>
      <c r="AB340" s="7"/>
      <c r="AC340" s="7"/>
    </row>
    <row r="341" spans="1:29" ht="27" customHeight="1">
      <c r="A341" s="19"/>
      <c r="B341" s="633" t="s">
        <v>416</v>
      </c>
      <c r="C341" s="229">
        <f t="shared" si="64"/>
        <v>793.94</v>
      </c>
      <c r="D341" s="229"/>
      <c r="E341" s="229">
        <f t="shared" si="65"/>
        <v>51.94</v>
      </c>
      <c r="F341" s="229">
        <f t="shared" si="66"/>
        <v>29.68</v>
      </c>
      <c r="G341" s="229">
        <f t="shared" si="67"/>
        <v>22.259999999999998</v>
      </c>
      <c r="H341" s="229">
        <f t="shared" si="68"/>
        <v>742</v>
      </c>
      <c r="I341" s="229">
        <f t="shared" si="69"/>
        <v>476.36400000000003</v>
      </c>
      <c r="J341" s="634"/>
      <c r="K341" s="634"/>
      <c r="L341" s="634"/>
      <c r="M341" s="634"/>
      <c r="N341" s="634" t="s">
        <v>417</v>
      </c>
      <c r="O341" s="229">
        <f>5903+33619+32383</f>
        <v>71905</v>
      </c>
      <c r="P341" s="229">
        <f>33770+32647+6230</f>
        <v>72647</v>
      </c>
      <c r="Q341" s="641"/>
      <c r="R341" s="662"/>
      <c r="S341" s="229">
        <v>1</v>
      </c>
      <c r="T341" s="229">
        <f>(P341-O341)*S341</f>
        <v>742</v>
      </c>
      <c r="U341" s="644">
        <v>9516</v>
      </c>
      <c r="V341" s="698" t="s">
        <v>820</v>
      </c>
      <c r="W341" s="14" t="s">
        <v>212</v>
      </c>
      <c r="X341" s="7"/>
      <c r="Y341" s="7"/>
      <c r="Z341" s="7"/>
      <c r="AA341" s="7"/>
      <c r="AB341" s="7"/>
      <c r="AC341" s="7"/>
    </row>
    <row r="342" spans="1:29" s="195" customFormat="1" ht="26.25" customHeight="1">
      <c r="A342" s="194"/>
      <c r="B342" s="258" t="s">
        <v>827</v>
      </c>
      <c r="C342" s="91">
        <f t="shared" si="64"/>
        <v>245.03</v>
      </c>
      <c r="D342" s="91"/>
      <c r="E342" s="91">
        <f t="shared" si="65"/>
        <v>16.03</v>
      </c>
      <c r="F342" s="250">
        <f t="shared" si="66"/>
        <v>9.16</v>
      </c>
      <c r="G342" s="91">
        <f t="shared" si="67"/>
        <v>6.87</v>
      </c>
      <c r="H342" s="91">
        <f t="shared" si="68"/>
        <v>229</v>
      </c>
      <c r="I342" s="91">
        <f t="shared" si="69"/>
        <v>147.018</v>
      </c>
      <c r="J342" s="22"/>
      <c r="K342" s="22"/>
      <c r="L342" s="22"/>
      <c r="M342" s="22"/>
      <c r="N342" s="22"/>
      <c r="O342" s="91">
        <v>54109</v>
      </c>
      <c r="P342" s="91">
        <v>54338</v>
      </c>
      <c r="Q342" s="122"/>
      <c r="R342" s="200"/>
      <c r="S342" s="151">
        <v>1</v>
      </c>
      <c r="T342" s="91">
        <f t="shared" si="70"/>
        <v>229</v>
      </c>
      <c r="U342" s="644"/>
      <c r="V342" s="698" t="s">
        <v>821</v>
      </c>
      <c r="W342" s="191" t="s">
        <v>212</v>
      </c>
      <c r="X342" s="86"/>
      <c r="Y342" s="86"/>
      <c r="Z342" s="86"/>
      <c r="AA342" s="86"/>
      <c r="AB342" s="86"/>
      <c r="AC342" s="86"/>
    </row>
    <row r="343" spans="1:29" ht="25.5">
      <c r="A343" s="19"/>
      <c r="B343" s="148" t="s">
        <v>825</v>
      </c>
      <c r="C343" s="91">
        <f t="shared" si="64"/>
        <v>6149.29</v>
      </c>
      <c r="D343" s="91"/>
      <c r="E343" s="91">
        <f t="shared" si="65"/>
        <v>402.28999999999996</v>
      </c>
      <c r="F343" s="250">
        <f t="shared" si="66"/>
        <v>229.88</v>
      </c>
      <c r="G343" s="91">
        <f t="shared" si="67"/>
        <v>172.41</v>
      </c>
      <c r="H343" s="91">
        <f t="shared" si="68"/>
        <v>5747</v>
      </c>
      <c r="I343" s="91">
        <f>0.5*C343</f>
        <v>3074.645</v>
      </c>
      <c r="J343" s="22"/>
      <c r="K343" s="22"/>
      <c r="L343" s="22"/>
      <c r="M343" s="22"/>
      <c r="N343" s="22"/>
      <c r="O343" s="91">
        <f>106679+1506+349689</f>
        <v>457874</v>
      </c>
      <c r="P343" s="91">
        <f>1520+354545+107556</f>
        <v>463621</v>
      </c>
      <c r="Q343" s="122"/>
      <c r="R343" s="200"/>
      <c r="S343" s="151">
        <v>1</v>
      </c>
      <c r="T343" s="91">
        <f t="shared" si="70"/>
        <v>5747</v>
      </c>
      <c r="U343" s="644" t="s">
        <v>418</v>
      </c>
      <c r="V343" s="698" t="s">
        <v>419</v>
      </c>
      <c r="W343" s="14" t="s">
        <v>212</v>
      </c>
      <c r="X343" s="7"/>
      <c r="Y343" s="7"/>
      <c r="Z343" s="7"/>
      <c r="AA343" s="7"/>
      <c r="AB343" s="7"/>
      <c r="AC343" s="7"/>
    </row>
    <row r="344" spans="1:29" ht="25.5">
      <c r="A344" s="19"/>
      <c r="B344" s="148" t="s">
        <v>829</v>
      </c>
      <c r="C344" s="91">
        <f t="shared" si="64"/>
        <v>238.61</v>
      </c>
      <c r="D344" s="91"/>
      <c r="E344" s="91">
        <f t="shared" si="65"/>
        <v>15.61</v>
      </c>
      <c r="F344" s="250">
        <f t="shared" si="66"/>
        <v>8.92</v>
      </c>
      <c r="G344" s="91">
        <f t="shared" si="67"/>
        <v>6.6899999999999995</v>
      </c>
      <c r="H344" s="91">
        <f t="shared" si="68"/>
        <v>223</v>
      </c>
      <c r="I344" s="91">
        <f>0.5*C344</f>
        <v>119.30500000000001</v>
      </c>
      <c r="J344" s="22"/>
      <c r="K344" s="22"/>
      <c r="L344" s="22"/>
      <c r="M344" s="22"/>
      <c r="N344" s="22"/>
      <c r="O344" s="91">
        <v>5920</v>
      </c>
      <c r="P344" s="91">
        <v>6143</v>
      </c>
      <c r="Q344" s="122"/>
      <c r="R344" s="200"/>
      <c r="S344" s="151">
        <v>1</v>
      </c>
      <c r="T344" s="91">
        <f t="shared" si="70"/>
        <v>223</v>
      </c>
      <c r="U344" s="644"/>
      <c r="V344" s="343" t="s">
        <v>822</v>
      </c>
      <c r="W344" s="14" t="s">
        <v>212</v>
      </c>
      <c r="X344" s="7"/>
      <c r="Y344" s="7"/>
      <c r="Z344" s="7"/>
      <c r="AA344" s="7"/>
      <c r="AB344" s="7"/>
      <c r="AC344" s="7"/>
    </row>
    <row r="345" spans="1:29" ht="25.5">
      <c r="A345" s="19"/>
      <c r="B345" s="148" t="s">
        <v>420</v>
      </c>
      <c r="C345" s="91">
        <f t="shared" si="64"/>
        <v>215.07</v>
      </c>
      <c r="D345" s="91"/>
      <c r="E345" s="91">
        <f t="shared" si="65"/>
        <v>14.07</v>
      </c>
      <c r="F345" s="91">
        <f t="shared" si="66"/>
        <v>8.0400000000000009</v>
      </c>
      <c r="G345" s="91">
        <f t="shared" si="67"/>
        <v>6.0299999999999994</v>
      </c>
      <c r="H345" s="91">
        <f t="shared" si="68"/>
        <v>201</v>
      </c>
      <c r="I345" s="91">
        <f>0.6*C345</f>
        <v>129.042</v>
      </c>
      <c r="J345" s="22"/>
      <c r="K345" s="22"/>
      <c r="L345" s="22"/>
      <c r="M345" s="22"/>
      <c r="N345" s="22" t="s">
        <v>421</v>
      </c>
      <c r="O345" s="91">
        <f>32988+68637</f>
        <v>101625</v>
      </c>
      <c r="P345" s="91">
        <f>33107+68719</f>
        <v>101826</v>
      </c>
      <c r="Q345" s="149"/>
      <c r="R345" s="161"/>
      <c r="S345" s="151">
        <v>1</v>
      </c>
      <c r="T345" s="91">
        <f t="shared" si="70"/>
        <v>201</v>
      </c>
      <c r="U345" s="728" t="s">
        <v>422</v>
      </c>
      <c r="V345" s="343" t="s">
        <v>423</v>
      </c>
      <c r="W345" s="14" t="s">
        <v>212</v>
      </c>
      <c r="X345" s="7"/>
      <c r="Y345" s="7"/>
      <c r="Z345" s="7"/>
      <c r="AA345" s="7"/>
      <c r="AB345" s="7"/>
      <c r="AC345" s="7"/>
    </row>
    <row r="346" spans="1:29" ht="25.5">
      <c r="A346" s="19"/>
      <c r="B346" s="148" t="s">
        <v>424</v>
      </c>
      <c r="C346" s="91">
        <f t="shared" si="64"/>
        <v>70.62</v>
      </c>
      <c r="D346" s="91"/>
      <c r="E346" s="91">
        <f t="shared" si="65"/>
        <v>4.62</v>
      </c>
      <c r="F346" s="340">
        <f t="shared" si="66"/>
        <v>2.64</v>
      </c>
      <c r="G346" s="91">
        <f t="shared" si="67"/>
        <v>1.98</v>
      </c>
      <c r="H346" s="91">
        <f t="shared" si="68"/>
        <v>66</v>
      </c>
      <c r="I346" s="91">
        <f>0.6*C346</f>
        <v>42.372</v>
      </c>
      <c r="J346" s="22"/>
      <c r="K346" s="22"/>
      <c r="L346" s="22"/>
      <c r="M346" s="22"/>
      <c r="N346" s="22"/>
      <c r="O346" s="91">
        <v>11473</v>
      </c>
      <c r="P346" s="91">
        <v>11539</v>
      </c>
      <c r="Q346" s="122"/>
      <c r="R346" s="200"/>
      <c r="S346" s="151">
        <v>1</v>
      </c>
      <c r="T346" s="91">
        <f t="shared" si="70"/>
        <v>66</v>
      </c>
      <c r="U346" s="644"/>
      <c r="V346" s="698" t="s">
        <v>425</v>
      </c>
      <c r="W346" s="14" t="s">
        <v>212</v>
      </c>
      <c r="X346" s="7"/>
      <c r="Y346" s="7"/>
      <c r="Z346" s="7"/>
      <c r="AA346" s="7"/>
      <c r="AB346" s="7"/>
      <c r="AC346" s="7"/>
    </row>
    <row r="347" spans="1:29" ht="25.5">
      <c r="A347" s="19"/>
      <c r="B347" s="664" t="s">
        <v>426</v>
      </c>
      <c r="C347" s="315">
        <f t="shared" si="64"/>
        <v>64.2</v>
      </c>
      <c r="D347" s="315"/>
      <c r="E347" s="315">
        <f t="shared" si="65"/>
        <v>4.1999999999999993</v>
      </c>
      <c r="F347" s="315">
        <f t="shared" si="66"/>
        <v>2.4</v>
      </c>
      <c r="G347" s="315">
        <f t="shared" si="67"/>
        <v>1.7999999999999998</v>
      </c>
      <c r="H347" s="315">
        <f t="shared" si="68"/>
        <v>60</v>
      </c>
      <c r="I347" s="315">
        <f>0.4*C347</f>
        <v>25.680000000000003</v>
      </c>
      <c r="J347" s="316"/>
      <c r="K347" s="316"/>
      <c r="L347" s="316"/>
      <c r="M347" s="316"/>
      <c r="N347" s="316"/>
      <c r="O347" s="315">
        <v>2724</v>
      </c>
      <c r="P347" s="315">
        <v>2784</v>
      </c>
      <c r="Q347" s="344"/>
      <c r="R347" s="579"/>
      <c r="S347" s="593">
        <v>1</v>
      </c>
      <c r="T347" s="315">
        <f t="shared" si="70"/>
        <v>60</v>
      </c>
      <c r="U347" s="712"/>
      <c r="V347" s="665" t="s">
        <v>427</v>
      </c>
      <c r="W347" s="14" t="s">
        <v>212</v>
      </c>
      <c r="X347" s="7"/>
      <c r="Y347" s="7"/>
      <c r="Z347" s="7"/>
      <c r="AA347" s="7"/>
      <c r="AB347" s="7"/>
      <c r="AC347" s="7"/>
    </row>
    <row r="348" spans="1:29" ht="24" customHeight="1">
      <c r="A348" s="19"/>
      <c r="B348" s="148" t="s">
        <v>947</v>
      </c>
      <c r="C348" s="28">
        <f t="shared" si="64"/>
        <v>0</v>
      </c>
      <c r="D348" s="28"/>
      <c r="E348" s="28">
        <f t="shared" si="65"/>
        <v>0</v>
      </c>
      <c r="F348" s="28">
        <f t="shared" si="66"/>
        <v>0</v>
      </c>
      <c r="G348" s="28">
        <f t="shared" si="67"/>
        <v>0</v>
      </c>
      <c r="H348" s="28">
        <f t="shared" si="68"/>
        <v>0</v>
      </c>
      <c r="I348" s="28">
        <f>0.6*C348</f>
        <v>0</v>
      </c>
      <c r="J348" s="29"/>
      <c r="K348" s="29"/>
      <c r="L348" s="29"/>
      <c r="M348" s="29"/>
      <c r="N348" s="29"/>
      <c r="O348" s="28">
        <v>3295</v>
      </c>
      <c r="P348" s="28">
        <v>3295</v>
      </c>
      <c r="Q348" s="29"/>
      <c r="R348" s="348"/>
      <c r="S348" s="28">
        <v>1</v>
      </c>
      <c r="T348" s="28">
        <f t="shared" si="70"/>
        <v>0</v>
      </c>
      <c r="U348" s="455"/>
      <c r="V348" s="474" t="s">
        <v>429</v>
      </c>
      <c r="W348" s="14" t="s">
        <v>212</v>
      </c>
      <c r="X348" s="7"/>
      <c r="Y348" s="7"/>
      <c r="Z348" s="7"/>
      <c r="AA348" s="7"/>
      <c r="AB348" s="7"/>
      <c r="AC348" s="7"/>
    </row>
    <row r="349" spans="1:29" s="195" customFormat="1" ht="25.5">
      <c r="A349" s="194"/>
      <c r="B349" s="148" t="s">
        <v>430</v>
      </c>
      <c r="C349" s="91">
        <f>H349+E349</f>
        <v>68.48</v>
      </c>
      <c r="D349" s="91"/>
      <c r="E349" s="91">
        <f t="shared" si="65"/>
        <v>4.4800000000000004</v>
      </c>
      <c r="F349" s="91">
        <f t="shared" si="66"/>
        <v>2.56</v>
      </c>
      <c r="G349" s="91">
        <f t="shared" si="67"/>
        <v>1.92</v>
      </c>
      <c r="H349" s="91">
        <f>T349</f>
        <v>64</v>
      </c>
      <c r="I349" s="91">
        <f>0.6*C349</f>
        <v>41.088000000000001</v>
      </c>
      <c r="J349" s="22"/>
      <c r="K349" s="22"/>
      <c r="L349" s="22"/>
      <c r="M349" s="22"/>
      <c r="N349" s="22"/>
      <c r="O349" s="91">
        <v>6978</v>
      </c>
      <c r="P349" s="91">
        <v>7102</v>
      </c>
      <c r="Q349" s="22"/>
      <c r="R349" s="142"/>
      <c r="S349" s="91">
        <v>1</v>
      </c>
      <c r="T349" s="91">
        <f>(P349-O349)*S349-T347</f>
        <v>64</v>
      </c>
      <c r="U349" s="644">
        <v>6099</v>
      </c>
      <c r="V349" s="698" t="s">
        <v>431</v>
      </c>
      <c r="W349" s="191" t="s">
        <v>212</v>
      </c>
      <c r="X349" s="86"/>
      <c r="Y349" s="86"/>
      <c r="Z349" s="86"/>
      <c r="AA349" s="86"/>
      <c r="AB349" s="86"/>
      <c r="AC349" s="86"/>
    </row>
    <row r="350" spans="1:29" ht="25.5">
      <c r="A350" s="19"/>
      <c r="B350" s="148" t="s">
        <v>934</v>
      </c>
      <c r="C350" s="91">
        <f>H350+E350</f>
        <v>0</v>
      </c>
      <c r="D350" s="91"/>
      <c r="E350" s="91">
        <f t="shared" si="65"/>
        <v>0</v>
      </c>
      <c r="F350" s="91">
        <f t="shared" si="66"/>
        <v>0</v>
      </c>
      <c r="G350" s="91">
        <f t="shared" si="67"/>
        <v>0</v>
      </c>
      <c r="H350" s="91">
        <f t="shared" si="68"/>
        <v>0</v>
      </c>
      <c r="I350" s="91">
        <f>0.6*C350</f>
        <v>0</v>
      </c>
      <c r="J350" s="22"/>
      <c r="K350" s="22"/>
      <c r="L350" s="22"/>
      <c r="M350" s="22"/>
      <c r="N350" s="22"/>
      <c r="O350" s="91">
        <v>1050</v>
      </c>
      <c r="P350" s="91">
        <v>1050</v>
      </c>
      <c r="Q350" s="22" t="s">
        <v>37</v>
      </c>
      <c r="R350" s="142"/>
      <c r="S350" s="151">
        <v>1</v>
      </c>
      <c r="T350" s="91">
        <f t="shared" ref="T350:T361" si="71">(P350-O350)*S350</f>
        <v>0</v>
      </c>
      <c r="U350" s="644">
        <v>451396</v>
      </c>
      <c r="V350" s="704" t="s">
        <v>944</v>
      </c>
      <c r="W350" s="14" t="s">
        <v>212</v>
      </c>
      <c r="X350" s="7"/>
      <c r="Y350" s="7"/>
      <c r="Z350" s="7"/>
      <c r="AA350" s="7"/>
      <c r="AB350" s="7"/>
      <c r="AC350" s="7"/>
    </row>
    <row r="351" spans="1:29" ht="25.5">
      <c r="A351" s="19"/>
      <c r="B351" s="148" t="s">
        <v>830</v>
      </c>
      <c r="C351" s="91">
        <f t="shared" si="64"/>
        <v>12.84</v>
      </c>
      <c r="D351" s="91"/>
      <c r="E351" s="91">
        <f t="shared" si="65"/>
        <v>0.84</v>
      </c>
      <c r="F351" s="91">
        <f t="shared" si="66"/>
        <v>0.48</v>
      </c>
      <c r="G351" s="91">
        <f t="shared" si="67"/>
        <v>0.36</v>
      </c>
      <c r="H351" s="91">
        <f t="shared" si="68"/>
        <v>12</v>
      </c>
      <c r="I351" s="91">
        <f>0.6*C351</f>
        <v>7.7039999999999997</v>
      </c>
      <c r="J351" s="22"/>
      <c r="K351" s="22"/>
      <c r="L351" s="22"/>
      <c r="M351" s="22"/>
      <c r="N351" s="22"/>
      <c r="O351" s="91">
        <v>6941</v>
      </c>
      <c r="P351" s="91">
        <v>6953</v>
      </c>
      <c r="Q351" s="22" t="s">
        <v>37</v>
      </c>
      <c r="R351" s="142"/>
      <c r="S351" s="151">
        <v>1</v>
      </c>
      <c r="T351" s="91">
        <f t="shared" si="71"/>
        <v>12</v>
      </c>
      <c r="U351" s="644">
        <v>451396</v>
      </c>
      <c r="V351" s="698" t="s">
        <v>434</v>
      </c>
      <c r="W351" s="14" t="s">
        <v>212</v>
      </c>
      <c r="X351" s="7"/>
      <c r="Y351" s="7"/>
      <c r="Z351" s="7"/>
      <c r="AA351" s="7"/>
      <c r="AB351" s="7"/>
      <c r="AC351" s="7"/>
    </row>
    <row r="352" spans="1:29" ht="25.5">
      <c r="A352" s="19"/>
      <c r="B352" s="660" t="s">
        <v>689</v>
      </c>
      <c r="C352" s="91">
        <f>H352+E352</f>
        <v>38.520000000000003</v>
      </c>
      <c r="D352" s="91"/>
      <c r="E352" s="91">
        <f>F352+G352</f>
        <v>2.52</v>
      </c>
      <c r="F352" s="91">
        <f>0.04*H352</f>
        <v>1.44</v>
      </c>
      <c r="G352" s="91">
        <f>0.03*H352</f>
        <v>1.08</v>
      </c>
      <c r="H352" s="91">
        <f>T352</f>
        <v>36</v>
      </c>
      <c r="I352" s="91">
        <f>0.6*C352</f>
        <v>23.112000000000002</v>
      </c>
      <c r="J352" s="22"/>
      <c r="K352" s="22"/>
      <c r="L352" s="22"/>
      <c r="M352" s="22"/>
      <c r="N352" s="22"/>
      <c r="O352" s="91">
        <v>10359</v>
      </c>
      <c r="P352" s="91">
        <v>10395</v>
      </c>
      <c r="Q352" s="22"/>
      <c r="R352" s="142"/>
      <c r="S352" s="151">
        <v>1</v>
      </c>
      <c r="T352" s="91">
        <f>(P352-O352)*S352</f>
        <v>36</v>
      </c>
      <c r="U352" s="644"/>
      <c r="V352" s="704" t="s">
        <v>435</v>
      </c>
      <c r="W352" s="14" t="s">
        <v>212</v>
      </c>
      <c r="X352" s="7"/>
      <c r="Y352" s="7"/>
      <c r="Z352" s="7"/>
      <c r="AA352" s="7"/>
      <c r="AB352" s="7"/>
      <c r="AC352" s="7"/>
    </row>
    <row r="353" spans="1:29" ht="25.5">
      <c r="A353" s="19"/>
      <c r="B353" s="148" t="s">
        <v>436</v>
      </c>
      <c r="C353" s="91">
        <f t="shared" si="64"/>
        <v>0</v>
      </c>
      <c r="D353" s="91"/>
      <c r="E353" s="91">
        <f t="shared" si="65"/>
        <v>0</v>
      </c>
      <c r="F353" s="91">
        <f t="shared" si="66"/>
        <v>0</v>
      </c>
      <c r="G353" s="91">
        <f t="shared" si="67"/>
        <v>0</v>
      </c>
      <c r="H353" s="91">
        <f t="shared" si="68"/>
        <v>0</v>
      </c>
      <c r="I353" s="91">
        <f>0.4*C353</f>
        <v>0</v>
      </c>
      <c r="J353" s="22"/>
      <c r="K353" s="22"/>
      <c r="L353" s="22"/>
      <c r="M353" s="22"/>
      <c r="N353" s="22"/>
      <c r="O353" s="91">
        <v>10404</v>
      </c>
      <c r="P353" s="91">
        <v>10404</v>
      </c>
      <c r="Q353" s="122"/>
      <c r="R353" s="173"/>
      <c r="S353" s="151">
        <v>1</v>
      </c>
      <c r="T353" s="91">
        <f t="shared" si="71"/>
        <v>0</v>
      </c>
      <c r="U353" s="644">
        <v>382548</v>
      </c>
      <c r="V353" s="698" t="s">
        <v>437</v>
      </c>
      <c r="W353" s="14" t="s">
        <v>212</v>
      </c>
      <c r="X353" s="7"/>
      <c r="Y353" s="7"/>
      <c r="Z353" s="7"/>
      <c r="AA353" s="7"/>
      <c r="AB353" s="7"/>
      <c r="AC353" s="7"/>
    </row>
    <row r="354" spans="1:29" s="195" customFormat="1" ht="25.5">
      <c r="A354" s="194"/>
      <c r="B354" s="148" t="s">
        <v>438</v>
      </c>
      <c r="C354" s="91">
        <f t="shared" si="64"/>
        <v>112.35</v>
      </c>
      <c r="D354" s="91"/>
      <c r="E354" s="91">
        <f t="shared" si="65"/>
        <v>7.35</v>
      </c>
      <c r="F354" s="91">
        <f t="shared" si="66"/>
        <v>4.2</v>
      </c>
      <c r="G354" s="91">
        <f t="shared" si="67"/>
        <v>3.15</v>
      </c>
      <c r="H354" s="91">
        <f t="shared" si="68"/>
        <v>105</v>
      </c>
      <c r="I354" s="91">
        <f>0.4*C354</f>
        <v>44.94</v>
      </c>
      <c r="J354" s="22"/>
      <c r="K354" s="22"/>
      <c r="L354" s="22"/>
      <c r="M354" s="22"/>
      <c r="N354" s="22"/>
      <c r="O354" s="91">
        <v>1869</v>
      </c>
      <c r="P354" s="91">
        <v>1974</v>
      </c>
      <c r="Q354" s="122"/>
      <c r="R354" s="173"/>
      <c r="S354" s="151">
        <v>1</v>
      </c>
      <c r="T354" s="91">
        <f t="shared" si="71"/>
        <v>105</v>
      </c>
      <c r="U354" s="644"/>
      <c r="V354" s="698" t="s">
        <v>439</v>
      </c>
      <c r="W354" s="191" t="s">
        <v>212</v>
      </c>
      <c r="X354" s="86"/>
      <c r="Y354" s="86"/>
      <c r="Z354" s="86"/>
      <c r="AA354" s="86"/>
      <c r="AB354" s="86"/>
      <c r="AC354" s="86"/>
    </row>
    <row r="355" spans="1:29" ht="25.5">
      <c r="A355" s="19"/>
      <c r="B355" s="148" t="s">
        <v>440</v>
      </c>
      <c r="C355" s="91">
        <f>E355+H355</f>
        <v>255.73</v>
      </c>
      <c r="D355" s="91"/>
      <c r="E355" s="91">
        <f t="shared" si="65"/>
        <v>16.73</v>
      </c>
      <c r="F355" s="91">
        <f t="shared" si="66"/>
        <v>9.56</v>
      </c>
      <c r="G355" s="91">
        <f t="shared" si="67"/>
        <v>7.17</v>
      </c>
      <c r="H355" s="91">
        <f t="shared" si="68"/>
        <v>239</v>
      </c>
      <c r="I355" s="91">
        <f>H355*0.5</f>
        <v>119.5</v>
      </c>
      <c r="J355" s="244"/>
      <c r="K355" s="244"/>
      <c r="L355" s="244"/>
      <c r="M355" s="244"/>
      <c r="N355" s="244"/>
      <c r="O355" s="91">
        <v>4055</v>
      </c>
      <c r="P355" s="91">
        <v>4294</v>
      </c>
      <c r="Q355" s="244"/>
      <c r="R355" s="92"/>
      <c r="S355" s="151">
        <v>1</v>
      </c>
      <c r="T355" s="91">
        <f t="shared" si="71"/>
        <v>239</v>
      </c>
      <c r="U355" s="644" t="s">
        <v>441</v>
      </c>
      <c r="V355" s="698" t="s">
        <v>823</v>
      </c>
      <c r="W355" s="14" t="s">
        <v>212</v>
      </c>
      <c r="X355" s="7"/>
      <c r="Y355" s="7"/>
      <c r="Z355" s="7"/>
      <c r="AA355" s="7"/>
      <c r="AB355" s="7"/>
      <c r="AC355" s="7"/>
    </row>
    <row r="356" spans="1:29" ht="69.75">
      <c r="A356" s="19"/>
      <c r="B356" s="587" t="s">
        <v>946</v>
      </c>
      <c r="C356" s="229">
        <f>H356+E356</f>
        <v>269.64</v>
      </c>
      <c r="D356" s="229"/>
      <c r="E356" s="229">
        <f>G356+F356</f>
        <v>17.64</v>
      </c>
      <c r="F356" s="229">
        <f t="shared" si="66"/>
        <v>10.08</v>
      </c>
      <c r="G356" s="229">
        <f t="shared" si="67"/>
        <v>7.56</v>
      </c>
      <c r="H356" s="229">
        <f t="shared" si="68"/>
        <v>252</v>
      </c>
      <c r="I356" s="229">
        <f>0.6*C356</f>
        <v>161.78399999999999</v>
      </c>
      <c r="J356" s="634"/>
      <c r="K356" s="634"/>
      <c r="L356" s="634"/>
      <c r="M356" s="634"/>
      <c r="N356" s="634"/>
      <c r="O356" s="229">
        <v>35576</v>
      </c>
      <c r="P356" s="229">
        <v>35828</v>
      </c>
      <c r="Q356" s="635"/>
      <c r="R356" s="636"/>
      <c r="S356" s="637">
        <v>1</v>
      </c>
      <c r="T356" s="229">
        <f t="shared" si="71"/>
        <v>252</v>
      </c>
      <c r="U356" s="644">
        <v>492280</v>
      </c>
      <c r="V356" s="698" t="s">
        <v>443</v>
      </c>
      <c r="W356" s="14" t="s">
        <v>212</v>
      </c>
      <c r="X356" s="7"/>
      <c r="Y356" s="7"/>
      <c r="Z356" s="7"/>
      <c r="AA356" s="7"/>
      <c r="AB356" s="7"/>
      <c r="AC356" s="7"/>
    </row>
    <row r="357" spans="1:29" ht="25.5">
      <c r="A357" s="19"/>
      <c r="B357" s="148" t="s">
        <v>444</v>
      </c>
      <c r="C357" s="91">
        <f>H357+E357</f>
        <v>354.17</v>
      </c>
      <c r="D357" s="91"/>
      <c r="E357" s="91">
        <f>G357+F357</f>
        <v>23.17</v>
      </c>
      <c r="F357" s="91">
        <f t="shared" si="66"/>
        <v>13.24</v>
      </c>
      <c r="G357" s="91">
        <f t="shared" si="67"/>
        <v>9.93</v>
      </c>
      <c r="H357" s="91">
        <f t="shared" si="68"/>
        <v>331</v>
      </c>
      <c r="I357" s="91">
        <f>0.6*C357</f>
        <v>212.50200000000001</v>
      </c>
      <c r="J357" s="22"/>
      <c r="K357" s="22"/>
      <c r="L357" s="22"/>
      <c r="M357" s="22"/>
      <c r="N357" s="22"/>
      <c r="O357" s="91">
        <v>62004</v>
      </c>
      <c r="P357" s="91">
        <v>62335</v>
      </c>
      <c r="Q357" s="149"/>
      <c r="R357" s="161"/>
      <c r="S357" s="151">
        <v>1</v>
      </c>
      <c r="T357" s="91">
        <f t="shared" si="71"/>
        <v>331</v>
      </c>
      <c r="U357" s="644">
        <v>38602</v>
      </c>
      <c r="V357" s="698" t="s">
        <v>445</v>
      </c>
      <c r="W357" s="14" t="s">
        <v>212</v>
      </c>
      <c r="X357" s="7"/>
      <c r="Y357" s="7"/>
      <c r="Z357" s="7"/>
      <c r="AA357" s="7"/>
      <c r="AB357" s="7"/>
      <c r="AC357" s="7"/>
    </row>
    <row r="358" spans="1:29" ht="25.5">
      <c r="A358" s="19"/>
      <c r="B358" s="148" t="s">
        <v>446</v>
      </c>
      <c r="C358" s="91">
        <f>H358+E358</f>
        <v>364.87</v>
      </c>
      <c r="D358" s="91"/>
      <c r="E358" s="91">
        <f t="shared" ref="E358:E369" si="72">F358+G358</f>
        <v>23.87</v>
      </c>
      <c r="F358" s="91">
        <f t="shared" si="66"/>
        <v>13.64</v>
      </c>
      <c r="G358" s="91">
        <f t="shared" si="67"/>
        <v>10.23</v>
      </c>
      <c r="H358" s="91">
        <f t="shared" si="68"/>
        <v>341</v>
      </c>
      <c r="I358" s="91">
        <f>0.6*C358</f>
        <v>218.922</v>
      </c>
      <c r="J358" s="22"/>
      <c r="K358" s="22"/>
      <c r="L358" s="22"/>
      <c r="M358" s="22"/>
      <c r="N358" s="22"/>
      <c r="O358" s="91">
        <v>26996</v>
      </c>
      <c r="P358" s="91">
        <v>27337</v>
      </c>
      <c r="Q358" s="122"/>
      <c r="R358" s="173"/>
      <c r="S358" s="91">
        <v>1</v>
      </c>
      <c r="T358" s="91">
        <f t="shared" si="71"/>
        <v>341</v>
      </c>
      <c r="U358" s="644">
        <v>5978</v>
      </c>
      <c r="V358" s="698" t="s">
        <v>447</v>
      </c>
      <c r="W358" s="14" t="s">
        <v>212</v>
      </c>
      <c r="X358" s="7"/>
      <c r="Y358" s="7"/>
      <c r="Z358" s="7"/>
      <c r="AA358" s="7"/>
      <c r="AB358" s="7"/>
      <c r="AC358" s="7"/>
    </row>
    <row r="359" spans="1:29" ht="25.5">
      <c r="A359" s="19"/>
      <c r="B359" s="148" t="s">
        <v>691</v>
      </c>
      <c r="C359" s="91">
        <f>E359+H359</f>
        <v>732.95</v>
      </c>
      <c r="D359" s="91"/>
      <c r="E359" s="91">
        <f t="shared" si="72"/>
        <v>47.95</v>
      </c>
      <c r="F359" s="91">
        <f t="shared" si="66"/>
        <v>27.400000000000002</v>
      </c>
      <c r="G359" s="91">
        <f t="shared" si="67"/>
        <v>20.55</v>
      </c>
      <c r="H359" s="91">
        <f t="shared" si="68"/>
        <v>685</v>
      </c>
      <c r="I359" s="91">
        <f>H359*0.5</f>
        <v>342.5</v>
      </c>
      <c r="J359" s="244"/>
      <c r="K359" s="244"/>
      <c r="L359" s="244"/>
      <c r="M359" s="244"/>
      <c r="N359" s="244"/>
      <c r="O359" s="91">
        <v>73578</v>
      </c>
      <c r="P359" s="91">
        <v>74263</v>
      </c>
      <c r="Q359" s="244"/>
      <c r="R359" s="92"/>
      <c r="S359" s="151">
        <v>1</v>
      </c>
      <c r="T359" s="91">
        <f t="shared" si="71"/>
        <v>685</v>
      </c>
      <c r="U359" s="644" t="s">
        <v>441</v>
      </c>
      <c r="V359" s="698" t="s">
        <v>448</v>
      </c>
      <c r="W359" s="14" t="s">
        <v>212</v>
      </c>
      <c r="X359" s="7"/>
      <c r="Y359" s="7"/>
      <c r="Z359" s="7"/>
      <c r="AA359" s="7"/>
      <c r="AB359" s="7"/>
      <c r="AC359" s="7"/>
    </row>
    <row r="360" spans="1:29" ht="25.5">
      <c r="A360" s="19"/>
      <c r="B360" s="638" t="s">
        <v>449</v>
      </c>
      <c r="C360" s="91">
        <f t="shared" ref="C360:C366" si="73">H360+E360</f>
        <v>481.5</v>
      </c>
      <c r="D360" s="91"/>
      <c r="E360" s="91">
        <f t="shared" si="72"/>
        <v>31.5</v>
      </c>
      <c r="F360" s="91">
        <f t="shared" si="66"/>
        <v>18</v>
      </c>
      <c r="G360" s="91">
        <f t="shared" si="67"/>
        <v>13.5</v>
      </c>
      <c r="H360" s="91">
        <f t="shared" si="68"/>
        <v>450</v>
      </c>
      <c r="I360" s="91">
        <f t="shared" ref="I360:I367" si="74">0.6*C360</f>
        <v>288.89999999999998</v>
      </c>
      <c r="J360" s="22"/>
      <c r="K360" s="22"/>
      <c r="L360" s="22"/>
      <c r="M360" s="22"/>
      <c r="N360" s="22"/>
      <c r="O360" s="91">
        <v>23118</v>
      </c>
      <c r="P360" s="91">
        <v>23568</v>
      </c>
      <c r="Q360" s="122"/>
      <c r="R360" s="173"/>
      <c r="S360" s="151">
        <v>1</v>
      </c>
      <c r="T360" s="91">
        <f t="shared" si="71"/>
        <v>450</v>
      </c>
      <c r="U360" s="644"/>
      <c r="V360" s="698" t="s">
        <v>450</v>
      </c>
      <c r="W360" s="14" t="s">
        <v>212</v>
      </c>
      <c r="X360" s="7"/>
      <c r="Y360" s="7"/>
      <c r="Z360" s="7"/>
      <c r="AA360" s="7"/>
      <c r="AB360" s="7"/>
      <c r="AC360" s="7"/>
    </row>
    <row r="361" spans="1:29" ht="25.5">
      <c r="A361" s="19"/>
      <c r="B361" s="638" t="s">
        <v>449</v>
      </c>
      <c r="C361" s="91">
        <f t="shared" si="73"/>
        <v>516.80999999999995</v>
      </c>
      <c r="D361" s="91"/>
      <c r="E361" s="91">
        <f t="shared" si="72"/>
        <v>33.81</v>
      </c>
      <c r="F361" s="91">
        <f t="shared" si="66"/>
        <v>19.32</v>
      </c>
      <c r="G361" s="91">
        <f t="shared" si="67"/>
        <v>14.49</v>
      </c>
      <c r="H361" s="91">
        <f t="shared" si="68"/>
        <v>483</v>
      </c>
      <c r="I361" s="91">
        <f t="shared" si="74"/>
        <v>310.08599999999996</v>
      </c>
      <c r="J361" s="22"/>
      <c r="K361" s="22"/>
      <c r="L361" s="22"/>
      <c r="M361" s="22"/>
      <c r="N361" s="22"/>
      <c r="O361" s="91">
        <v>9457</v>
      </c>
      <c r="P361" s="91">
        <v>9940</v>
      </c>
      <c r="Q361" s="122"/>
      <c r="R361" s="173"/>
      <c r="S361" s="151">
        <v>1</v>
      </c>
      <c r="T361" s="91">
        <f t="shared" si="71"/>
        <v>483</v>
      </c>
      <c r="U361" s="644"/>
      <c r="V361" s="698" t="s">
        <v>690</v>
      </c>
      <c r="W361" s="14"/>
      <c r="X361" s="7"/>
      <c r="Y361" s="7"/>
      <c r="Z361" s="7"/>
      <c r="AA361" s="7"/>
      <c r="AB361" s="7"/>
      <c r="AC361" s="7"/>
    </row>
    <row r="362" spans="1:29" ht="30" customHeight="1">
      <c r="A362" s="19"/>
      <c r="B362" s="639" t="s">
        <v>451</v>
      </c>
      <c r="C362" s="91">
        <f>H362+E362</f>
        <v>1744.1</v>
      </c>
      <c r="D362" s="91"/>
      <c r="E362" s="91">
        <f t="shared" si="72"/>
        <v>114.1</v>
      </c>
      <c r="F362" s="91">
        <f t="shared" si="66"/>
        <v>65.2</v>
      </c>
      <c r="G362" s="91">
        <f t="shared" si="67"/>
        <v>48.9</v>
      </c>
      <c r="H362" s="91">
        <f t="shared" si="68"/>
        <v>1630</v>
      </c>
      <c r="I362" s="91">
        <f>0.6*C362</f>
        <v>1046.4599999999998</v>
      </c>
      <c r="J362" s="22"/>
      <c r="K362" s="22"/>
      <c r="L362" s="22"/>
      <c r="M362" s="22"/>
      <c r="N362" s="22"/>
      <c r="O362" s="91">
        <f>6280+48600+20400</f>
        <v>75280</v>
      </c>
      <c r="P362" s="91">
        <f>6730+49080+21100</f>
        <v>76910</v>
      </c>
      <c r="Q362" s="122"/>
      <c r="R362" s="173"/>
      <c r="S362" s="91">
        <v>1</v>
      </c>
      <c r="T362" s="91">
        <f>(P362-O362)*S362</f>
        <v>1630</v>
      </c>
      <c r="U362" s="644" t="s">
        <v>452</v>
      </c>
      <c r="V362" s="698" t="s">
        <v>886</v>
      </c>
      <c r="W362" s="14" t="s">
        <v>212</v>
      </c>
      <c r="X362" s="7"/>
      <c r="Y362" s="7"/>
      <c r="Z362" s="7"/>
      <c r="AA362" s="7"/>
      <c r="AB362" s="7"/>
      <c r="AC362" s="7"/>
    </row>
    <row r="363" spans="1:29" ht="29.25" customHeight="1">
      <c r="A363" s="19"/>
      <c r="B363" s="148"/>
      <c r="C363" s="91">
        <f t="shared" si="73"/>
        <v>0</v>
      </c>
      <c r="D363" s="91"/>
      <c r="E363" s="91">
        <f t="shared" si="72"/>
        <v>0</v>
      </c>
      <c r="F363" s="91">
        <f t="shared" si="66"/>
        <v>0</v>
      </c>
      <c r="G363" s="91">
        <f t="shared" si="67"/>
        <v>0</v>
      </c>
      <c r="H363" s="91">
        <f t="shared" si="68"/>
        <v>0</v>
      </c>
      <c r="I363" s="91">
        <f>0.6*C363</f>
        <v>0</v>
      </c>
      <c r="J363" s="22"/>
      <c r="K363" s="22"/>
      <c r="L363" s="22"/>
      <c r="M363" s="22"/>
      <c r="N363" s="22"/>
      <c r="O363" s="91">
        <v>18584</v>
      </c>
      <c r="P363" s="91">
        <v>18584</v>
      </c>
      <c r="Q363" s="149"/>
      <c r="R363" s="161"/>
      <c r="S363" s="151">
        <v>1</v>
      </c>
      <c r="T363" s="91">
        <f>(P363-O363)*S363</f>
        <v>0</v>
      </c>
      <c r="U363" s="732">
        <f>560+40550+11760+8365</f>
        <v>61235</v>
      </c>
      <c r="V363" s="698" t="s">
        <v>454</v>
      </c>
      <c r="W363" s="14" t="s">
        <v>212</v>
      </c>
      <c r="X363" s="7"/>
      <c r="Y363" s="7"/>
      <c r="Z363" s="7"/>
      <c r="AA363" s="7"/>
      <c r="AB363" s="7"/>
      <c r="AC363" s="7"/>
    </row>
    <row r="364" spans="1:29" ht="24" customHeight="1">
      <c r="A364" s="19"/>
      <c r="B364" s="148"/>
      <c r="C364" s="91">
        <f t="shared" si="73"/>
        <v>0</v>
      </c>
      <c r="D364" s="91"/>
      <c r="E364" s="91">
        <f t="shared" si="72"/>
        <v>0</v>
      </c>
      <c r="F364" s="91">
        <f t="shared" si="66"/>
        <v>0</v>
      </c>
      <c r="G364" s="91">
        <f t="shared" si="67"/>
        <v>0</v>
      </c>
      <c r="H364" s="91">
        <f t="shared" si="68"/>
        <v>0</v>
      </c>
      <c r="I364" s="91">
        <f t="shared" si="74"/>
        <v>0</v>
      </c>
      <c r="J364" s="22"/>
      <c r="K364" s="22"/>
      <c r="L364" s="22"/>
      <c r="M364" s="22"/>
      <c r="N364" s="22"/>
      <c r="O364" s="91">
        <v>12992</v>
      </c>
      <c r="P364" s="91">
        <v>12992</v>
      </c>
      <c r="Q364" s="22" t="s">
        <v>33</v>
      </c>
      <c r="R364" s="142"/>
      <c r="S364" s="91">
        <v>1</v>
      </c>
      <c r="T364" s="91">
        <f>P364-O364</f>
        <v>0</v>
      </c>
      <c r="U364" s="644">
        <v>1591</v>
      </c>
      <c r="V364" s="698" t="s">
        <v>455</v>
      </c>
      <c r="W364" s="14" t="s">
        <v>212</v>
      </c>
      <c r="X364" s="7"/>
      <c r="Y364" s="7"/>
      <c r="Z364" s="7"/>
      <c r="AA364" s="7"/>
      <c r="AB364" s="7"/>
      <c r="AC364" s="7"/>
    </row>
    <row r="365" spans="1:29" ht="26.25" customHeight="1">
      <c r="A365" s="19"/>
      <c r="B365" s="566" t="s">
        <v>889</v>
      </c>
      <c r="C365" s="91">
        <f t="shared" si="73"/>
        <v>209.72</v>
      </c>
      <c r="D365" s="91"/>
      <c r="E365" s="91">
        <f t="shared" si="72"/>
        <v>13.719999999999999</v>
      </c>
      <c r="F365" s="91">
        <f t="shared" si="66"/>
        <v>7.84</v>
      </c>
      <c r="G365" s="91">
        <f t="shared" si="67"/>
        <v>5.88</v>
      </c>
      <c r="H365" s="91">
        <f t="shared" si="68"/>
        <v>196</v>
      </c>
      <c r="I365" s="91">
        <f t="shared" si="74"/>
        <v>125.83199999999999</v>
      </c>
      <c r="J365" s="22"/>
      <c r="K365" s="22"/>
      <c r="L365" s="22"/>
      <c r="M365" s="22"/>
      <c r="N365" s="22"/>
      <c r="O365" s="91">
        <v>9350</v>
      </c>
      <c r="P365" s="91">
        <v>9546</v>
      </c>
      <c r="Q365" s="22" t="s">
        <v>33</v>
      </c>
      <c r="R365" s="142"/>
      <c r="S365" s="91">
        <v>1</v>
      </c>
      <c r="T365" s="91">
        <f>P365-O365</f>
        <v>196</v>
      </c>
      <c r="U365" s="644"/>
      <c r="V365" s="698" t="s">
        <v>887</v>
      </c>
      <c r="W365" s="14" t="s">
        <v>212</v>
      </c>
      <c r="X365" s="7"/>
      <c r="Y365" s="7"/>
      <c r="Z365" s="7"/>
      <c r="AA365" s="7"/>
      <c r="AB365" s="7"/>
      <c r="AC365" s="7"/>
    </row>
    <row r="366" spans="1:29" ht="25.5">
      <c r="A366" s="19"/>
      <c r="B366" s="660" t="s">
        <v>457</v>
      </c>
      <c r="C366" s="91">
        <f t="shared" si="73"/>
        <v>220.42</v>
      </c>
      <c r="D366" s="91"/>
      <c r="E366" s="91">
        <f t="shared" si="72"/>
        <v>14.42</v>
      </c>
      <c r="F366" s="91">
        <f t="shared" si="66"/>
        <v>8.24</v>
      </c>
      <c r="G366" s="91">
        <f t="shared" si="67"/>
        <v>6.18</v>
      </c>
      <c r="H366" s="91">
        <f t="shared" si="68"/>
        <v>206</v>
      </c>
      <c r="I366" s="91">
        <f t="shared" si="74"/>
        <v>132.25199999999998</v>
      </c>
      <c r="J366" s="22"/>
      <c r="K366" s="22"/>
      <c r="L366" s="22"/>
      <c r="M366" s="22"/>
      <c r="N366" s="22"/>
      <c r="O366" s="91">
        <v>15729</v>
      </c>
      <c r="P366" s="91">
        <v>15935</v>
      </c>
      <c r="Q366" s="22"/>
      <c r="R366" s="142"/>
      <c r="S366" s="91">
        <v>1</v>
      </c>
      <c r="T366" s="91">
        <f t="shared" ref="T366:T377" si="75">(P366-O366)*S366</f>
        <v>206</v>
      </c>
      <c r="U366" s="644">
        <v>783398</v>
      </c>
      <c r="V366" s="698" t="s">
        <v>458</v>
      </c>
      <c r="W366" s="14" t="s">
        <v>212</v>
      </c>
      <c r="X366" s="7"/>
      <c r="Y366" s="7"/>
      <c r="Z366" s="7"/>
      <c r="AA366" s="7"/>
      <c r="AB366" s="7"/>
      <c r="AC366" s="7"/>
    </row>
    <row r="367" spans="1:29" ht="25.5">
      <c r="A367" s="19"/>
      <c r="B367" s="148" t="s">
        <v>459</v>
      </c>
      <c r="C367" s="91">
        <f>H367+E367</f>
        <v>26.75</v>
      </c>
      <c r="D367" s="91"/>
      <c r="E367" s="91">
        <f t="shared" si="72"/>
        <v>1.75</v>
      </c>
      <c r="F367" s="91">
        <f t="shared" si="66"/>
        <v>1</v>
      </c>
      <c r="G367" s="91">
        <f t="shared" si="67"/>
        <v>0.75</v>
      </c>
      <c r="H367" s="91">
        <f t="shared" si="68"/>
        <v>25</v>
      </c>
      <c r="I367" s="91">
        <f t="shared" si="74"/>
        <v>16.05</v>
      </c>
      <c r="J367" s="22"/>
      <c r="K367" s="22"/>
      <c r="L367" s="22"/>
      <c r="M367" s="22"/>
      <c r="N367" s="22" t="s">
        <v>460</v>
      </c>
      <c r="O367" s="340">
        <v>27927</v>
      </c>
      <c r="P367" s="340">
        <v>27952</v>
      </c>
      <c r="Q367" s="122"/>
      <c r="R367" s="173"/>
      <c r="S367" s="151">
        <v>1</v>
      </c>
      <c r="T367" s="91">
        <f t="shared" si="75"/>
        <v>25</v>
      </c>
      <c r="U367" s="644">
        <v>540368</v>
      </c>
      <c r="V367" s="698" t="s">
        <v>461</v>
      </c>
      <c r="W367" s="14" t="s">
        <v>212</v>
      </c>
      <c r="X367" s="7"/>
      <c r="Y367" s="7"/>
      <c r="Z367" s="7"/>
      <c r="AA367" s="7"/>
      <c r="AB367" s="7"/>
      <c r="AC367" s="7"/>
    </row>
    <row r="368" spans="1:29" ht="26.25">
      <c r="A368" s="19"/>
      <c r="B368" s="559" t="s">
        <v>462</v>
      </c>
      <c r="C368" s="549">
        <f>H368+E368</f>
        <v>0</v>
      </c>
      <c r="D368" s="549"/>
      <c r="E368" s="549">
        <f t="shared" si="72"/>
        <v>0</v>
      </c>
      <c r="F368" s="549">
        <f t="shared" si="66"/>
        <v>0</v>
      </c>
      <c r="G368" s="549">
        <f t="shared" si="67"/>
        <v>0</v>
      </c>
      <c r="H368" s="549">
        <f>T368</f>
        <v>0</v>
      </c>
      <c r="I368" s="560">
        <f>0.5*C368</f>
        <v>0</v>
      </c>
      <c r="J368" s="550"/>
      <c r="K368" s="550"/>
      <c r="L368" s="550"/>
      <c r="M368" s="550"/>
      <c r="N368" s="550"/>
      <c r="O368" s="549">
        <v>9</v>
      </c>
      <c r="P368" s="549">
        <v>9</v>
      </c>
      <c r="Q368" s="561"/>
      <c r="R368" s="562"/>
      <c r="S368" s="563">
        <v>1</v>
      </c>
      <c r="T368" s="549">
        <f t="shared" si="75"/>
        <v>0</v>
      </c>
      <c r="U368" s="729"/>
      <c r="V368" s="552" t="s">
        <v>463</v>
      </c>
      <c r="W368" s="14" t="s">
        <v>212</v>
      </c>
      <c r="X368" s="7"/>
      <c r="Y368" s="7"/>
      <c r="Z368" s="7"/>
      <c r="AA368" s="7"/>
      <c r="AB368" s="7"/>
      <c r="AC368" s="7"/>
    </row>
    <row r="369" spans="1:29" ht="26.25">
      <c r="A369" s="19"/>
      <c r="B369" s="27" t="s">
        <v>464</v>
      </c>
      <c r="C369" s="28">
        <f t="shared" ref="C369:C376" si="76">H369+E369</f>
        <v>19.260000000000002</v>
      </c>
      <c r="D369" s="28"/>
      <c r="E369" s="28">
        <f t="shared" si="72"/>
        <v>1.26</v>
      </c>
      <c r="F369" s="28">
        <f t="shared" si="66"/>
        <v>0.72</v>
      </c>
      <c r="G369" s="28">
        <f t="shared" si="67"/>
        <v>0.54</v>
      </c>
      <c r="H369" s="28">
        <f>T369</f>
        <v>18</v>
      </c>
      <c r="I369" s="28">
        <f>0.5*C369</f>
        <v>9.6300000000000008</v>
      </c>
      <c r="J369" s="29"/>
      <c r="K369" s="29"/>
      <c r="L369" s="29"/>
      <c r="M369" s="29"/>
      <c r="N369" s="29"/>
      <c r="O369" s="28">
        <v>4844</v>
      </c>
      <c r="P369" s="28">
        <v>4862</v>
      </c>
      <c r="Q369" s="30"/>
      <c r="R369" s="351"/>
      <c r="S369" s="171">
        <v>1</v>
      </c>
      <c r="T369" s="28">
        <f t="shared" si="75"/>
        <v>18</v>
      </c>
      <c r="U369" s="455">
        <v>421550</v>
      </c>
      <c r="V369" s="693" t="s">
        <v>465</v>
      </c>
      <c r="W369" s="14" t="s">
        <v>212</v>
      </c>
      <c r="X369" s="7"/>
      <c r="Y369" s="7"/>
      <c r="Z369" s="7"/>
      <c r="AA369" s="7"/>
      <c r="AB369" s="7"/>
      <c r="AC369" s="7"/>
    </row>
    <row r="370" spans="1:29" s="195" customFormat="1" ht="25.5">
      <c r="A370" s="194"/>
      <c r="B370" s="148" t="s">
        <v>692</v>
      </c>
      <c r="C370" s="91">
        <f t="shared" si="76"/>
        <v>191.53</v>
      </c>
      <c r="D370" s="91"/>
      <c r="E370" s="91">
        <f>G370+F370</f>
        <v>12.530000000000001</v>
      </c>
      <c r="F370" s="91">
        <f t="shared" si="66"/>
        <v>7.16</v>
      </c>
      <c r="G370" s="91">
        <f t="shared" si="67"/>
        <v>5.37</v>
      </c>
      <c r="H370" s="91">
        <f>T370</f>
        <v>179</v>
      </c>
      <c r="I370" s="91">
        <f>0.6*C370</f>
        <v>114.91799999999999</v>
      </c>
      <c r="J370" s="22"/>
      <c r="K370" s="22"/>
      <c r="L370" s="22"/>
      <c r="M370" s="22"/>
      <c r="N370" s="22"/>
      <c r="O370" s="91">
        <v>33780</v>
      </c>
      <c r="P370" s="91">
        <v>33959</v>
      </c>
      <c r="Q370" s="149"/>
      <c r="R370" s="161"/>
      <c r="S370" s="151">
        <v>1</v>
      </c>
      <c r="T370" s="91">
        <f t="shared" si="75"/>
        <v>179</v>
      </c>
      <c r="U370" s="644">
        <v>78402</v>
      </c>
      <c r="V370" s="698" t="s">
        <v>466</v>
      </c>
      <c r="W370" s="14" t="s">
        <v>212</v>
      </c>
      <c r="X370" s="86"/>
      <c r="Y370" s="86"/>
      <c r="Z370" s="86"/>
      <c r="AA370" s="86"/>
      <c r="AB370" s="86"/>
      <c r="AC370" s="86"/>
    </row>
    <row r="371" spans="1:29" s="195" customFormat="1" ht="25.5">
      <c r="A371" s="194"/>
      <c r="B371" s="27" t="s">
        <v>785</v>
      </c>
      <c r="C371" s="28">
        <f t="shared" si="76"/>
        <v>0</v>
      </c>
      <c r="D371" s="28"/>
      <c r="E371" s="28">
        <f>F371+G371</f>
        <v>0</v>
      </c>
      <c r="F371" s="28">
        <f t="shared" si="66"/>
        <v>0</v>
      </c>
      <c r="G371" s="28">
        <f t="shared" si="67"/>
        <v>0</v>
      </c>
      <c r="H371" s="28">
        <f>T371</f>
        <v>0</v>
      </c>
      <c r="I371" s="28">
        <f>0.4*C371</f>
        <v>0</v>
      </c>
      <c r="J371" s="29"/>
      <c r="K371" s="29"/>
      <c r="L371" s="29"/>
      <c r="M371" s="29"/>
      <c r="N371" s="29" t="s">
        <v>467</v>
      </c>
      <c r="O371" s="28">
        <v>7055</v>
      </c>
      <c r="P371" s="28">
        <v>7055</v>
      </c>
      <c r="Q371" s="29" t="s">
        <v>28</v>
      </c>
      <c r="R371" s="348"/>
      <c r="S371" s="54">
        <v>1</v>
      </c>
      <c r="T371" s="28">
        <f t="shared" si="75"/>
        <v>0</v>
      </c>
      <c r="U371" s="455">
        <v>295380</v>
      </c>
      <c r="V371" s="693" t="s">
        <v>468</v>
      </c>
      <c r="W371" s="191" t="s">
        <v>212</v>
      </c>
      <c r="X371" s="86"/>
      <c r="Y371" s="86"/>
      <c r="Z371" s="86"/>
      <c r="AA371" s="86"/>
      <c r="AB371" s="86"/>
      <c r="AC371" s="86"/>
    </row>
    <row r="372" spans="1:29" ht="51">
      <c r="A372" s="19"/>
      <c r="B372" s="27" t="s">
        <v>935</v>
      </c>
      <c r="C372" s="28">
        <f t="shared" si="76"/>
        <v>0</v>
      </c>
      <c r="D372" s="28"/>
      <c r="E372" s="28">
        <f>F372+G372</f>
        <v>0</v>
      </c>
      <c r="F372" s="28">
        <f t="shared" si="66"/>
        <v>0</v>
      </c>
      <c r="G372" s="28">
        <f t="shared" si="67"/>
        <v>0</v>
      </c>
      <c r="H372" s="28">
        <f t="shared" ref="H372:H377" si="77">T372</f>
        <v>0</v>
      </c>
      <c r="I372" s="28">
        <f>0.4*C372</f>
        <v>0</v>
      </c>
      <c r="J372" s="29"/>
      <c r="K372" s="29"/>
      <c r="L372" s="29"/>
      <c r="M372" s="29"/>
      <c r="N372" s="29"/>
      <c r="O372" s="28">
        <v>6962</v>
      </c>
      <c r="P372" s="28">
        <v>6962</v>
      </c>
      <c r="Q372" s="30"/>
      <c r="R372" s="351"/>
      <c r="S372" s="54">
        <v>1</v>
      </c>
      <c r="T372" s="28">
        <f t="shared" si="75"/>
        <v>0</v>
      </c>
      <c r="U372" s="455">
        <v>2302221</v>
      </c>
      <c r="V372" s="697" t="s">
        <v>888</v>
      </c>
      <c r="W372" s="14" t="s">
        <v>212</v>
      </c>
      <c r="X372" s="7"/>
      <c r="Y372" s="7"/>
      <c r="Z372" s="7"/>
      <c r="AA372" s="7"/>
      <c r="AB372" s="7"/>
      <c r="AC372" s="7"/>
    </row>
    <row r="373" spans="1:29" s="195" customFormat="1" ht="29.25" customHeight="1">
      <c r="A373" s="194"/>
      <c r="B373" s="148" t="s">
        <v>471</v>
      </c>
      <c r="C373" s="91">
        <f t="shared" si="76"/>
        <v>269.64</v>
      </c>
      <c r="D373" s="91"/>
      <c r="E373" s="91">
        <f>F373+G373</f>
        <v>17.64</v>
      </c>
      <c r="F373" s="91">
        <f t="shared" si="66"/>
        <v>10.08</v>
      </c>
      <c r="G373" s="91">
        <f t="shared" si="67"/>
        <v>7.56</v>
      </c>
      <c r="H373" s="91">
        <f t="shared" si="77"/>
        <v>252</v>
      </c>
      <c r="I373" s="91">
        <f>0.6*C373</f>
        <v>161.78399999999999</v>
      </c>
      <c r="J373" s="22"/>
      <c r="K373" s="22"/>
      <c r="L373" s="22"/>
      <c r="M373" s="22"/>
      <c r="N373" s="22"/>
      <c r="O373" s="91">
        <v>10142</v>
      </c>
      <c r="P373" s="91">
        <v>10394</v>
      </c>
      <c r="Q373" s="149"/>
      <c r="R373" s="161"/>
      <c r="S373" s="91">
        <v>1</v>
      </c>
      <c r="T373" s="91">
        <f t="shared" si="75"/>
        <v>252</v>
      </c>
      <c r="U373" s="644">
        <v>3224</v>
      </c>
      <c r="V373" s="698" t="s">
        <v>472</v>
      </c>
      <c r="W373" s="191" t="s">
        <v>212</v>
      </c>
      <c r="X373" s="30"/>
      <c r="Y373" s="86"/>
      <c r="Z373" s="86"/>
      <c r="AA373" s="86"/>
      <c r="AB373" s="86"/>
      <c r="AC373" s="86"/>
    </row>
    <row r="374" spans="1:29" ht="25.5">
      <c r="A374" s="19"/>
      <c r="B374" s="148" t="s">
        <v>456</v>
      </c>
      <c r="C374" s="91">
        <f>H374+E374+64</f>
        <v>75.77</v>
      </c>
      <c r="D374" s="91"/>
      <c r="E374" s="91">
        <f>F374+G374</f>
        <v>0.77</v>
      </c>
      <c r="F374" s="91">
        <f>0.04*H374</f>
        <v>0.44</v>
      </c>
      <c r="G374" s="91">
        <f>0.03*H374</f>
        <v>0.32999999999999996</v>
      </c>
      <c r="H374" s="91">
        <f>T374</f>
        <v>11</v>
      </c>
      <c r="I374" s="91">
        <v>649</v>
      </c>
      <c r="J374" s="22"/>
      <c r="K374" s="22"/>
      <c r="L374" s="22"/>
      <c r="M374" s="22"/>
      <c r="N374" s="22"/>
      <c r="O374" s="91">
        <v>2198</v>
      </c>
      <c r="P374" s="91">
        <v>2209</v>
      </c>
      <c r="Q374" s="149"/>
      <c r="R374" s="161"/>
      <c r="S374" s="91">
        <v>1</v>
      </c>
      <c r="T374" s="91">
        <f t="shared" si="75"/>
        <v>11</v>
      </c>
      <c r="U374" s="644">
        <v>429663</v>
      </c>
      <c r="V374" s="698" t="s">
        <v>824</v>
      </c>
      <c r="W374" s="14" t="s">
        <v>212</v>
      </c>
      <c r="X374" s="7"/>
      <c r="Y374" s="7"/>
      <c r="Z374" s="7"/>
      <c r="AA374" s="7"/>
      <c r="AB374" s="7"/>
      <c r="AC374" s="7"/>
    </row>
    <row r="375" spans="1:29" s="195" customFormat="1" ht="29.25" customHeight="1">
      <c r="A375" s="194"/>
      <c r="B375" s="638" t="s">
        <v>473</v>
      </c>
      <c r="C375" s="91">
        <f t="shared" si="76"/>
        <v>16.05</v>
      </c>
      <c r="D375" s="91"/>
      <c r="E375" s="91">
        <f>F375+G375</f>
        <v>1.0499999999999998</v>
      </c>
      <c r="F375" s="91">
        <f t="shared" si="66"/>
        <v>0.6</v>
      </c>
      <c r="G375" s="91">
        <f t="shared" si="67"/>
        <v>0.44999999999999996</v>
      </c>
      <c r="H375" s="91">
        <f t="shared" si="77"/>
        <v>15</v>
      </c>
      <c r="I375" s="91">
        <f>0.6*C375</f>
        <v>9.6300000000000008</v>
      </c>
      <c r="J375" s="22"/>
      <c r="K375" s="22"/>
      <c r="L375" s="22"/>
      <c r="M375" s="22"/>
      <c r="N375" s="22"/>
      <c r="O375" s="91">
        <v>16627</v>
      </c>
      <c r="P375" s="91">
        <v>16642</v>
      </c>
      <c r="Q375" s="149"/>
      <c r="R375" s="161"/>
      <c r="S375" s="91">
        <v>1</v>
      </c>
      <c r="T375" s="91">
        <f t="shared" si="75"/>
        <v>15</v>
      </c>
      <c r="U375" s="644"/>
      <c r="V375" s="698" t="s">
        <v>474</v>
      </c>
      <c r="W375" s="14" t="s">
        <v>212</v>
      </c>
      <c r="X375" s="86"/>
      <c r="Y375" s="86"/>
      <c r="Z375" s="86"/>
      <c r="AA375" s="86"/>
      <c r="AB375" s="86"/>
      <c r="AC375" s="86"/>
    </row>
    <row r="376" spans="1:29" s="225" customFormat="1" ht="25.5">
      <c r="A376" s="223"/>
      <c r="B376" s="148" t="s">
        <v>475</v>
      </c>
      <c r="C376" s="91">
        <f t="shared" si="76"/>
        <v>4573.18</v>
      </c>
      <c r="D376" s="91"/>
      <c r="E376" s="91">
        <f>F376++G376</f>
        <v>299.18</v>
      </c>
      <c r="F376" s="91">
        <f t="shared" si="66"/>
        <v>170.96</v>
      </c>
      <c r="G376" s="91">
        <f t="shared" si="67"/>
        <v>128.22</v>
      </c>
      <c r="H376" s="91">
        <f t="shared" si="77"/>
        <v>4274</v>
      </c>
      <c r="I376" s="91">
        <f>0.6*C376</f>
        <v>2743.9079999999999</v>
      </c>
      <c r="J376" s="22"/>
      <c r="K376" s="22"/>
      <c r="L376" s="22"/>
      <c r="M376" s="22"/>
      <c r="N376" s="22"/>
      <c r="O376" s="91">
        <v>396748</v>
      </c>
      <c r="P376" s="91">
        <v>401022</v>
      </c>
      <c r="Q376" s="122"/>
      <c r="R376" s="173"/>
      <c r="S376" s="151">
        <v>1</v>
      </c>
      <c r="T376" s="91">
        <f t="shared" si="75"/>
        <v>4274</v>
      </c>
      <c r="U376" s="644">
        <v>69776</v>
      </c>
      <c r="V376" s="698" t="s">
        <v>476</v>
      </c>
      <c r="W376" s="14" t="s">
        <v>212</v>
      </c>
      <c r="X376" s="224"/>
      <c r="Y376" s="224"/>
      <c r="Z376" s="224"/>
      <c r="AA376" s="224"/>
      <c r="AB376" s="224"/>
      <c r="AC376" s="224"/>
    </row>
    <row r="377" spans="1:29" ht="25.5">
      <c r="A377" s="19"/>
      <c r="B377" s="148" t="s">
        <v>477</v>
      </c>
      <c r="C377" s="91">
        <f>H377+E377</f>
        <v>1930.28</v>
      </c>
      <c r="D377" s="91"/>
      <c r="E377" s="91">
        <f>G377+F377</f>
        <v>126.28</v>
      </c>
      <c r="F377" s="91">
        <f>0.04*H377</f>
        <v>72.16</v>
      </c>
      <c r="G377" s="91">
        <f>0.03*H377</f>
        <v>54.12</v>
      </c>
      <c r="H377" s="91">
        <f t="shared" si="77"/>
        <v>1804</v>
      </c>
      <c r="I377" s="91">
        <f>0.6*C377</f>
        <v>1158.1679999999999</v>
      </c>
      <c r="J377" s="22"/>
      <c r="K377" s="22"/>
      <c r="L377" s="22"/>
      <c r="M377" s="22"/>
      <c r="N377" s="22"/>
      <c r="O377" s="91">
        <v>183515</v>
      </c>
      <c r="P377" s="91">
        <v>185319</v>
      </c>
      <c r="Q377" s="149"/>
      <c r="R377" s="161"/>
      <c r="S377" s="151">
        <v>1</v>
      </c>
      <c r="T377" s="91">
        <f t="shared" si="75"/>
        <v>1804</v>
      </c>
      <c r="U377" s="644">
        <v>3868</v>
      </c>
      <c r="V377" s="698" t="s">
        <v>478</v>
      </c>
      <c r="W377" s="14" t="s">
        <v>212</v>
      </c>
      <c r="X377" s="7"/>
      <c r="Y377" s="7"/>
      <c r="Z377" s="7"/>
      <c r="AA377" s="7"/>
      <c r="AB377" s="7"/>
      <c r="AC377" s="7"/>
    </row>
    <row r="378" spans="1:29" ht="25.5">
      <c r="A378" s="19"/>
      <c r="B378" s="27"/>
      <c r="C378" s="28"/>
      <c r="D378" s="28"/>
      <c r="E378" s="28"/>
      <c r="F378" s="28"/>
      <c r="G378" s="28"/>
      <c r="H378" s="28"/>
      <c r="I378" s="28"/>
      <c r="J378" s="29"/>
      <c r="K378" s="29"/>
      <c r="L378" s="29"/>
      <c r="M378" s="29"/>
      <c r="N378" s="29"/>
      <c r="O378" s="28"/>
      <c r="P378" s="28"/>
      <c r="Q378" s="146"/>
      <c r="R378" s="61"/>
      <c r="S378" s="28"/>
      <c r="T378" s="28"/>
      <c r="U378" s="455"/>
      <c r="V378" s="693"/>
      <c r="W378" s="14"/>
      <c r="X378" s="7"/>
      <c r="Y378" s="7"/>
      <c r="Z378" s="7"/>
      <c r="AA378" s="7"/>
      <c r="AB378" s="7"/>
      <c r="AC378" s="7"/>
    </row>
    <row r="379" spans="1:29" ht="26.25">
      <c r="A379" s="19"/>
      <c r="B379" s="226" t="s">
        <v>479</v>
      </c>
      <c r="C379" s="115">
        <f>SUM(C333:C378)</f>
        <v>22342.47</v>
      </c>
      <c r="D379" s="115"/>
      <c r="E379" s="115"/>
      <c r="F379" s="115"/>
      <c r="G379" s="115"/>
      <c r="H379" s="115"/>
      <c r="I379" s="115"/>
      <c r="J379" s="98"/>
      <c r="K379" s="98"/>
      <c r="L379" s="98"/>
      <c r="M379" s="98"/>
      <c r="N379" s="98"/>
      <c r="O379" s="94"/>
      <c r="P379" s="94"/>
      <c r="Q379" s="227"/>
      <c r="R379" s="228"/>
      <c r="S379" s="92"/>
      <c r="T379" s="91"/>
      <c r="U379" s="719"/>
      <c r="V379" s="1"/>
      <c r="W379" s="14"/>
      <c r="X379" s="7"/>
      <c r="Y379" s="7"/>
      <c r="Z379" s="7"/>
      <c r="AA379" s="7"/>
      <c r="AB379" s="7"/>
      <c r="AC379" s="7" t="s">
        <v>15</v>
      </c>
    </row>
    <row r="380" spans="1:29" ht="30" customHeight="1">
      <c r="A380" s="19"/>
      <c r="B380" s="143"/>
      <c r="C380" s="115"/>
      <c r="D380" s="115"/>
      <c r="E380" s="115"/>
      <c r="F380" s="115"/>
      <c r="G380" s="115"/>
      <c r="H380" s="115"/>
      <c r="I380" s="115"/>
      <c r="J380" s="98"/>
      <c r="K380" s="98"/>
      <c r="L380" s="98"/>
      <c r="M380" s="98"/>
      <c r="N380" s="98"/>
      <c r="O380" s="94"/>
      <c r="P380" s="94"/>
      <c r="Q380" s="227"/>
      <c r="R380" s="228"/>
      <c r="S380" s="92"/>
      <c r="T380" s="91"/>
      <c r="U380" s="719"/>
      <c r="V380" s="1"/>
      <c r="W380" s="14"/>
      <c r="X380" s="7"/>
      <c r="Y380" s="7"/>
      <c r="Z380" s="7"/>
      <c r="AA380" s="7"/>
      <c r="AB380" s="7"/>
      <c r="AC380" s="7"/>
    </row>
    <row r="381" spans="1:29" ht="26.25" hidden="1">
      <c r="A381" s="19"/>
      <c r="B381" s="90" t="s">
        <v>480</v>
      </c>
      <c r="C381" s="28"/>
      <c r="D381" s="28"/>
      <c r="E381" s="28"/>
      <c r="F381" s="28"/>
      <c r="G381" s="28"/>
      <c r="H381" s="28"/>
      <c r="I381" s="72"/>
      <c r="J381" s="29"/>
      <c r="K381" s="29"/>
      <c r="L381" s="29"/>
      <c r="M381" s="29"/>
      <c r="N381" s="29"/>
      <c r="O381" s="28"/>
      <c r="P381" s="28"/>
      <c r="Q381" s="146"/>
      <c r="R381" s="61"/>
      <c r="S381" s="54"/>
      <c r="T381" s="28"/>
      <c r="U381" s="455"/>
      <c r="V381" s="693"/>
      <c r="W381" s="14"/>
      <c r="X381" s="7"/>
      <c r="Y381" s="7"/>
      <c r="Z381" s="7"/>
      <c r="AA381" s="7"/>
      <c r="AB381" s="7"/>
      <c r="AC381" s="7"/>
    </row>
    <row r="382" spans="1:29" ht="9.75" hidden="1" customHeight="1">
      <c r="A382" s="19" t="s">
        <v>481</v>
      </c>
      <c r="B382" s="148" t="s">
        <v>482</v>
      </c>
      <c r="C382" s="91">
        <f>H382+E382</f>
        <v>0</v>
      </c>
      <c r="D382" s="115"/>
      <c r="E382" s="91">
        <f>F382+G382</f>
        <v>0</v>
      </c>
      <c r="F382" s="91">
        <f>0.04*H382</f>
        <v>0</v>
      </c>
      <c r="G382" s="91">
        <f>0.03*H382</f>
        <v>0</v>
      </c>
      <c r="H382" s="91">
        <f>T382</f>
        <v>0</v>
      </c>
      <c r="I382" s="91">
        <f>0.5*C382</f>
        <v>0</v>
      </c>
      <c r="J382" s="22"/>
      <c r="K382" s="22"/>
      <c r="L382" s="22"/>
      <c r="M382" s="22"/>
      <c r="N382" s="22"/>
      <c r="O382" s="229">
        <v>10678</v>
      </c>
      <c r="P382" s="229">
        <v>10678</v>
      </c>
      <c r="Q382" s="149"/>
      <c r="R382" s="161"/>
      <c r="S382" s="151">
        <v>1</v>
      </c>
      <c r="T382" s="91">
        <f>(P382-O382)*S382</f>
        <v>0</v>
      </c>
      <c r="U382" s="644">
        <v>2262538</v>
      </c>
      <c r="V382" s="695" t="s">
        <v>483</v>
      </c>
      <c r="W382" s="14"/>
      <c r="X382" s="7"/>
      <c r="Y382" s="7"/>
      <c r="Z382" s="7"/>
      <c r="AA382" s="7"/>
      <c r="AB382" s="7"/>
      <c r="AC382" s="7"/>
    </row>
    <row r="383" spans="1:29" ht="25.5" hidden="1">
      <c r="A383" s="19"/>
      <c r="B383" s="148"/>
      <c r="C383" s="91"/>
      <c r="D383" s="91"/>
      <c r="E383" s="91"/>
      <c r="F383" s="91"/>
      <c r="G383" s="91"/>
      <c r="H383" s="91"/>
      <c r="I383" s="91"/>
      <c r="J383" s="22"/>
      <c r="K383" s="22"/>
      <c r="L383" s="22"/>
      <c r="M383" s="22"/>
      <c r="N383" s="22"/>
      <c r="O383" s="91"/>
      <c r="P383" s="91"/>
      <c r="Q383" s="22"/>
      <c r="R383" s="142"/>
      <c r="S383" s="91"/>
      <c r="T383" s="91"/>
      <c r="U383" s="644"/>
      <c r="V383" s="695"/>
      <c r="W383" s="14"/>
      <c r="X383" s="7"/>
      <c r="Y383" s="7"/>
      <c r="Z383" s="7"/>
      <c r="AA383" s="7"/>
      <c r="AB383" s="7"/>
      <c r="AC383" s="7"/>
    </row>
    <row r="384" spans="1:29" ht="25.5" hidden="1" customHeight="1">
      <c r="A384" s="19">
        <v>35</v>
      </c>
      <c r="B384" s="1"/>
      <c r="U384" s="719"/>
      <c r="V384" s="1"/>
      <c r="W384" s="14"/>
      <c r="X384" s="7"/>
      <c r="Y384" s="7"/>
      <c r="Z384" s="7"/>
      <c r="AA384" s="7"/>
      <c r="AB384" s="7"/>
      <c r="AC384" s="7"/>
    </row>
    <row r="385" spans="1:29" ht="27" hidden="1" customHeight="1">
      <c r="A385" s="19">
        <v>36</v>
      </c>
      <c r="B385" s="148"/>
      <c r="C385" s="91"/>
      <c r="D385" s="91"/>
      <c r="E385" s="91"/>
      <c r="F385" s="91"/>
      <c r="G385" s="91"/>
      <c r="H385" s="91"/>
      <c r="I385" s="91"/>
      <c r="J385" s="22"/>
      <c r="K385" s="22"/>
      <c r="L385" s="22"/>
      <c r="M385" s="22"/>
      <c r="N385" s="22"/>
      <c r="O385" s="91"/>
      <c r="P385" s="91"/>
      <c r="Q385" s="149"/>
      <c r="R385" s="161"/>
      <c r="S385" s="91"/>
      <c r="T385" s="91"/>
      <c r="U385" s="644"/>
      <c r="V385" s="695"/>
      <c r="W385" s="14"/>
      <c r="X385" s="7"/>
      <c r="Y385" s="7"/>
      <c r="Z385" s="7"/>
      <c r="AA385" s="7"/>
      <c r="AB385" s="7"/>
      <c r="AC385" s="7"/>
    </row>
    <row r="386" spans="1:29" ht="25.5" hidden="1">
      <c r="A386" s="19">
        <v>37</v>
      </c>
      <c r="U386" s="644"/>
      <c r="V386" s="695"/>
      <c r="W386" s="14"/>
      <c r="X386" s="7"/>
      <c r="Y386" s="7"/>
      <c r="Z386" s="7"/>
      <c r="AA386" s="7"/>
      <c r="AB386" s="7"/>
      <c r="AC386" s="7"/>
    </row>
    <row r="387" spans="1:29" ht="25.5" hidden="1">
      <c r="A387" s="19">
        <v>38</v>
      </c>
      <c r="B387" s="148"/>
      <c r="C387" s="91"/>
      <c r="D387" s="91"/>
      <c r="E387" s="91"/>
      <c r="F387" s="91"/>
      <c r="G387" s="91"/>
      <c r="H387" s="91"/>
      <c r="I387" s="91"/>
      <c r="J387" s="22"/>
      <c r="K387" s="22"/>
      <c r="L387" s="22"/>
      <c r="M387" s="22"/>
      <c r="N387" s="22"/>
      <c r="O387" s="91"/>
      <c r="P387" s="91"/>
      <c r="Q387" s="149"/>
      <c r="R387" s="161"/>
      <c r="S387" s="91"/>
      <c r="T387" s="91"/>
      <c r="U387" s="644"/>
      <c r="V387" s="695"/>
      <c r="W387" s="14"/>
      <c r="X387" s="7"/>
      <c r="Y387" s="7"/>
      <c r="Z387" s="149"/>
      <c r="AA387" s="149"/>
      <c r="AB387" s="149"/>
      <c r="AC387" s="149"/>
    </row>
    <row r="388" spans="1:29" ht="25.5" hidden="1">
      <c r="A388" s="19">
        <v>40</v>
      </c>
      <c r="B388" s="148"/>
      <c r="C388" s="91"/>
      <c r="D388" s="91"/>
      <c r="E388" s="91"/>
      <c r="F388" s="91"/>
      <c r="G388" s="91"/>
      <c r="H388" s="91"/>
      <c r="I388" s="91"/>
      <c r="J388" s="22"/>
      <c r="K388" s="22"/>
      <c r="L388" s="22"/>
      <c r="M388" s="22"/>
      <c r="N388" s="22"/>
      <c r="O388" s="91"/>
      <c r="P388" s="91"/>
      <c r="Q388" s="22"/>
      <c r="R388" s="142"/>
      <c r="S388" s="91"/>
      <c r="T388" s="91"/>
      <c r="U388" s="644"/>
      <c r="V388" s="695"/>
      <c r="W388" s="14"/>
      <c r="X388" s="7"/>
      <c r="Y388" s="7"/>
      <c r="Z388" s="7"/>
      <c r="AA388" s="7"/>
      <c r="AB388" s="7"/>
      <c r="AC388" s="7"/>
    </row>
    <row r="389" spans="1:29" ht="56.25" hidden="1" customHeight="1">
      <c r="A389" s="19">
        <v>41</v>
      </c>
      <c r="B389" s="1"/>
      <c r="U389" s="644"/>
      <c r="V389" s="695"/>
      <c r="W389" s="14"/>
      <c r="X389" s="7"/>
      <c r="Y389" s="7"/>
      <c r="Z389" s="7"/>
      <c r="AA389" s="7"/>
      <c r="AB389" s="7"/>
      <c r="AC389" s="7"/>
    </row>
    <row r="390" spans="1:29" ht="26.25" hidden="1" customHeight="1">
      <c r="A390" s="19">
        <v>42</v>
      </c>
      <c r="U390" s="644"/>
      <c r="V390" s="695"/>
      <c r="W390" s="14"/>
      <c r="X390" s="7"/>
      <c r="Y390" s="7"/>
      <c r="Z390" s="7"/>
      <c r="AA390" s="7"/>
      <c r="AB390" s="7"/>
      <c r="AC390" s="7"/>
    </row>
    <row r="391" spans="1:29" ht="29.25" hidden="1" customHeight="1">
      <c r="A391" s="19">
        <v>43</v>
      </c>
      <c r="U391" s="644"/>
      <c r="V391" s="695"/>
      <c r="W391" s="14"/>
      <c r="X391" s="7"/>
      <c r="Y391" s="7"/>
      <c r="Z391" s="7"/>
      <c r="AA391" s="7"/>
      <c r="AB391" s="7"/>
      <c r="AC391" s="7"/>
    </row>
    <row r="392" spans="1:29" ht="28.5" hidden="1" customHeight="1">
      <c r="A392" s="230">
        <v>44</v>
      </c>
      <c r="B392" s="158"/>
      <c r="C392" s="124"/>
      <c r="D392" s="124"/>
      <c r="E392" s="124"/>
      <c r="F392" s="124"/>
      <c r="G392" s="124"/>
      <c r="H392" s="124"/>
      <c r="I392" s="124"/>
      <c r="J392" s="126"/>
      <c r="K392" s="126"/>
      <c r="L392" s="126"/>
      <c r="M392" s="126"/>
      <c r="N392" s="126"/>
      <c r="O392" s="124"/>
      <c r="P392" s="124"/>
      <c r="Q392" s="7"/>
      <c r="R392" s="159"/>
      <c r="S392" s="124"/>
      <c r="T392" s="124"/>
      <c r="U392" s="717"/>
      <c r="V392" s="128"/>
      <c r="W392" s="14"/>
      <c r="X392" s="7"/>
      <c r="Y392" s="7"/>
      <c r="Z392" s="7"/>
      <c r="AA392" s="7"/>
      <c r="AB392" s="7"/>
      <c r="AC392" s="7"/>
    </row>
    <row r="393" spans="1:29" ht="26.25" hidden="1" customHeight="1">
      <c r="A393" s="19">
        <v>45</v>
      </c>
      <c r="B393" s="1"/>
      <c r="U393" s="644"/>
      <c r="V393" s="695"/>
      <c r="W393" s="14"/>
      <c r="X393" s="7"/>
      <c r="Y393" s="7"/>
      <c r="Z393" s="7"/>
      <c r="AA393" s="7"/>
      <c r="AB393" s="7"/>
      <c r="AC393" s="7"/>
    </row>
    <row r="394" spans="1:29" ht="24.75" hidden="1" customHeight="1">
      <c r="A394" s="19">
        <v>46</v>
      </c>
      <c r="B394" s="1"/>
      <c r="U394" s="644"/>
      <c r="V394" s="695"/>
      <c r="W394" s="134"/>
      <c r="X394" s="149"/>
      <c r="Y394" s="149"/>
      <c r="Z394" s="7"/>
      <c r="AA394" s="7"/>
      <c r="AB394" s="7"/>
      <c r="AC394" s="7"/>
    </row>
    <row r="395" spans="1:29" ht="23.25" hidden="1" customHeight="1">
      <c r="A395" s="19">
        <v>47</v>
      </c>
      <c r="U395" s="644"/>
      <c r="V395" s="695"/>
      <c r="W395" s="14"/>
      <c r="X395" s="7"/>
      <c r="Y395" s="7"/>
      <c r="Z395" s="7"/>
      <c r="AA395" s="7"/>
      <c r="AB395" s="7"/>
      <c r="AC395" s="7"/>
    </row>
    <row r="396" spans="1:29" ht="28.5" hidden="1" customHeight="1">
      <c r="A396" s="19">
        <v>48</v>
      </c>
      <c r="U396" s="644"/>
      <c r="V396" s="695"/>
      <c r="W396" s="14"/>
      <c r="X396" s="7"/>
      <c r="Y396" s="7"/>
      <c r="Z396" s="7"/>
      <c r="AA396" s="7"/>
      <c r="AB396" s="7"/>
      <c r="AC396" s="7"/>
    </row>
    <row r="397" spans="1:29" ht="31.5" hidden="1" customHeight="1">
      <c r="A397" s="19">
        <v>49</v>
      </c>
      <c r="B397" s="1"/>
      <c r="U397" s="719"/>
      <c r="V397" s="1"/>
      <c r="W397" s="78"/>
      <c r="X397" s="7"/>
      <c r="Y397" s="7"/>
      <c r="Z397" s="7"/>
      <c r="AA397" s="7"/>
      <c r="AB397" s="7"/>
      <c r="AC397" s="7"/>
    </row>
    <row r="398" spans="1:29" ht="25.5" hidden="1">
      <c r="A398" s="19">
        <v>50</v>
      </c>
      <c r="U398" s="644"/>
      <c r="V398" s="695"/>
      <c r="W398" s="14" t="s">
        <v>484</v>
      </c>
      <c r="X398" s="7"/>
      <c r="Y398" s="7"/>
      <c r="Z398" s="7"/>
      <c r="AA398" s="7"/>
      <c r="AB398" s="7"/>
      <c r="AC398" s="7"/>
    </row>
    <row r="399" spans="1:29" ht="25.5" hidden="1">
      <c r="A399" s="19">
        <v>51</v>
      </c>
      <c r="U399" s="644"/>
      <c r="V399" s="695"/>
      <c r="W399" s="14"/>
      <c r="X399" s="7"/>
      <c r="Y399" s="7"/>
      <c r="Z399" s="7"/>
      <c r="AA399" s="7"/>
      <c r="AB399" s="7"/>
      <c r="AC399" s="7"/>
    </row>
    <row r="400" spans="1:29" ht="25.5" hidden="1" customHeight="1">
      <c r="A400" s="231">
        <v>52</v>
      </c>
      <c r="B400" s="1"/>
      <c r="U400" s="719"/>
      <c r="V400" s="1"/>
      <c r="W400" s="14">
        <v>176</v>
      </c>
      <c r="X400" s="7">
        <v>1764.636</v>
      </c>
      <c r="Y400" s="7"/>
      <c r="Z400" s="7"/>
      <c r="AA400" s="7"/>
      <c r="AB400" s="7"/>
      <c r="AC400" s="7"/>
    </row>
    <row r="401" spans="1:29" ht="25.5" hidden="1" customHeight="1">
      <c r="A401" s="19">
        <v>53</v>
      </c>
      <c r="B401" s="1"/>
      <c r="U401" s="719"/>
      <c r="V401" s="1"/>
      <c r="W401" s="14"/>
      <c r="X401" s="7"/>
      <c r="Y401" s="7"/>
      <c r="Z401" s="7"/>
      <c r="AA401" s="7"/>
      <c r="AB401" s="7"/>
      <c r="AC401" s="7"/>
    </row>
    <row r="402" spans="1:29" ht="23.25" hidden="1" customHeight="1">
      <c r="A402" s="19">
        <v>54</v>
      </c>
      <c r="U402" s="644"/>
      <c r="V402" s="695"/>
      <c r="W402" s="14"/>
      <c r="X402" s="7"/>
      <c r="Y402" s="7"/>
      <c r="Z402" s="7"/>
      <c r="AA402" s="7"/>
      <c r="AB402" s="7"/>
      <c r="AC402" s="7"/>
    </row>
    <row r="403" spans="1:29" ht="76.5" hidden="1">
      <c r="A403" s="19" t="s">
        <v>485</v>
      </c>
      <c r="B403" s="1"/>
      <c r="U403" s="719"/>
      <c r="V403" s="1"/>
      <c r="W403" s="14"/>
      <c r="X403" s="7"/>
      <c r="Y403" s="7"/>
      <c r="Z403" s="7"/>
      <c r="AA403" s="7"/>
      <c r="AB403" s="7"/>
      <c r="AC403" s="7"/>
    </row>
    <row r="404" spans="1:29" ht="27" hidden="1" customHeight="1">
      <c r="A404" s="19">
        <v>55</v>
      </c>
      <c r="B404" s="1"/>
      <c r="U404" s="644"/>
      <c r="V404" s="695"/>
      <c r="W404" s="14">
        <v>3160</v>
      </c>
      <c r="X404" s="7"/>
      <c r="Y404" s="7"/>
      <c r="Z404" s="7"/>
      <c r="AA404" s="7"/>
      <c r="AB404" s="7"/>
      <c r="AC404" s="7"/>
    </row>
    <row r="405" spans="1:29" ht="30" hidden="1" customHeight="1">
      <c r="A405" s="19">
        <v>56</v>
      </c>
      <c r="U405" s="644"/>
      <c r="V405" s="695"/>
      <c r="W405" s="14"/>
      <c r="X405" s="7"/>
      <c r="Y405" s="7"/>
      <c r="Z405" s="7"/>
      <c r="AA405" s="7"/>
      <c r="AB405" s="7"/>
      <c r="AC405" s="7"/>
    </row>
    <row r="406" spans="1:29" ht="76.5" hidden="1">
      <c r="A406" s="19" t="s">
        <v>486</v>
      </c>
      <c r="B406" s="148"/>
      <c r="C406" s="91"/>
      <c r="D406" s="91"/>
      <c r="E406" s="91"/>
      <c r="F406" s="91"/>
      <c r="G406" s="91"/>
      <c r="H406" s="91"/>
      <c r="I406" s="91"/>
      <c r="J406" s="22"/>
      <c r="K406" s="22"/>
      <c r="L406" s="22"/>
      <c r="M406" s="22"/>
      <c r="N406" s="22"/>
      <c r="O406" s="91"/>
      <c r="P406" s="91"/>
      <c r="Q406" s="22"/>
      <c r="R406" s="142"/>
      <c r="S406" s="91"/>
      <c r="T406" s="91">
        <f>(P406-O406)*S406</f>
        <v>0</v>
      </c>
      <c r="U406" s="644"/>
      <c r="V406" s="695"/>
      <c r="W406" s="14"/>
      <c r="X406" s="7"/>
      <c r="Y406" s="7"/>
      <c r="Z406" s="7"/>
      <c r="AA406" s="7"/>
      <c r="AB406" s="7"/>
      <c r="AC406" s="7"/>
    </row>
    <row r="407" spans="1:29" ht="23.25" hidden="1" customHeight="1">
      <c r="A407" s="19">
        <v>57</v>
      </c>
      <c r="U407" s="644"/>
      <c r="V407" s="695"/>
      <c r="W407" s="14"/>
      <c r="X407" s="7"/>
      <c r="Y407" s="7"/>
      <c r="Z407" s="7"/>
      <c r="AA407" s="7"/>
      <c r="AB407" s="7"/>
      <c r="AC407" s="7"/>
    </row>
    <row r="408" spans="1:29" ht="25.5" hidden="1">
      <c r="A408" s="19">
        <v>58</v>
      </c>
      <c r="B408" s="1"/>
      <c r="U408" s="719"/>
      <c r="V408" s="1"/>
      <c r="W408" s="14"/>
      <c r="X408" s="7"/>
      <c r="Y408" s="7"/>
      <c r="Z408" s="7"/>
      <c r="AA408" s="7"/>
      <c r="AB408" s="7"/>
      <c r="AC408" s="7"/>
    </row>
    <row r="409" spans="1:29" ht="25.5" hidden="1">
      <c r="A409" s="19"/>
      <c r="B409" s="1"/>
      <c r="U409" s="719"/>
      <c r="V409" s="1"/>
      <c r="W409" s="14"/>
      <c r="X409" s="7"/>
      <c r="Y409" s="7"/>
      <c r="Z409" s="7"/>
      <c r="AA409" s="7"/>
      <c r="AB409" s="7"/>
      <c r="AC409" s="7"/>
    </row>
    <row r="410" spans="1:29" ht="14.25" hidden="1" customHeight="1">
      <c r="A410" s="19"/>
      <c r="B410" s="1"/>
      <c r="U410" s="719"/>
      <c r="V410" s="1"/>
      <c r="W410" s="14"/>
      <c r="X410" s="7"/>
      <c r="Y410" s="7"/>
      <c r="Z410" s="7"/>
      <c r="AA410" s="7"/>
      <c r="AB410" s="7"/>
      <c r="AC410" s="7"/>
    </row>
    <row r="411" spans="1:29" ht="31.5" hidden="1" customHeight="1">
      <c r="A411" s="19"/>
      <c r="B411" s="1"/>
      <c r="U411" s="719"/>
      <c r="V411" s="1"/>
      <c r="W411" s="14"/>
      <c r="X411" s="7"/>
      <c r="Y411" s="7"/>
      <c r="Z411" s="7"/>
      <c r="AA411" s="7"/>
      <c r="AB411" s="7"/>
      <c r="AC411" s="7"/>
    </row>
    <row r="412" spans="1:29" ht="31.5" hidden="1" customHeight="1">
      <c r="A412" s="19"/>
      <c r="B412" s="1"/>
      <c r="U412" s="719"/>
      <c r="V412" s="1"/>
      <c r="W412" s="14"/>
      <c r="X412" s="7"/>
      <c r="Y412" s="7"/>
      <c r="Z412" s="7"/>
      <c r="AA412" s="7"/>
      <c r="AB412" s="7"/>
      <c r="AC412" s="7"/>
    </row>
    <row r="413" spans="1:29" ht="25.5" hidden="1">
      <c r="A413" s="19"/>
      <c r="B413" s="148"/>
      <c r="C413" s="91"/>
      <c r="D413" s="91"/>
      <c r="E413" s="91"/>
      <c r="F413" s="91"/>
      <c r="G413" s="91"/>
      <c r="H413" s="91"/>
      <c r="I413" s="91"/>
      <c r="J413" s="22"/>
      <c r="K413" s="22"/>
      <c r="L413" s="22"/>
      <c r="M413" s="22"/>
      <c r="N413" s="22"/>
      <c r="O413" s="91"/>
      <c r="P413" s="91"/>
      <c r="Q413" s="149"/>
      <c r="R413" s="200"/>
      <c r="S413" s="91"/>
      <c r="T413" s="91">
        <f t="shared" ref="T413:T418" si="78">(P413-O413)*S413</f>
        <v>0</v>
      </c>
      <c r="U413" s="644"/>
      <c r="V413" s="695"/>
      <c r="W413" s="14"/>
      <c r="X413" s="7"/>
      <c r="Y413" s="7"/>
      <c r="Z413" s="7"/>
      <c r="AA413" s="7"/>
      <c r="AB413" s="7"/>
      <c r="AC413" s="7"/>
    </row>
    <row r="414" spans="1:29" ht="25.5" hidden="1">
      <c r="A414" s="19"/>
      <c r="B414" s="148"/>
      <c r="C414" s="91"/>
      <c r="D414" s="91"/>
      <c r="E414" s="91"/>
      <c r="F414" s="91"/>
      <c r="G414" s="91"/>
      <c r="H414" s="91"/>
      <c r="I414" s="91"/>
      <c r="J414" s="22"/>
      <c r="K414" s="22"/>
      <c r="L414" s="22"/>
      <c r="M414" s="22"/>
      <c r="N414" s="22"/>
      <c r="O414" s="91"/>
      <c r="P414" s="91"/>
      <c r="Q414" s="149"/>
      <c r="R414" s="200"/>
      <c r="S414" s="91"/>
      <c r="T414" s="91">
        <f t="shared" si="78"/>
        <v>0</v>
      </c>
      <c r="U414" s="644"/>
      <c r="V414" s="695"/>
      <c r="W414" s="14"/>
      <c r="X414" s="7"/>
      <c r="Y414" s="7"/>
      <c r="Z414" s="7"/>
      <c r="AA414" s="7"/>
      <c r="AB414" s="7"/>
      <c r="AC414" s="7"/>
    </row>
    <row r="415" spans="1:29" ht="25.5" hidden="1">
      <c r="A415" s="19"/>
      <c r="B415" s="148"/>
      <c r="C415" s="91"/>
      <c r="D415" s="91"/>
      <c r="E415" s="91"/>
      <c r="F415" s="91"/>
      <c r="G415" s="91"/>
      <c r="H415" s="91"/>
      <c r="I415" s="91"/>
      <c r="J415" s="22"/>
      <c r="K415" s="22"/>
      <c r="L415" s="22"/>
      <c r="M415" s="22"/>
      <c r="N415" s="22"/>
      <c r="O415" s="91"/>
      <c r="P415" s="91"/>
      <c r="Q415" s="149"/>
      <c r="R415" s="200"/>
      <c r="S415" s="91"/>
      <c r="T415" s="91">
        <f t="shared" si="78"/>
        <v>0</v>
      </c>
      <c r="U415" s="644"/>
      <c r="V415" s="695"/>
      <c r="W415" s="14"/>
      <c r="X415" s="7"/>
      <c r="Y415" s="7"/>
      <c r="Z415" s="7"/>
      <c r="AA415" s="7"/>
      <c r="AB415" s="7"/>
      <c r="AC415" s="7"/>
    </row>
    <row r="416" spans="1:29" ht="25.5" hidden="1">
      <c r="A416" s="19"/>
      <c r="B416" s="148"/>
      <c r="C416" s="91"/>
      <c r="D416" s="91"/>
      <c r="E416" s="91"/>
      <c r="F416" s="91"/>
      <c r="G416" s="91"/>
      <c r="H416" s="91"/>
      <c r="I416" s="91"/>
      <c r="J416" s="22"/>
      <c r="K416" s="22"/>
      <c r="L416" s="22"/>
      <c r="M416" s="22"/>
      <c r="N416" s="22"/>
      <c r="O416" s="91"/>
      <c r="P416" s="91"/>
      <c r="Q416" s="149"/>
      <c r="R416" s="200"/>
      <c r="S416" s="91"/>
      <c r="T416" s="91">
        <f t="shared" si="78"/>
        <v>0</v>
      </c>
      <c r="U416" s="644"/>
      <c r="V416" s="695"/>
      <c r="W416" s="14"/>
      <c r="X416" s="7"/>
      <c r="Y416" s="7"/>
      <c r="Z416" s="7"/>
      <c r="AA416" s="7"/>
      <c r="AB416" s="7"/>
      <c r="AC416" s="7"/>
    </row>
    <row r="417" spans="1:29" ht="25.5" hidden="1">
      <c r="A417" s="19"/>
      <c r="B417" s="148"/>
      <c r="C417" s="91"/>
      <c r="D417" s="91"/>
      <c r="E417" s="91"/>
      <c r="F417" s="91"/>
      <c r="G417" s="91"/>
      <c r="H417" s="91"/>
      <c r="I417" s="91"/>
      <c r="J417" s="22"/>
      <c r="K417" s="22"/>
      <c r="L417" s="22"/>
      <c r="M417" s="22"/>
      <c r="N417" s="22"/>
      <c r="O417" s="91"/>
      <c r="P417" s="91"/>
      <c r="Q417" s="149"/>
      <c r="R417" s="200"/>
      <c r="S417" s="91"/>
      <c r="T417" s="91">
        <f t="shared" si="78"/>
        <v>0</v>
      </c>
      <c r="U417" s="644"/>
      <c r="V417" s="695"/>
      <c r="W417" s="14"/>
      <c r="X417" s="7"/>
      <c r="Y417" s="7"/>
      <c r="Z417" s="7"/>
      <c r="AA417" s="7"/>
      <c r="AB417" s="7"/>
      <c r="AC417" s="7"/>
    </row>
    <row r="418" spans="1:29" ht="25.5" hidden="1">
      <c r="A418" s="19">
        <v>59</v>
      </c>
      <c r="B418" s="148"/>
      <c r="C418" s="91"/>
      <c r="D418" s="91"/>
      <c r="E418" s="91"/>
      <c r="F418" s="91"/>
      <c r="G418" s="91"/>
      <c r="H418" s="91"/>
      <c r="I418" s="91"/>
      <c r="J418" s="22"/>
      <c r="K418" s="22"/>
      <c r="L418" s="22"/>
      <c r="M418" s="22"/>
      <c r="N418" s="22"/>
      <c r="O418" s="91"/>
      <c r="P418" s="91"/>
      <c r="Q418" s="149"/>
      <c r="R418" s="232"/>
      <c r="S418" s="91"/>
      <c r="T418" s="91">
        <f t="shared" si="78"/>
        <v>0</v>
      </c>
      <c r="U418" s="644"/>
      <c r="V418" s="695"/>
      <c r="W418" s="14"/>
      <c r="X418" s="7"/>
      <c r="Y418" s="7"/>
      <c r="Z418" s="7"/>
      <c r="AA418" s="7"/>
      <c r="AB418" s="7"/>
      <c r="AC418" s="7"/>
    </row>
    <row r="419" spans="1:29" ht="25.5" hidden="1">
      <c r="A419" s="19">
        <v>60</v>
      </c>
      <c r="B419" s="148"/>
      <c r="C419" s="91"/>
      <c r="D419" s="91"/>
      <c r="E419" s="91"/>
      <c r="F419" s="91"/>
      <c r="G419" s="91"/>
      <c r="H419" s="91"/>
      <c r="I419" s="91"/>
      <c r="J419" s="22"/>
      <c r="K419" s="22"/>
      <c r="L419" s="22"/>
      <c r="M419" s="22"/>
      <c r="N419" s="22"/>
      <c r="O419" s="91"/>
      <c r="P419" s="91"/>
      <c r="Q419" s="149"/>
      <c r="R419" s="232"/>
      <c r="S419" s="91"/>
      <c r="T419" s="91"/>
      <c r="U419" s="644"/>
      <c r="V419" s="695"/>
      <c r="W419" s="14"/>
      <c r="X419" s="7"/>
      <c r="Y419" s="7"/>
      <c r="Z419" s="7"/>
      <c r="AA419" s="7"/>
      <c r="AB419" s="7"/>
      <c r="AC419" s="7"/>
    </row>
    <row r="420" spans="1:29" ht="25.5" hidden="1">
      <c r="A420" s="19">
        <v>61.1</v>
      </c>
      <c r="B420" s="1"/>
      <c r="U420" s="644"/>
      <c r="V420" s="695"/>
      <c r="W420" s="14"/>
      <c r="X420" s="7"/>
      <c r="Y420" s="7"/>
      <c r="Z420" s="7"/>
      <c r="AA420" s="7"/>
      <c r="AB420" s="7"/>
      <c r="AC420" s="7"/>
    </row>
    <row r="421" spans="1:29" ht="25.5" hidden="1">
      <c r="A421" s="19">
        <v>61.2</v>
      </c>
      <c r="B421" s="1"/>
      <c r="U421" s="644"/>
      <c r="V421" s="695"/>
      <c r="W421" s="14"/>
      <c r="X421" s="7"/>
      <c r="Y421" s="7"/>
      <c r="Z421" s="7"/>
      <c r="AA421" s="7"/>
      <c r="AB421" s="7"/>
      <c r="AC421" s="7"/>
    </row>
    <row r="422" spans="1:29" ht="25.5" hidden="1">
      <c r="A422" s="19">
        <v>61.3</v>
      </c>
      <c r="B422" s="1"/>
      <c r="U422" s="644"/>
      <c r="V422" s="695"/>
      <c r="W422" s="14"/>
      <c r="X422" s="7"/>
      <c r="Y422" s="7"/>
      <c r="Z422" s="7"/>
      <c r="AA422" s="7"/>
      <c r="AB422" s="7"/>
      <c r="AC422" s="7"/>
    </row>
    <row r="423" spans="1:29" ht="25.5" hidden="1">
      <c r="A423" s="19">
        <v>61.4</v>
      </c>
      <c r="B423" s="1"/>
      <c r="U423" s="644"/>
      <c r="V423" s="695"/>
      <c r="W423" s="14"/>
      <c r="X423" s="7"/>
      <c r="Y423" s="7"/>
      <c r="Z423" s="7"/>
      <c r="AA423" s="7"/>
      <c r="AB423" s="7"/>
      <c r="AC423" s="7"/>
    </row>
    <row r="424" spans="1:29" ht="36" hidden="1" customHeight="1">
      <c r="A424" s="19">
        <v>61.5</v>
      </c>
      <c r="B424" s="1"/>
      <c r="U424" s="644"/>
      <c r="V424" s="695"/>
      <c r="W424" s="14"/>
      <c r="X424" s="7"/>
      <c r="Y424" s="7"/>
      <c r="Z424" s="7"/>
      <c r="AA424" s="7"/>
      <c r="AB424" s="7"/>
      <c r="AC424" s="7"/>
    </row>
    <row r="425" spans="1:29" ht="25.5" hidden="1">
      <c r="A425" s="19">
        <v>61.6</v>
      </c>
      <c r="B425" s="1"/>
      <c r="U425" s="644"/>
      <c r="V425" s="695"/>
      <c r="W425" s="14"/>
      <c r="X425" s="7"/>
      <c r="Y425" s="7"/>
      <c r="Z425" s="7"/>
      <c r="AA425" s="7"/>
      <c r="AB425" s="7"/>
      <c r="AC425" s="7"/>
    </row>
    <row r="426" spans="1:29" ht="31.5" hidden="1" customHeight="1">
      <c r="A426" s="19">
        <v>61.7</v>
      </c>
      <c r="B426" s="1"/>
      <c r="U426" s="644"/>
      <c r="V426" s="695"/>
      <c r="W426" s="14"/>
      <c r="X426" s="7"/>
      <c r="Y426" s="7"/>
      <c r="Z426" s="7"/>
      <c r="AA426" s="7"/>
      <c r="AB426" s="7"/>
      <c r="AC426" s="7"/>
    </row>
    <row r="427" spans="1:29" ht="30" hidden="1" customHeight="1">
      <c r="A427" s="19">
        <v>61.8</v>
      </c>
      <c r="B427" s="1"/>
      <c r="U427" s="644"/>
      <c r="V427" s="695"/>
      <c r="W427" s="14"/>
      <c r="X427" s="7"/>
      <c r="Y427" s="7"/>
      <c r="Z427" s="7"/>
      <c r="AA427" s="7"/>
      <c r="AB427" s="7"/>
      <c r="AC427" s="7"/>
    </row>
    <row r="428" spans="1:29" ht="25.5" hidden="1">
      <c r="A428" s="19">
        <v>61.9</v>
      </c>
      <c r="B428" s="1"/>
      <c r="U428" s="644"/>
      <c r="V428" s="695"/>
      <c r="W428" s="14"/>
      <c r="X428" s="7"/>
      <c r="Y428" s="7"/>
      <c r="Z428" s="7"/>
      <c r="AA428" s="7"/>
      <c r="AB428" s="7"/>
      <c r="AC428" s="7"/>
    </row>
    <row r="429" spans="1:29" s="234" customFormat="1" ht="28.5" hidden="1" customHeight="1">
      <c r="A429" s="233">
        <v>61.1</v>
      </c>
      <c r="U429" s="730"/>
      <c r="V429" s="235"/>
      <c r="W429" s="14"/>
      <c r="X429" s="236"/>
      <c r="Y429" s="236"/>
      <c r="Z429" s="236"/>
      <c r="AA429" s="236"/>
      <c r="AB429" s="236"/>
      <c r="AC429" s="236"/>
    </row>
    <row r="430" spans="1:29" ht="28.5" hidden="1" customHeight="1">
      <c r="A430" s="19">
        <v>61.11</v>
      </c>
      <c r="B430" s="1"/>
      <c r="U430" s="644"/>
      <c r="V430" s="695"/>
      <c r="W430" s="14"/>
      <c r="X430" s="7"/>
      <c r="Y430" s="7"/>
      <c r="Z430" s="7"/>
      <c r="AA430" s="7"/>
      <c r="AB430" s="7"/>
      <c r="AC430" s="7"/>
    </row>
    <row r="431" spans="1:29" ht="25.5" hidden="1">
      <c r="A431" s="19">
        <v>61.12</v>
      </c>
      <c r="B431" s="1"/>
      <c r="U431" s="644"/>
      <c r="V431" s="695"/>
      <c r="W431" s="14"/>
      <c r="X431" s="7"/>
      <c r="Y431" s="7"/>
      <c r="Z431" s="7"/>
      <c r="AA431" s="7"/>
      <c r="AB431" s="7"/>
      <c r="AC431" s="7"/>
    </row>
    <row r="432" spans="1:29" ht="30" hidden="1" customHeight="1">
      <c r="A432" s="19">
        <v>61.13</v>
      </c>
      <c r="B432" s="1"/>
      <c r="U432" s="644"/>
      <c r="V432" s="695"/>
      <c r="W432" s="14"/>
      <c r="X432" s="7"/>
      <c r="Y432" s="7"/>
      <c r="Z432" s="7"/>
      <c r="AA432" s="7"/>
      <c r="AB432" s="7"/>
      <c r="AC432" s="7"/>
    </row>
    <row r="433" spans="1:29" ht="28.5" hidden="1" customHeight="1">
      <c r="A433" s="19">
        <v>61.14</v>
      </c>
      <c r="B433" s="1"/>
      <c r="U433" s="644"/>
      <c r="V433" s="695"/>
      <c r="W433" s="14"/>
      <c r="X433" s="7"/>
      <c r="Y433" s="7"/>
      <c r="Z433" s="7"/>
      <c r="AA433" s="7"/>
      <c r="AB433" s="7"/>
      <c r="AC433" s="7"/>
    </row>
    <row r="434" spans="1:29" ht="27" hidden="1" customHeight="1">
      <c r="A434" s="19">
        <v>61.15</v>
      </c>
      <c r="B434" s="1"/>
      <c r="U434" s="644"/>
      <c r="V434" s="695"/>
      <c r="W434" s="14"/>
      <c r="X434" s="7"/>
      <c r="Y434" s="7"/>
      <c r="Z434" s="7"/>
      <c r="AA434" s="7"/>
      <c r="AB434" s="7"/>
      <c r="AC434" s="7"/>
    </row>
    <row r="435" spans="1:29" ht="25.5" hidden="1">
      <c r="A435" s="19">
        <v>61.16</v>
      </c>
      <c r="B435" s="148"/>
      <c r="C435" s="91"/>
      <c r="D435" s="91"/>
      <c r="E435" s="91"/>
      <c r="F435" s="91"/>
      <c r="G435" s="91"/>
      <c r="H435" s="91"/>
      <c r="I435" s="91"/>
      <c r="J435" s="22"/>
      <c r="K435" s="22"/>
      <c r="L435" s="22"/>
      <c r="M435" s="22"/>
      <c r="N435" s="22"/>
      <c r="O435" s="91"/>
      <c r="P435" s="91"/>
      <c r="Q435" s="149"/>
      <c r="R435" s="200"/>
      <c r="S435" s="91"/>
      <c r="T435" s="91">
        <f>P435-O435</f>
        <v>0</v>
      </c>
      <c r="U435" s="644"/>
      <c r="V435" s="695"/>
      <c r="W435" s="14"/>
      <c r="X435" s="7"/>
      <c r="Y435" s="7"/>
      <c r="Z435" s="7"/>
      <c r="AA435" s="7"/>
      <c r="AB435" s="7"/>
      <c r="AC435" s="7"/>
    </row>
    <row r="436" spans="1:29" ht="28.5" hidden="1" customHeight="1">
      <c r="A436" s="19">
        <v>62</v>
      </c>
      <c r="B436" s="1"/>
      <c r="U436" s="644"/>
      <c r="V436" s="695"/>
      <c r="W436" s="14"/>
      <c r="X436" s="7"/>
      <c r="Y436" s="7"/>
      <c r="Z436" s="7"/>
      <c r="AA436" s="7"/>
      <c r="AB436" s="7"/>
      <c r="AC436" s="7"/>
    </row>
    <row r="437" spans="1:29" ht="25.5" hidden="1">
      <c r="A437" s="19">
        <v>63</v>
      </c>
      <c r="B437" s="148"/>
      <c r="C437" s="91"/>
      <c r="D437" s="91"/>
      <c r="E437" s="91"/>
      <c r="F437" s="91"/>
      <c r="G437" s="91"/>
      <c r="H437" s="91"/>
      <c r="I437" s="91"/>
      <c r="J437" s="22"/>
      <c r="K437" s="22"/>
      <c r="L437" s="22"/>
      <c r="M437" s="22"/>
      <c r="N437" s="22"/>
      <c r="O437" s="91"/>
      <c r="P437" s="91"/>
      <c r="Q437" s="22"/>
      <c r="R437" s="142"/>
      <c r="S437" s="91"/>
      <c r="T437" s="91">
        <f>(P437-O437)*S437</f>
        <v>0</v>
      </c>
      <c r="U437" s="644"/>
      <c r="V437" s="695"/>
      <c r="W437" s="14"/>
      <c r="X437" s="7"/>
      <c r="Y437" s="7"/>
      <c r="Z437" s="7"/>
      <c r="AA437" s="7"/>
      <c r="AB437" s="7"/>
      <c r="AC437" s="7"/>
    </row>
    <row r="438" spans="1:29" ht="27.75" hidden="1" customHeight="1">
      <c r="A438" s="19">
        <v>64</v>
      </c>
      <c r="U438" s="644"/>
      <c r="V438" s="695"/>
      <c r="W438" s="14"/>
      <c r="X438" s="7"/>
      <c r="Y438" s="7"/>
      <c r="Z438" s="7"/>
      <c r="AA438" s="7"/>
      <c r="AB438" s="7"/>
      <c r="AC438" s="7"/>
    </row>
    <row r="439" spans="1:29" ht="28.5" hidden="1" customHeight="1">
      <c r="A439" s="19">
        <v>65</v>
      </c>
      <c r="B439" s="148"/>
      <c r="C439" s="91"/>
      <c r="D439" s="91"/>
      <c r="E439" s="91"/>
      <c r="F439" s="91"/>
      <c r="G439" s="91"/>
      <c r="H439" s="91"/>
      <c r="I439" s="91"/>
      <c r="J439" s="22"/>
      <c r="K439" s="22"/>
      <c r="L439" s="22"/>
      <c r="M439" s="22"/>
      <c r="N439" s="22"/>
      <c r="O439" s="91"/>
      <c r="P439" s="91"/>
      <c r="Q439" s="22"/>
      <c r="R439" s="142"/>
      <c r="S439" s="91"/>
      <c r="T439" s="91"/>
      <c r="U439" s="644"/>
      <c r="V439" s="695"/>
      <c r="W439" s="14"/>
      <c r="X439" s="7"/>
      <c r="Y439" s="7"/>
      <c r="Z439" s="7"/>
      <c r="AA439" s="7"/>
      <c r="AB439" s="7"/>
      <c r="AC439" s="7"/>
    </row>
    <row r="440" spans="1:29" ht="31.5" hidden="1" customHeight="1">
      <c r="A440" s="19">
        <v>66</v>
      </c>
      <c r="U440" s="644"/>
      <c r="V440" s="695"/>
      <c r="W440" s="14" t="s">
        <v>487</v>
      </c>
      <c r="X440" s="7"/>
      <c r="Y440" s="7"/>
      <c r="Z440" s="7"/>
      <c r="AA440" s="7"/>
      <c r="AB440" s="7"/>
      <c r="AC440" s="7"/>
    </row>
    <row r="441" spans="1:29" ht="25.5" hidden="1">
      <c r="A441" s="19">
        <v>68</v>
      </c>
      <c r="U441" s="644"/>
      <c r="V441" s="695"/>
      <c r="W441" s="14"/>
      <c r="X441" s="7"/>
      <c r="Y441" s="7"/>
      <c r="Z441" s="149"/>
      <c r="AA441" s="149"/>
      <c r="AB441" s="149"/>
      <c r="AC441" s="149"/>
    </row>
    <row r="442" spans="1:29" ht="27.75" hidden="1" customHeight="1">
      <c r="A442" s="19">
        <v>70</v>
      </c>
      <c r="B442" s="1"/>
      <c r="U442" s="644"/>
      <c r="V442" s="695"/>
      <c r="W442" s="14"/>
      <c r="X442" s="7"/>
      <c r="Y442" s="7"/>
      <c r="Z442" s="149"/>
      <c r="AA442" s="149"/>
      <c r="AB442" s="149"/>
      <c r="AC442" s="149"/>
    </row>
    <row r="443" spans="1:29" ht="25.5" hidden="1">
      <c r="A443" s="19">
        <v>71</v>
      </c>
      <c r="U443" s="644"/>
      <c r="V443" s="695"/>
      <c r="W443" s="14"/>
      <c r="X443" s="7"/>
      <c r="Y443" s="7"/>
      <c r="Z443" s="149"/>
      <c r="AA443" s="149"/>
      <c r="AB443" s="149"/>
      <c r="AC443" s="149"/>
    </row>
    <row r="444" spans="1:29" ht="44.25" hidden="1" customHeight="1">
      <c r="A444" s="19">
        <v>72</v>
      </c>
      <c r="B444" s="1"/>
      <c r="U444" s="719"/>
      <c r="V444" s="1"/>
      <c r="W444" s="14">
        <v>16390</v>
      </c>
      <c r="X444" s="7"/>
      <c r="Y444" s="7"/>
      <c r="Z444" s="7"/>
      <c r="AA444" s="7"/>
      <c r="AB444" s="7"/>
      <c r="AC444" s="7"/>
    </row>
    <row r="445" spans="1:29" ht="25.5" hidden="1">
      <c r="A445" s="19">
        <v>73</v>
      </c>
      <c r="B445" s="1"/>
      <c r="U445" s="719"/>
      <c r="V445" s="1"/>
      <c r="W445" s="14">
        <v>19235</v>
      </c>
      <c r="X445" s="7"/>
      <c r="Y445" s="7"/>
      <c r="Z445" s="7"/>
      <c r="AA445" s="7"/>
      <c r="AB445" s="7"/>
      <c r="AC445" s="7"/>
    </row>
    <row r="446" spans="1:29" ht="25.5" hidden="1">
      <c r="A446" s="19">
        <v>74</v>
      </c>
      <c r="U446" s="724"/>
      <c r="W446" s="14" t="s">
        <v>488</v>
      </c>
      <c r="X446" s="7"/>
      <c r="Y446" s="7"/>
      <c r="Z446" s="7"/>
      <c r="AA446" s="7"/>
      <c r="AB446" s="7"/>
      <c r="AC446" s="7"/>
    </row>
    <row r="447" spans="1:29" ht="28.5" hidden="1" customHeight="1">
      <c r="A447" s="19">
        <v>75</v>
      </c>
      <c r="B447" s="1"/>
      <c r="U447" s="719"/>
      <c r="V447" s="1"/>
      <c r="W447" s="14"/>
      <c r="X447" s="7"/>
      <c r="Y447" s="7"/>
      <c r="Z447" s="7"/>
      <c r="AA447" s="7"/>
      <c r="AB447" s="7"/>
      <c r="AC447" s="7"/>
    </row>
    <row r="448" spans="1:29" ht="22.5" hidden="1" customHeight="1">
      <c r="A448" s="19">
        <v>76</v>
      </c>
      <c r="U448" s="644"/>
      <c r="V448" s="695"/>
      <c r="W448" s="134">
        <v>590000</v>
      </c>
      <c r="X448" s="149"/>
      <c r="Y448" s="149"/>
      <c r="Z448" s="7"/>
      <c r="AA448" s="7"/>
      <c r="AB448" s="7"/>
      <c r="AC448" s="7"/>
    </row>
    <row r="449" spans="1:29" ht="34.5" hidden="1" customHeight="1">
      <c r="A449" s="19">
        <v>77</v>
      </c>
      <c r="U449" s="644"/>
      <c r="V449" s="695"/>
      <c r="W449" s="134"/>
      <c r="X449" s="149"/>
      <c r="Y449" s="149"/>
      <c r="Z449" s="7"/>
      <c r="AA449" s="7"/>
      <c r="AB449" s="7"/>
      <c r="AC449" s="7"/>
    </row>
    <row r="450" spans="1:29" ht="30" hidden="1" customHeight="1">
      <c r="A450" s="19">
        <v>78</v>
      </c>
      <c r="U450" s="644"/>
      <c r="V450" s="695"/>
      <c r="W450" s="134">
        <v>201022</v>
      </c>
      <c r="X450" s="149"/>
      <c r="Y450" s="149"/>
      <c r="Z450" s="7"/>
      <c r="AA450" s="7"/>
      <c r="AB450" s="7"/>
      <c r="AC450" s="7"/>
    </row>
    <row r="451" spans="1:29" ht="25.5" hidden="1" customHeight="1">
      <c r="A451" s="19">
        <v>79</v>
      </c>
      <c r="U451" s="644"/>
      <c r="V451" s="695"/>
      <c r="W451" s="14"/>
      <c r="X451" s="7"/>
      <c r="Y451" s="7"/>
      <c r="Z451" s="7"/>
      <c r="AA451" s="7"/>
      <c r="AB451" s="7"/>
      <c r="AC451" s="7"/>
    </row>
    <row r="452" spans="1:29" ht="33" hidden="1" customHeight="1">
      <c r="A452" s="19">
        <v>80</v>
      </c>
      <c r="B452" s="148"/>
      <c r="C452" s="91"/>
      <c r="D452" s="91"/>
      <c r="E452" s="91"/>
      <c r="F452" s="91"/>
      <c r="G452" s="91"/>
      <c r="H452" s="91"/>
      <c r="I452" s="91"/>
      <c r="J452" s="22"/>
      <c r="K452" s="22"/>
      <c r="L452" s="22"/>
      <c r="M452" s="22"/>
      <c r="N452" s="22"/>
      <c r="O452" s="91"/>
      <c r="P452" s="91"/>
      <c r="Q452" s="22"/>
      <c r="R452" s="142"/>
      <c r="S452" s="91"/>
      <c r="T452" s="91">
        <f>(P452-O452)*S452</f>
        <v>0</v>
      </c>
      <c r="U452" s="644"/>
      <c r="V452" s="695"/>
      <c r="W452" s="14"/>
      <c r="X452" s="7"/>
      <c r="Y452" s="7"/>
      <c r="Z452" s="7"/>
      <c r="AA452" s="7"/>
      <c r="AB452" s="7"/>
      <c r="AC452" s="7"/>
    </row>
    <row r="453" spans="1:29" ht="24.75" hidden="1" customHeight="1">
      <c r="A453" s="19">
        <v>81</v>
      </c>
      <c r="U453" s="644"/>
      <c r="V453" s="695"/>
      <c r="W453" s="14"/>
      <c r="X453" s="7"/>
      <c r="Y453" s="7"/>
      <c r="Z453" s="7"/>
      <c r="AA453" s="7"/>
      <c r="AB453" s="7"/>
      <c r="AC453" s="7"/>
    </row>
    <row r="454" spans="1:29" ht="26.25" hidden="1">
      <c r="A454" s="231">
        <v>82</v>
      </c>
      <c r="U454" s="644"/>
      <c r="V454" s="695"/>
      <c r="W454" s="14" t="s">
        <v>489</v>
      </c>
      <c r="X454" s="7"/>
      <c r="Y454" s="7"/>
      <c r="Z454" s="7"/>
      <c r="AA454" s="7"/>
      <c r="AB454" s="7"/>
      <c r="AC454" s="7"/>
    </row>
    <row r="455" spans="1:29" ht="26.25" hidden="1">
      <c r="A455" s="231"/>
      <c r="U455" s="644"/>
      <c r="V455" s="695"/>
      <c r="W455" s="14"/>
      <c r="X455" s="7"/>
      <c r="Y455" s="7"/>
      <c r="Z455" s="7"/>
      <c r="AA455" s="7"/>
      <c r="AB455" s="7"/>
      <c r="AC455" s="7"/>
    </row>
    <row r="456" spans="1:29" ht="26.25" hidden="1">
      <c r="A456" s="231"/>
      <c r="U456" s="644"/>
      <c r="V456" s="695"/>
      <c r="W456" s="14"/>
      <c r="X456" s="7"/>
      <c r="Y456" s="7"/>
      <c r="Z456" s="7"/>
      <c r="AA456" s="7"/>
      <c r="AB456" s="7"/>
      <c r="AC456" s="7"/>
    </row>
    <row r="457" spans="1:29" ht="26.25" hidden="1">
      <c r="A457" s="237">
        <v>83</v>
      </c>
      <c r="B457" s="1"/>
      <c r="U457" s="719"/>
      <c r="V457" s="1"/>
      <c r="W457" s="14"/>
      <c r="X457" s="7" t="s">
        <v>490</v>
      </c>
      <c r="Y457" s="7"/>
      <c r="Z457" s="7"/>
      <c r="AA457" s="7"/>
      <c r="AB457" s="7"/>
      <c r="AC457" s="7"/>
    </row>
    <row r="458" spans="1:29" ht="26.25" hidden="1">
      <c r="A458" s="231"/>
      <c r="B458" s="1"/>
      <c r="U458" s="719"/>
      <c r="V458" s="1"/>
      <c r="W458" s="14"/>
      <c r="X458" s="7"/>
      <c r="Y458" s="7"/>
      <c r="Z458" s="7"/>
      <c r="AA458" s="7"/>
      <c r="AB458" s="7"/>
      <c r="AC458" s="7"/>
    </row>
    <row r="459" spans="1:29" ht="31.5" hidden="1" customHeight="1">
      <c r="A459" s="19">
        <v>84</v>
      </c>
      <c r="U459" s="644"/>
      <c r="V459" s="695"/>
      <c r="W459" s="14"/>
      <c r="X459" s="7"/>
      <c r="Y459" s="7"/>
      <c r="Z459" s="7"/>
      <c r="AA459" s="7"/>
      <c r="AB459" s="7"/>
      <c r="AC459" s="7"/>
    </row>
    <row r="460" spans="1:29" ht="25.5" hidden="1">
      <c r="A460" s="19">
        <v>85</v>
      </c>
      <c r="B460" s="1"/>
      <c r="U460" s="719"/>
      <c r="V460" s="1"/>
      <c r="W460" s="14" t="s">
        <v>491</v>
      </c>
      <c r="X460" s="7"/>
      <c r="Y460" s="7"/>
      <c r="Z460" s="7"/>
      <c r="AA460" s="7"/>
      <c r="AB460" s="7"/>
      <c r="AC460" s="7"/>
    </row>
    <row r="461" spans="1:29" ht="26.25" hidden="1" customHeight="1">
      <c r="A461" s="19">
        <v>86</v>
      </c>
      <c r="U461" s="644"/>
      <c r="V461" s="695"/>
      <c r="W461" s="14" t="s">
        <v>492</v>
      </c>
      <c r="X461" s="7"/>
      <c r="Y461" s="7"/>
      <c r="Z461" s="7"/>
      <c r="AA461" s="7"/>
      <c r="AB461" s="7"/>
      <c r="AC461" s="7"/>
    </row>
    <row r="462" spans="1:29" ht="30" hidden="1" customHeight="1">
      <c r="A462" s="19">
        <v>87</v>
      </c>
      <c r="U462" s="644"/>
      <c r="V462" s="695"/>
      <c r="W462" s="14" t="s">
        <v>492</v>
      </c>
      <c r="X462" s="7"/>
      <c r="Y462" s="7"/>
      <c r="Z462" s="7"/>
      <c r="AA462" s="7"/>
      <c r="AB462" s="7"/>
      <c r="AC462" s="7"/>
    </row>
    <row r="463" spans="1:29" ht="26.25" hidden="1" customHeight="1">
      <c r="A463" s="19">
        <v>88</v>
      </c>
      <c r="B463" s="1"/>
      <c r="U463" s="719"/>
      <c r="V463" s="1"/>
      <c r="W463" s="14" t="s">
        <v>493</v>
      </c>
      <c r="X463" s="7"/>
      <c r="Y463" s="7"/>
      <c r="Z463" s="7"/>
      <c r="AA463" s="7"/>
      <c r="AB463" s="7"/>
      <c r="AC463" s="7"/>
    </row>
    <row r="464" spans="1:29" ht="26.25" hidden="1">
      <c r="A464" s="135">
        <v>89</v>
      </c>
      <c r="B464" s="1"/>
      <c r="U464" s="719"/>
      <c r="V464" s="1"/>
      <c r="W464" s="14"/>
      <c r="X464" s="7"/>
      <c r="Y464" s="7"/>
      <c r="Z464" s="7"/>
      <c r="AA464" s="7"/>
      <c r="AB464" s="7"/>
      <c r="AC464" s="7"/>
    </row>
    <row r="465" spans="1:29" ht="76.5" hidden="1">
      <c r="A465" s="19" t="s">
        <v>494</v>
      </c>
      <c r="B465" s="1"/>
      <c r="U465" s="719"/>
      <c r="V465" s="1"/>
      <c r="W465" s="14"/>
      <c r="X465" s="7"/>
      <c r="Y465" s="7"/>
      <c r="Z465" s="7"/>
      <c r="AA465" s="7"/>
      <c r="AB465" s="7"/>
      <c r="AC465" s="7"/>
    </row>
    <row r="466" spans="1:29" ht="25.5" hidden="1">
      <c r="A466" s="19">
        <v>90</v>
      </c>
      <c r="B466" s="1"/>
      <c r="U466" s="719"/>
      <c r="V466" s="1"/>
      <c r="W466" s="14"/>
      <c r="X466" s="7"/>
      <c r="Y466" s="7"/>
      <c r="Z466" s="7"/>
      <c r="AA466" s="7"/>
      <c r="AB466" s="7"/>
      <c r="AC466" s="7"/>
    </row>
    <row r="467" spans="1:29" ht="11.25" hidden="1" customHeight="1">
      <c r="A467" s="19">
        <v>91</v>
      </c>
      <c r="U467" s="644"/>
      <c r="V467" s="695"/>
      <c r="W467" s="14"/>
      <c r="X467" s="7"/>
      <c r="Y467" s="7"/>
      <c r="Z467" s="7"/>
      <c r="AA467" s="7"/>
      <c r="AB467" s="7"/>
      <c r="AC467" s="7"/>
    </row>
    <row r="468" spans="1:29" ht="54" hidden="1" customHeight="1">
      <c r="A468" s="19">
        <v>92</v>
      </c>
      <c r="B468" s="1"/>
      <c r="U468" s="644"/>
      <c r="V468" s="695"/>
      <c r="W468" s="14"/>
      <c r="X468" s="7"/>
      <c r="Y468" s="7"/>
      <c r="Z468" s="7"/>
      <c r="AA468" s="7"/>
      <c r="AB468" s="7"/>
      <c r="AC468" s="7"/>
    </row>
    <row r="469" spans="1:29" ht="30.75" hidden="1" customHeight="1">
      <c r="A469" s="19">
        <v>93</v>
      </c>
      <c r="B469" s="1"/>
      <c r="U469" s="644"/>
      <c r="V469" s="695"/>
      <c r="W469" s="14"/>
      <c r="X469" s="7"/>
      <c r="Y469" s="7"/>
      <c r="Z469" s="7"/>
      <c r="AA469" s="7"/>
      <c r="AB469" s="7"/>
      <c r="AC469" s="7"/>
    </row>
    <row r="470" spans="1:29" ht="57" hidden="1" customHeight="1">
      <c r="A470" s="19">
        <v>94</v>
      </c>
      <c r="B470" s="1"/>
      <c r="U470" s="644"/>
      <c r="V470" s="695"/>
      <c r="W470" s="14"/>
      <c r="X470" s="7"/>
      <c r="Y470" s="7"/>
      <c r="Z470" s="7"/>
      <c r="AA470" s="7"/>
      <c r="AB470" s="7"/>
      <c r="AC470" s="7"/>
    </row>
    <row r="471" spans="1:29" ht="28.5" hidden="1" customHeight="1">
      <c r="A471" s="19">
        <v>95</v>
      </c>
      <c r="B471" s="1"/>
      <c r="U471" s="644"/>
      <c r="V471" s="695"/>
      <c r="W471" s="14"/>
      <c r="X471" s="7"/>
      <c r="Y471" s="7"/>
      <c r="Z471" s="7"/>
      <c r="AA471" s="7"/>
      <c r="AB471" s="7"/>
      <c r="AC471" s="7"/>
    </row>
    <row r="472" spans="1:29" ht="30.75" hidden="1" customHeight="1">
      <c r="A472" s="19">
        <v>96</v>
      </c>
      <c r="B472" s="1"/>
      <c r="U472" s="644"/>
      <c r="V472" s="695"/>
      <c r="W472" s="14"/>
      <c r="X472" s="7"/>
      <c r="Y472" s="7"/>
      <c r="Z472" s="7"/>
      <c r="AA472" s="7"/>
      <c r="AB472" s="7"/>
      <c r="AC472" s="7"/>
    </row>
    <row r="473" spans="1:29" ht="30" hidden="1" customHeight="1">
      <c r="A473" s="19">
        <v>97</v>
      </c>
      <c r="B473" s="1"/>
      <c r="U473" s="644"/>
      <c r="V473" s="695"/>
      <c r="W473" s="14"/>
      <c r="X473" s="7"/>
      <c r="Y473" s="7"/>
      <c r="Z473" s="7"/>
      <c r="AA473" s="7"/>
      <c r="AB473" s="7"/>
      <c r="AC473" s="7"/>
    </row>
    <row r="474" spans="1:29" ht="27.75" hidden="1" customHeight="1">
      <c r="A474" s="19">
        <v>98</v>
      </c>
      <c r="U474" s="644"/>
      <c r="V474" s="695"/>
      <c r="W474" s="14"/>
      <c r="X474" s="7"/>
      <c r="Y474" s="7"/>
      <c r="Z474" s="7"/>
      <c r="AA474" s="7"/>
      <c r="AB474" s="7"/>
      <c r="AC474" s="7"/>
    </row>
    <row r="475" spans="1:29" ht="25.5" hidden="1">
      <c r="A475" s="19">
        <v>99</v>
      </c>
      <c r="U475" s="644"/>
      <c r="V475" s="695"/>
      <c r="W475" s="14"/>
      <c r="X475" s="7"/>
      <c r="Y475" s="7"/>
      <c r="Z475" s="7"/>
      <c r="AA475" s="7"/>
      <c r="AB475" s="7"/>
      <c r="AC475" s="7"/>
    </row>
    <row r="476" spans="1:29" ht="25.5" hidden="1">
      <c r="A476" s="19">
        <v>100</v>
      </c>
      <c r="B476" s="148"/>
      <c r="C476" s="91"/>
      <c r="D476" s="91"/>
      <c r="E476" s="91"/>
      <c r="F476" s="91"/>
      <c r="G476" s="91"/>
      <c r="H476" s="91"/>
      <c r="I476" s="91"/>
      <c r="J476" s="22"/>
      <c r="K476" s="22"/>
      <c r="L476" s="22"/>
      <c r="M476" s="22"/>
      <c r="N476" s="22"/>
      <c r="O476" s="91"/>
      <c r="P476" s="91"/>
      <c r="Q476" s="7"/>
      <c r="R476" s="200"/>
      <c r="S476" s="151"/>
      <c r="T476" s="91">
        <f>(P476-O476)*S476</f>
        <v>0</v>
      </c>
      <c r="U476" s="644"/>
      <c r="V476" s="695"/>
      <c r="W476" s="14"/>
      <c r="X476" s="7"/>
      <c r="Y476" s="7"/>
      <c r="Z476" s="7"/>
      <c r="AA476" s="7"/>
      <c r="AB476" s="7"/>
      <c r="AC476" s="7"/>
    </row>
    <row r="477" spans="1:29" ht="28.5" hidden="1" customHeight="1">
      <c r="A477" s="19">
        <v>101</v>
      </c>
      <c r="U477" s="644"/>
      <c r="V477" s="695"/>
      <c r="W477" s="14"/>
      <c r="X477" s="7"/>
      <c r="Y477" s="7"/>
      <c r="Z477" s="7"/>
      <c r="AA477" s="7"/>
      <c r="AB477" s="7"/>
      <c r="AC477" s="7"/>
    </row>
    <row r="478" spans="1:29" ht="26.25" hidden="1" customHeight="1">
      <c r="A478" s="19">
        <v>102</v>
      </c>
      <c r="U478" s="644"/>
      <c r="V478" s="695"/>
      <c r="W478" s="14">
        <v>752.1</v>
      </c>
      <c r="X478" s="238">
        <v>809.71</v>
      </c>
      <c r="Y478" s="7"/>
      <c r="Z478" s="149"/>
      <c r="AA478" s="149"/>
      <c r="AB478" s="149"/>
      <c r="AC478" s="149"/>
    </row>
    <row r="479" spans="1:29" ht="27.75" hidden="1" customHeight="1">
      <c r="A479" s="19" t="s">
        <v>495</v>
      </c>
      <c r="U479" s="644"/>
      <c r="V479" s="695"/>
      <c r="W479" s="14"/>
      <c r="X479" s="7"/>
      <c r="Y479" s="7"/>
      <c r="Z479" s="149"/>
      <c r="AA479" s="149"/>
      <c r="AB479" s="149"/>
      <c r="AC479" s="149"/>
    </row>
    <row r="480" spans="1:29" ht="31.5" hidden="1" customHeight="1">
      <c r="A480" s="19" t="s">
        <v>496</v>
      </c>
      <c r="U480" s="644"/>
      <c r="V480" s="695"/>
      <c r="W480" s="14"/>
      <c r="X480" s="7"/>
      <c r="Y480" s="7"/>
      <c r="Z480" s="7"/>
      <c r="AA480" s="7"/>
      <c r="AB480" s="7"/>
      <c r="AC480" s="7"/>
    </row>
    <row r="481" spans="1:29" ht="27.75" hidden="1" customHeight="1">
      <c r="A481" s="19">
        <v>103</v>
      </c>
      <c r="U481" s="644"/>
      <c r="V481" s="695"/>
      <c r="W481" s="14"/>
      <c r="X481" s="7"/>
      <c r="Y481" s="7"/>
      <c r="Z481" s="7"/>
      <c r="AA481" s="7"/>
      <c r="AB481" s="7"/>
      <c r="AC481" s="7"/>
    </row>
    <row r="482" spans="1:29" ht="30" hidden="1" customHeight="1">
      <c r="A482" s="19">
        <v>104</v>
      </c>
      <c r="U482" s="644"/>
      <c r="V482" s="695"/>
      <c r="W482" s="14"/>
      <c r="X482" s="7"/>
      <c r="Y482" s="7"/>
      <c r="Z482" s="7"/>
      <c r="AA482" s="7"/>
      <c r="AB482" s="7"/>
      <c r="AC482" s="7"/>
    </row>
    <row r="483" spans="1:29" ht="102" hidden="1">
      <c r="A483" s="19" t="s">
        <v>497</v>
      </c>
      <c r="B483" s="148"/>
      <c r="C483" s="199"/>
      <c r="D483" s="91"/>
      <c r="E483" s="91"/>
      <c r="F483" s="91"/>
      <c r="G483" s="91"/>
      <c r="H483" s="91"/>
      <c r="I483" s="91"/>
      <c r="J483" s="22"/>
      <c r="K483" s="22"/>
      <c r="L483" s="22"/>
      <c r="M483" s="22"/>
      <c r="N483" s="22"/>
      <c r="O483" s="91"/>
      <c r="P483" s="91"/>
      <c r="Q483" s="7"/>
      <c r="R483" s="200"/>
      <c r="S483" s="151"/>
      <c r="T483" s="91"/>
      <c r="U483" s="644"/>
      <c r="V483" s="695"/>
      <c r="W483" s="14"/>
      <c r="X483" s="7"/>
      <c r="Y483" s="7"/>
      <c r="Z483" s="7"/>
      <c r="AA483" s="7"/>
      <c r="AB483" s="7"/>
      <c r="AC483" s="7"/>
    </row>
    <row r="484" spans="1:29" ht="26.25" hidden="1">
      <c r="A484" s="231">
        <v>105</v>
      </c>
      <c r="B484" s="1"/>
      <c r="U484" s="719"/>
      <c r="V484" s="1"/>
      <c r="W484" s="14" t="s">
        <v>498</v>
      </c>
      <c r="X484" s="7">
        <v>6652</v>
      </c>
      <c r="Y484" s="7">
        <v>11490</v>
      </c>
      <c r="Z484" s="7"/>
      <c r="AA484" s="7"/>
      <c r="AB484" s="7"/>
      <c r="AC484" s="7"/>
    </row>
    <row r="485" spans="1:29" ht="25.5" hidden="1" customHeight="1">
      <c r="A485" s="19">
        <v>107</v>
      </c>
      <c r="B485" s="1"/>
      <c r="U485" s="719"/>
      <c r="V485" s="1"/>
      <c r="W485" s="134"/>
      <c r="X485" s="149"/>
      <c r="Y485" s="149"/>
      <c r="Z485" s="7"/>
      <c r="AA485" s="7"/>
      <c r="AB485" s="7"/>
      <c r="AC485" s="7"/>
    </row>
    <row r="486" spans="1:29" ht="27" hidden="1" customHeight="1">
      <c r="A486" s="19" t="s">
        <v>499</v>
      </c>
      <c r="B486" s="1"/>
      <c r="U486" s="719"/>
      <c r="V486" s="1"/>
      <c r="W486" s="134"/>
      <c r="X486" s="149"/>
      <c r="Y486" s="149"/>
      <c r="Z486" s="7"/>
      <c r="AA486" s="7"/>
      <c r="AB486" s="7"/>
      <c r="AC486" s="7"/>
    </row>
    <row r="487" spans="1:29" ht="28.5" hidden="1" customHeight="1">
      <c r="A487" s="19">
        <v>108</v>
      </c>
      <c r="B487" s="1"/>
      <c r="U487" s="719"/>
      <c r="V487" s="1"/>
      <c r="W487" s="14"/>
      <c r="X487" s="7"/>
      <c r="Y487" s="7"/>
      <c r="Z487" s="7"/>
      <c r="AA487" s="7"/>
      <c r="AB487" s="7"/>
      <c r="AC487" s="7"/>
    </row>
    <row r="488" spans="1:29" ht="25.5" hidden="1" customHeight="1">
      <c r="A488" s="19">
        <v>109</v>
      </c>
      <c r="B488" s="148"/>
      <c r="C488" s="91"/>
      <c r="D488" s="91"/>
      <c r="E488" s="91"/>
      <c r="F488" s="91"/>
      <c r="G488" s="91"/>
      <c r="H488" s="91"/>
      <c r="I488" s="91"/>
      <c r="J488" s="22"/>
      <c r="K488" s="22"/>
      <c r="L488" s="22"/>
      <c r="M488" s="22"/>
      <c r="N488" s="22"/>
      <c r="O488" s="91"/>
      <c r="P488" s="91"/>
      <c r="Q488" s="7"/>
      <c r="R488" s="94"/>
      <c r="S488" s="151"/>
      <c r="T488" s="91"/>
      <c r="U488" s="644"/>
      <c r="V488" s="695"/>
      <c r="W488" s="14"/>
      <c r="X488" s="7"/>
      <c r="Y488" s="7"/>
      <c r="Z488" s="7"/>
      <c r="AA488" s="7"/>
      <c r="AB488" s="7"/>
      <c r="AC488" s="7"/>
    </row>
    <row r="489" spans="1:29" ht="6.75" hidden="1" customHeight="1">
      <c r="A489" s="19">
        <v>110</v>
      </c>
      <c r="B489" s="1"/>
      <c r="U489" s="719"/>
      <c r="V489" s="1"/>
      <c r="W489" s="14"/>
      <c r="X489" s="7"/>
      <c r="Y489" s="7"/>
      <c r="Z489" s="7"/>
      <c r="AA489" s="7"/>
      <c r="AB489" s="7"/>
      <c r="AC489" s="7"/>
    </row>
    <row r="490" spans="1:29" ht="25.5" hidden="1">
      <c r="A490" s="19"/>
      <c r="B490" s="148"/>
      <c r="C490" s="91"/>
      <c r="D490" s="91"/>
      <c r="E490" s="91"/>
      <c r="F490" s="91"/>
      <c r="G490" s="91"/>
      <c r="H490" s="91"/>
      <c r="I490" s="91"/>
      <c r="J490" s="22"/>
      <c r="K490" s="22"/>
      <c r="L490" s="22"/>
      <c r="M490" s="22"/>
      <c r="N490" s="22"/>
      <c r="O490" s="91"/>
      <c r="P490" s="91"/>
      <c r="Q490" s="22"/>
      <c r="R490" s="142"/>
      <c r="S490" s="151"/>
      <c r="T490" s="91"/>
      <c r="U490" s="644"/>
      <c r="V490" s="695"/>
      <c r="W490" s="14"/>
      <c r="X490" s="7"/>
      <c r="Y490" s="7"/>
      <c r="Z490" s="7"/>
      <c r="AA490" s="7"/>
      <c r="AB490" s="7"/>
      <c r="AC490" s="7"/>
    </row>
    <row r="491" spans="1:29" ht="27" hidden="1" customHeight="1">
      <c r="A491" s="231">
        <v>111</v>
      </c>
      <c r="B491" s="1"/>
      <c r="U491" s="719"/>
      <c r="V491" s="1"/>
      <c r="W491" s="14"/>
      <c r="X491" s="7"/>
      <c r="Y491" s="7"/>
      <c r="Z491" s="7"/>
      <c r="AA491" s="7"/>
      <c r="AB491" s="7"/>
      <c r="AC491" s="7"/>
    </row>
    <row r="492" spans="1:29" ht="26.25" hidden="1">
      <c r="A492" s="231"/>
      <c r="B492" s="90"/>
      <c r="C492" s="91"/>
      <c r="D492" s="115"/>
      <c r="E492" s="115"/>
      <c r="F492" s="115"/>
      <c r="G492" s="115"/>
      <c r="H492" s="115"/>
      <c r="I492" s="115"/>
      <c r="J492" s="164"/>
      <c r="K492" s="164"/>
      <c r="L492" s="164"/>
      <c r="M492" s="164"/>
      <c r="N492" s="164"/>
      <c r="O492" s="91"/>
      <c r="P492" s="91"/>
      <c r="Q492" s="22"/>
      <c r="R492" s="142"/>
      <c r="S492" s="151"/>
      <c r="T492" s="91"/>
      <c r="U492" s="644"/>
      <c r="V492" s="695"/>
      <c r="W492" s="14"/>
      <c r="X492" s="7"/>
      <c r="Y492" s="7"/>
      <c r="Z492" s="7"/>
      <c r="AA492" s="7"/>
      <c r="AB492" s="7"/>
      <c r="AC492" s="7"/>
    </row>
    <row r="493" spans="1:29" ht="25.5" hidden="1">
      <c r="A493" s="19">
        <v>112</v>
      </c>
      <c r="B493" s="148"/>
      <c r="C493" s="91"/>
      <c r="D493" s="91"/>
      <c r="E493" s="91"/>
      <c r="F493" s="91"/>
      <c r="G493" s="91"/>
      <c r="H493" s="91"/>
      <c r="I493" s="91"/>
      <c r="J493" s="22"/>
      <c r="K493" s="22"/>
      <c r="L493" s="22"/>
      <c r="M493" s="22"/>
      <c r="N493" s="22"/>
      <c r="O493" s="91"/>
      <c r="P493" s="91"/>
      <c r="Q493" s="22"/>
      <c r="R493" s="142"/>
      <c r="S493" s="151"/>
      <c r="T493" s="91"/>
      <c r="U493" s="644"/>
      <c r="V493" s="695"/>
      <c r="W493" s="14"/>
      <c r="X493" s="7"/>
      <c r="Y493" s="7"/>
      <c r="Z493" s="7"/>
      <c r="AA493" s="7"/>
      <c r="AB493" s="7"/>
      <c r="AC493" s="7"/>
    </row>
    <row r="494" spans="1:29" ht="25.5" hidden="1">
      <c r="A494" s="19">
        <v>113</v>
      </c>
      <c r="B494" s="148"/>
      <c r="C494" s="91"/>
      <c r="D494" s="91"/>
      <c r="E494" s="91"/>
      <c r="F494" s="91"/>
      <c r="G494" s="91"/>
      <c r="H494" s="91"/>
      <c r="I494" s="91"/>
      <c r="J494" s="22"/>
      <c r="K494" s="22"/>
      <c r="L494" s="22"/>
      <c r="M494" s="22"/>
      <c r="N494" s="22"/>
      <c r="O494" s="91"/>
      <c r="P494" s="91"/>
      <c r="Q494" s="149"/>
      <c r="R494" s="161"/>
      <c r="S494" s="151"/>
      <c r="T494" s="91"/>
      <c r="U494" s="644"/>
      <c r="V494" s="695"/>
      <c r="W494" s="14"/>
      <c r="X494" s="7"/>
      <c r="Y494" s="7"/>
      <c r="Z494" s="7"/>
      <c r="AA494" s="7"/>
      <c r="AB494" s="7"/>
      <c r="AC494" s="7"/>
    </row>
    <row r="495" spans="1:29" ht="25.5" hidden="1">
      <c r="A495" s="19">
        <v>114</v>
      </c>
      <c r="B495" s="148"/>
      <c r="C495" s="91"/>
      <c r="D495" s="91"/>
      <c r="E495" s="91"/>
      <c r="F495" s="91"/>
      <c r="G495" s="91"/>
      <c r="H495" s="91"/>
      <c r="I495" s="91"/>
      <c r="J495" s="22"/>
      <c r="K495" s="22"/>
      <c r="L495" s="22"/>
      <c r="M495" s="22"/>
      <c r="N495" s="22"/>
      <c r="O495" s="91"/>
      <c r="P495" s="91"/>
      <c r="Q495" s="149"/>
      <c r="R495" s="161"/>
      <c r="S495" s="151"/>
      <c r="T495" s="91"/>
      <c r="U495" s="644"/>
      <c r="V495" s="695"/>
      <c r="W495" s="14"/>
      <c r="X495" s="7"/>
      <c r="Y495" s="7"/>
      <c r="Z495" s="7"/>
      <c r="AA495" s="7"/>
      <c r="AB495" s="7"/>
      <c r="AC495" s="7"/>
    </row>
    <row r="496" spans="1:29" ht="34.5" hidden="1" customHeight="1">
      <c r="A496" s="19">
        <v>115</v>
      </c>
      <c r="B496" s="1"/>
      <c r="U496" s="719"/>
      <c r="V496" s="1"/>
      <c r="W496" s="14">
        <f>20035+15857+13968</f>
        <v>49860</v>
      </c>
      <c r="X496" s="239">
        <f>27786+1606</f>
        <v>29392</v>
      </c>
      <c r="Y496" s="7"/>
      <c r="Z496" s="7"/>
      <c r="AA496" s="7"/>
      <c r="AB496" s="7"/>
      <c r="AC496" s="7"/>
    </row>
    <row r="497" spans="1:29" ht="25.5" hidden="1">
      <c r="A497" s="19">
        <v>116</v>
      </c>
      <c r="B497" s="148"/>
      <c r="C497" s="91"/>
      <c r="D497" s="91"/>
      <c r="E497" s="91"/>
      <c r="F497" s="91"/>
      <c r="G497" s="91"/>
      <c r="H497" s="91"/>
      <c r="I497" s="91"/>
      <c r="J497" s="22"/>
      <c r="K497" s="22"/>
      <c r="L497" s="22"/>
      <c r="M497" s="22"/>
      <c r="N497" s="22"/>
      <c r="O497" s="91"/>
      <c r="P497" s="91"/>
      <c r="Q497" s="22"/>
      <c r="R497" s="142"/>
      <c r="S497" s="151"/>
      <c r="T497" s="91"/>
      <c r="U497" s="644"/>
      <c r="V497" s="695"/>
      <c r="W497" s="14"/>
      <c r="X497" s="7"/>
      <c r="Y497" s="7"/>
      <c r="Z497" s="7"/>
      <c r="AA497" s="7"/>
      <c r="AB497" s="7"/>
      <c r="AC497" s="7"/>
    </row>
    <row r="498" spans="1:29" ht="25.5" hidden="1">
      <c r="A498" s="19">
        <v>117</v>
      </c>
      <c r="B498" s="1"/>
      <c r="U498" s="719"/>
      <c r="V498" s="1"/>
      <c r="W498" s="14"/>
      <c r="X498" s="7"/>
      <c r="Y498" s="7"/>
      <c r="Z498" s="7"/>
      <c r="AA498" s="7"/>
      <c r="AB498" s="7"/>
      <c r="AC498" s="7"/>
    </row>
    <row r="499" spans="1:29" ht="30.75" hidden="1" customHeight="1">
      <c r="A499" s="19">
        <v>118</v>
      </c>
      <c r="U499" s="644"/>
      <c r="V499" s="695"/>
      <c r="W499" s="14"/>
      <c r="X499" s="7"/>
      <c r="Y499" s="7"/>
      <c r="Z499" s="7"/>
      <c r="AA499" s="7"/>
      <c r="AB499" s="7"/>
      <c r="AC499" s="7"/>
    </row>
    <row r="500" spans="1:29" ht="25.5" hidden="1">
      <c r="A500" s="19">
        <v>119</v>
      </c>
      <c r="B500" s="1"/>
      <c r="U500" s="644"/>
      <c r="V500" s="695"/>
      <c r="W500" s="14"/>
      <c r="X500" s="7"/>
      <c r="Y500" s="7"/>
      <c r="Z500" s="7"/>
      <c r="AA500" s="7"/>
      <c r="AB500" s="7"/>
      <c r="AC500" s="7"/>
    </row>
    <row r="501" spans="1:29" ht="25.5" hidden="1">
      <c r="A501" s="19">
        <v>120</v>
      </c>
      <c r="B501" s="148"/>
      <c r="C501" s="91"/>
      <c r="D501" s="91"/>
      <c r="E501" s="91"/>
      <c r="F501" s="91"/>
      <c r="G501" s="91"/>
      <c r="H501" s="91"/>
      <c r="I501" s="91"/>
      <c r="J501" s="22"/>
      <c r="K501" s="22"/>
      <c r="L501" s="22"/>
      <c r="M501" s="22"/>
      <c r="N501" s="22"/>
      <c r="O501" s="91"/>
      <c r="P501" s="91"/>
      <c r="Q501" s="7"/>
      <c r="R501" s="200"/>
      <c r="S501" s="151"/>
      <c r="T501" s="91"/>
      <c r="U501" s="644"/>
      <c r="V501" s="695"/>
      <c r="W501" s="14"/>
      <c r="X501" s="7"/>
      <c r="Y501" s="7"/>
      <c r="Z501" s="7"/>
      <c r="AA501" s="7"/>
      <c r="AB501" s="7"/>
      <c r="AC501" s="7"/>
    </row>
    <row r="502" spans="1:29" ht="25.5" hidden="1">
      <c r="A502" s="19"/>
      <c r="B502" s="148"/>
      <c r="C502" s="91"/>
      <c r="D502" s="91"/>
      <c r="E502" s="91"/>
      <c r="F502" s="91"/>
      <c r="G502" s="91"/>
      <c r="H502" s="91"/>
      <c r="I502" s="91"/>
      <c r="J502" s="22"/>
      <c r="K502" s="22"/>
      <c r="L502" s="22"/>
      <c r="M502" s="22"/>
      <c r="N502" s="22"/>
      <c r="O502" s="91"/>
      <c r="P502" s="91"/>
      <c r="Q502" s="7"/>
      <c r="R502" s="200"/>
      <c r="S502" s="151"/>
      <c r="T502" s="91"/>
      <c r="U502" s="644"/>
      <c r="V502" s="695"/>
      <c r="W502" s="14"/>
      <c r="X502" s="7"/>
      <c r="Y502" s="7"/>
      <c r="Z502" s="7"/>
      <c r="AA502" s="7"/>
      <c r="AB502" s="7"/>
      <c r="AC502" s="7"/>
    </row>
    <row r="503" spans="1:29" ht="29.25" hidden="1" customHeight="1">
      <c r="A503" s="19">
        <v>121</v>
      </c>
      <c r="U503" s="644"/>
      <c r="V503" s="695"/>
      <c r="W503" s="14"/>
      <c r="X503" s="7"/>
      <c r="Y503" s="7"/>
      <c r="Z503" s="7"/>
      <c r="AA503" s="7"/>
      <c r="AB503" s="7"/>
      <c r="AC503" s="7"/>
    </row>
    <row r="504" spans="1:29" ht="25.5" hidden="1">
      <c r="A504" s="19">
        <v>122</v>
      </c>
      <c r="B504" s="148"/>
      <c r="C504" s="91"/>
      <c r="D504" s="91"/>
      <c r="E504" s="91"/>
      <c r="F504" s="91"/>
      <c r="G504" s="91"/>
      <c r="H504" s="91"/>
      <c r="I504" s="91"/>
      <c r="J504" s="22"/>
      <c r="K504" s="22"/>
      <c r="L504" s="22"/>
      <c r="M504" s="22"/>
      <c r="N504" s="22"/>
      <c r="O504" s="91"/>
      <c r="P504" s="91"/>
      <c r="Q504" s="122"/>
      <c r="R504" s="173"/>
      <c r="S504" s="151"/>
      <c r="T504" s="91"/>
      <c r="U504" s="644"/>
      <c r="V504" s="695"/>
      <c r="W504" s="14"/>
      <c r="X504" s="7"/>
      <c r="Y504" s="7"/>
      <c r="Z504" s="7"/>
      <c r="AA504" s="7"/>
      <c r="AB504" s="7"/>
      <c r="AC504" s="7"/>
    </row>
    <row r="505" spans="1:29" ht="36" hidden="1" customHeight="1">
      <c r="A505" s="19">
        <v>123</v>
      </c>
      <c r="B505" s="1"/>
      <c r="U505" s="719"/>
      <c r="V505" s="1"/>
      <c r="W505" s="14"/>
      <c r="X505" s="7"/>
      <c r="Y505" s="7"/>
      <c r="Z505" s="7"/>
      <c r="AA505" s="7"/>
      <c r="AB505" s="7"/>
      <c r="AC505" s="7"/>
    </row>
    <row r="506" spans="1:29" ht="25.5" hidden="1">
      <c r="A506" s="19"/>
      <c r="B506" s="1"/>
      <c r="U506" s="719"/>
      <c r="V506" s="1"/>
      <c r="W506" s="14"/>
      <c r="X506" s="7"/>
      <c r="Y506" s="7"/>
      <c r="Z506" s="7"/>
      <c r="AA506" s="7"/>
      <c r="AB506" s="7"/>
      <c r="AC506" s="7"/>
    </row>
    <row r="507" spans="1:29" ht="25.5" hidden="1">
      <c r="A507" s="19">
        <v>124</v>
      </c>
      <c r="B507" s="1"/>
      <c r="U507" s="644"/>
      <c r="V507" s="695"/>
      <c r="W507" s="14"/>
      <c r="X507" s="7"/>
      <c r="Y507" s="7"/>
      <c r="Z507" s="7"/>
      <c r="AA507" s="7"/>
      <c r="AB507" s="7"/>
      <c r="AC507" s="7"/>
    </row>
    <row r="508" spans="1:29" ht="25.5" hidden="1">
      <c r="A508" s="19">
        <v>125</v>
      </c>
      <c r="B508" s="148"/>
      <c r="C508" s="91"/>
      <c r="D508" s="91"/>
      <c r="E508" s="91"/>
      <c r="F508" s="91"/>
      <c r="G508" s="91"/>
      <c r="H508" s="91"/>
      <c r="I508" s="91"/>
      <c r="J508" s="22"/>
      <c r="K508" s="22"/>
      <c r="L508" s="22"/>
      <c r="M508" s="22"/>
      <c r="N508" s="22"/>
      <c r="O508" s="91"/>
      <c r="P508" s="91"/>
      <c r="Q508" s="7"/>
      <c r="R508" s="94"/>
      <c r="S508" s="151"/>
      <c r="T508" s="91"/>
      <c r="U508" s="644"/>
      <c r="V508" s="695"/>
      <c r="W508" s="14"/>
      <c r="X508" s="7"/>
      <c r="Y508" s="7"/>
      <c r="Z508" s="7"/>
      <c r="AA508" s="7"/>
      <c r="AB508" s="7"/>
      <c r="AC508" s="7"/>
    </row>
    <row r="509" spans="1:29" ht="20.25" hidden="1">
      <c r="B509" s="1"/>
      <c r="U509" s="719"/>
      <c r="V509" s="1"/>
      <c r="W509" s="14"/>
      <c r="X509" s="7"/>
      <c r="Y509" s="7"/>
      <c r="Z509" s="7"/>
      <c r="AA509" s="7"/>
      <c r="AB509" s="7"/>
      <c r="AC509" s="7"/>
    </row>
    <row r="510" spans="1:29" ht="30" hidden="1" customHeight="1">
      <c r="A510" s="19">
        <v>127</v>
      </c>
      <c r="B510" s="148"/>
      <c r="C510" s="91"/>
      <c r="D510" s="91"/>
      <c r="E510" s="91"/>
      <c r="F510" s="91"/>
      <c r="G510" s="91"/>
      <c r="H510" s="91"/>
      <c r="I510" s="91"/>
      <c r="J510" s="22"/>
      <c r="K510" s="22"/>
      <c r="L510" s="22"/>
      <c r="M510" s="22"/>
      <c r="N510" s="22"/>
      <c r="O510" s="91"/>
      <c r="P510" s="91"/>
      <c r="Q510" s="7"/>
      <c r="R510" s="94"/>
      <c r="S510" s="151"/>
      <c r="T510" s="91"/>
      <c r="U510" s="644"/>
      <c r="V510" s="695"/>
      <c r="W510" s="14"/>
      <c r="X510" s="7"/>
      <c r="Y510" s="7"/>
      <c r="Z510" s="7"/>
      <c r="AA510" s="7"/>
      <c r="AB510" s="7"/>
      <c r="AC510" s="7"/>
    </row>
    <row r="511" spans="1:29" ht="25.5" hidden="1">
      <c r="A511" s="19"/>
      <c r="B511" s="148"/>
      <c r="C511" s="91"/>
      <c r="D511" s="91"/>
      <c r="E511" s="91"/>
      <c r="F511" s="91"/>
      <c r="G511" s="91"/>
      <c r="H511" s="91"/>
      <c r="I511" s="91"/>
      <c r="J511" s="22"/>
      <c r="K511" s="22"/>
      <c r="L511" s="22"/>
      <c r="M511" s="22"/>
      <c r="N511" s="22"/>
      <c r="O511" s="91"/>
      <c r="P511" s="91"/>
      <c r="Q511" s="22"/>
      <c r="R511" s="142"/>
      <c r="S511" s="151"/>
      <c r="T511" s="91"/>
      <c r="U511" s="644"/>
      <c r="V511" s="695"/>
      <c r="W511" s="14"/>
      <c r="X511" s="7"/>
      <c r="Y511" s="7"/>
      <c r="Z511" s="7"/>
      <c r="AA511" s="7"/>
      <c r="AB511" s="7"/>
      <c r="AC511" s="7"/>
    </row>
    <row r="512" spans="1:29" ht="24.75" hidden="1" customHeight="1">
      <c r="A512" s="19">
        <v>129</v>
      </c>
      <c r="U512" s="644"/>
      <c r="V512" s="695"/>
      <c r="W512" s="14"/>
      <c r="X512" s="7"/>
      <c r="Y512" s="7"/>
      <c r="Z512" s="7"/>
      <c r="AA512" s="7"/>
      <c r="AB512" s="7"/>
      <c r="AC512" s="7"/>
    </row>
    <row r="513" spans="1:29" ht="27.75" hidden="1" customHeight="1">
      <c r="A513" s="19">
        <v>130</v>
      </c>
      <c r="B513" s="1"/>
      <c r="U513" s="644"/>
      <c r="V513" s="695"/>
      <c r="W513" s="14"/>
      <c r="X513" s="7"/>
      <c r="Y513" s="7"/>
      <c r="Z513" s="7"/>
      <c r="AA513" s="7"/>
      <c r="AB513" s="7"/>
      <c r="AC513" s="7"/>
    </row>
    <row r="514" spans="1:29" ht="19.5" hidden="1" customHeight="1">
      <c r="A514" s="19">
        <v>131</v>
      </c>
      <c r="B514" s="1"/>
      <c r="U514" s="719"/>
      <c r="V514" s="1"/>
      <c r="W514" s="14"/>
      <c r="X514" s="7"/>
      <c r="Y514" s="7"/>
      <c r="Z514" s="7"/>
      <c r="AA514" s="7"/>
      <c r="AB514" s="7"/>
      <c r="AC514" s="7"/>
    </row>
    <row r="515" spans="1:29" ht="25.5" hidden="1">
      <c r="A515" s="19"/>
      <c r="B515" s="1"/>
      <c r="U515" s="719"/>
      <c r="V515" s="1"/>
      <c r="W515" s="14"/>
      <c r="X515" s="7"/>
      <c r="Y515" s="7"/>
      <c r="Z515" s="7"/>
      <c r="AA515" s="7"/>
      <c r="AB515" s="7"/>
      <c r="AC515" s="7"/>
    </row>
    <row r="516" spans="1:29" ht="25.5" hidden="1">
      <c r="A516" s="19">
        <v>132</v>
      </c>
      <c r="U516" s="644"/>
      <c r="V516" s="695"/>
      <c r="W516" s="14"/>
      <c r="X516" s="7"/>
      <c r="Y516" s="7"/>
      <c r="Z516" s="7"/>
      <c r="AA516" s="7"/>
      <c r="AB516" s="7"/>
      <c r="AC516" s="7"/>
    </row>
    <row r="517" spans="1:29" ht="102" hidden="1">
      <c r="A517" s="19" t="s">
        <v>500</v>
      </c>
      <c r="U517" s="644"/>
      <c r="V517" s="695"/>
      <c r="W517" s="14"/>
      <c r="X517" s="7"/>
      <c r="Y517" s="7"/>
      <c r="Z517" s="7"/>
      <c r="AA517" s="7"/>
      <c r="AB517" s="7"/>
      <c r="AC517" s="7"/>
    </row>
    <row r="518" spans="1:29" ht="27" hidden="1">
      <c r="A518" s="135">
        <v>133</v>
      </c>
      <c r="B518" s="1"/>
      <c r="U518" s="719"/>
      <c r="V518" s="1"/>
      <c r="W518" s="14">
        <v>144.63999999999999</v>
      </c>
      <c r="X518" s="240">
        <v>166.05</v>
      </c>
      <c r="Y518" s="7"/>
      <c r="Z518" s="7"/>
      <c r="AA518" s="7"/>
      <c r="AB518" s="7"/>
      <c r="AC518" s="7"/>
    </row>
    <row r="519" spans="1:29" ht="25.5" hidden="1">
      <c r="A519" s="19">
        <v>134</v>
      </c>
      <c r="B519" s="1"/>
      <c r="U519" s="719"/>
      <c r="V519" s="1"/>
      <c r="W519" s="14"/>
      <c r="X519" s="7"/>
      <c r="Y519" s="7"/>
      <c r="Z519" s="7"/>
      <c r="AA519" s="7"/>
      <c r="AB519" s="7"/>
      <c r="AC519" s="7"/>
    </row>
    <row r="520" spans="1:29" ht="34.5" hidden="1" customHeight="1">
      <c r="A520" s="19" t="s">
        <v>501</v>
      </c>
      <c r="B520" s="1"/>
      <c r="U520" s="719"/>
      <c r="V520" s="1"/>
      <c r="W520" s="14"/>
      <c r="X520" s="7"/>
      <c r="Y520" s="7"/>
      <c r="Z520" s="7"/>
      <c r="AA520" s="7"/>
      <c r="AB520" s="7"/>
      <c r="AC520" s="7"/>
    </row>
    <row r="521" spans="1:29" ht="25.5" hidden="1" customHeight="1">
      <c r="A521" s="19" t="s">
        <v>502</v>
      </c>
      <c r="B521" s="1"/>
      <c r="U521" s="719"/>
      <c r="V521" s="1"/>
      <c r="W521" s="14"/>
      <c r="X521" s="7"/>
      <c r="Y521" s="7"/>
      <c r="Z521" s="7"/>
      <c r="AA521" s="7"/>
      <c r="AB521" s="7"/>
      <c r="AC521" s="7"/>
    </row>
    <row r="522" spans="1:29" ht="34.5" hidden="1" customHeight="1">
      <c r="A522" s="19" t="s">
        <v>503</v>
      </c>
      <c r="B522" s="148"/>
      <c r="C522" s="124"/>
      <c r="D522" s="124"/>
      <c r="E522" s="124"/>
      <c r="F522" s="124"/>
      <c r="G522" s="124"/>
      <c r="H522" s="124"/>
      <c r="I522" s="124"/>
      <c r="J522" s="126"/>
      <c r="K522" s="126"/>
      <c r="L522" s="126"/>
      <c r="M522" s="126"/>
      <c r="N522" s="126"/>
      <c r="O522" s="241"/>
      <c r="P522" s="241"/>
      <c r="Q522" s="7"/>
      <c r="R522" s="242"/>
      <c r="S522" s="140"/>
      <c r="T522" s="124"/>
      <c r="U522" s="717"/>
      <c r="V522" s="128"/>
      <c r="W522" s="14"/>
      <c r="X522" s="7"/>
      <c r="Y522" s="7"/>
      <c r="Z522" s="7"/>
      <c r="AA522" s="7"/>
      <c r="AB522" s="7"/>
      <c r="AC522" s="7"/>
    </row>
    <row r="523" spans="1:29" ht="102" hidden="1">
      <c r="A523" s="19" t="s">
        <v>504</v>
      </c>
      <c r="B523" s="1"/>
      <c r="U523" s="719"/>
      <c r="V523" s="1"/>
      <c r="W523" s="14"/>
      <c r="X523" s="7"/>
      <c r="Y523" s="7"/>
      <c r="Z523" s="7"/>
      <c r="AA523" s="7"/>
      <c r="AB523" s="7"/>
      <c r="AC523" s="7"/>
    </row>
    <row r="524" spans="1:29" ht="26.25" hidden="1">
      <c r="A524" s="19"/>
      <c r="B524" s="243"/>
      <c r="C524" s="124"/>
      <c r="D524" s="91"/>
      <c r="E524" s="124"/>
      <c r="F524" s="124"/>
      <c r="G524" s="124"/>
      <c r="H524" s="124"/>
      <c r="I524" s="124"/>
      <c r="J524" s="244"/>
      <c r="K524" s="244"/>
      <c r="L524" s="244"/>
      <c r="M524" s="244"/>
      <c r="N524" s="244"/>
      <c r="O524" s="115"/>
      <c r="P524" s="115"/>
      <c r="Q524" s="245"/>
      <c r="R524" s="246"/>
      <c r="S524" s="140"/>
      <c r="T524" s="124"/>
      <c r="U524" s="717"/>
      <c r="V524" s="128"/>
      <c r="W524" s="14"/>
      <c r="X524" s="7"/>
      <c r="Y524" s="7"/>
      <c r="Z524" s="7"/>
      <c r="AA524" s="7"/>
      <c r="AB524" s="7"/>
      <c r="AC524" s="7"/>
    </row>
    <row r="525" spans="1:29" ht="26.25" hidden="1">
      <c r="A525" s="135">
        <v>135</v>
      </c>
      <c r="B525" s="1"/>
      <c r="U525" s="719"/>
      <c r="V525" s="1"/>
      <c r="W525" s="14">
        <v>1687</v>
      </c>
      <c r="X525" s="48">
        <v>1800</v>
      </c>
      <c r="Y525" s="48">
        <v>60</v>
      </c>
      <c r="Z525" s="48">
        <f>(X525-W525)*Y525</f>
        <v>6780</v>
      </c>
      <c r="AA525" s="48"/>
      <c r="AB525" s="7"/>
      <c r="AC525" s="7"/>
    </row>
    <row r="526" spans="1:29" ht="30" hidden="1" customHeight="1">
      <c r="A526" s="19" t="s">
        <v>505</v>
      </c>
      <c r="B526" s="1"/>
      <c r="U526" s="644"/>
      <c r="V526" s="695"/>
      <c r="W526" s="14"/>
      <c r="X526" s="7"/>
      <c r="Y526" s="7"/>
      <c r="Z526" s="7"/>
      <c r="AA526" s="7"/>
      <c r="AB526" s="7"/>
      <c r="AC526" s="7"/>
    </row>
    <row r="527" spans="1:29" ht="30" hidden="1" customHeight="1">
      <c r="A527" s="19" t="s">
        <v>506</v>
      </c>
      <c r="U527" s="644"/>
      <c r="V527" s="695"/>
      <c r="W527" s="14"/>
      <c r="X527" s="7"/>
      <c r="Y527" s="7"/>
      <c r="Z527" s="7"/>
      <c r="AA527" s="7"/>
      <c r="AB527" s="7"/>
      <c r="AC527" s="7"/>
    </row>
    <row r="528" spans="1:29" ht="30" hidden="1" customHeight="1">
      <c r="A528" s="19" t="s">
        <v>507</v>
      </c>
      <c r="U528" s="644"/>
      <c r="V528" s="695"/>
      <c r="W528" s="14"/>
      <c r="X528" s="7"/>
      <c r="Y528" s="7"/>
      <c r="Z528" s="7"/>
      <c r="AA528" s="7"/>
      <c r="AB528" s="7"/>
      <c r="AC528" s="7"/>
    </row>
    <row r="529" spans="1:29" ht="30" hidden="1" customHeight="1">
      <c r="A529" s="19" t="s">
        <v>508</v>
      </c>
      <c r="U529" s="644"/>
      <c r="V529" s="695"/>
      <c r="W529" s="14"/>
      <c r="X529" s="7"/>
      <c r="Y529" s="7"/>
      <c r="Z529" s="7"/>
      <c r="AA529" s="7"/>
      <c r="AB529" s="7"/>
      <c r="AC529" s="7"/>
    </row>
    <row r="530" spans="1:29" ht="30" hidden="1" customHeight="1">
      <c r="A530" s="19" t="s">
        <v>509</v>
      </c>
      <c r="U530" s="644"/>
      <c r="V530" s="695"/>
      <c r="W530" s="14"/>
      <c r="X530" s="7"/>
      <c r="Y530" s="7"/>
      <c r="Z530" s="7"/>
      <c r="AA530" s="7"/>
      <c r="AB530" s="7"/>
      <c r="AC530" s="7"/>
    </row>
    <row r="531" spans="1:29" ht="30" hidden="1" customHeight="1">
      <c r="A531" s="19" t="s">
        <v>510</v>
      </c>
      <c r="U531" s="644"/>
      <c r="V531" s="695"/>
      <c r="W531" s="14"/>
      <c r="X531" s="7"/>
      <c r="Y531" s="7"/>
      <c r="Z531" s="7"/>
      <c r="AA531" s="7"/>
      <c r="AB531" s="7"/>
      <c r="AC531" s="7"/>
    </row>
    <row r="532" spans="1:29" ht="30" hidden="1" customHeight="1">
      <c r="A532" s="19" t="s">
        <v>511</v>
      </c>
      <c r="U532" s="644"/>
      <c r="V532" s="695"/>
      <c r="W532" s="14"/>
      <c r="X532" s="7"/>
      <c r="Y532" s="7"/>
      <c r="Z532" s="7"/>
      <c r="AA532" s="7"/>
      <c r="AB532" s="7"/>
      <c r="AC532" s="7"/>
    </row>
    <row r="533" spans="1:29" ht="30" hidden="1" customHeight="1">
      <c r="A533" s="19" t="s">
        <v>512</v>
      </c>
      <c r="U533" s="644"/>
      <c r="V533" s="695"/>
      <c r="W533" s="14"/>
      <c r="X533" s="7"/>
      <c r="Y533" s="7"/>
      <c r="Z533" s="7"/>
      <c r="AA533" s="7"/>
      <c r="AB533" s="7"/>
      <c r="AC533" s="7"/>
    </row>
    <row r="534" spans="1:29" ht="30" hidden="1" customHeight="1">
      <c r="A534" s="19" t="s">
        <v>513</v>
      </c>
      <c r="U534" s="644"/>
      <c r="V534" s="695"/>
      <c r="W534" s="14"/>
      <c r="X534" s="7"/>
      <c r="Y534" s="7"/>
      <c r="Z534" s="7"/>
      <c r="AA534" s="7"/>
      <c r="AB534" s="7"/>
      <c r="AC534" s="7"/>
    </row>
    <row r="535" spans="1:29" ht="28.5" hidden="1" customHeight="1">
      <c r="A535" s="19" t="s">
        <v>514</v>
      </c>
      <c r="U535" s="644"/>
      <c r="V535" s="695"/>
      <c r="W535" s="14"/>
      <c r="X535" s="7"/>
      <c r="Y535" s="7"/>
      <c r="Z535" s="7"/>
      <c r="AA535" s="7"/>
      <c r="AB535" s="7"/>
      <c r="AC535" s="7"/>
    </row>
    <row r="536" spans="1:29" ht="28.5" hidden="1" customHeight="1">
      <c r="A536" s="19"/>
      <c r="B536" s="148"/>
      <c r="C536" s="91"/>
      <c r="D536" s="91"/>
      <c r="E536" s="91"/>
      <c r="F536" s="91"/>
      <c r="G536" s="91"/>
      <c r="H536" s="91"/>
      <c r="I536" s="91"/>
      <c r="J536" s="22"/>
      <c r="K536" s="22"/>
      <c r="L536" s="22"/>
      <c r="M536" s="22"/>
      <c r="N536" s="22"/>
      <c r="O536" s="91"/>
      <c r="P536" s="91"/>
      <c r="Q536" s="7"/>
      <c r="R536" s="94"/>
      <c r="S536" s="151"/>
      <c r="T536" s="91"/>
      <c r="U536" s="644"/>
      <c r="V536" s="695"/>
      <c r="W536" s="14"/>
      <c r="X536" s="7"/>
      <c r="Y536" s="7"/>
      <c r="Z536" s="7"/>
      <c r="AA536" s="7"/>
      <c r="AB536" s="7"/>
      <c r="AC536" s="7"/>
    </row>
    <row r="537" spans="1:29" ht="25.5" hidden="1">
      <c r="A537" s="19">
        <v>137</v>
      </c>
      <c r="B537" s="1"/>
      <c r="U537" s="719"/>
      <c r="V537" s="1"/>
      <c r="W537" s="14"/>
      <c r="X537" s="7"/>
      <c r="Y537" s="7"/>
      <c r="Z537" s="7"/>
      <c r="AA537" s="7"/>
      <c r="AB537" s="7"/>
      <c r="AC537" s="7"/>
    </row>
    <row r="538" spans="1:29" ht="26.25" hidden="1" customHeight="1">
      <c r="A538" s="19">
        <v>138</v>
      </c>
      <c r="B538" s="1"/>
      <c r="U538" s="644"/>
      <c r="V538" s="695"/>
      <c r="W538" s="14"/>
      <c r="X538" s="7"/>
      <c r="Y538" s="7"/>
      <c r="Z538" s="7"/>
      <c r="AA538" s="7"/>
      <c r="AB538" s="7"/>
      <c r="AC538" s="7"/>
    </row>
    <row r="539" spans="1:29" ht="48" hidden="1" customHeight="1">
      <c r="A539" s="19">
        <v>139</v>
      </c>
      <c r="B539" s="1"/>
      <c r="U539" s="719"/>
      <c r="V539" s="1"/>
      <c r="W539" s="14"/>
      <c r="X539" s="7"/>
      <c r="Y539" s="7"/>
      <c r="Z539" s="7"/>
      <c r="AA539" s="7"/>
      <c r="AB539" s="7"/>
      <c r="AC539" s="7"/>
    </row>
    <row r="540" spans="1:29" ht="30" hidden="1" customHeight="1">
      <c r="A540" s="19" t="s">
        <v>515</v>
      </c>
      <c r="B540" s="1"/>
      <c r="U540" s="719"/>
      <c r="V540" s="1"/>
      <c r="W540" s="14"/>
      <c r="X540" s="7"/>
      <c r="Y540" s="7"/>
      <c r="Z540" s="7"/>
      <c r="AA540" s="7"/>
      <c r="AB540" s="7"/>
      <c r="AC540" s="7"/>
    </row>
    <row r="541" spans="1:29" ht="31.5" hidden="1" customHeight="1">
      <c r="A541" s="19">
        <v>140</v>
      </c>
      <c r="U541" s="644"/>
      <c r="V541" s="695"/>
      <c r="W541" s="14"/>
      <c r="X541" s="7"/>
      <c r="Y541" s="7"/>
      <c r="Z541" s="7"/>
      <c r="AA541" s="7"/>
      <c r="AB541" s="7"/>
      <c r="AC541" s="7"/>
    </row>
    <row r="542" spans="1:29" ht="28.5" hidden="1" customHeight="1">
      <c r="A542" s="19">
        <v>141</v>
      </c>
      <c r="B542" s="1"/>
      <c r="U542" s="719"/>
      <c r="V542" s="1"/>
      <c r="W542" s="14"/>
      <c r="X542" s="7"/>
      <c r="Y542" s="7"/>
      <c r="Z542" s="7"/>
      <c r="AA542" s="7"/>
      <c r="AB542" s="7"/>
      <c r="AC542" s="7"/>
    </row>
    <row r="543" spans="1:29" ht="25.5" hidden="1">
      <c r="A543" s="19">
        <v>142</v>
      </c>
      <c r="B543" s="1"/>
      <c r="U543" s="719"/>
      <c r="V543" s="1"/>
      <c r="W543" s="14"/>
      <c r="X543" s="7"/>
      <c r="Y543" s="7"/>
      <c r="Z543" s="7"/>
      <c r="AA543" s="7"/>
      <c r="AB543" s="7"/>
      <c r="AC543" s="7"/>
    </row>
    <row r="544" spans="1:29" ht="25.5" hidden="1">
      <c r="A544" s="19">
        <v>143</v>
      </c>
      <c r="B544" s="1"/>
      <c r="U544" s="644"/>
      <c r="V544" s="695"/>
      <c r="W544" s="14"/>
      <c r="X544" s="7"/>
      <c r="Y544" s="7"/>
      <c r="Z544" s="105"/>
      <c r="AA544" s="244"/>
      <c r="AB544" s="244"/>
      <c r="AC544" s="7"/>
    </row>
    <row r="545" spans="1:29" ht="30" hidden="1" customHeight="1">
      <c r="A545" s="19">
        <v>144</v>
      </c>
      <c r="B545" s="1"/>
      <c r="U545" s="644"/>
      <c r="V545" s="695"/>
      <c r="W545" s="14"/>
      <c r="X545" s="7"/>
      <c r="Y545" s="7"/>
      <c r="Z545" s="7"/>
      <c r="AA545" s="7"/>
      <c r="AB545" s="7"/>
      <c r="AC545" s="7"/>
    </row>
    <row r="546" spans="1:29" ht="25.5" hidden="1">
      <c r="A546" s="19">
        <v>145</v>
      </c>
      <c r="U546" s="644"/>
      <c r="V546" s="695"/>
      <c r="W546" s="14"/>
      <c r="X546" s="7"/>
      <c r="Y546" s="7"/>
      <c r="Z546" s="7"/>
      <c r="AA546" s="7"/>
      <c r="AB546" s="7"/>
      <c r="AC546" s="7"/>
    </row>
    <row r="547" spans="1:29" ht="25.5" hidden="1">
      <c r="A547" s="19">
        <v>146</v>
      </c>
      <c r="B547" s="148"/>
      <c r="C547" s="91"/>
      <c r="D547" s="91"/>
      <c r="E547" s="91"/>
      <c r="F547" s="91"/>
      <c r="G547" s="91"/>
      <c r="H547" s="91"/>
      <c r="I547" s="91"/>
      <c r="J547" s="22"/>
      <c r="K547" s="22"/>
      <c r="L547" s="22"/>
      <c r="M547" s="22"/>
      <c r="N547" s="22"/>
      <c r="O547" s="91"/>
      <c r="P547" s="91"/>
      <c r="Q547" s="149"/>
      <c r="R547" s="161"/>
      <c r="S547" s="151"/>
      <c r="T547" s="91">
        <f>(P547-O547)*S547</f>
        <v>0</v>
      </c>
      <c r="U547" s="644"/>
      <c r="V547" s="695"/>
      <c r="W547" s="134"/>
      <c r="X547" s="7"/>
      <c r="Y547" s="7"/>
      <c r="Z547" s="7"/>
      <c r="AA547" s="7"/>
      <c r="AB547" s="7"/>
      <c r="AC547" s="7"/>
    </row>
    <row r="548" spans="1:29" ht="25.5" hidden="1">
      <c r="A548" s="19">
        <v>147</v>
      </c>
      <c r="B548" s="1"/>
      <c r="U548" s="644"/>
      <c r="V548" s="695"/>
      <c r="W548" s="14"/>
      <c r="X548" s="7"/>
      <c r="Y548" s="7"/>
      <c r="Z548" s="7"/>
      <c r="AA548" s="7"/>
      <c r="AB548" s="7"/>
      <c r="AC548" s="7"/>
    </row>
    <row r="549" spans="1:29" ht="102" hidden="1">
      <c r="A549" s="19" t="s">
        <v>516</v>
      </c>
      <c r="U549" s="644"/>
      <c r="V549" s="695"/>
      <c r="W549" s="14"/>
      <c r="X549" s="7"/>
      <c r="Y549" s="7"/>
      <c r="Z549" s="7"/>
      <c r="AA549" s="7"/>
      <c r="AB549" s="7"/>
      <c r="AC549" s="7"/>
    </row>
    <row r="550" spans="1:29" ht="25.5" hidden="1">
      <c r="A550" s="19">
        <v>148</v>
      </c>
      <c r="U550" s="644"/>
      <c r="V550" s="695"/>
      <c r="W550" s="14"/>
      <c r="X550" s="7"/>
      <c r="Y550" s="7"/>
      <c r="Z550" s="7"/>
      <c r="AA550" s="7"/>
      <c r="AB550" s="7"/>
      <c r="AC550" s="7"/>
    </row>
    <row r="551" spans="1:29" ht="102" hidden="1">
      <c r="A551" s="19" t="s">
        <v>517</v>
      </c>
      <c r="B551" s="148"/>
      <c r="C551" s="91"/>
      <c r="D551" s="91"/>
      <c r="E551" s="91"/>
      <c r="F551" s="91"/>
      <c r="G551" s="91"/>
      <c r="H551" s="91"/>
      <c r="I551" s="91"/>
      <c r="J551" s="22"/>
      <c r="K551" s="22"/>
      <c r="L551" s="22"/>
      <c r="M551" s="22"/>
      <c r="N551" s="22"/>
      <c r="O551" s="91"/>
      <c r="P551" s="91"/>
      <c r="Q551" s="149"/>
      <c r="R551" s="161"/>
      <c r="S551" s="151"/>
      <c r="T551" s="91">
        <f>(P551-O551)*S551</f>
        <v>0</v>
      </c>
      <c r="U551" s="644"/>
      <c r="V551" s="695"/>
      <c r="W551" s="14"/>
      <c r="X551" s="244"/>
      <c r="Y551" s="244"/>
      <c r="Z551" s="7"/>
      <c r="AA551" s="7"/>
      <c r="AB551" s="7"/>
      <c r="AC551" s="7"/>
    </row>
    <row r="552" spans="1:29" ht="25.5" hidden="1">
      <c r="A552" s="19">
        <v>149</v>
      </c>
      <c r="B552" s="148"/>
      <c r="C552" s="91"/>
      <c r="D552" s="91"/>
      <c r="E552" s="91"/>
      <c r="F552" s="91"/>
      <c r="G552" s="91"/>
      <c r="H552" s="91"/>
      <c r="I552" s="91"/>
      <c r="J552" s="22"/>
      <c r="K552" s="22"/>
      <c r="L552" s="22"/>
      <c r="M552" s="22"/>
      <c r="N552" s="22"/>
      <c r="O552" s="91"/>
      <c r="P552" s="91"/>
      <c r="Q552" s="149"/>
      <c r="R552" s="161"/>
      <c r="S552" s="151"/>
      <c r="T552" s="91">
        <f>(P552-O552)*S552</f>
        <v>0</v>
      </c>
      <c r="U552" s="644"/>
      <c r="V552" s="695"/>
      <c r="W552" s="14"/>
      <c r="X552" s="7"/>
      <c r="Y552" s="7"/>
      <c r="Z552" s="7"/>
      <c r="AA552" s="7"/>
      <c r="AB552" s="7"/>
      <c r="AC552" s="7"/>
    </row>
    <row r="553" spans="1:29" ht="20.25" hidden="1" customHeight="1">
      <c r="A553" s="19">
        <v>150</v>
      </c>
      <c r="B553" s="148"/>
      <c r="C553" s="91"/>
      <c r="D553" s="91"/>
      <c r="E553" s="91"/>
      <c r="F553" s="91"/>
      <c r="G553" s="91"/>
      <c r="H553" s="91"/>
      <c r="I553" s="91"/>
      <c r="J553" s="22"/>
      <c r="K553" s="22"/>
      <c r="L553" s="22"/>
      <c r="M553" s="22"/>
      <c r="N553" s="22"/>
      <c r="O553" s="115"/>
      <c r="P553" s="115"/>
      <c r="Q553" s="149"/>
      <c r="R553" s="247"/>
      <c r="S553" s="248"/>
      <c r="T553" s="91">
        <f>(P553-O553)*S553</f>
        <v>0</v>
      </c>
      <c r="U553" s="644"/>
      <c r="V553" s="695"/>
      <c r="W553" s="134"/>
      <c r="X553" s="7"/>
      <c r="Y553" s="7"/>
      <c r="Z553" s="7"/>
      <c r="AA553" s="7"/>
      <c r="AB553" s="7"/>
      <c r="AC553" s="7"/>
    </row>
    <row r="554" spans="1:29" ht="25.5" hidden="1">
      <c r="A554" s="19">
        <v>151</v>
      </c>
      <c r="U554" s="644"/>
      <c r="V554" s="695"/>
      <c r="W554" s="14"/>
      <c r="X554" s="7"/>
      <c r="Y554" s="7"/>
      <c r="Z554" s="7"/>
      <c r="AA554" s="7"/>
      <c r="AB554" s="7"/>
      <c r="AC554" s="7"/>
    </row>
    <row r="555" spans="1:29" ht="102" hidden="1">
      <c r="A555" s="19" t="s">
        <v>518</v>
      </c>
      <c r="U555" s="644"/>
      <c r="V555" s="695"/>
      <c r="W555" s="134"/>
      <c r="X555" s="7"/>
      <c r="Y555" s="7"/>
      <c r="Z555" s="7"/>
      <c r="AA555" s="7"/>
      <c r="AB555" s="7"/>
      <c r="AC555" s="7"/>
    </row>
    <row r="556" spans="1:29" ht="102" hidden="1">
      <c r="A556" s="19" t="s">
        <v>519</v>
      </c>
      <c r="B556" s="1"/>
      <c r="U556" s="644"/>
      <c r="V556" s="695"/>
      <c r="W556" s="14"/>
      <c r="X556" s="7"/>
      <c r="Y556" s="7"/>
      <c r="Z556" s="7"/>
      <c r="AA556" s="7"/>
      <c r="AB556" s="7"/>
      <c r="AC556" s="7"/>
    </row>
    <row r="557" spans="1:29" ht="26.25" hidden="1">
      <c r="A557" s="231">
        <v>152</v>
      </c>
      <c r="B557" s="1"/>
      <c r="U557" s="719"/>
      <c r="V557" s="1"/>
      <c r="W557" s="14"/>
      <c r="X557" s="7"/>
      <c r="Y557" s="7"/>
      <c r="Z557" s="7"/>
      <c r="AA557" s="7"/>
      <c r="AB557" s="7"/>
      <c r="AC557" s="7"/>
    </row>
    <row r="558" spans="1:29" ht="28.5" hidden="1" customHeight="1">
      <c r="A558" s="19">
        <v>153</v>
      </c>
      <c r="U558" s="644"/>
      <c r="V558" s="695"/>
      <c r="W558" s="14"/>
      <c r="X558" s="7"/>
      <c r="Y558" s="7"/>
      <c r="Z558" s="7"/>
      <c r="AA558" s="7"/>
      <c r="AB558" s="7"/>
      <c r="AC558" s="7"/>
    </row>
    <row r="559" spans="1:29" ht="25.5" hidden="1">
      <c r="A559" s="19">
        <v>154</v>
      </c>
      <c r="B559" s="1"/>
      <c r="U559" s="644"/>
      <c r="V559" s="695"/>
      <c r="W559" s="14"/>
      <c r="X559" s="7"/>
      <c r="Y559" s="7"/>
      <c r="Z559" s="7"/>
      <c r="AA559" s="7"/>
      <c r="AB559" s="7"/>
      <c r="AC559" s="7"/>
    </row>
    <row r="560" spans="1:29" ht="25.5" hidden="1">
      <c r="A560" s="19">
        <v>155</v>
      </c>
      <c r="B560" s="1"/>
      <c r="U560" s="719"/>
      <c r="V560" s="1"/>
      <c r="W560" s="14"/>
      <c r="X560" s="7"/>
      <c r="Y560" s="7"/>
      <c r="Z560" s="7"/>
      <c r="AA560" s="7"/>
      <c r="AB560" s="7"/>
      <c r="AC560" s="7"/>
    </row>
    <row r="561" spans="1:29" ht="25.5" hidden="1">
      <c r="A561" s="19">
        <v>156</v>
      </c>
      <c r="B561" s="1"/>
      <c r="U561" s="719"/>
      <c r="V561" s="1"/>
      <c r="W561" s="14"/>
      <c r="X561" s="7"/>
      <c r="Y561" s="7"/>
      <c r="Z561" s="7"/>
      <c r="AA561" s="7"/>
      <c r="AB561" s="7"/>
      <c r="AC561" s="7"/>
    </row>
    <row r="562" spans="1:29" ht="25.5" hidden="1">
      <c r="A562" s="19"/>
      <c r="B562" s="1"/>
      <c r="U562" s="719"/>
      <c r="V562" s="1"/>
      <c r="W562" s="14"/>
      <c r="X562" s="7"/>
      <c r="Y562" s="7"/>
      <c r="Z562" s="7"/>
      <c r="AA562" s="7"/>
      <c r="AB562" s="7"/>
      <c r="AC562" s="7"/>
    </row>
    <row r="563" spans="1:29" ht="25.5" hidden="1">
      <c r="A563" s="19"/>
      <c r="B563" s="1"/>
      <c r="U563" s="719"/>
      <c r="V563" s="1"/>
      <c r="W563" s="14" t="s">
        <v>520</v>
      </c>
      <c r="X563" s="7"/>
      <c r="Y563" s="7"/>
      <c r="Z563" s="7"/>
      <c r="AA563" s="7"/>
      <c r="AB563" s="7"/>
      <c r="AC563" s="7"/>
    </row>
    <row r="564" spans="1:29" ht="25.5" hidden="1">
      <c r="A564" s="19"/>
      <c r="B564" s="1"/>
      <c r="U564" s="719"/>
      <c r="V564" s="1"/>
      <c r="W564" s="14"/>
      <c r="X564" s="7"/>
      <c r="Y564" s="7"/>
      <c r="Z564" s="7"/>
      <c r="AA564" s="7"/>
      <c r="AB564" s="7"/>
      <c r="AC564" s="7"/>
    </row>
    <row r="565" spans="1:29" ht="25.5" hidden="1">
      <c r="A565" s="19"/>
      <c r="B565" s="1"/>
      <c r="U565" s="719"/>
      <c r="V565" s="1"/>
      <c r="W565" s="14" t="s">
        <v>521</v>
      </c>
      <c r="X565" s="7"/>
      <c r="Y565" s="7"/>
      <c r="Z565" s="7"/>
      <c r="AA565" s="7"/>
      <c r="AB565" s="7"/>
      <c r="AC565" s="7"/>
    </row>
    <row r="566" spans="1:29" ht="25.5" hidden="1">
      <c r="A566" s="19"/>
      <c r="B566" s="1"/>
      <c r="U566" s="719"/>
      <c r="V566" s="1"/>
      <c r="W566" s="14" t="s">
        <v>522</v>
      </c>
      <c r="X566" s="7"/>
      <c r="Y566" s="7"/>
      <c r="Z566" s="7"/>
      <c r="AA566" s="7"/>
      <c r="AB566" s="7"/>
      <c r="AC566" s="7"/>
    </row>
    <row r="567" spans="1:29" ht="25.5" hidden="1">
      <c r="A567" s="19"/>
      <c r="B567" s="1"/>
      <c r="U567" s="719"/>
      <c r="V567" s="1"/>
      <c r="W567" s="14">
        <v>9462</v>
      </c>
      <c r="X567" s="7"/>
      <c r="Y567" s="7"/>
      <c r="Z567" s="7"/>
      <c r="AA567" s="7"/>
      <c r="AB567" s="7"/>
      <c r="AC567" s="7"/>
    </row>
    <row r="568" spans="1:29" ht="25.5" hidden="1">
      <c r="A568" s="19"/>
      <c r="B568" s="1"/>
      <c r="U568" s="719"/>
      <c r="V568" s="1"/>
      <c r="W568" s="14">
        <v>6899</v>
      </c>
      <c r="X568" s="48">
        <v>7486</v>
      </c>
      <c r="Y568" s="7"/>
      <c r="Z568" s="7"/>
      <c r="AA568" s="7"/>
      <c r="AB568" s="7"/>
      <c r="AC568" s="7"/>
    </row>
    <row r="569" spans="1:29" ht="26.25" hidden="1">
      <c r="A569" s="231">
        <v>157</v>
      </c>
      <c r="B569" s="90"/>
      <c r="C569" s="91"/>
      <c r="D569" s="115"/>
      <c r="E569" s="115"/>
      <c r="F569" s="249"/>
      <c r="G569" s="115"/>
      <c r="H569" s="115"/>
      <c r="I569" s="115"/>
      <c r="J569" s="22"/>
      <c r="K569" s="22"/>
      <c r="L569" s="22"/>
      <c r="M569" s="22"/>
      <c r="N569" s="22"/>
      <c r="O569" s="91"/>
      <c r="P569" s="91"/>
      <c r="Q569" s="7"/>
      <c r="R569" s="94"/>
      <c r="S569" s="151"/>
      <c r="T569" s="91"/>
      <c r="U569" s="644"/>
      <c r="V569" s="695"/>
      <c r="W569" s="14"/>
      <c r="X569" s="7"/>
      <c r="Y569" s="7"/>
      <c r="Z569" s="7"/>
      <c r="AA569" s="7"/>
      <c r="AB569" s="7"/>
      <c r="AC569" s="7"/>
    </row>
    <row r="570" spans="1:29" ht="25.5" hidden="1">
      <c r="A570" s="19">
        <v>158</v>
      </c>
      <c r="U570" s="644"/>
      <c r="V570" s="695"/>
      <c r="W570" s="14"/>
      <c r="X570" s="7"/>
      <c r="Y570" s="7"/>
      <c r="Z570" s="7"/>
      <c r="AA570" s="7"/>
      <c r="AB570" s="7"/>
      <c r="AC570" s="7"/>
    </row>
    <row r="571" spans="1:29" ht="26.25" hidden="1">
      <c r="A571" s="19"/>
      <c r="B571" s="148"/>
      <c r="C571" s="91"/>
      <c r="D571" s="91"/>
      <c r="E571" s="91"/>
      <c r="F571" s="91"/>
      <c r="G571" s="91"/>
      <c r="H571" s="91"/>
      <c r="I571" s="115"/>
      <c r="J571" s="22"/>
      <c r="K571" s="22"/>
      <c r="L571" s="22"/>
      <c r="M571" s="22"/>
      <c r="N571" s="22"/>
      <c r="O571" s="91"/>
      <c r="P571" s="91"/>
      <c r="Q571" s="22"/>
      <c r="R571" s="142"/>
      <c r="S571" s="151"/>
      <c r="T571" s="91"/>
      <c r="U571" s="644"/>
      <c r="V571" s="695"/>
      <c r="W571" s="14"/>
      <c r="X571" s="7"/>
      <c r="Y571" s="7"/>
      <c r="Z571" s="7"/>
      <c r="AA571" s="7"/>
      <c r="AB571" s="7"/>
      <c r="AC571" s="7"/>
    </row>
    <row r="572" spans="1:29" ht="25.5" hidden="1">
      <c r="A572" s="19">
        <v>160</v>
      </c>
      <c r="B572" s="1"/>
      <c r="U572" s="644"/>
      <c r="V572" s="695"/>
      <c r="W572" s="14"/>
      <c r="X572" s="7"/>
      <c r="Y572" s="7"/>
      <c r="Z572" s="7"/>
      <c r="AA572" s="7"/>
      <c r="AB572" s="7"/>
      <c r="AC572" s="7"/>
    </row>
    <row r="573" spans="1:29" ht="25.5" hidden="1">
      <c r="A573" s="19">
        <v>161</v>
      </c>
      <c r="B573" s="1"/>
      <c r="U573" s="719"/>
      <c r="V573" s="1"/>
      <c r="W573" s="14"/>
      <c r="X573" s="7"/>
      <c r="Y573" s="7"/>
      <c r="Z573" s="7"/>
      <c r="AA573" s="7"/>
      <c r="AB573" s="7"/>
      <c r="AC573" s="7"/>
    </row>
    <row r="574" spans="1:29" ht="20.25" hidden="1" customHeight="1">
      <c r="A574" s="19">
        <v>163</v>
      </c>
      <c r="B574" s="1"/>
      <c r="U574" s="719"/>
      <c r="V574" s="1"/>
      <c r="W574" s="14" t="s">
        <v>523</v>
      </c>
      <c r="X574" s="7"/>
      <c r="Y574" s="7"/>
      <c r="Z574" s="7"/>
      <c r="AA574" s="7"/>
      <c r="AB574" s="7"/>
      <c r="AC574" s="7"/>
    </row>
    <row r="575" spans="1:29" ht="26.25" hidden="1">
      <c r="A575" s="19"/>
      <c r="B575" s="148"/>
      <c r="C575" s="91"/>
      <c r="D575" s="91"/>
      <c r="E575" s="91"/>
      <c r="F575" s="250"/>
      <c r="G575" s="251"/>
      <c r="H575" s="91"/>
      <c r="I575" s="115"/>
      <c r="J575" s="22"/>
      <c r="K575" s="22"/>
      <c r="L575" s="22"/>
      <c r="M575" s="22"/>
      <c r="N575" s="22"/>
      <c r="O575" s="91"/>
      <c r="P575" s="91"/>
      <c r="Q575" s="22"/>
      <c r="R575" s="142"/>
      <c r="S575" s="151"/>
      <c r="T575" s="91"/>
      <c r="U575" s="644"/>
      <c r="V575" s="695"/>
      <c r="W575" s="14"/>
      <c r="X575" s="7"/>
      <c r="Y575" s="7"/>
      <c r="Z575" s="7"/>
      <c r="AA575" s="7"/>
      <c r="AB575" s="7"/>
      <c r="AC575" s="7"/>
    </row>
    <row r="576" spans="1:29" ht="25.5" hidden="1">
      <c r="A576" s="19">
        <v>164</v>
      </c>
      <c r="U576" s="644"/>
      <c r="V576" s="695"/>
      <c r="W576" s="14"/>
      <c r="X576" s="7"/>
      <c r="Y576" s="7"/>
      <c r="Z576" s="7"/>
      <c r="AA576" s="7"/>
      <c r="AB576" s="7"/>
      <c r="AC576" s="7"/>
    </row>
    <row r="577" spans="1:29" ht="32.25" hidden="1" customHeight="1">
      <c r="A577" s="19">
        <v>165</v>
      </c>
      <c r="U577" s="644"/>
      <c r="V577" s="695"/>
      <c r="W577" s="14"/>
      <c r="X577" s="7"/>
      <c r="Y577" s="7"/>
      <c r="Z577" s="7"/>
      <c r="AA577" s="7"/>
      <c r="AB577" s="7"/>
      <c r="AC577" s="7"/>
    </row>
    <row r="578" spans="1:29" ht="26.25" hidden="1">
      <c r="A578" s="19">
        <v>166</v>
      </c>
      <c r="B578" s="148"/>
      <c r="C578" s="91"/>
      <c r="D578" s="91"/>
      <c r="E578" s="91"/>
      <c r="F578" s="91"/>
      <c r="G578" s="91"/>
      <c r="H578" s="91"/>
      <c r="I578" s="115"/>
      <c r="J578" s="22"/>
      <c r="K578" s="22"/>
      <c r="L578" s="22"/>
      <c r="M578" s="22"/>
      <c r="N578" s="22"/>
      <c r="O578" s="91"/>
      <c r="P578" s="91"/>
      <c r="Q578" s="149"/>
      <c r="R578" s="161"/>
      <c r="S578" s="151"/>
      <c r="T578" s="91">
        <f>(P578-O578)*S578</f>
        <v>0</v>
      </c>
      <c r="U578" s="644"/>
      <c r="V578" s="695"/>
      <c r="W578" s="14"/>
      <c r="X578" s="7"/>
      <c r="Y578" s="7"/>
      <c r="Z578" s="7"/>
      <c r="AA578" s="7"/>
      <c r="AB578" s="7"/>
      <c r="AC578" s="7"/>
    </row>
    <row r="579" spans="1:29" ht="25.5" hidden="1">
      <c r="A579" s="19">
        <v>167</v>
      </c>
      <c r="U579" s="644"/>
      <c r="V579" s="695"/>
      <c r="W579" s="14"/>
      <c r="X579" s="7"/>
      <c r="Y579" s="7"/>
      <c r="Z579" s="7"/>
      <c r="AA579" s="7"/>
      <c r="AB579" s="7"/>
      <c r="AC579" s="7"/>
    </row>
    <row r="580" spans="1:29" ht="25.5" hidden="1">
      <c r="A580" s="19">
        <v>168</v>
      </c>
      <c r="B580" s="1"/>
      <c r="U580" s="719"/>
      <c r="V580" s="1"/>
      <c r="W580" s="14"/>
      <c r="X580" s="7"/>
      <c r="Y580" s="7"/>
      <c r="Z580" s="7"/>
      <c r="AA580" s="7"/>
      <c r="AB580" s="7"/>
      <c r="AC580" s="7"/>
    </row>
    <row r="581" spans="1:29" ht="27.75" hidden="1" customHeight="1">
      <c r="A581" s="19">
        <v>169</v>
      </c>
      <c r="U581" s="644"/>
      <c r="V581" s="695"/>
      <c r="W581" s="14"/>
      <c r="X581" s="7"/>
      <c r="Y581" s="7"/>
      <c r="Z581" s="7"/>
      <c r="AA581" s="7"/>
      <c r="AB581" s="7"/>
      <c r="AC581" s="7"/>
    </row>
    <row r="582" spans="1:29" ht="25.5" hidden="1">
      <c r="A582" s="19">
        <v>170</v>
      </c>
      <c r="B582" s="1"/>
      <c r="U582" s="719"/>
      <c r="V582" s="1"/>
      <c r="W582" s="14"/>
      <c r="X582" s="7"/>
      <c r="Y582" s="7"/>
      <c r="Z582" s="7"/>
      <c r="AA582" s="7"/>
      <c r="AB582" s="7"/>
      <c r="AC582" s="7"/>
    </row>
    <row r="583" spans="1:29" ht="26.25" hidden="1">
      <c r="A583" s="19">
        <v>171</v>
      </c>
      <c r="B583" s="148"/>
      <c r="C583" s="91"/>
      <c r="D583" s="91"/>
      <c r="E583" s="91"/>
      <c r="F583" s="91"/>
      <c r="G583" s="91"/>
      <c r="H583" s="91"/>
      <c r="I583" s="115"/>
      <c r="J583" s="22"/>
      <c r="K583" s="22"/>
      <c r="L583" s="22"/>
      <c r="M583" s="22"/>
      <c r="N583" s="22"/>
      <c r="O583" s="91"/>
      <c r="P583" s="91"/>
      <c r="Q583" s="22"/>
      <c r="R583" s="142"/>
      <c r="S583" s="151"/>
      <c r="T583" s="91">
        <f>(P583-O583)*S583</f>
        <v>0</v>
      </c>
      <c r="U583" s="644"/>
      <c r="V583" s="695"/>
      <c r="W583" s="14"/>
      <c r="X583" s="7"/>
      <c r="Y583" s="7"/>
      <c r="Z583" s="7"/>
      <c r="AA583" s="7"/>
      <c r="AB583" s="7"/>
      <c r="AC583" s="7"/>
    </row>
    <row r="584" spans="1:29" ht="36.75" hidden="1" customHeight="1">
      <c r="A584" s="19" t="s">
        <v>524</v>
      </c>
      <c r="B584" s="1"/>
      <c r="U584" s="719"/>
      <c r="V584" s="1"/>
      <c r="W584" s="14"/>
      <c r="X584" s="7"/>
      <c r="Y584" s="7"/>
      <c r="Z584" s="7"/>
      <c r="AA584" s="7"/>
      <c r="AB584" s="7"/>
      <c r="AC584" s="7"/>
    </row>
    <row r="585" spans="1:29" ht="23.25" hidden="1" customHeight="1">
      <c r="A585" s="19">
        <v>172</v>
      </c>
      <c r="B585" s="1"/>
      <c r="U585" s="719"/>
      <c r="V585" s="1"/>
      <c r="W585" s="14"/>
      <c r="X585" s="7"/>
      <c r="Y585" s="7"/>
      <c r="Z585" s="7"/>
      <c r="AA585" s="7"/>
      <c r="AB585" s="7"/>
      <c r="AC585" s="7"/>
    </row>
    <row r="586" spans="1:29" ht="25.5" hidden="1">
      <c r="A586" s="19"/>
      <c r="B586" s="1"/>
      <c r="U586" s="719"/>
      <c r="V586" s="1"/>
      <c r="W586" s="14" t="s">
        <v>525</v>
      </c>
      <c r="X586" s="7"/>
      <c r="Y586" s="7"/>
      <c r="Z586" s="7"/>
      <c r="AA586" s="7"/>
      <c r="AB586" s="7"/>
      <c r="AC586" s="7"/>
    </row>
    <row r="587" spans="1:29" ht="25.5" hidden="1">
      <c r="A587" s="19"/>
      <c r="B587" s="1"/>
      <c r="U587" s="719"/>
      <c r="V587" s="1"/>
      <c r="W587" s="14"/>
      <c r="X587" s="7"/>
      <c r="Y587" s="7"/>
      <c r="Z587" s="7"/>
      <c r="AA587" s="7"/>
      <c r="AB587" s="7"/>
      <c r="AC587" s="7"/>
    </row>
    <row r="588" spans="1:29" ht="25.5" hidden="1">
      <c r="A588" s="19"/>
      <c r="B588" s="1"/>
      <c r="U588" s="719"/>
      <c r="V588" s="1"/>
      <c r="W588" s="14"/>
      <c r="X588" s="7"/>
      <c r="Y588" s="7"/>
      <c r="Z588" s="7"/>
      <c r="AA588" s="7"/>
      <c r="AB588" s="7"/>
      <c r="AC588" s="7"/>
    </row>
    <row r="589" spans="1:29" ht="12" hidden="1" customHeight="1">
      <c r="A589" s="19"/>
      <c r="B589" s="1"/>
      <c r="U589" s="719"/>
      <c r="V589" s="1"/>
      <c r="W589" s="14" t="s">
        <v>526</v>
      </c>
      <c r="X589" s="7"/>
      <c r="Y589" s="7"/>
      <c r="Z589" s="7"/>
      <c r="AA589" s="7"/>
      <c r="AB589" s="7"/>
      <c r="AC589" s="7"/>
    </row>
    <row r="590" spans="1:29" ht="25.5" hidden="1">
      <c r="A590" s="19">
        <v>173</v>
      </c>
      <c r="B590" s="1"/>
      <c r="U590" s="719"/>
      <c r="V590" s="1"/>
      <c r="W590" s="14" t="s">
        <v>493</v>
      </c>
      <c r="X590" s="7"/>
      <c r="Y590" s="7"/>
      <c r="Z590" s="7"/>
      <c r="AA590" s="7"/>
      <c r="AB590" s="7"/>
      <c r="AC590" s="7"/>
    </row>
    <row r="591" spans="1:29" ht="26.25" hidden="1" customHeight="1">
      <c r="A591" s="19">
        <v>174</v>
      </c>
      <c r="B591" s="1"/>
      <c r="U591" s="719"/>
      <c r="V591" s="1"/>
      <c r="W591" s="14"/>
      <c r="X591" s="7"/>
      <c r="Y591" s="7"/>
      <c r="Z591" s="7"/>
      <c r="AA591" s="7"/>
      <c r="AB591" s="7"/>
      <c r="AC591" s="7"/>
    </row>
    <row r="592" spans="1:29" ht="68.25" hidden="1" customHeight="1">
      <c r="A592" s="19">
        <v>175</v>
      </c>
      <c r="U592" s="644"/>
      <c r="V592" s="695"/>
      <c r="W592" s="14"/>
      <c r="X592" s="7"/>
      <c r="Y592" s="7"/>
      <c r="Z592" s="7"/>
      <c r="AA592" s="7"/>
      <c r="AB592" s="7"/>
      <c r="AC592" s="7"/>
    </row>
    <row r="593" spans="1:29" ht="25.5" hidden="1">
      <c r="A593" s="19">
        <v>177</v>
      </c>
      <c r="U593" s="644"/>
      <c r="V593" s="695"/>
      <c r="W593" s="14">
        <v>126691</v>
      </c>
      <c r="X593" s="7"/>
      <c r="Y593" s="7"/>
      <c r="Z593" s="7"/>
      <c r="AA593" s="7"/>
      <c r="AB593" s="7"/>
      <c r="AC593" s="7"/>
    </row>
    <row r="594" spans="1:29" ht="32.25" hidden="1" customHeight="1">
      <c r="A594" s="19">
        <v>178</v>
      </c>
      <c r="U594" s="644"/>
      <c r="V594" s="695"/>
      <c r="W594" s="14"/>
      <c r="X594" s="7"/>
      <c r="Y594" s="7"/>
      <c r="Z594" s="7"/>
      <c r="AA594" s="7"/>
      <c r="AB594" s="7"/>
      <c r="AC594" s="7"/>
    </row>
    <row r="595" spans="1:29" ht="25.5" hidden="1">
      <c r="A595" s="19">
        <v>179</v>
      </c>
      <c r="B595" s="1"/>
      <c r="U595" s="719"/>
      <c r="V595" s="1"/>
      <c r="W595" s="14"/>
      <c r="X595" s="7"/>
      <c r="Y595" s="7"/>
      <c r="Z595" s="7"/>
      <c r="AA595" s="7"/>
      <c r="AB595" s="7"/>
      <c r="AC595" s="7"/>
    </row>
    <row r="596" spans="1:29" ht="27.75" hidden="1" customHeight="1">
      <c r="A596" s="19">
        <v>180</v>
      </c>
      <c r="B596" s="1"/>
      <c r="U596" s="644"/>
      <c r="V596" s="695"/>
      <c r="W596" s="14"/>
      <c r="X596" s="7"/>
      <c r="Y596" s="7"/>
      <c r="Z596" s="7"/>
      <c r="AA596" s="7"/>
      <c r="AB596" s="7"/>
      <c r="AC596" s="7"/>
    </row>
    <row r="597" spans="1:29" ht="25.5" hidden="1">
      <c r="A597" s="252">
        <v>181</v>
      </c>
      <c r="U597" s="644"/>
      <c r="V597" s="695"/>
      <c r="W597" s="14"/>
      <c r="X597" s="7"/>
      <c r="Y597" s="7"/>
      <c r="Z597" s="7"/>
      <c r="AA597" s="7"/>
      <c r="AB597" s="7"/>
      <c r="AC597" s="7"/>
    </row>
    <row r="598" spans="1:29" ht="25.5" hidden="1">
      <c r="A598" s="19">
        <v>182</v>
      </c>
      <c r="B598" s="1"/>
      <c r="U598" s="719"/>
      <c r="V598" s="1"/>
      <c r="W598" s="14"/>
      <c r="X598" s="7"/>
      <c r="Y598" s="7"/>
      <c r="Z598" s="7"/>
      <c r="AA598" s="7"/>
      <c r="AB598" s="7"/>
      <c r="AC598" s="7"/>
    </row>
    <row r="599" spans="1:29" ht="29.25" hidden="1" customHeight="1">
      <c r="A599" s="19">
        <v>183</v>
      </c>
      <c r="B599" s="1"/>
      <c r="U599" s="644"/>
      <c r="V599" s="695"/>
      <c r="W599" s="14"/>
      <c r="X599" s="7"/>
      <c r="Y599" s="7"/>
      <c r="Z599" s="7"/>
      <c r="AA599" s="7"/>
      <c r="AB599" s="7"/>
      <c r="AC599" s="7"/>
    </row>
    <row r="600" spans="1:29" ht="29.25" hidden="1" customHeight="1">
      <c r="A600" s="19">
        <v>184</v>
      </c>
      <c r="U600" s="644"/>
      <c r="V600" s="695"/>
      <c r="W600" s="14"/>
      <c r="X600" s="7"/>
      <c r="Y600" s="7"/>
      <c r="Z600" s="253"/>
      <c r="AA600" s="253"/>
      <c r="AB600" s="254"/>
      <c r="AC600" s="253"/>
    </row>
    <row r="601" spans="1:29" ht="26.25" hidden="1">
      <c r="A601" s="19">
        <v>185</v>
      </c>
      <c r="B601" s="148"/>
      <c r="C601" s="91"/>
      <c r="D601" s="91"/>
      <c r="E601" s="91"/>
      <c r="F601" s="91"/>
      <c r="G601" s="91"/>
      <c r="H601" s="91"/>
      <c r="I601" s="115"/>
      <c r="J601" s="22"/>
      <c r="K601" s="22"/>
      <c r="L601" s="22"/>
      <c r="M601" s="22"/>
      <c r="N601" s="22"/>
      <c r="O601" s="91"/>
      <c r="P601" s="91"/>
      <c r="Q601" s="122"/>
      <c r="R601" s="173"/>
      <c r="S601" s="151"/>
      <c r="T601" s="91"/>
      <c r="U601" s="644"/>
      <c r="V601" s="695"/>
      <c r="W601" s="14"/>
      <c r="X601" s="7"/>
      <c r="Y601" s="7"/>
      <c r="Z601" s="7"/>
      <c r="AA601" s="7"/>
      <c r="AB601" s="7"/>
      <c r="AC601" s="7"/>
    </row>
    <row r="602" spans="1:29" ht="32.25" hidden="1" customHeight="1">
      <c r="A602" s="19">
        <v>186</v>
      </c>
      <c r="U602" s="644"/>
      <c r="V602" s="695"/>
      <c r="W602" s="14"/>
      <c r="X602" s="7"/>
      <c r="Y602" s="7"/>
      <c r="Z602" s="7"/>
      <c r="AA602" s="7"/>
      <c r="AB602" s="7"/>
      <c r="AC602" s="7"/>
    </row>
    <row r="603" spans="1:29" ht="30" hidden="1" customHeight="1">
      <c r="A603" s="19">
        <v>187</v>
      </c>
      <c r="B603" s="1"/>
      <c r="U603" s="644"/>
      <c r="V603" s="695"/>
      <c r="W603" s="14"/>
      <c r="X603" s="7"/>
      <c r="Y603" s="7"/>
      <c r="Z603" s="7"/>
      <c r="AA603" s="7"/>
      <c r="AB603" s="7"/>
      <c r="AC603" s="7"/>
    </row>
    <row r="604" spans="1:29" ht="26.25" hidden="1">
      <c r="A604" s="19">
        <v>188</v>
      </c>
      <c r="B604" s="148"/>
      <c r="C604" s="91"/>
      <c r="D604" s="91"/>
      <c r="E604" s="91"/>
      <c r="F604" s="91"/>
      <c r="G604" s="91"/>
      <c r="H604" s="91"/>
      <c r="I604" s="115"/>
      <c r="J604" s="22"/>
      <c r="K604" s="22"/>
      <c r="L604" s="22"/>
      <c r="M604" s="22"/>
      <c r="N604" s="22"/>
      <c r="O604" s="91"/>
      <c r="P604" s="91"/>
      <c r="Q604" s="7"/>
      <c r="R604" s="200"/>
      <c r="S604" s="151"/>
      <c r="T604" s="91">
        <f>(P604-O604)*S604</f>
        <v>0</v>
      </c>
      <c r="U604" s="644"/>
      <c r="V604" s="695"/>
      <c r="W604" s="14"/>
      <c r="X604" s="7"/>
      <c r="Y604" s="7"/>
      <c r="Z604" s="7"/>
      <c r="AA604" s="7"/>
      <c r="AB604" s="7"/>
      <c r="AC604" s="7"/>
    </row>
    <row r="605" spans="1:29" ht="25.5" hidden="1">
      <c r="A605" s="19">
        <v>189</v>
      </c>
      <c r="B605" s="1"/>
      <c r="U605" s="644"/>
      <c r="V605" s="695"/>
      <c r="W605" s="14"/>
      <c r="X605" s="7"/>
      <c r="Y605" s="7"/>
      <c r="Z605" s="7"/>
      <c r="AA605" s="7"/>
      <c r="AB605" s="7"/>
      <c r="AC605" s="7"/>
    </row>
    <row r="606" spans="1:29" ht="26.25" hidden="1">
      <c r="A606" s="19">
        <v>190</v>
      </c>
      <c r="B606" s="148"/>
      <c r="C606" s="91"/>
      <c r="D606" s="91"/>
      <c r="E606" s="91"/>
      <c r="F606" s="91"/>
      <c r="G606" s="91"/>
      <c r="H606" s="91"/>
      <c r="I606" s="115"/>
      <c r="J606" s="22"/>
      <c r="K606" s="22"/>
      <c r="L606" s="22"/>
      <c r="M606" s="22"/>
      <c r="N606" s="22"/>
      <c r="O606" s="91"/>
      <c r="P606" s="91"/>
      <c r="Q606" s="7"/>
      <c r="R606" s="142"/>
      <c r="S606" s="151"/>
      <c r="T606" s="91">
        <f>(P606-O606)*S606</f>
        <v>0</v>
      </c>
      <c r="U606" s="644"/>
      <c r="V606" s="695"/>
      <c r="W606" s="14" t="s">
        <v>527</v>
      </c>
      <c r="X606" s="7"/>
      <c r="Y606" s="7"/>
      <c r="Z606" s="7"/>
      <c r="AA606" s="7"/>
      <c r="AB606" s="7"/>
      <c r="AC606" s="7"/>
    </row>
    <row r="607" spans="1:29" ht="26.25" hidden="1" customHeight="1">
      <c r="A607" s="19">
        <v>191</v>
      </c>
      <c r="U607" s="644"/>
      <c r="V607" s="695"/>
      <c r="W607" s="14"/>
      <c r="X607" s="7"/>
      <c r="Y607" s="7"/>
      <c r="Z607" s="7"/>
      <c r="AA607" s="7"/>
      <c r="AB607" s="7"/>
      <c r="AC607" s="7"/>
    </row>
    <row r="608" spans="1:29" ht="25.5" hidden="1">
      <c r="A608" s="19">
        <v>192</v>
      </c>
      <c r="B608" s="1"/>
      <c r="U608" s="719"/>
      <c r="V608" s="1"/>
      <c r="W608" s="14"/>
      <c r="X608" s="7"/>
      <c r="Y608" s="7"/>
      <c r="Z608" s="7"/>
      <c r="AA608" s="7"/>
      <c r="AB608" s="7"/>
      <c r="AC608" s="7"/>
    </row>
    <row r="609" spans="1:29" ht="26.25" hidden="1">
      <c r="A609" s="19">
        <v>193</v>
      </c>
      <c r="B609" s="148"/>
      <c r="C609" s="91"/>
      <c r="D609" s="91"/>
      <c r="E609" s="91"/>
      <c r="F609" s="91"/>
      <c r="G609" s="91"/>
      <c r="H609" s="91"/>
      <c r="I609" s="115"/>
      <c r="J609" s="22"/>
      <c r="K609" s="22"/>
      <c r="L609" s="22"/>
      <c r="M609" s="22"/>
      <c r="N609" s="22"/>
      <c r="O609" s="91"/>
      <c r="P609" s="91"/>
      <c r="Q609" s="22"/>
      <c r="R609" s="142"/>
      <c r="S609" s="151"/>
      <c r="T609" s="91">
        <f>(P609-O609)*S609</f>
        <v>0</v>
      </c>
      <c r="U609" s="644"/>
      <c r="V609" s="695"/>
      <c r="W609" s="14"/>
      <c r="X609" s="7"/>
      <c r="Y609" s="7"/>
      <c r="Z609" s="7"/>
      <c r="AA609" s="7"/>
      <c r="AB609" s="7"/>
      <c r="AC609" s="7"/>
    </row>
    <row r="610" spans="1:29" ht="29.25" hidden="1" customHeight="1">
      <c r="A610" s="19">
        <v>194</v>
      </c>
      <c r="U610" s="644"/>
      <c r="V610" s="695"/>
      <c r="W610" s="14"/>
      <c r="X610" s="7"/>
      <c r="Y610" s="7"/>
      <c r="Z610" s="7"/>
      <c r="AA610" s="7"/>
      <c r="AB610" s="7"/>
      <c r="AC610" s="7"/>
    </row>
    <row r="611" spans="1:29" ht="26.25" hidden="1">
      <c r="A611" s="19">
        <v>195</v>
      </c>
      <c r="B611" s="148"/>
      <c r="C611" s="91"/>
      <c r="D611" s="91"/>
      <c r="E611" s="91"/>
      <c r="F611" s="91"/>
      <c r="G611" s="91"/>
      <c r="H611" s="91"/>
      <c r="I611" s="115"/>
      <c r="J611" s="22"/>
      <c r="K611" s="22"/>
      <c r="L611" s="22"/>
      <c r="M611" s="22"/>
      <c r="N611" s="22"/>
      <c r="O611" s="91"/>
      <c r="P611" s="91"/>
      <c r="Q611" s="149"/>
      <c r="R611" s="161"/>
      <c r="S611" s="151"/>
      <c r="T611" s="91"/>
      <c r="U611" s="644"/>
      <c r="V611" s="695"/>
      <c r="W611" s="14" t="s">
        <v>528</v>
      </c>
      <c r="X611" s="7"/>
      <c r="Y611" s="7"/>
      <c r="Z611" s="7"/>
      <c r="AA611" s="7"/>
      <c r="AB611" s="7"/>
      <c r="AC611" s="7"/>
    </row>
    <row r="612" spans="1:29" ht="30" hidden="1" customHeight="1">
      <c r="A612" s="19">
        <v>196</v>
      </c>
      <c r="U612" s="644"/>
      <c r="V612" s="695"/>
      <c r="W612" s="14"/>
      <c r="X612" s="7"/>
      <c r="Y612" s="7"/>
      <c r="Z612" s="7"/>
      <c r="AA612" s="7"/>
      <c r="AB612" s="7"/>
      <c r="AC612" s="7"/>
    </row>
    <row r="613" spans="1:29" ht="27" hidden="1" customHeight="1">
      <c r="A613" s="19"/>
      <c r="B613" s="90"/>
      <c r="C613" s="115"/>
      <c r="D613" s="115"/>
      <c r="E613" s="115"/>
      <c r="F613" s="91"/>
      <c r="G613" s="91"/>
      <c r="H613" s="115"/>
      <c r="I613" s="115"/>
      <c r="J613" s="22"/>
      <c r="K613" s="22"/>
      <c r="L613" s="22"/>
      <c r="M613" s="22"/>
      <c r="N613" s="22"/>
      <c r="O613" s="91"/>
      <c r="P613" s="91"/>
      <c r="Q613" s="149"/>
      <c r="R613" s="161"/>
      <c r="S613" s="151"/>
      <c r="T613" s="91">
        <f>(P613-O613)*S613</f>
        <v>0</v>
      </c>
      <c r="U613" s="644"/>
      <c r="V613" s="695"/>
      <c r="W613" s="14"/>
      <c r="X613" s="7"/>
      <c r="Y613" s="7"/>
      <c r="Z613" s="7"/>
      <c r="AA613" s="7"/>
      <c r="AB613" s="7"/>
      <c r="AC613" s="7"/>
    </row>
    <row r="614" spans="1:29" ht="29.25" customHeight="1">
      <c r="A614" s="19"/>
      <c r="B614" s="90" t="s">
        <v>480</v>
      </c>
      <c r="C614" s="91"/>
      <c r="D614" s="91"/>
      <c r="E614" s="91"/>
      <c r="F614" s="91"/>
      <c r="G614" s="91"/>
      <c r="H614" s="91"/>
      <c r="I614" s="115"/>
      <c r="J614" s="22"/>
      <c r="K614" s="22"/>
      <c r="L614" s="22"/>
      <c r="M614" s="22"/>
      <c r="N614" s="22"/>
      <c r="O614" s="91"/>
      <c r="P614" s="91"/>
      <c r="Q614" s="149"/>
      <c r="R614" s="161"/>
      <c r="S614" s="151"/>
      <c r="T614" s="91"/>
      <c r="U614" s="644"/>
      <c r="V614" s="695"/>
      <c r="W614" s="14"/>
      <c r="X614" s="7"/>
      <c r="Y614" s="7"/>
      <c r="Z614" s="255"/>
      <c r="AA614" s="255"/>
      <c r="AB614" s="255"/>
      <c r="AC614" s="255"/>
    </row>
    <row r="615" spans="1:29" ht="29.25" customHeight="1">
      <c r="A615" s="19"/>
      <c r="B615" s="148" t="s">
        <v>529</v>
      </c>
      <c r="C615" s="91">
        <f>H615+E615</f>
        <v>268.57</v>
      </c>
      <c r="D615" s="115"/>
      <c r="E615" s="91">
        <f>F615+G615</f>
        <v>17.57</v>
      </c>
      <c r="F615" s="91">
        <f t="shared" ref="F615:F654" si="79">0.04*H615</f>
        <v>10.040000000000001</v>
      </c>
      <c r="G615" s="91">
        <f t="shared" ref="G615:G654" si="80">0.03*H615</f>
        <v>7.5299999999999994</v>
      </c>
      <c r="H615" s="91">
        <f>T615</f>
        <v>251</v>
      </c>
      <c r="I615" s="91">
        <f>0.5*C615</f>
        <v>134.285</v>
      </c>
      <c r="J615" s="22"/>
      <c r="K615" s="22"/>
      <c r="L615" s="22"/>
      <c r="M615" s="22"/>
      <c r="N615" s="22"/>
      <c r="O615" s="229">
        <v>14862</v>
      </c>
      <c r="P615" s="229">
        <v>15113</v>
      </c>
      <c r="Q615" s="149"/>
      <c r="R615" s="161"/>
      <c r="S615" s="151">
        <v>1</v>
      </c>
      <c r="T615" s="91">
        <f t="shared" ref="T615:T638" si="81">(P615-O615)*S615</f>
        <v>251</v>
      </c>
      <c r="U615" s="644">
        <v>2262538</v>
      </c>
      <c r="V615" s="698" t="s">
        <v>530</v>
      </c>
      <c r="W615" s="14" t="s">
        <v>43</v>
      </c>
      <c r="X615" s="7"/>
      <c r="Y615" s="7"/>
      <c r="Z615" s="7"/>
      <c r="AA615" s="7"/>
      <c r="AB615" s="7"/>
      <c r="AC615" s="7"/>
    </row>
    <row r="616" spans="1:29" ht="30" customHeight="1">
      <c r="A616" s="19"/>
      <c r="B616" s="148" t="s">
        <v>531</v>
      </c>
      <c r="C616" s="91">
        <f t="shared" ref="C616:C646" si="82">H616+E616</f>
        <v>0</v>
      </c>
      <c r="D616" s="91"/>
      <c r="E616" s="91">
        <f t="shared" ref="E616:E654" si="83">F616+G616</f>
        <v>0</v>
      </c>
      <c r="F616" s="91">
        <f t="shared" si="79"/>
        <v>0</v>
      </c>
      <c r="G616" s="91">
        <f t="shared" si="80"/>
        <v>0</v>
      </c>
      <c r="H616" s="91">
        <f>T616</f>
        <v>0</v>
      </c>
      <c r="I616" s="91">
        <f t="shared" ref="I616:I646" si="84">0.5*C616</f>
        <v>0</v>
      </c>
      <c r="J616" s="22"/>
      <c r="K616" s="22"/>
      <c r="L616" s="22"/>
      <c r="M616" s="22"/>
      <c r="N616" s="22"/>
      <c r="O616" s="229">
        <v>45710</v>
      </c>
      <c r="P616" s="229">
        <v>45710</v>
      </c>
      <c r="Q616" s="22"/>
      <c r="R616" s="142"/>
      <c r="S616" s="151">
        <v>1</v>
      </c>
      <c r="T616" s="91">
        <f t="shared" si="81"/>
        <v>0</v>
      </c>
      <c r="U616" s="644">
        <v>5521045</v>
      </c>
      <c r="V616" s="698" t="s">
        <v>532</v>
      </c>
      <c r="W616" s="14" t="s">
        <v>43</v>
      </c>
      <c r="X616" s="7"/>
      <c r="Y616" s="7"/>
      <c r="Z616" s="7"/>
      <c r="AA616" s="7"/>
      <c r="AB616" s="7"/>
      <c r="AC616" s="7"/>
    </row>
    <row r="617" spans="1:29" ht="27" customHeight="1">
      <c r="A617" s="19"/>
      <c r="B617" s="148" t="s">
        <v>533</v>
      </c>
      <c r="C617" s="91">
        <f t="shared" si="82"/>
        <v>404.46</v>
      </c>
      <c r="D617" s="92"/>
      <c r="E617" s="91">
        <f t="shared" si="83"/>
        <v>26.46</v>
      </c>
      <c r="F617" s="91">
        <f t="shared" si="79"/>
        <v>15.120000000000001</v>
      </c>
      <c r="G617" s="91">
        <f t="shared" si="80"/>
        <v>11.34</v>
      </c>
      <c r="H617" s="91">
        <f t="shared" ref="H617:H650" si="85">T617</f>
        <v>378</v>
      </c>
      <c r="I617" s="91">
        <f t="shared" si="84"/>
        <v>202.23</v>
      </c>
      <c r="J617" s="22"/>
      <c r="K617" s="22"/>
      <c r="L617" s="22"/>
      <c r="M617" s="22"/>
      <c r="N617" s="22"/>
      <c r="O617" s="229">
        <v>36590</v>
      </c>
      <c r="P617" s="229">
        <v>36968</v>
      </c>
      <c r="Q617" s="122"/>
      <c r="R617" s="338"/>
      <c r="S617" s="151">
        <v>1</v>
      </c>
      <c r="T617" s="91">
        <f t="shared" si="81"/>
        <v>378</v>
      </c>
      <c r="U617" s="644">
        <v>2261340</v>
      </c>
      <c r="V617" s="698" t="s">
        <v>534</v>
      </c>
      <c r="W617" s="14" t="s">
        <v>43</v>
      </c>
      <c r="X617" s="7"/>
      <c r="Y617" s="7"/>
      <c r="Z617" s="7"/>
      <c r="AA617" s="7"/>
      <c r="AB617" s="7"/>
      <c r="AC617" s="7"/>
    </row>
    <row r="618" spans="1:29" ht="30" customHeight="1">
      <c r="A618" s="19"/>
      <c r="B618" s="148" t="s">
        <v>535</v>
      </c>
      <c r="C618" s="91">
        <f t="shared" si="82"/>
        <v>793.94</v>
      </c>
      <c r="D618" s="92"/>
      <c r="E618" s="91">
        <f t="shared" si="83"/>
        <v>51.94</v>
      </c>
      <c r="F618" s="91">
        <f t="shared" si="79"/>
        <v>29.68</v>
      </c>
      <c r="G618" s="91">
        <f t="shared" si="80"/>
        <v>22.259999999999998</v>
      </c>
      <c r="H618" s="91">
        <f t="shared" si="85"/>
        <v>742</v>
      </c>
      <c r="I618" s="91">
        <f t="shared" si="84"/>
        <v>396.97</v>
      </c>
      <c r="J618" s="22"/>
      <c r="K618" s="22"/>
      <c r="L618" s="22"/>
      <c r="M618" s="22"/>
      <c r="N618" s="22"/>
      <c r="O618" s="229">
        <v>45320</v>
      </c>
      <c r="P618" s="229">
        <v>46062</v>
      </c>
      <c r="Q618" s="122"/>
      <c r="R618" s="338"/>
      <c r="S618" s="151">
        <v>1</v>
      </c>
      <c r="T618" s="91">
        <f t="shared" si="81"/>
        <v>742</v>
      </c>
      <c r="U618" s="644">
        <v>5510929</v>
      </c>
      <c r="V618" s="698" t="s">
        <v>536</v>
      </c>
      <c r="W618" s="14" t="s">
        <v>43</v>
      </c>
      <c r="X618" s="7"/>
      <c r="Y618" s="7"/>
      <c r="Z618" s="7"/>
      <c r="AA618" s="7"/>
      <c r="AB618" s="7"/>
      <c r="AC618" s="7"/>
    </row>
    <row r="619" spans="1:29" ht="27.75" customHeight="1">
      <c r="A619" s="19"/>
      <c r="B619" s="148" t="s">
        <v>537</v>
      </c>
      <c r="C619" s="91">
        <f t="shared" si="82"/>
        <v>435.49</v>
      </c>
      <c r="D619" s="115"/>
      <c r="E619" s="91">
        <f t="shared" si="83"/>
        <v>28.490000000000002</v>
      </c>
      <c r="F619" s="91">
        <f t="shared" si="79"/>
        <v>16.28</v>
      </c>
      <c r="G619" s="91">
        <f t="shared" si="80"/>
        <v>12.209999999999999</v>
      </c>
      <c r="H619" s="91">
        <f t="shared" si="85"/>
        <v>407</v>
      </c>
      <c r="I619" s="91">
        <f t="shared" si="84"/>
        <v>217.745</v>
      </c>
      <c r="J619" s="22"/>
      <c r="K619" s="22"/>
      <c r="L619" s="22"/>
      <c r="M619" s="22"/>
      <c r="N619" s="22"/>
      <c r="O619" s="229">
        <v>68691</v>
      </c>
      <c r="P619" s="229">
        <v>69098</v>
      </c>
      <c r="Q619" s="122"/>
      <c r="R619" s="338"/>
      <c r="S619" s="151">
        <v>1</v>
      </c>
      <c r="T619" s="91">
        <f t="shared" si="81"/>
        <v>407</v>
      </c>
      <c r="U619" s="644">
        <v>5511505</v>
      </c>
      <c r="V619" s="698" t="s">
        <v>538</v>
      </c>
      <c r="W619" s="14" t="s">
        <v>43</v>
      </c>
      <c r="X619" s="7"/>
      <c r="Y619" s="7"/>
      <c r="Z619" s="7"/>
      <c r="AA619" s="7"/>
      <c r="AB619" s="7"/>
      <c r="AC619" s="7"/>
    </row>
    <row r="620" spans="1:29" ht="27" customHeight="1">
      <c r="A620" s="19"/>
      <c r="B620" s="148" t="s">
        <v>539</v>
      </c>
      <c r="C620" s="91">
        <f t="shared" si="82"/>
        <v>205.44</v>
      </c>
      <c r="D620" s="92"/>
      <c r="E620" s="91">
        <f t="shared" si="83"/>
        <v>13.44</v>
      </c>
      <c r="F620" s="91">
        <f t="shared" si="79"/>
        <v>7.68</v>
      </c>
      <c r="G620" s="91">
        <f t="shared" si="80"/>
        <v>5.76</v>
      </c>
      <c r="H620" s="91">
        <f t="shared" si="85"/>
        <v>192</v>
      </c>
      <c r="I620" s="91">
        <f t="shared" si="84"/>
        <v>102.72</v>
      </c>
      <c r="J620" s="22"/>
      <c r="K620" s="22"/>
      <c r="L620" s="22"/>
      <c r="M620" s="22"/>
      <c r="N620" s="22"/>
      <c r="O620" s="229">
        <v>39013</v>
      </c>
      <c r="P620" s="229">
        <v>39205</v>
      </c>
      <c r="Q620" s="122"/>
      <c r="R620" s="338"/>
      <c r="S620" s="151">
        <v>1</v>
      </c>
      <c r="T620" s="91">
        <f t="shared" si="81"/>
        <v>192</v>
      </c>
      <c r="U620" s="644">
        <v>5510311</v>
      </c>
      <c r="V620" s="698" t="s">
        <v>540</v>
      </c>
      <c r="W620" s="14" t="s">
        <v>43</v>
      </c>
      <c r="X620" s="7"/>
      <c r="Y620" s="7"/>
      <c r="Z620" s="7"/>
      <c r="AA620" s="7"/>
      <c r="AB620" s="7"/>
      <c r="AC620" s="7"/>
    </row>
    <row r="621" spans="1:29" ht="25.5" customHeight="1">
      <c r="A621" s="19"/>
      <c r="B621" s="148" t="s">
        <v>890</v>
      </c>
      <c r="C621" s="91">
        <f t="shared" si="82"/>
        <v>291.04000000000002</v>
      </c>
      <c r="D621" s="92"/>
      <c r="E621" s="91">
        <f t="shared" si="83"/>
        <v>19.04</v>
      </c>
      <c r="F621" s="91">
        <f t="shared" si="79"/>
        <v>10.88</v>
      </c>
      <c r="G621" s="91">
        <f t="shared" si="80"/>
        <v>8.16</v>
      </c>
      <c r="H621" s="91">
        <f t="shared" si="85"/>
        <v>272</v>
      </c>
      <c r="I621" s="91">
        <f t="shared" si="84"/>
        <v>145.52000000000001</v>
      </c>
      <c r="J621" s="22"/>
      <c r="K621" s="22"/>
      <c r="L621" s="22"/>
      <c r="M621" s="22"/>
      <c r="N621" s="22"/>
      <c r="O621" s="229">
        <v>49565</v>
      </c>
      <c r="P621" s="229">
        <v>49837</v>
      </c>
      <c r="Q621" s="122"/>
      <c r="R621" s="338"/>
      <c r="S621" s="151">
        <v>1</v>
      </c>
      <c r="T621" s="91">
        <f t="shared" si="81"/>
        <v>272</v>
      </c>
      <c r="U621" s="644">
        <v>5510177</v>
      </c>
      <c r="V621" s="698" t="s">
        <v>542</v>
      </c>
      <c r="W621" s="14" t="s">
        <v>90</v>
      </c>
      <c r="X621" s="255"/>
      <c r="Y621" s="255"/>
      <c r="Z621" s="7"/>
      <c r="AA621" s="7"/>
      <c r="AB621" s="7"/>
      <c r="AC621" s="7"/>
    </row>
    <row r="622" spans="1:29" ht="31.5" customHeight="1">
      <c r="A622" s="19"/>
      <c r="B622" s="148" t="s">
        <v>880</v>
      </c>
      <c r="C622" s="91">
        <f t="shared" si="82"/>
        <v>362.73</v>
      </c>
      <c r="D622" s="92"/>
      <c r="E622" s="91">
        <f t="shared" si="83"/>
        <v>23.73</v>
      </c>
      <c r="F622" s="91">
        <f t="shared" si="79"/>
        <v>13.56</v>
      </c>
      <c r="G622" s="91">
        <f t="shared" si="80"/>
        <v>10.17</v>
      </c>
      <c r="H622" s="91">
        <f t="shared" si="85"/>
        <v>339</v>
      </c>
      <c r="I622" s="91">
        <f t="shared" si="84"/>
        <v>181.36500000000001</v>
      </c>
      <c r="J622" s="22"/>
      <c r="K622" s="22"/>
      <c r="L622" s="22"/>
      <c r="M622" s="22"/>
      <c r="N622" s="22"/>
      <c r="O622" s="229">
        <v>89456</v>
      </c>
      <c r="P622" s="229">
        <v>89795</v>
      </c>
      <c r="Q622" s="122"/>
      <c r="R622" s="338"/>
      <c r="S622" s="151">
        <v>1</v>
      </c>
      <c r="T622" s="91">
        <f t="shared" si="81"/>
        <v>339</v>
      </c>
      <c r="U622" s="644">
        <v>2262535</v>
      </c>
      <c r="V622" s="698" t="s">
        <v>543</v>
      </c>
      <c r="W622" s="14" t="s">
        <v>90</v>
      </c>
      <c r="X622" s="7"/>
      <c r="Y622" s="7"/>
      <c r="Z622" s="7"/>
      <c r="AA622" s="7"/>
      <c r="AB622" s="7"/>
      <c r="AC622" s="7"/>
    </row>
    <row r="623" spans="1:29" ht="25.5">
      <c r="A623" s="19"/>
      <c r="B623" s="148" t="s">
        <v>544</v>
      </c>
      <c r="C623" s="91">
        <f t="shared" si="82"/>
        <v>938.39</v>
      </c>
      <c r="D623" s="92"/>
      <c r="E623" s="91">
        <f t="shared" si="83"/>
        <v>61.39</v>
      </c>
      <c r="F623" s="91">
        <f t="shared" si="79"/>
        <v>35.08</v>
      </c>
      <c r="G623" s="91">
        <f t="shared" si="80"/>
        <v>26.31</v>
      </c>
      <c r="H623" s="91">
        <f t="shared" si="85"/>
        <v>877</v>
      </c>
      <c r="I623" s="91">
        <f t="shared" si="84"/>
        <v>469.19499999999999</v>
      </c>
      <c r="J623" s="22"/>
      <c r="K623" s="22"/>
      <c r="L623" s="22"/>
      <c r="M623" s="22"/>
      <c r="N623" s="22"/>
      <c r="O623" s="229">
        <v>44743</v>
      </c>
      <c r="P623" s="229">
        <v>45620</v>
      </c>
      <c r="Q623" s="149"/>
      <c r="R623" s="150"/>
      <c r="S623" s="151">
        <v>1</v>
      </c>
      <c r="T623" s="91">
        <f t="shared" si="81"/>
        <v>877</v>
      </c>
      <c r="U623" s="644" t="s">
        <v>1037</v>
      </c>
      <c r="V623" s="698" t="s">
        <v>546</v>
      </c>
      <c r="W623" s="14" t="s">
        <v>90</v>
      </c>
      <c r="X623" s="7"/>
      <c r="Y623" s="7"/>
      <c r="Z623" s="7"/>
      <c r="AA623" s="7"/>
      <c r="AB623" s="7"/>
      <c r="AC623" s="7"/>
    </row>
    <row r="624" spans="1:29" ht="27" customHeight="1">
      <c r="A624" s="19"/>
      <c r="B624" s="148" t="s">
        <v>547</v>
      </c>
      <c r="C624" s="91">
        <f t="shared" si="82"/>
        <v>14437.51</v>
      </c>
      <c r="D624" s="92"/>
      <c r="E624" s="91">
        <f t="shared" si="83"/>
        <v>944.51</v>
      </c>
      <c r="F624" s="91">
        <f t="shared" si="79"/>
        <v>539.72</v>
      </c>
      <c r="G624" s="91">
        <f t="shared" si="80"/>
        <v>404.78999999999996</v>
      </c>
      <c r="H624" s="91">
        <f t="shared" si="85"/>
        <v>13493</v>
      </c>
      <c r="I624" s="91">
        <f t="shared" si="84"/>
        <v>7218.7550000000001</v>
      </c>
      <c r="J624" s="22"/>
      <c r="K624" s="22"/>
      <c r="L624" s="22"/>
      <c r="M624" s="22"/>
      <c r="N624" s="22"/>
      <c r="O624" s="229">
        <v>272458</v>
      </c>
      <c r="P624" s="229">
        <v>285951</v>
      </c>
      <c r="Q624" s="149"/>
      <c r="R624" s="150"/>
      <c r="S624" s="151">
        <v>1</v>
      </c>
      <c r="T624" s="91">
        <f t="shared" si="81"/>
        <v>13493</v>
      </c>
      <c r="U624" s="644" t="s">
        <v>1082</v>
      </c>
      <c r="V624" s="698" t="s">
        <v>548</v>
      </c>
      <c r="W624" s="14" t="s">
        <v>90</v>
      </c>
      <c r="X624" s="7"/>
      <c r="Y624" s="7"/>
      <c r="Z624" s="7"/>
      <c r="AA624" s="7"/>
      <c r="AB624" s="7"/>
      <c r="AC624" s="7"/>
    </row>
    <row r="625" spans="1:29" ht="26.25">
      <c r="A625" s="257"/>
      <c r="B625" s="645" t="s">
        <v>549</v>
      </c>
      <c r="C625" s="91">
        <f t="shared" si="82"/>
        <v>560.67999999999995</v>
      </c>
      <c r="D625" s="110"/>
      <c r="E625" s="91">
        <f t="shared" si="83"/>
        <v>36.68</v>
      </c>
      <c r="F625" s="91">
        <f t="shared" si="79"/>
        <v>20.96</v>
      </c>
      <c r="G625" s="91">
        <f t="shared" si="80"/>
        <v>15.719999999999999</v>
      </c>
      <c r="H625" s="91">
        <f t="shared" si="85"/>
        <v>524</v>
      </c>
      <c r="I625" s="91">
        <f t="shared" si="84"/>
        <v>280.33999999999997</v>
      </c>
      <c r="J625" s="98"/>
      <c r="K625" s="22"/>
      <c r="L625" s="22"/>
      <c r="M625" s="22"/>
      <c r="N625" s="22"/>
      <c r="O625" s="646">
        <v>49296</v>
      </c>
      <c r="P625" s="646">
        <v>49820</v>
      </c>
      <c r="Q625" s="122"/>
      <c r="R625" s="647"/>
      <c r="S625" s="151">
        <v>1</v>
      </c>
      <c r="T625" s="91">
        <f t="shared" si="81"/>
        <v>524</v>
      </c>
      <c r="U625" s="644">
        <v>2261380</v>
      </c>
      <c r="V625" s="698" t="s">
        <v>550</v>
      </c>
      <c r="W625" s="14" t="s">
        <v>90</v>
      </c>
      <c r="X625" s="7"/>
      <c r="Y625" s="7"/>
      <c r="Z625" s="7"/>
      <c r="AA625" s="7"/>
      <c r="AB625" s="7"/>
      <c r="AC625" s="7"/>
    </row>
    <row r="626" spans="1:29" ht="25.5">
      <c r="A626" s="23"/>
      <c r="B626" s="104" t="s">
        <v>891</v>
      </c>
      <c r="C626" s="91">
        <f t="shared" si="82"/>
        <v>1566.48</v>
      </c>
      <c r="D626" s="271"/>
      <c r="E626" s="91">
        <f t="shared" si="83"/>
        <v>102.48</v>
      </c>
      <c r="F626" s="91">
        <f t="shared" si="79"/>
        <v>58.56</v>
      </c>
      <c r="G626" s="91">
        <f t="shared" si="80"/>
        <v>43.92</v>
      </c>
      <c r="H626" s="91">
        <f t="shared" si="85"/>
        <v>1464</v>
      </c>
      <c r="I626" s="91">
        <f t="shared" si="84"/>
        <v>783.24</v>
      </c>
      <c r="J626" s="142"/>
      <c r="K626" s="142"/>
      <c r="L626" s="142"/>
      <c r="M626" s="142"/>
      <c r="N626" s="142"/>
      <c r="O626" s="258">
        <v>67521</v>
      </c>
      <c r="P626" s="258">
        <v>68985</v>
      </c>
      <c r="Q626" s="173"/>
      <c r="R626" s="173"/>
      <c r="S626" s="151">
        <v>1</v>
      </c>
      <c r="T626" s="91">
        <f t="shared" si="81"/>
        <v>1464</v>
      </c>
      <c r="U626" s="644">
        <v>2261167</v>
      </c>
      <c r="V626" s="698" t="s">
        <v>552</v>
      </c>
      <c r="W626" s="14" t="s">
        <v>90</v>
      </c>
      <c r="X626" s="7"/>
      <c r="Y626" s="7"/>
      <c r="Z626" s="7"/>
      <c r="AA626" s="7"/>
      <c r="AB626" s="7"/>
      <c r="AC626" s="7"/>
    </row>
    <row r="627" spans="1:29" ht="25.5">
      <c r="A627" s="23"/>
      <c r="B627" s="104" t="s">
        <v>553</v>
      </c>
      <c r="C627" s="91">
        <f t="shared" si="82"/>
        <v>400.18</v>
      </c>
      <c r="D627" s="92"/>
      <c r="E627" s="91">
        <f t="shared" si="83"/>
        <v>26.18</v>
      </c>
      <c r="F627" s="91">
        <f t="shared" si="79"/>
        <v>14.96</v>
      </c>
      <c r="G627" s="91">
        <f t="shared" si="80"/>
        <v>11.219999999999999</v>
      </c>
      <c r="H627" s="91">
        <f t="shared" si="85"/>
        <v>374</v>
      </c>
      <c r="I627" s="91">
        <f t="shared" si="84"/>
        <v>200.09</v>
      </c>
      <c r="J627" s="142"/>
      <c r="K627" s="142"/>
      <c r="L627" s="142"/>
      <c r="M627" s="142"/>
      <c r="N627" s="142"/>
      <c r="O627" s="258">
        <v>27530</v>
      </c>
      <c r="P627" s="258">
        <v>27904</v>
      </c>
      <c r="Q627" s="173"/>
      <c r="R627" s="173"/>
      <c r="S627" s="151">
        <v>1</v>
      </c>
      <c r="T627" s="91">
        <f t="shared" si="81"/>
        <v>374</v>
      </c>
      <c r="U627" s="644">
        <v>5510402</v>
      </c>
      <c r="V627" s="698" t="s">
        <v>554</v>
      </c>
      <c r="W627" s="14" t="s">
        <v>43</v>
      </c>
      <c r="X627" s="7"/>
      <c r="Y627" s="7"/>
      <c r="Z627" s="7"/>
      <c r="AA627" s="7"/>
      <c r="AB627" s="7"/>
      <c r="AC627" s="7"/>
    </row>
    <row r="628" spans="1:29" ht="25.5">
      <c r="A628" s="23"/>
      <c r="B628" s="104" t="s">
        <v>892</v>
      </c>
      <c r="C628" s="91">
        <f t="shared" si="82"/>
        <v>361.65999999999997</v>
      </c>
      <c r="D628" s="92"/>
      <c r="E628" s="91">
        <f t="shared" si="83"/>
        <v>23.659999999999997</v>
      </c>
      <c r="F628" s="91">
        <f t="shared" si="79"/>
        <v>13.52</v>
      </c>
      <c r="G628" s="91">
        <f t="shared" si="80"/>
        <v>10.139999999999999</v>
      </c>
      <c r="H628" s="91">
        <f t="shared" si="85"/>
        <v>338</v>
      </c>
      <c r="I628" s="91">
        <f t="shared" si="84"/>
        <v>180.82999999999998</v>
      </c>
      <c r="J628" s="142"/>
      <c r="K628" s="142"/>
      <c r="L628" s="142"/>
      <c r="M628" s="142"/>
      <c r="N628" s="142"/>
      <c r="O628" s="258">
        <v>37656</v>
      </c>
      <c r="P628" s="258">
        <v>37994</v>
      </c>
      <c r="Q628" s="173"/>
      <c r="R628" s="173"/>
      <c r="S628" s="151">
        <v>1</v>
      </c>
      <c r="T628" s="91">
        <f t="shared" si="81"/>
        <v>338</v>
      </c>
      <c r="U628" s="644">
        <v>5509256</v>
      </c>
      <c r="V628" s="698" t="s">
        <v>263</v>
      </c>
      <c r="W628" s="14" t="s">
        <v>43</v>
      </c>
      <c r="X628" s="7"/>
      <c r="Y628" s="7"/>
      <c r="Z628" s="7"/>
      <c r="AA628" s="7"/>
      <c r="AB628" s="7"/>
      <c r="AC628" s="7"/>
    </row>
    <row r="629" spans="1:29" ht="25.5">
      <c r="A629" s="23"/>
      <c r="B629" s="104" t="s">
        <v>556</v>
      </c>
      <c r="C629" s="91">
        <f>H629+E629</f>
        <v>591.71</v>
      </c>
      <c r="D629" s="92"/>
      <c r="E629" s="91">
        <f t="shared" si="83"/>
        <v>38.71</v>
      </c>
      <c r="F629" s="91">
        <f t="shared" si="79"/>
        <v>22.12</v>
      </c>
      <c r="G629" s="91">
        <f t="shared" si="80"/>
        <v>16.59</v>
      </c>
      <c r="H629" s="91">
        <f t="shared" si="85"/>
        <v>553</v>
      </c>
      <c r="I629" s="91">
        <f t="shared" si="84"/>
        <v>295.85500000000002</v>
      </c>
      <c r="J629" s="142"/>
      <c r="K629" s="142"/>
      <c r="L629" s="142"/>
      <c r="M629" s="142"/>
      <c r="N629" s="142"/>
      <c r="O629" s="258">
        <v>33000</v>
      </c>
      <c r="P629" s="258">
        <v>33553</v>
      </c>
      <c r="Q629" s="173"/>
      <c r="R629" s="173"/>
      <c r="S629" s="151">
        <v>1</v>
      </c>
      <c r="T629" s="91">
        <f>(P629-O629)*S629</f>
        <v>553</v>
      </c>
      <c r="U629" s="644">
        <v>5509265</v>
      </c>
      <c r="V629" s="698" t="s">
        <v>557</v>
      </c>
      <c r="W629" s="14" t="s">
        <v>43</v>
      </c>
      <c r="X629" s="7"/>
      <c r="Y629" s="7"/>
      <c r="Z629" s="7"/>
      <c r="AA629" s="7"/>
      <c r="AB629" s="7"/>
      <c r="AC629" s="7"/>
    </row>
    <row r="630" spans="1:29" ht="25.5">
      <c r="A630" s="23"/>
      <c r="B630" s="104" t="s">
        <v>558</v>
      </c>
      <c r="C630" s="91">
        <f t="shared" si="82"/>
        <v>281.41000000000003</v>
      </c>
      <c r="D630" s="92"/>
      <c r="E630" s="91">
        <f t="shared" si="83"/>
        <v>18.41</v>
      </c>
      <c r="F630" s="91">
        <f t="shared" si="79"/>
        <v>10.52</v>
      </c>
      <c r="G630" s="91">
        <f t="shared" si="80"/>
        <v>7.89</v>
      </c>
      <c r="H630" s="91">
        <f t="shared" si="85"/>
        <v>263</v>
      </c>
      <c r="I630" s="91">
        <f t="shared" si="84"/>
        <v>140.70500000000001</v>
      </c>
      <c r="J630" s="142"/>
      <c r="K630" s="142"/>
      <c r="L630" s="142"/>
      <c r="M630" s="142"/>
      <c r="N630" s="142"/>
      <c r="O630" s="258">
        <v>22847</v>
      </c>
      <c r="P630" s="258">
        <v>23110</v>
      </c>
      <c r="Q630" s="173"/>
      <c r="R630" s="173"/>
      <c r="S630" s="151">
        <v>1</v>
      </c>
      <c r="T630" s="91">
        <f t="shared" si="81"/>
        <v>263</v>
      </c>
      <c r="U630" s="644">
        <v>5518342</v>
      </c>
      <c r="V630" s="698" t="s">
        <v>559</v>
      </c>
      <c r="W630" s="14" t="s">
        <v>43</v>
      </c>
      <c r="X630" s="7"/>
      <c r="Y630" s="7"/>
      <c r="Z630" s="7"/>
      <c r="AA630" s="7"/>
      <c r="AB630" s="7"/>
      <c r="AC630" s="7"/>
    </row>
    <row r="631" spans="1:29" ht="25.5">
      <c r="A631" s="23"/>
      <c r="B631" s="104" t="s">
        <v>560</v>
      </c>
      <c r="C631" s="91">
        <f t="shared" si="82"/>
        <v>354.17</v>
      </c>
      <c r="D631" s="92"/>
      <c r="E631" s="91">
        <f t="shared" si="83"/>
        <v>23.17</v>
      </c>
      <c r="F631" s="91">
        <f t="shared" si="79"/>
        <v>13.24</v>
      </c>
      <c r="G631" s="91">
        <f t="shared" si="80"/>
        <v>9.93</v>
      </c>
      <c r="H631" s="91">
        <f t="shared" si="85"/>
        <v>331</v>
      </c>
      <c r="I631" s="91">
        <f t="shared" si="84"/>
        <v>177.08500000000001</v>
      </c>
      <c r="J631" s="142"/>
      <c r="K631" s="142"/>
      <c r="L631" s="142"/>
      <c r="M631" s="142"/>
      <c r="N631" s="142"/>
      <c r="O631" s="258">
        <v>25356</v>
      </c>
      <c r="P631" s="258">
        <v>25687</v>
      </c>
      <c r="Q631" s="173"/>
      <c r="R631" s="173"/>
      <c r="S631" s="151">
        <v>1</v>
      </c>
      <c r="T631" s="91">
        <f t="shared" si="81"/>
        <v>331</v>
      </c>
      <c r="U631" s="644">
        <v>2262004</v>
      </c>
      <c r="V631" s="698" t="s">
        <v>561</v>
      </c>
      <c r="W631" s="14" t="s">
        <v>43</v>
      </c>
      <c r="X631" s="7"/>
      <c r="Y631" s="7"/>
      <c r="Z631" s="7"/>
      <c r="AA631" s="7"/>
      <c r="AB631" s="7"/>
      <c r="AC631" s="7"/>
    </row>
    <row r="632" spans="1:29" ht="25.5">
      <c r="A632" s="23"/>
      <c r="B632" s="104" t="s">
        <v>893</v>
      </c>
      <c r="C632" s="91">
        <f t="shared" si="82"/>
        <v>398.04</v>
      </c>
      <c r="D632" s="92"/>
      <c r="E632" s="91">
        <f t="shared" si="83"/>
        <v>26.04</v>
      </c>
      <c r="F632" s="91">
        <f t="shared" si="79"/>
        <v>14.88</v>
      </c>
      <c r="G632" s="91">
        <f t="shared" si="80"/>
        <v>11.16</v>
      </c>
      <c r="H632" s="91">
        <f t="shared" si="85"/>
        <v>372</v>
      </c>
      <c r="I632" s="91">
        <f t="shared" si="84"/>
        <v>199.02</v>
      </c>
      <c r="J632" s="142"/>
      <c r="K632" s="142"/>
      <c r="L632" s="142"/>
      <c r="M632" s="142"/>
      <c r="N632" s="142"/>
      <c r="O632" s="258">
        <v>22635</v>
      </c>
      <c r="P632" s="258">
        <v>23007</v>
      </c>
      <c r="Q632" s="173"/>
      <c r="R632" s="173"/>
      <c r="S632" s="151">
        <v>1</v>
      </c>
      <c r="T632" s="91">
        <f t="shared" si="81"/>
        <v>372</v>
      </c>
      <c r="U632" s="644">
        <v>2262573</v>
      </c>
      <c r="V632" s="698" t="s">
        <v>813</v>
      </c>
      <c r="W632" s="14" t="s">
        <v>43</v>
      </c>
      <c r="X632" s="7"/>
      <c r="Y632" s="7"/>
      <c r="Z632" s="7"/>
      <c r="AA632" s="7"/>
      <c r="AB632" s="7"/>
      <c r="AC632" s="7"/>
    </row>
    <row r="633" spans="1:29" ht="25.5">
      <c r="A633" s="23"/>
      <c r="B633" s="104" t="s">
        <v>894</v>
      </c>
      <c r="C633" s="91">
        <f t="shared" si="82"/>
        <v>503.97</v>
      </c>
      <c r="D633" s="92"/>
      <c r="E633" s="91">
        <f t="shared" si="83"/>
        <v>32.97</v>
      </c>
      <c r="F633" s="91">
        <f t="shared" si="79"/>
        <v>18.84</v>
      </c>
      <c r="G633" s="91">
        <f t="shared" si="80"/>
        <v>14.129999999999999</v>
      </c>
      <c r="H633" s="91">
        <f t="shared" si="85"/>
        <v>471</v>
      </c>
      <c r="I633" s="91">
        <f t="shared" si="84"/>
        <v>251.98500000000001</v>
      </c>
      <c r="J633" s="142"/>
      <c r="K633" s="142"/>
      <c r="L633" s="142"/>
      <c r="M633" s="142"/>
      <c r="N633" s="142"/>
      <c r="O633" s="258">
        <v>61974</v>
      </c>
      <c r="P633" s="258">
        <v>62445</v>
      </c>
      <c r="Q633" s="173"/>
      <c r="R633" s="173"/>
      <c r="S633" s="151">
        <v>1</v>
      </c>
      <c r="T633" s="91">
        <f t="shared" si="81"/>
        <v>471</v>
      </c>
      <c r="U633" s="644">
        <v>2262504</v>
      </c>
      <c r="V633" s="698" t="s">
        <v>385</v>
      </c>
      <c r="W633" s="14" t="s">
        <v>43</v>
      </c>
      <c r="X633" s="7"/>
      <c r="Y633" s="7"/>
      <c r="Z633" s="7"/>
      <c r="AA633" s="7"/>
      <c r="AB633" s="7"/>
      <c r="AC633" s="7"/>
    </row>
    <row r="634" spans="1:29" ht="25.5">
      <c r="A634" s="23"/>
      <c r="B634" s="104" t="s">
        <v>564</v>
      </c>
      <c r="C634" s="91">
        <f t="shared" si="82"/>
        <v>151.94</v>
      </c>
      <c r="D634" s="92"/>
      <c r="E634" s="91">
        <f t="shared" si="83"/>
        <v>9.94</v>
      </c>
      <c r="F634" s="91">
        <f t="shared" si="79"/>
        <v>5.68</v>
      </c>
      <c r="G634" s="91">
        <f t="shared" si="80"/>
        <v>4.26</v>
      </c>
      <c r="H634" s="91">
        <f t="shared" si="85"/>
        <v>142</v>
      </c>
      <c r="I634" s="91">
        <f t="shared" si="84"/>
        <v>75.97</v>
      </c>
      <c r="J634" s="142"/>
      <c r="K634" s="142"/>
      <c r="L634" s="142"/>
      <c r="M634" s="142"/>
      <c r="N634" s="142"/>
      <c r="O634" s="258">
        <v>14780</v>
      </c>
      <c r="P634" s="258">
        <v>14922</v>
      </c>
      <c r="Q634" s="173"/>
      <c r="R634" s="173"/>
      <c r="S634" s="151">
        <v>1</v>
      </c>
      <c r="T634" s="91">
        <f t="shared" si="81"/>
        <v>142</v>
      </c>
      <c r="U634" s="644">
        <v>282333</v>
      </c>
      <c r="V634" s="698" t="s">
        <v>565</v>
      </c>
      <c r="W634" s="14" t="s">
        <v>43</v>
      </c>
      <c r="X634" s="7"/>
      <c r="Y634" s="7"/>
      <c r="Z634" s="7"/>
      <c r="AA634" s="7"/>
      <c r="AB634" s="7"/>
      <c r="AC634" s="7"/>
    </row>
    <row r="635" spans="1:29" ht="25.5">
      <c r="A635" s="23"/>
      <c r="B635" s="104"/>
      <c r="C635" s="91"/>
      <c r="D635" s="92"/>
      <c r="E635" s="91"/>
      <c r="F635" s="91"/>
      <c r="G635" s="91"/>
      <c r="H635" s="91"/>
      <c r="I635" s="91"/>
      <c r="J635" s="142"/>
      <c r="K635" s="142"/>
      <c r="L635" s="142"/>
      <c r="M635" s="142"/>
      <c r="N635" s="142"/>
      <c r="O635" s="258"/>
      <c r="P635" s="258"/>
      <c r="Q635" s="173"/>
      <c r="R635" s="173"/>
      <c r="S635" s="151"/>
      <c r="T635" s="91"/>
      <c r="U635" s="644"/>
      <c r="V635" s="698"/>
      <c r="W635" s="14" t="s">
        <v>90</v>
      </c>
      <c r="X635" s="7"/>
      <c r="Y635" s="7"/>
      <c r="Z635" s="7"/>
      <c r="AA635" s="7"/>
      <c r="AB635" s="7"/>
      <c r="AC635" s="7"/>
    </row>
    <row r="636" spans="1:29" s="195" customFormat="1" ht="25.5">
      <c r="A636" s="479"/>
      <c r="B636" s="104" t="s">
        <v>566</v>
      </c>
      <c r="C636" s="91">
        <f t="shared" si="82"/>
        <v>0</v>
      </c>
      <c r="D636" s="92"/>
      <c r="E636" s="91">
        <f t="shared" si="83"/>
        <v>0</v>
      </c>
      <c r="F636" s="91">
        <f t="shared" si="79"/>
        <v>0</v>
      </c>
      <c r="G636" s="91">
        <f t="shared" si="80"/>
        <v>0</v>
      </c>
      <c r="H636" s="91">
        <f t="shared" si="85"/>
        <v>0</v>
      </c>
      <c r="I636" s="91">
        <f t="shared" si="84"/>
        <v>0</v>
      </c>
      <c r="J636" s="142"/>
      <c r="K636" s="142"/>
      <c r="L636" s="142"/>
      <c r="M636" s="142"/>
      <c r="N636" s="142"/>
      <c r="O636" s="258">
        <v>42066</v>
      </c>
      <c r="P636" s="258">
        <v>42066</v>
      </c>
      <c r="Q636" s="173"/>
      <c r="R636" s="173"/>
      <c r="S636" s="151">
        <v>1</v>
      </c>
      <c r="T636" s="91">
        <f t="shared" si="81"/>
        <v>0</v>
      </c>
      <c r="U636" s="644">
        <v>3263</v>
      </c>
      <c r="V636" s="698" t="s">
        <v>567</v>
      </c>
      <c r="W636" s="191" t="s">
        <v>43</v>
      </c>
      <c r="X636" s="86"/>
      <c r="Y636" s="86"/>
      <c r="Z636" s="86"/>
      <c r="AA636" s="86"/>
      <c r="AB636" s="86"/>
      <c r="AC636" s="86"/>
    </row>
    <row r="637" spans="1:29" ht="25.5">
      <c r="A637" s="23"/>
      <c r="B637" s="104" t="s">
        <v>568</v>
      </c>
      <c r="C637" s="91">
        <f>H637+E637</f>
        <v>54.57</v>
      </c>
      <c r="D637" s="92"/>
      <c r="E637" s="91">
        <f t="shared" si="83"/>
        <v>3.5700000000000003</v>
      </c>
      <c r="F637" s="91">
        <f t="shared" si="79"/>
        <v>2.04</v>
      </c>
      <c r="G637" s="91">
        <f t="shared" si="80"/>
        <v>1.53</v>
      </c>
      <c r="H637" s="91">
        <f t="shared" si="85"/>
        <v>51</v>
      </c>
      <c r="I637" s="91">
        <f t="shared" si="84"/>
        <v>27.285</v>
      </c>
      <c r="J637" s="142"/>
      <c r="K637" s="142"/>
      <c r="L637" s="142"/>
      <c r="M637" s="142"/>
      <c r="N637" s="142"/>
      <c r="O637" s="258">
        <v>751</v>
      </c>
      <c r="P637" s="258">
        <v>802</v>
      </c>
      <c r="Q637" s="173"/>
      <c r="R637" s="173"/>
      <c r="S637" s="151">
        <v>1</v>
      </c>
      <c r="T637" s="91">
        <f>(P637-O637)*S637</f>
        <v>51</v>
      </c>
      <c r="U637" s="644" t="s">
        <v>1039</v>
      </c>
      <c r="V637" s="698" t="s">
        <v>1038</v>
      </c>
      <c r="W637" s="14" t="s">
        <v>90</v>
      </c>
      <c r="X637" s="7"/>
      <c r="Y637" s="7"/>
      <c r="Z637" s="7"/>
      <c r="AA637" s="7"/>
      <c r="AB637" s="7"/>
      <c r="AC637" s="7"/>
    </row>
    <row r="638" spans="1:29" ht="25.5">
      <c r="A638" s="23"/>
      <c r="B638" s="104" t="s">
        <v>570</v>
      </c>
      <c r="C638" s="91">
        <f>H638+E638</f>
        <v>478.29</v>
      </c>
      <c r="D638" s="92"/>
      <c r="E638" s="91">
        <f t="shared" si="83"/>
        <v>31.29</v>
      </c>
      <c r="F638" s="91">
        <f t="shared" si="79"/>
        <v>17.88</v>
      </c>
      <c r="G638" s="91">
        <f t="shared" si="80"/>
        <v>13.41</v>
      </c>
      <c r="H638" s="91">
        <f t="shared" si="85"/>
        <v>447</v>
      </c>
      <c r="I638" s="91">
        <f t="shared" si="84"/>
        <v>239.14500000000001</v>
      </c>
      <c r="J638" s="142"/>
      <c r="K638" s="142"/>
      <c r="L638" s="142"/>
      <c r="M638" s="142"/>
      <c r="N638" s="142"/>
      <c r="O638" s="258">
        <v>9613</v>
      </c>
      <c r="P638" s="258">
        <v>10060</v>
      </c>
      <c r="Q638" s="173"/>
      <c r="R638" s="173"/>
      <c r="S638" s="151">
        <v>1</v>
      </c>
      <c r="T638" s="91">
        <f t="shared" si="81"/>
        <v>447</v>
      </c>
      <c r="U638" s="644" t="s">
        <v>1040</v>
      </c>
      <c r="V638" s="698" t="s">
        <v>571</v>
      </c>
      <c r="W638" s="14" t="s">
        <v>90</v>
      </c>
      <c r="X638" s="7"/>
      <c r="Y638" s="7"/>
      <c r="Z638" s="7"/>
      <c r="AA638" s="7"/>
      <c r="AB638" s="7"/>
      <c r="AC638" s="7"/>
    </row>
    <row r="639" spans="1:29" ht="25.5">
      <c r="A639" s="23"/>
      <c r="B639" s="104" t="s">
        <v>572</v>
      </c>
      <c r="C639" s="91">
        <f t="shared" si="82"/>
        <v>631.29999999999995</v>
      </c>
      <c r="D639" s="92"/>
      <c r="E639" s="91">
        <f t="shared" si="83"/>
        <v>41.3</v>
      </c>
      <c r="F639" s="91">
        <f t="shared" si="79"/>
        <v>23.6</v>
      </c>
      <c r="G639" s="91">
        <f t="shared" si="80"/>
        <v>17.7</v>
      </c>
      <c r="H639" s="91">
        <f t="shared" si="85"/>
        <v>590</v>
      </c>
      <c r="I639" s="91">
        <f t="shared" si="84"/>
        <v>315.64999999999998</v>
      </c>
      <c r="J639" s="142"/>
      <c r="K639" s="142"/>
      <c r="L639" s="142"/>
      <c r="M639" s="142"/>
      <c r="N639" s="142"/>
      <c r="O639" s="258">
        <v>108688</v>
      </c>
      <c r="P639" s="258">
        <v>109278</v>
      </c>
      <c r="Q639" s="173"/>
      <c r="R639" s="173"/>
      <c r="S639" s="151">
        <v>1</v>
      </c>
      <c r="T639" s="91">
        <f>(P639-O639)*S639</f>
        <v>590</v>
      </c>
      <c r="U639" s="644" t="s">
        <v>1041</v>
      </c>
      <c r="V639" s="698" t="s">
        <v>573</v>
      </c>
      <c r="W639" s="14" t="s">
        <v>90</v>
      </c>
      <c r="X639" s="7"/>
      <c r="Y639" s="7"/>
      <c r="Z639" s="7"/>
      <c r="AA639" s="7"/>
      <c r="AB639" s="7"/>
      <c r="AC639" s="7"/>
    </row>
    <row r="640" spans="1:29" ht="25.5">
      <c r="A640" s="23"/>
      <c r="B640" s="104" t="s">
        <v>701</v>
      </c>
      <c r="C640" s="91">
        <f t="shared" si="82"/>
        <v>2091.85</v>
      </c>
      <c r="D640" s="92"/>
      <c r="E640" s="91">
        <f t="shared" si="83"/>
        <v>136.85</v>
      </c>
      <c r="F640" s="91">
        <f t="shared" si="79"/>
        <v>78.2</v>
      </c>
      <c r="G640" s="91">
        <f t="shared" si="80"/>
        <v>58.65</v>
      </c>
      <c r="H640" s="91">
        <f t="shared" si="85"/>
        <v>1955</v>
      </c>
      <c r="I640" s="91">
        <f t="shared" si="84"/>
        <v>1045.925</v>
      </c>
      <c r="J640" s="142"/>
      <c r="K640" s="142"/>
      <c r="L640" s="142"/>
      <c r="M640" s="142"/>
      <c r="N640" s="142"/>
      <c r="O640" s="258">
        <v>253917</v>
      </c>
      <c r="P640" s="258">
        <v>255872</v>
      </c>
      <c r="Q640" s="173"/>
      <c r="R640" s="173"/>
      <c r="S640" s="151">
        <v>1</v>
      </c>
      <c r="T640" s="91">
        <f>(P640-O640)*S640</f>
        <v>1955</v>
      </c>
      <c r="U640" s="644" t="s">
        <v>1042</v>
      </c>
      <c r="V640" s="698" t="s">
        <v>574</v>
      </c>
      <c r="W640" s="14" t="s">
        <v>90</v>
      </c>
      <c r="X640" s="7"/>
      <c r="Y640" s="7"/>
      <c r="Z640" s="7"/>
      <c r="AA640" s="7"/>
      <c r="AB640" s="7"/>
      <c r="AC640" s="7"/>
    </row>
    <row r="641" spans="1:29" ht="25.5">
      <c r="A641" s="23"/>
      <c r="B641" s="104"/>
      <c r="C641" s="91"/>
      <c r="D641" s="92"/>
      <c r="E641" s="91"/>
      <c r="F641" s="91"/>
      <c r="G641" s="91"/>
      <c r="H641" s="91"/>
      <c r="I641" s="91"/>
      <c r="J641" s="142"/>
      <c r="K641" s="142"/>
      <c r="L641" s="142"/>
      <c r="M641" s="142"/>
      <c r="N641" s="142"/>
      <c r="O641" s="258"/>
      <c r="P641" s="258"/>
      <c r="Q641" s="173"/>
      <c r="R641" s="173"/>
      <c r="S641" s="151"/>
      <c r="T641" s="91"/>
      <c r="U641" s="644"/>
      <c r="V641" s="698"/>
      <c r="W641" s="14"/>
      <c r="X641" s="7"/>
      <c r="Y641" s="7"/>
      <c r="Z641" s="7"/>
      <c r="AA641" s="7"/>
      <c r="AB641" s="7"/>
      <c r="AC641" s="7"/>
    </row>
    <row r="642" spans="1:29" ht="26.25">
      <c r="A642" s="23"/>
      <c r="B642" s="104" t="s">
        <v>575</v>
      </c>
      <c r="C642" s="91">
        <f t="shared" ref="C642" si="86">H642+E642</f>
        <v>345.61</v>
      </c>
      <c r="D642" s="115"/>
      <c r="E642" s="91">
        <f t="shared" ref="E642" si="87">F642+G642</f>
        <v>22.61</v>
      </c>
      <c r="F642" s="91">
        <f t="shared" ref="F642" si="88">0.04*H642</f>
        <v>12.92</v>
      </c>
      <c r="G642" s="91">
        <f t="shared" ref="G642" si="89">0.03*H642</f>
        <v>9.69</v>
      </c>
      <c r="H642" s="91">
        <f>T642</f>
        <v>323</v>
      </c>
      <c r="I642" s="91">
        <f t="shared" ref="I642" si="90">0.5*C642</f>
        <v>172.80500000000001</v>
      </c>
      <c r="J642" s="142"/>
      <c r="K642" s="142"/>
      <c r="L642" s="142"/>
      <c r="M642" s="142"/>
      <c r="N642" s="142"/>
      <c r="O642" s="258">
        <v>3573</v>
      </c>
      <c r="P642" s="258">
        <v>3896</v>
      </c>
      <c r="Q642" s="173"/>
      <c r="R642" s="173"/>
      <c r="S642" s="92">
        <v>1</v>
      </c>
      <c r="T642" s="91">
        <f>(P642-O642)*S642</f>
        <v>323</v>
      </c>
      <c r="U642" s="644" t="s">
        <v>1043</v>
      </c>
      <c r="V642" s="698" t="s">
        <v>814</v>
      </c>
      <c r="W642" s="14"/>
      <c r="X642" s="7"/>
      <c r="Y642" s="7"/>
      <c r="Z642" s="7"/>
      <c r="AA642" s="7"/>
      <c r="AB642" s="7"/>
      <c r="AC642" s="7"/>
    </row>
    <row r="643" spans="1:29" ht="26.25">
      <c r="A643" s="23"/>
      <c r="B643" s="104" t="s">
        <v>895</v>
      </c>
      <c r="C643" s="91">
        <f t="shared" si="82"/>
        <v>54.57</v>
      </c>
      <c r="D643" s="115"/>
      <c r="E643" s="91">
        <f t="shared" si="83"/>
        <v>3.5700000000000003</v>
      </c>
      <c r="F643" s="91">
        <f t="shared" si="79"/>
        <v>2.04</v>
      </c>
      <c r="G643" s="91">
        <f t="shared" si="80"/>
        <v>1.53</v>
      </c>
      <c r="H643" s="91">
        <f>T643</f>
        <v>51</v>
      </c>
      <c r="I643" s="91">
        <f t="shared" si="84"/>
        <v>27.285</v>
      </c>
      <c r="J643" s="142"/>
      <c r="K643" s="142"/>
      <c r="L643" s="142"/>
      <c r="M643" s="142"/>
      <c r="N643" s="142"/>
      <c r="O643" s="258">
        <v>13761</v>
      </c>
      <c r="P643" s="258">
        <v>13812</v>
      </c>
      <c r="Q643" s="173"/>
      <c r="R643" s="173"/>
      <c r="S643" s="92">
        <v>1</v>
      </c>
      <c r="T643" s="91">
        <f>(P643-O643)*S643</f>
        <v>51</v>
      </c>
      <c r="U643" s="644">
        <v>370293</v>
      </c>
      <c r="V643" s="698" t="s">
        <v>815</v>
      </c>
      <c r="W643" s="14" t="s">
        <v>90</v>
      </c>
      <c r="X643" s="7"/>
      <c r="Y643" s="7"/>
      <c r="Z643" s="7"/>
      <c r="AA643" s="7"/>
      <c r="AB643" s="7"/>
      <c r="AC643" s="7"/>
    </row>
    <row r="644" spans="1:29" ht="57" customHeight="1">
      <c r="A644" s="252"/>
      <c r="B644" s="701"/>
      <c r="C644" s="34"/>
      <c r="D644" s="433"/>
      <c r="E644" s="34"/>
      <c r="F644" s="34"/>
      <c r="G644" s="34"/>
      <c r="H644" s="34"/>
      <c r="I644" s="34"/>
      <c r="J644" s="432"/>
      <c r="K644" s="432"/>
      <c r="L644" s="432"/>
      <c r="M644" s="432"/>
      <c r="N644" s="432"/>
      <c r="O644" s="702"/>
      <c r="P644" s="702"/>
      <c r="Q644" s="37"/>
      <c r="R644" s="37"/>
      <c r="S644" s="370"/>
      <c r="T644" s="34"/>
      <c r="U644" s="718"/>
      <c r="V644" s="703"/>
      <c r="W644" s="14"/>
      <c r="X644" s="7"/>
      <c r="Y644" s="7"/>
      <c r="Z644" s="7"/>
      <c r="AA644" s="7"/>
      <c r="AB644" s="7"/>
      <c r="AC644" s="7"/>
    </row>
    <row r="645" spans="1:29" ht="26.25">
      <c r="A645" s="252"/>
      <c r="B645" s="104"/>
      <c r="C645" s="91"/>
      <c r="D645" s="115"/>
      <c r="E645" s="91"/>
      <c r="F645" s="91"/>
      <c r="G645" s="91"/>
      <c r="H645" s="91"/>
      <c r="I645" s="91"/>
      <c r="J645" s="142"/>
      <c r="K645" s="142"/>
      <c r="L645" s="142"/>
      <c r="M645" s="142"/>
      <c r="N645" s="142"/>
      <c r="O645" s="258"/>
      <c r="P645" s="258"/>
      <c r="Q645" s="173"/>
      <c r="R645" s="173"/>
      <c r="S645" s="92"/>
      <c r="T645" s="91"/>
      <c r="U645" s="644"/>
      <c r="V645" s="695"/>
      <c r="W645" s="14"/>
      <c r="X645" s="7"/>
      <c r="Y645" s="7"/>
      <c r="Z645" s="7"/>
      <c r="AA645" s="7"/>
      <c r="AB645" s="7"/>
      <c r="AC645" s="7"/>
    </row>
    <row r="646" spans="1:29" ht="26.25">
      <c r="A646" s="252"/>
      <c r="B646" s="62" t="s">
        <v>948</v>
      </c>
      <c r="C646" s="28">
        <f t="shared" si="82"/>
        <v>0</v>
      </c>
      <c r="D646" s="72"/>
      <c r="E646" s="28">
        <f t="shared" si="83"/>
        <v>0</v>
      </c>
      <c r="F646" s="28">
        <f t="shared" si="79"/>
        <v>0</v>
      </c>
      <c r="G646" s="28">
        <f t="shared" si="80"/>
        <v>0</v>
      </c>
      <c r="H646" s="28">
        <f t="shared" si="85"/>
        <v>0</v>
      </c>
      <c r="I646" s="28">
        <f t="shared" si="84"/>
        <v>0</v>
      </c>
      <c r="J646" s="348"/>
      <c r="K646" s="348"/>
      <c r="L646" s="348"/>
      <c r="M646" s="348"/>
      <c r="N646" s="348"/>
      <c r="O646" s="454">
        <v>6544</v>
      </c>
      <c r="P646" s="454">
        <v>6544</v>
      </c>
      <c r="Q646" s="351"/>
      <c r="R646" s="351"/>
      <c r="S646" s="77">
        <v>1</v>
      </c>
      <c r="T646" s="28">
        <f>(P646-O646)*S646</f>
        <v>0</v>
      </c>
      <c r="U646" s="455">
        <v>1940</v>
      </c>
      <c r="V646" s="693" t="s">
        <v>816</v>
      </c>
      <c r="W646" s="14" t="s">
        <v>90</v>
      </c>
      <c r="X646" s="7"/>
      <c r="Y646" s="7"/>
      <c r="Z646" s="7"/>
      <c r="AA646" s="7"/>
      <c r="AB646" s="7"/>
      <c r="AC646" s="7"/>
    </row>
    <row r="647" spans="1:29" ht="26.25">
      <c r="A647" s="268"/>
      <c r="B647" s="580" t="s">
        <v>703</v>
      </c>
      <c r="C647" s="91">
        <f>H647+E647</f>
        <v>392.69</v>
      </c>
      <c r="D647" s="91"/>
      <c r="E647" s="91">
        <f>G647+F647</f>
        <v>25.689999999999998</v>
      </c>
      <c r="F647" s="91">
        <f>0.04*H647</f>
        <v>14.68</v>
      </c>
      <c r="G647" s="91">
        <f>0.03*H647</f>
        <v>11.01</v>
      </c>
      <c r="H647" s="91">
        <f>T647</f>
        <v>367</v>
      </c>
      <c r="I647" s="91">
        <f>0.6*C647</f>
        <v>235.61399999999998</v>
      </c>
      <c r="J647" s="22"/>
      <c r="K647" s="22"/>
      <c r="L647" s="22"/>
      <c r="M647" s="22"/>
      <c r="N647" s="22"/>
      <c r="O647" s="91">
        <v>17590</v>
      </c>
      <c r="P647" s="91">
        <v>17957</v>
      </c>
      <c r="Q647" s="122"/>
      <c r="R647" s="232"/>
      <c r="S647" s="151">
        <v>1</v>
      </c>
      <c r="T647" s="91">
        <f>(P647-O647)*S647</f>
        <v>367</v>
      </c>
      <c r="U647" s="644" t="s">
        <v>1044</v>
      </c>
      <c r="V647" s="698" t="s">
        <v>751</v>
      </c>
      <c r="W647" s="14" t="s">
        <v>90</v>
      </c>
      <c r="X647" s="7"/>
      <c r="Y647" s="7"/>
      <c r="Z647" s="7"/>
      <c r="AA647" s="7"/>
      <c r="AB647" s="7"/>
      <c r="AC647" s="7"/>
    </row>
    <row r="648" spans="1:29" ht="26.25">
      <c r="A648" s="268"/>
      <c r="B648" s="104"/>
      <c r="C648" s="91"/>
      <c r="D648" s="91"/>
      <c r="E648" s="91"/>
      <c r="F648" s="91"/>
      <c r="G648" s="91"/>
      <c r="H648" s="91"/>
      <c r="I648" s="91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1"/>
      <c r="U648" s="644"/>
      <c r="V648" s="698"/>
      <c r="W648" s="14" t="s">
        <v>43</v>
      </c>
      <c r="X648" s="7"/>
      <c r="Y648" s="7"/>
      <c r="Z648" s="7"/>
      <c r="AA648" s="7"/>
      <c r="AB648" s="7"/>
      <c r="AC648" s="7"/>
    </row>
    <row r="649" spans="1:29" ht="26.25">
      <c r="A649" s="268"/>
      <c r="B649" s="339"/>
      <c r="C649" s="91"/>
      <c r="D649" s="91"/>
      <c r="E649" s="91"/>
      <c r="F649" s="91"/>
      <c r="G649" s="91"/>
      <c r="H649" s="91"/>
      <c r="I649" s="91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1"/>
      <c r="U649" s="644"/>
      <c r="V649" s="698"/>
      <c r="W649" s="14"/>
      <c r="X649" s="7"/>
      <c r="Y649" s="7"/>
      <c r="Z649" s="7"/>
      <c r="AA649" s="7"/>
      <c r="AB649" s="7"/>
      <c r="AC649" s="7"/>
    </row>
    <row r="650" spans="1:29" ht="26.25">
      <c r="A650" s="268"/>
      <c r="B650" s="104" t="s">
        <v>579</v>
      </c>
      <c r="C650" s="91">
        <f>H650+E650</f>
        <v>97.37</v>
      </c>
      <c r="D650" s="91"/>
      <c r="E650" s="91">
        <f t="shared" si="83"/>
        <v>6.37</v>
      </c>
      <c r="F650" s="91">
        <f t="shared" si="79"/>
        <v>3.64</v>
      </c>
      <c r="G650" s="91">
        <f t="shared" si="80"/>
        <v>2.73</v>
      </c>
      <c r="H650" s="91">
        <f t="shared" si="85"/>
        <v>91</v>
      </c>
      <c r="I650" s="91"/>
      <c r="J650" s="92"/>
      <c r="K650" s="92"/>
      <c r="L650" s="92"/>
      <c r="M650" s="92"/>
      <c r="N650" s="92"/>
      <c r="O650" s="92">
        <v>4280</v>
      </c>
      <c r="P650" s="92">
        <v>4371</v>
      </c>
      <c r="Q650" s="92"/>
      <c r="R650" s="92"/>
      <c r="S650" s="92">
        <v>1</v>
      </c>
      <c r="T650" s="91">
        <f>(P650-O650)*S650</f>
        <v>91</v>
      </c>
      <c r="U650" s="644" t="s">
        <v>1045</v>
      </c>
      <c r="V650" s="698" t="s">
        <v>581</v>
      </c>
      <c r="W650" s="795" t="s">
        <v>90</v>
      </c>
      <c r="X650" s="7"/>
      <c r="Y650" s="7"/>
      <c r="Z650" s="7"/>
      <c r="AA650" s="7"/>
      <c r="AB650" s="7"/>
      <c r="AC650" s="7"/>
    </row>
    <row r="651" spans="1:29" ht="26.25">
      <c r="A651" s="268"/>
      <c r="B651" s="486"/>
      <c r="C651" s="315"/>
      <c r="D651" s="315"/>
      <c r="E651" s="315"/>
      <c r="F651" s="315"/>
      <c r="G651" s="315"/>
      <c r="H651" s="315"/>
      <c r="I651" s="315"/>
      <c r="J651" s="512"/>
      <c r="K651" s="512"/>
      <c r="L651" s="512"/>
      <c r="M651" s="512"/>
      <c r="N651" s="512"/>
      <c r="O651" s="512"/>
      <c r="P651" s="512"/>
      <c r="Q651" s="512"/>
      <c r="R651" s="512"/>
      <c r="S651" s="512"/>
      <c r="T651" s="315"/>
      <c r="U651" s="712"/>
      <c r="V651" s="317"/>
      <c r="W651" s="796"/>
      <c r="X651" s="7"/>
      <c r="Y651" s="7"/>
      <c r="Z651" s="7"/>
      <c r="AA651" s="7"/>
      <c r="AB651" s="7"/>
      <c r="AC651" s="7"/>
    </row>
    <row r="652" spans="1:29" ht="26.25">
      <c r="A652" s="268"/>
      <c r="B652" s="104"/>
      <c r="C652" s="91"/>
      <c r="D652" s="91"/>
      <c r="E652" s="91"/>
      <c r="F652" s="91"/>
      <c r="G652" s="91"/>
      <c r="H652" s="91"/>
      <c r="I652" s="91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1"/>
      <c r="U652" s="644"/>
      <c r="V652" s="698"/>
      <c r="W652" s="797"/>
      <c r="X652" s="7"/>
      <c r="Y652" s="7"/>
      <c r="Z652" s="7"/>
      <c r="AA652" s="7"/>
      <c r="AB652" s="7"/>
      <c r="AC652" s="7"/>
    </row>
    <row r="653" spans="1:29" ht="26.25">
      <c r="A653" s="268"/>
      <c r="B653" s="580" t="s">
        <v>704</v>
      </c>
      <c r="C653" s="91">
        <f>H653+E653</f>
        <v>112.35</v>
      </c>
      <c r="D653" s="91"/>
      <c r="E653" s="91">
        <f>F653+G653</f>
        <v>7.35</v>
      </c>
      <c r="F653" s="91">
        <f>0.04*H653</f>
        <v>4.2</v>
      </c>
      <c r="G653" s="91">
        <f>0.03*H653</f>
        <v>3.15</v>
      </c>
      <c r="H653" s="91">
        <f>T653</f>
        <v>105</v>
      </c>
      <c r="I653" s="91">
        <f>0.6*C653</f>
        <v>67.41</v>
      </c>
      <c r="J653" s="22"/>
      <c r="K653" s="22"/>
      <c r="L653" s="22"/>
      <c r="M653" s="22"/>
      <c r="N653" s="22"/>
      <c r="O653" s="91">
        <v>9245</v>
      </c>
      <c r="P653" s="91">
        <v>9350</v>
      </c>
      <c r="Q653" s="22" t="s">
        <v>28</v>
      </c>
      <c r="R653" s="142"/>
      <c r="S653" s="151">
        <v>1</v>
      </c>
      <c r="T653" s="91">
        <f>(P653-O653)*S653</f>
        <v>105</v>
      </c>
      <c r="U653" s="644" t="s">
        <v>1046</v>
      </c>
      <c r="V653" s="698" t="s">
        <v>583</v>
      </c>
      <c r="W653" s="14" t="s">
        <v>90</v>
      </c>
      <c r="X653" s="7"/>
      <c r="Y653" s="7"/>
      <c r="Z653" s="7"/>
      <c r="AA653" s="7"/>
      <c r="AB653" s="7"/>
      <c r="AC653" s="7"/>
    </row>
    <row r="654" spans="1:29" ht="26.25">
      <c r="A654" s="271"/>
      <c r="B654" s="143" t="s">
        <v>584</v>
      </c>
      <c r="C654" s="115">
        <f>SUM(C615:C653)</f>
        <v>27566.409999999993</v>
      </c>
      <c r="D654" s="115"/>
      <c r="E654" s="115">
        <f t="shared" si="83"/>
        <v>1746.43</v>
      </c>
      <c r="F654" s="115">
        <f t="shared" si="79"/>
        <v>997.96</v>
      </c>
      <c r="G654" s="115">
        <f t="shared" si="80"/>
        <v>748.47</v>
      </c>
      <c r="H654" s="115">
        <f>SUM(H616:H645)</f>
        <v>24949</v>
      </c>
      <c r="I654" s="115">
        <f>SUM(I616:I647)</f>
        <v>13583.328999999998</v>
      </c>
      <c r="J654" s="142"/>
      <c r="K654" s="142"/>
      <c r="L654" s="142"/>
      <c r="M654" s="142"/>
      <c r="N654" s="142"/>
      <c r="O654" s="94"/>
      <c r="P654" s="94"/>
      <c r="Q654" s="94"/>
      <c r="R654" s="94"/>
      <c r="S654" s="92"/>
      <c r="T654" s="91"/>
      <c r="U654" s="644"/>
      <c r="V654" s="695"/>
      <c r="W654" s="14"/>
      <c r="X654" s="7"/>
      <c r="Y654" s="7"/>
      <c r="Z654" s="7"/>
      <c r="AA654" s="7"/>
      <c r="AB654" s="7"/>
      <c r="AC654" s="7"/>
    </row>
    <row r="655" spans="1:29" ht="26.25">
      <c r="A655" s="271"/>
      <c r="B655" s="143"/>
      <c r="C655" s="115"/>
      <c r="D655" s="115"/>
      <c r="E655" s="115"/>
      <c r="F655" s="115"/>
      <c r="G655" s="115"/>
      <c r="H655" s="115"/>
      <c r="I655" s="115"/>
      <c r="J655" s="98"/>
      <c r="K655" s="98"/>
      <c r="L655" s="98"/>
      <c r="M655" s="98"/>
      <c r="N655" s="98"/>
      <c r="O655" s="94"/>
      <c r="P655" s="94"/>
      <c r="Q655" s="227"/>
      <c r="R655" s="228"/>
      <c r="S655" s="92"/>
      <c r="T655" s="91"/>
      <c r="U655" s="644"/>
      <c r="V655" s="695"/>
      <c r="W655" s="14"/>
      <c r="X655" s="7"/>
      <c r="Y655" s="7"/>
      <c r="Z655" s="7"/>
      <c r="AA655" s="7"/>
      <c r="AB655" s="7"/>
      <c r="AC655" s="7"/>
    </row>
    <row r="656" spans="1:29" ht="26.25">
      <c r="A656" s="271"/>
      <c r="B656" s="143" t="s">
        <v>585</v>
      </c>
      <c r="C656" s="91"/>
      <c r="D656" s="92"/>
      <c r="E656" s="91"/>
      <c r="F656" s="91"/>
      <c r="G656" s="91"/>
      <c r="H656" s="92"/>
      <c r="I656" s="92"/>
      <c r="J656" s="98"/>
      <c r="K656" s="98"/>
      <c r="L656" s="98"/>
      <c r="M656" s="98"/>
      <c r="N656" s="98"/>
      <c r="O656" s="92"/>
      <c r="P656" s="92"/>
      <c r="Q656" s="105"/>
      <c r="R656" s="106"/>
      <c r="S656" s="92"/>
      <c r="T656" s="91"/>
      <c r="U656" s="644"/>
      <c r="V656" s="695"/>
      <c r="W656" s="14"/>
      <c r="X656" s="7"/>
      <c r="Y656" s="7"/>
      <c r="Z656" s="7"/>
      <c r="AA656" s="7"/>
      <c r="AB656" s="7"/>
      <c r="AC656" s="7"/>
    </row>
    <row r="657" spans="1:29" ht="25.5">
      <c r="A657" s="252"/>
      <c r="B657" s="104"/>
      <c r="C657" s="91"/>
      <c r="D657" s="92"/>
      <c r="E657" s="91"/>
      <c r="F657" s="91"/>
      <c r="G657" s="91"/>
      <c r="H657" s="91"/>
      <c r="I657" s="92"/>
      <c r="J657" s="98"/>
      <c r="K657" s="98"/>
      <c r="L657" s="98"/>
      <c r="M657" s="98"/>
      <c r="N657" s="98"/>
      <c r="O657" s="92"/>
      <c r="P657" s="92"/>
      <c r="Q657" s="105"/>
      <c r="R657" s="106"/>
      <c r="S657" s="92"/>
      <c r="T657" s="91"/>
      <c r="U657" s="644"/>
      <c r="V657" s="695"/>
      <c r="W657" s="14"/>
      <c r="X657" s="7"/>
      <c r="Y657" s="7"/>
      <c r="Z657" s="7"/>
      <c r="AA657" s="7"/>
      <c r="AB657" s="7"/>
      <c r="AC657" s="7"/>
    </row>
    <row r="658" spans="1:29" ht="25.5">
      <c r="A658" s="252"/>
      <c r="B658" s="104" t="s">
        <v>705</v>
      </c>
      <c r="C658" s="91">
        <f t="shared" ref="C658:C696" si="91">H658+E658</f>
        <v>2426.7600000000002</v>
      </c>
      <c r="D658" s="92"/>
      <c r="E658" s="91">
        <f t="shared" ref="E658:E696" si="92">F658+G658</f>
        <v>158.76</v>
      </c>
      <c r="F658" s="91">
        <f t="shared" ref="F658:F696" si="93">0.04*T658</f>
        <v>90.72</v>
      </c>
      <c r="G658" s="91">
        <f t="shared" ref="G658:G696" si="94">0.03*T658</f>
        <v>68.039999999999992</v>
      </c>
      <c r="H658" s="91">
        <f t="shared" ref="H658:H696" si="95">T658</f>
        <v>2268</v>
      </c>
      <c r="I658" s="91">
        <f>H658*0.5</f>
        <v>1134</v>
      </c>
      <c r="J658" s="98"/>
      <c r="K658" s="98"/>
      <c r="L658" s="98"/>
      <c r="M658" s="98"/>
      <c r="N658" s="98"/>
      <c r="O658" s="92">
        <v>42633</v>
      </c>
      <c r="P658" s="92">
        <v>44901</v>
      </c>
      <c r="Q658" s="105"/>
      <c r="R658" s="106"/>
      <c r="S658" s="92">
        <v>1</v>
      </c>
      <c r="T658" s="91">
        <f t="shared" ref="T658:T694" si="96">(P658-O658)*S658</f>
        <v>2268</v>
      </c>
      <c r="U658" s="644" t="s">
        <v>1047</v>
      </c>
      <c r="V658" s="698" t="s">
        <v>587</v>
      </c>
      <c r="W658" s="14" t="s">
        <v>48</v>
      </c>
      <c r="X658" s="7"/>
      <c r="Y658" s="7"/>
      <c r="Z658" s="7"/>
      <c r="AA658" s="7"/>
      <c r="AB658" s="7"/>
      <c r="AC658" s="7"/>
    </row>
    <row r="659" spans="1:29" ht="25.5">
      <c r="A659" s="252"/>
      <c r="B659" s="104" t="s">
        <v>836</v>
      </c>
      <c r="C659" s="91">
        <f t="shared" si="91"/>
        <v>3617.67</v>
      </c>
      <c r="D659" s="92"/>
      <c r="E659" s="91">
        <f t="shared" si="92"/>
        <v>236.67000000000002</v>
      </c>
      <c r="F659" s="91">
        <f t="shared" si="93"/>
        <v>135.24</v>
      </c>
      <c r="G659" s="91">
        <f t="shared" si="94"/>
        <v>101.42999999999999</v>
      </c>
      <c r="H659" s="91">
        <f t="shared" si="95"/>
        <v>3381</v>
      </c>
      <c r="I659" s="91">
        <f t="shared" ref="I659:I696" si="97">H659*0.5</f>
        <v>1690.5</v>
      </c>
      <c r="J659" s="98"/>
      <c r="K659" s="98"/>
      <c r="L659" s="98"/>
      <c r="M659" s="98"/>
      <c r="N659" s="98"/>
      <c r="O659" s="92">
        <v>160912</v>
      </c>
      <c r="P659" s="92">
        <v>164293</v>
      </c>
      <c r="Q659" s="105"/>
      <c r="R659" s="106"/>
      <c r="S659" s="92">
        <v>1</v>
      </c>
      <c r="T659" s="91">
        <f t="shared" si="96"/>
        <v>3381</v>
      </c>
      <c r="U659" s="644" t="s">
        <v>1048</v>
      </c>
      <c r="V659" s="698" t="s">
        <v>753</v>
      </c>
      <c r="W659" s="14" t="s">
        <v>48</v>
      </c>
      <c r="X659" s="7"/>
      <c r="Y659" s="7"/>
      <c r="Z659" s="7"/>
      <c r="AA659" s="7"/>
      <c r="AB659" s="7"/>
      <c r="AC659" s="7"/>
    </row>
    <row r="660" spans="1:29" ht="25.5">
      <c r="A660" s="252"/>
      <c r="B660" s="104" t="s">
        <v>588</v>
      </c>
      <c r="C660" s="91">
        <f t="shared" si="91"/>
        <v>150.87</v>
      </c>
      <c r="D660" s="92"/>
      <c r="E660" s="91">
        <f t="shared" si="92"/>
        <v>9.8699999999999992</v>
      </c>
      <c r="F660" s="91">
        <f t="shared" si="93"/>
        <v>5.64</v>
      </c>
      <c r="G660" s="91">
        <f t="shared" si="94"/>
        <v>4.2299999999999995</v>
      </c>
      <c r="H660" s="91">
        <f t="shared" si="95"/>
        <v>141</v>
      </c>
      <c r="I660" s="91">
        <f t="shared" si="97"/>
        <v>70.5</v>
      </c>
      <c r="J660" s="98"/>
      <c r="K660" s="98"/>
      <c r="L660" s="98"/>
      <c r="M660" s="98"/>
      <c r="N660" s="98"/>
      <c r="O660" s="92">
        <v>15722</v>
      </c>
      <c r="P660" s="92">
        <v>15863</v>
      </c>
      <c r="Q660" s="105"/>
      <c r="R660" s="106"/>
      <c r="S660" s="92">
        <v>1</v>
      </c>
      <c r="T660" s="91">
        <f t="shared" si="96"/>
        <v>141</v>
      </c>
      <c r="U660" s="644" t="s">
        <v>1049</v>
      </c>
      <c r="V660" s="698" t="s">
        <v>589</v>
      </c>
      <c r="W660" s="14" t="s">
        <v>48</v>
      </c>
      <c r="X660" s="7"/>
      <c r="Y660" s="7"/>
      <c r="Z660" s="7"/>
      <c r="AA660" s="7"/>
      <c r="AB660" s="7"/>
      <c r="AC660" s="7"/>
    </row>
    <row r="661" spans="1:29" ht="25.5">
      <c r="A661" s="252"/>
      <c r="B661" s="104" t="s">
        <v>590</v>
      </c>
      <c r="C661" s="91">
        <f t="shared" si="91"/>
        <v>282.48</v>
      </c>
      <c r="D661" s="92"/>
      <c r="E661" s="91">
        <f t="shared" si="92"/>
        <v>18.48</v>
      </c>
      <c r="F661" s="91">
        <f t="shared" si="93"/>
        <v>10.56</v>
      </c>
      <c r="G661" s="91">
        <f t="shared" si="94"/>
        <v>7.92</v>
      </c>
      <c r="H661" s="91">
        <f t="shared" si="95"/>
        <v>264</v>
      </c>
      <c r="I661" s="91">
        <f t="shared" si="97"/>
        <v>132</v>
      </c>
      <c r="J661" s="98"/>
      <c r="K661" s="98"/>
      <c r="L661" s="98"/>
      <c r="M661" s="98"/>
      <c r="N661" s="98"/>
      <c r="O661" s="92">
        <v>18054</v>
      </c>
      <c r="P661" s="92">
        <v>18318</v>
      </c>
      <c r="Q661" s="105"/>
      <c r="R661" s="106"/>
      <c r="S661" s="92">
        <v>1</v>
      </c>
      <c r="T661" s="91">
        <f t="shared" si="96"/>
        <v>264</v>
      </c>
      <c r="U661" s="644" t="s">
        <v>1050</v>
      </c>
      <c r="V661" s="698" t="s">
        <v>591</v>
      </c>
      <c r="W661" s="14" t="s">
        <v>48</v>
      </c>
      <c r="X661" s="7"/>
      <c r="Y661" s="7"/>
      <c r="Z661" s="7"/>
      <c r="AA661" s="7"/>
      <c r="AB661" s="7"/>
      <c r="AC661" s="7"/>
    </row>
    <row r="662" spans="1:29" ht="25.5">
      <c r="A662" s="252"/>
      <c r="B662" s="104" t="s">
        <v>592</v>
      </c>
      <c r="C662" s="91">
        <f t="shared" si="91"/>
        <v>257.87</v>
      </c>
      <c r="D662" s="92"/>
      <c r="E662" s="91">
        <f t="shared" si="92"/>
        <v>16.87</v>
      </c>
      <c r="F662" s="91">
        <f t="shared" si="93"/>
        <v>9.64</v>
      </c>
      <c r="G662" s="91">
        <f t="shared" si="94"/>
        <v>7.2299999999999995</v>
      </c>
      <c r="H662" s="91">
        <f t="shared" si="95"/>
        <v>241</v>
      </c>
      <c r="I662" s="91">
        <f t="shared" si="97"/>
        <v>120.5</v>
      </c>
      <c r="J662" s="98"/>
      <c r="K662" s="98"/>
      <c r="L662" s="98"/>
      <c r="M662" s="98"/>
      <c r="N662" s="98"/>
      <c r="O662" s="92">
        <v>17935</v>
      </c>
      <c r="P662" s="92">
        <v>18176</v>
      </c>
      <c r="Q662" s="105"/>
      <c r="R662" s="106"/>
      <c r="S662" s="92">
        <v>1</v>
      </c>
      <c r="T662" s="91">
        <f t="shared" si="96"/>
        <v>241</v>
      </c>
      <c r="U662" s="644" t="s">
        <v>1051</v>
      </c>
      <c r="V662" s="698" t="s">
        <v>593</v>
      </c>
      <c r="W662" s="14" t="s">
        <v>48</v>
      </c>
      <c r="X662" s="7"/>
      <c r="Y662" s="7"/>
      <c r="Z662" s="7"/>
      <c r="AA662" s="7"/>
      <c r="AB662" s="7"/>
      <c r="AC662" s="7"/>
    </row>
    <row r="663" spans="1:29" ht="25.5">
      <c r="A663" s="252"/>
      <c r="B663" s="104" t="s">
        <v>594</v>
      </c>
      <c r="C663" s="91">
        <f t="shared" si="91"/>
        <v>256.8</v>
      </c>
      <c r="D663" s="92"/>
      <c r="E663" s="91">
        <f t="shared" si="92"/>
        <v>16.799999999999997</v>
      </c>
      <c r="F663" s="91">
        <f t="shared" si="93"/>
        <v>9.6</v>
      </c>
      <c r="G663" s="91">
        <f t="shared" si="94"/>
        <v>7.1999999999999993</v>
      </c>
      <c r="H663" s="91">
        <f t="shared" si="95"/>
        <v>240</v>
      </c>
      <c r="I663" s="91">
        <f t="shared" si="97"/>
        <v>120</v>
      </c>
      <c r="J663" s="98"/>
      <c r="K663" s="98"/>
      <c r="L663" s="98"/>
      <c r="M663" s="98"/>
      <c r="N663" s="98"/>
      <c r="O663" s="92">
        <v>21347</v>
      </c>
      <c r="P663" s="92">
        <v>21587</v>
      </c>
      <c r="Q663" s="105"/>
      <c r="R663" s="106"/>
      <c r="S663" s="92">
        <v>1</v>
      </c>
      <c r="T663" s="91">
        <f t="shared" si="96"/>
        <v>240</v>
      </c>
      <c r="U663" s="644" t="s">
        <v>1052</v>
      </c>
      <c r="V663" s="698" t="s">
        <v>595</v>
      </c>
      <c r="W663" s="14" t="s">
        <v>48</v>
      </c>
      <c r="X663" s="7"/>
      <c r="Y663" s="7"/>
      <c r="Z663" s="7"/>
      <c r="AA663" s="7"/>
      <c r="AB663" s="7"/>
      <c r="AC663" s="7"/>
    </row>
    <row r="664" spans="1:29" ht="25.5">
      <c r="A664" s="252"/>
      <c r="B664" s="104" t="s">
        <v>596</v>
      </c>
      <c r="C664" s="91">
        <f t="shared" si="91"/>
        <v>186.18</v>
      </c>
      <c r="D664" s="92"/>
      <c r="E664" s="91">
        <f t="shared" si="92"/>
        <v>12.18</v>
      </c>
      <c r="F664" s="91">
        <f t="shared" si="93"/>
        <v>6.96</v>
      </c>
      <c r="G664" s="91">
        <f t="shared" si="94"/>
        <v>5.22</v>
      </c>
      <c r="H664" s="91">
        <f t="shared" si="95"/>
        <v>174</v>
      </c>
      <c r="I664" s="91">
        <f t="shared" si="97"/>
        <v>87</v>
      </c>
      <c r="J664" s="98"/>
      <c r="K664" s="98"/>
      <c r="L664" s="98"/>
      <c r="M664" s="98"/>
      <c r="N664" s="98"/>
      <c r="O664" s="92">
        <v>20850</v>
      </c>
      <c r="P664" s="92">
        <v>21024</v>
      </c>
      <c r="Q664" s="105"/>
      <c r="R664" s="106"/>
      <c r="S664" s="92">
        <v>1</v>
      </c>
      <c r="T664" s="91">
        <f t="shared" si="96"/>
        <v>174</v>
      </c>
      <c r="U664" s="644" t="s">
        <v>1053</v>
      </c>
      <c r="V664" s="698" t="s">
        <v>598</v>
      </c>
      <c r="W664" s="14" t="s">
        <v>48</v>
      </c>
      <c r="X664" s="7"/>
      <c r="Y664" s="7"/>
      <c r="Z664" s="7"/>
      <c r="AA664" s="7"/>
      <c r="AB664" s="7"/>
      <c r="AC664" s="7"/>
    </row>
    <row r="665" spans="1:29" ht="25.5">
      <c r="A665" s="252"/>
      <c r="B665" s="831" t="s">
        <v>599</v>
      </c>
      <c r="C665" s="91">
        <f t="shared" si="91"/>
        <v>636.65</v>
      </c>
      <c r="D665" s="92"/>
      <c r="E665" s="91">
        <f t="shared" si="92"/>
        <v>41.65</v>
      </c>
      <c r="F665" s="91">
        <f t="shared" si="93"/>
        <v>23.8</v>
      </c>
      <c r="G665" s="91">
        <f t="shared" si="94"/>
        <v>17.849999999999998</v>
      </c>
      <c r="H665" s="91">
        <f t="shared" si="95"/>
        <v>595</v>
      </c>
      <c r="I665" s="91">
        <f t="shared" si="97"/>
        <v>297.5</v>
      </c>
      <c r="J665" s="98"/>
      <c r="K665" s="98"/>
      <c r="L665" s="98"/>
      <c r="M665" s="98"/>
      <c r="N665" s="98"/>
      <c r="O665" s="92">
        <v>35800</v>
      </c>
      <c r="P665" s="92">
        <v>36395</v>
      </c>
      <c r="Q665" s="105"/>
      <c r="R665" s="106"/>
      <c r="S665" s="92">
        <v>1</v>
      </c>
      <c r="T665" s="91">
        <f t="shared" si="96"/>
        <v>595</v>
      </c>
      <c r="U665" s="644" t="s">
        <v>1054</v>
      </c>
      <c r="V665" s="698" t="s">
        <v>600</v>
      </c>
      <c r="W665" s="14" t="s">
        <v>48</v>
      </c>
      <c r="X665" s="7"/>
      <c r="Y665" s="7"/>
      <c r="Z665" s="7"/>
      <c r="AA665" s="7"/>
      <c r="AB665" s="7"/>
      <c r="AC665" s="7"/>
    </row>
    <row r="666" spans="1:29" ht="25.5">
      <c r="A666" s="252"/>
      <c r="B666" s="832"/>
      <c r="C666" s="91">
        <f t="shared" si="91"/>
        <v>153.01</v>
      </c>
      <c r="D666" s="92"/>
      <c r="E666" s="91">
        <f t="shared" si="92"/>
        <v>10.01</v>
      </c>
      <c r="F666" s="91">
        <f t="shared" si="93"/>
        <v>5.72</v>
      </c>
      <c r="G666" s="91">
        <f t="shared" si="94"/>
        <v>4.29</v>
      </c>
      <c r="H666" s="91">
        <f t="shared" si="95"/>
        <v>143</v>
      </c>
      <c r="I666" s="91">
        <f t="shared" si="97"/>
        <v>71.5</v>
      </c>
      <c r="J666" s="98"/>
      <c r="K666" s="98"/>
      <c r="L666" s="98"/>
      <c r="M666" s="98"/>
      <c r="N666" s="98"/>
      <c r="O666" s="92">
        <v>9617</v>
      </c>
      <c r="P666" s="92">
        <v>9760</v>
      </c>
      <c r="Q666" s="105"/>
      <c r="R666" s="106"/>
      <c r="S666" s="92">
        <v>1</v>
      </c>
      <c r="T666" s="91">
        <f t="shared" si="96"/>
        <v>143</v>
      </c>
      <c r="U666" s="644" t="s">
        <v>1055</v>
      </c>
      <c r="V666" s="698" t="s">
        <v>602</v>
      </c>
      <c r="W666" s="14" t="s">
        <v>48</v>
      </c>
      <c r="X666" s="7"/>
      <c r="Y666" s="7"/>
      <c r="Z666" s="7"/>
      <c r="AA666" s="7"/>
      <c r="AB666" s="7"/>
      <c r="AC666" s="7"/>
    </row>
    <row r="667" spans="1:29" ht="25.5">
      <c r="A667" s="252"/>
      <c r="B667" s="104" t="s">
        <v>706</v>
      </c>
      <c r="C667" s="91">
        <f t="shared" si="91"/>
        <v>1173.79</v>
      </c>
      <c r="D667" s="92"/>
      <c r="E667" s="91">
        <f t="shared" si="92"/>
        <v>76.789999999999992</v>
      </c>
      <c r="F667" s="91">
        <f t="shared" si="93"/>
        <v>43.88</v>
      </c>
      <c r="G667" s="91">
        <f t="shared" si="94"/>
        <v>32.909999999999997</v>
      </c>
      <c r="H667" s="91">
        <f t="shared" si="95"/>
        <v>1097</v>
      </c>
      <c r="I667" s="91">
        <f t="shared" si="97"/>
        <v>548.5</v>
      </c>
      <c r="J667" s="98"/>
      <c r="K667" s="98"/>
      <c r="L667" s="98"/>
      <c r="M667" s="98"/>
      <c r="N667" s="98"/>
      <c r="O667" s="92">
        <v>88820</v>
      </c>
      <c r="P667" s="92">
        <v>89917</v>
      </c>
      <c r="Q667" s="105"/>
      <c r="R667" s="106"/>
      <c r="S667" s="92">
        <v>1</v>
      </c>
      <c r="T667" s="91">
        <f t="shared" si="96"/>
        <v>1097</v>
      </c>
      <c r="U667" s="644" t="s">
        <v>1056</v>
      </c>
      <c r="V667" s="698" t="s">
        <v>603</v>
      </c>
      <c r="W667" s="14" t="s">
        <v>48</v>
      </c>
      <c r="X667" s="7"/>
      <c r="Y667" s="7"/>
      <c r="Z667" s="7"/>
      <c r="AA667" s="7"/>
      <c r="AB667" s="7"/>
      <c r="AC667" s="7"/>
    </row>
    <row r="668" spans="1:29" ht="25.5">
      <c r="A668" s="252"/>
      <c r="B668" s="104" t="s">
        <v>604</v>
      </c>
      <c r="C668" s="91">
        <f t="shared" si="91"/>
        <v>514.66999999999996</v>
      </c>
      <c r="D668" s="92"/>
      <c r="E668" s="91">
        <f t="shared" si="92"/>
        <v>33.67</v>
      </c>
      <c r="F668" s="91">
        <f t="shared" si="93"/>
        <v>19.240000000000002</v>
      </c>
      <c r="G668" s="91">
        <f t="shared" si="94"/>
        <v>14.43</v>
      </c>
      <c r="H668" s="91">
        <f t="shared" si="95"/>
        <v>481</v>
      </c>
      <c r="I668" s="91">
        <f t="shared" si="97"/>
        <v>240.5</v>
      </c>
      <c r="J668" s="98"/>
      <c r="K668" s="98"/>
      <c r="L668" s="98"/>
      <c r="M668" s="98"/>
      <c r="N668" s="98"/>
      <c r="O668" s="92">
        <v>41440</v>
      </c>
      <c r="P668" s="92">
        <v>41921</v>
      </c>
      <c r="Q668" s="105"/>
      <c r="R668" s="106"/>
      <c r="S668" s="92">
        <v>1</v>
      </c>
      <c r="T668" s="91">
        <f t="shared" si="96"/>
        <v>481</v>
      </c>
      <c r="U668" s="644" t="s">
        <v>1057</v>
      </c>
      <c r="V668" s="698" t="s">
        <v>605</v>
      </c>
      <c r="W668" s="14" t="s">
        <v>48</v>
      </c>
      <c r="X668" s="7"/>
      <c r="Y668" s="7"/>
      <c r="Z668" s="7"/>
      <c r="AA668" s="7"/>
      <c r="AB668" s="7"/>
      <c r="AC668" s="7"/>
    </row>
    <row r="669" spans="1:29" ht="25.5">
      <c r="A669" s="252"/>
      <c r="B669" s="104" t="s">
        <v>606</v>
      </c>
      <c r="C669" s="91">
        <f t="shared" si="91"/>
        <v>127.33</v>
      </c>
      <c r="D669" s="92"/>
      <c r="E669" s="91">
        <f t="shared" si="92"/>
        <v>8.33</v>
      </c>
      <c r="F669" s="91">
        <f t="shared" si="93"/>
        <v>4.76</v>
      </c>
      <c r="G669" s="91">
        <f t="shared" si="94"/>
        <v>3.57</v>
      </c>
      <c r="H669" s="91">
        <f t="shared" si="95"/>
        <v>119</v>
      </c>
      <c r="I669" s="91">
        <f t="shared" si="97"/>
        <v>59.5</v>
      </c>
      <c r="J669" s="98"/>
      <c r="K669" s="98"/>
      <c r="L669" s="98"/>
      <c r="M669" s="98"/>
      <c r="N669" s="98"/>
      <c r="O669" s="92">
        <v>9333</v>
      </c>
      <c r="P669" s="92">
        <v>9452</v>
      </c>
      <c r="Q669" s="105"/>
      <c r="R669" s="106"/>
      <c r="S669" s="92">
        <v>1</v>
      </c>
      <c r="T669" s="91">
        <f t="shared" si="96"/>
        <v>119</v>
      </c>
      <c r="U669" s="644" t="s">
        <v>1058</v>
      </c>
      <c r="V669" s="698" t="s">
        <v>607</v>
      </c>
      <c r="W669" s="14" t="s">
        <v>48</v>
      </c>
      <c r="X669" s="7"/>
      <c r="Y669" s="7"/>
      <c r="Z669" s="7"/>
      <c r="AA669" s="7"/>
      <c r="AB669" s="7"/>
      <c r="AC669" s="7"/>
    </row>
    <row r="670" spans="1:29" ht="25.5">
      <c r="A670" s="252"/>
      <c r="B670" s="104" t="s">
        <v>952</v>
      </c>
      <c r="C670" s="91">
        <f t="shared" si="91"/>
        <v>0</v>
      </c>
      <c r="D670" s="92"/>
      <c r="E670" s="91">
        <f t="shared" si="92"/>
        <v>0</v>
      </c>
      <c r="F670" s="91">
        <f t="shared" si="93"/>
        <v>0</v>
      </c>
      <c r="G670" s="91">
        <f t="shared" si="94"/>
        <v>0</v>
      </c>
      <c r="H670" s="91">
        <f t="shared" si="95"/>
        <v>0</v>
      </c>
      <c r="I670" s="91">
        <f t="shared" si="97"/>
        <v>0</v>
      </c>
      <c r="J670" s="98"/>
      <c r="K670" s="98"/>
      <c r="L670" s="98"/>
      <c r="M670" s="98"/>
      <c r="N670" s="98"/>
      <c r="O670" s="92">
        <v>15474</v>
      </c>
      <c r="P670" s="92">
        <v>15474</v>
      </c>
      <c r="Q670" s="105"/>
      <c r="R670" s="106"/>
      <c r="S670" s="92">
        <v>1</v>
      </c>
      <c r="T670" s="91">
        <f t="shared" si="96"/>
        <v>0</v>
      </c>
      <c r="U670" s="644" t="s">
        <v>1059</v>
      </c>
      <c r="V670" s="698" t="s">
        <v>951</v>
      </c>
      <c r="W670" s="14" t="s">
        <v>48</v>
      </c>
      <c r="X670" s="7"/>
      <c r="Y670" s="7"/>
      <c r="Z670" s="7"/>
      <c r="AA670" s="7"/>
      <c r="AB670" s="7"/>
      <c r="AC670" s="7"/>
    </row>
    <row r="671" spans="1:29" ht="25.5">
      <c r="A671" s="252"/>
      <c r="B671" s="104" t="s">
        <v>707</v>
      </c>
      <c r="C671" s="91">
        <f t="shared" si="91"/>
        <v>648.41999999999996</v>
      </c>
      <c r="D671" s="92"/>
      <c r="E671" s="91">
        <f t="shared" si="92"/>
        <v>42.42</v>
      </c>
      <c r="F671" s="91">
        <f t="shared" si="93"/>
        <v>24.240000000000002</v>
      </c>
      <c r="G671" s="91">
        <f t="shared" si="94"/>
        <v>18.18</v>
      </c>
      <c r="H671" s="91">
        <f t="shared" si="95"/>
        <v>606</v>
      </c>
      <c r="I671" s="91">
        <f t="shared" si="97"/>
        <v>303</v>
      </c>
      <c r="J671" s="98"/>
      <c r="K671" s="98"/>
      <c r="L671" s="98"/>
      <c r="M671" s="98"/>
      <c r="N671" s="98"/>
      <c r="O671" s="92">
        <v>23314</v>
      </c>
      <c r="P671" s="92">
        <v>23920</v>
      </c>
      <c r="Q671" s="105"/>
      <c r="R671" s="106"/>
      <c r="S671" s="92">
        <v>1</v>
      </c>
      <c r="T671" s="91">
        <f t="shared" si="96"/>
        <v>606</v>
      </c>
      <c r="U671" s="644" t="s">
        <v>1060</v>
      </c>
      <c r="V671" s="698" t="s">
        <v>687</v>
      </c>
      <c r="W671" s="14" t="s">
        <v>48</v>
      </c>
      <c r="X671" s="7"/>
      <c r="Y671" s="7"/>
      <c r="Z671" s="7"/>
      <c r="AA671" s="7"/>
      <c r="AB671" s="7"/>
      <c r="AC671" s="7"/>
    </row>
    <row r="672" spans="1:29" ht="27" customHeight="1">
      <c r="B672" s="104" t="s">
        <v>840</v>
      </c>
      <c r="C672" s="91">
        <f t="shared" si="91"/>
        <v>1346.06</v>
      </c>
      <c r="D672" s="92"/>
      <c r="E672" s="91">
        <f t="shared" si="92"/>
        <v>88.06</v>
      </c>
      <c r="F672" s="91">
        <f t="shared" si="93"/>
        <v>50.32</v>
      </c>
      <c r="G672" s="91">
        <f t="shared" si="94"/>
        <v>37.74</v>
      </c>
      <c r="H672" s="91">
        <f t="shared" si="95"/>
        <v>1258</v>
      </c>
      <c r="I672" s="91">
        <f t="shared" si="97"/>
        <v>629</v>
      </c>
      <c r="J672" s="98"/>
      <c r="K672" s="98"/>
      <c r="L672" s="98"/>
      <c r="M672" s="98"/>
      <c r="N672" s="98"/>
      <c r="O672" s="92">
        <v>10720</v>
      </c>
      <c r="P672" s="92">
        <v>11978</v>
      </c>
      <c r="Q672" s="105"/>
      <c r="R672" s="106"/>
      <c r="S672" s="92">
        <v>1</v>
      </c>
      <c r="T672" s="91">
        <f t="shared" si="96"/>
        <v>1258</v>
      </c>
      <c r="U672" s="644" t="s">
        <v>1061</v>
      </c>
      <c r="V672" s="698" t="s">
        <v>841</v>
      </c>
    </row>
    <row r="673" spans="1:29" ht="25.5">
      <c r="A673" s="252"/>
      <c r="B673" s="104" t="s">
        <v>896</v>
      </c>
      <c r="C673" s="91">
        <f t="shared" si="91"/>
        <v>303.88</v>
      </c>
      <c r="D673" s="92"/>
      <c r="E673" s="91">
        <f t="shared" si="92"/>
        <v>19.88</v>
      </c>
      <c r="F673" s="91">
        <f t="shared" si="93"/>
        <v>11.36</v>
      </c>
      <c r="G673" s="91">
        <f t="shared" si="94"/>
        <v>8.52</v>
      </c>
      <c r="H673" s="91">
        <f t="shared" si="95"/>
        <v>284</v>
      </c>
      <c r="I673" s="91">
        <f t="shared" si="97"/>
        <v>142</v>
      </c>
      <c r="J673" s="98"/>
      <c r="K673" s="98"/>
      <c r="L673" s="98"/>
      <c r="M673" s="98"/>
      <c r="N673" s="98"/>
      <c r="O673" s="92">
        <v>16535</v>
      </c>
      <c r="P673" s="92">
        <v>16819</v>
      </c>
      <c r="Q673" s="105"/>
      <c r="R673" s="106"/>
      <c r="S673" s="92">
        <v>1</v>
      </c>
      <c r="T673" s="91">
        <f t="shared" si="96"/>
        <v>284</v>
      </c>
      <c r="U673" s="644" t="s">
        <v>1062</v>
      </c>
      <c r="V673" s="698" t="s">
        <v>289</v>
      </c>
      <c r="W673" s="14" t="s">
        <v>48</v>
      </c>
      <c r="X673" s="7"/>
      <c r="Y673" s="7"/>
      <c r="Z673" s="7"/>
      <c r="AA673" s="7"/>
      <c r="AB673" s="7"/>
      <c r="AC673" s="7"/>
    </row>
    <row r="674" spans="1:29" ht="25.5">
      <c r="A674" s="252"/>
      <c r="B674" s="104" t="s">
        <v>612</v>
      </c>
      <c r="C674" s="91">
        <f t="shared" si="91"/>
        <v>306.02</v>
      </c>
      <c r="D674" s="92"/>
      <c r="E674" s="91">
        <f t="shared" si="92"/>
        <v>20.02</v>
      </c>
      <c r="F674" s="91">
        <f t="shared" si="93"/>
        <v>11.44</v>
      </c>
      <c r="G674" s="91">
        <f t="shared" si="94"/>
        <v>8.58</v>
      </c>
      <c r="H674" s="91">
        <f t="shared" si="95"/>
        <v>286</v>
      </c>
      <c r="I674" s="91">
        <f t="shared" si="97"/>
        <v>143</v>
      </c>
      <c r="J674" s="98"/>
      <c r="K674" s="98"/>
      <c r="L674" s="98"/>
      <c r="M674" s="98"/>
      <c r="N674" s="98"/>
      <c r="O674" s="92">
        <v>45139</v>
      </c>
      <c r="P674" s="92">
        <v>45425</v>
      </c>
      <c r="Q674" s="105"/>
      <c r="R674" s="106"/>
      <c r="S674" s="92">
        <v>1</v>
      </c>
      <c r="T674" s="91">
        <f t="shared" si="96"/>
        <v>286</v>
      </c>
      <c r="U674" s="644" t="s">
        <v>1063</v>
      </c>
      <c r="V674" s="698" t="s">
        <v>613</v>
      </c>
      <c r="W674" s="14" t="s">
        <v>48</v>
      </c>
      <c r="X674" s="7"/>
      <c r="Y674" s="7"/>
      <c r="Z674" s="7"/>
      <c r="AA674" s="7"/>
      <c r="AB674" s="7"/>
      <c r="AC674" s="7"/>
    </row>
    <row r="675" spans="1:29" ht="25.5">
      <c r="A675" s="252"/>
      <c r="B675" s="104" t="s">
        <v>614</v>
      </c>
      <c r="C675" s="91">
        <f t="shared" si="91"/>
        <v>380.92</v>
      </c>
      <c r="D675" s="92"/>
      <c r="E675" s="91">
        <f t="shared" si="92"/>
        <v>24.92</v>
      </c>
      <c r="F675" s="91">
        <f t="shared" si="93"/>
        <v>14.24</v>
      </c>
      <c r="G675" s="91">
        <f t="shared" si="94"/>
        <v>10.68</v>
      </c>
      <c r="H675" s="91">
        <f t="shared" si="95"/>
        <v>356</v>
      </c>
      <c r="I675" s="91">
        <f t="shared" si="97"/>
        <v>178</v>
      </c>
      <c r="J675" s="98"/>
      <c r="K675" s="98"/>
      <c r="L675" s="98"/>
      <c r="M675" s="98"/>
      <c r="N675" s="98"/>
      <c r="O675" s="92">
        <v>23686</v>
      </c>
      <c r="P675" s="92">
        <v>24042</v>
      </c>
      <c r="Q675" s="105"/>
      <c r="R675" s="106"/>
      <c r="S675" s="92">
        <v>1</v>
      </c>
      <c r="T675" s="91">
        <f t="shared" si="96"/>
        <v>356</v>
      </c>
      <c r="U675" s="644" t="s">
        <v>1064</v>
      </c>
      <c r="V675" s="698" t="s">
        <v>615</v>
      </c>
      <c r="W675" s="14" t="s">
        <v>48</v>
      </c>
      <c r="X675" s="7"/>
      <c r="Y675" s="7"/>
      <c r="Z675" s="7"/>
      <c r="AA675" s="7"/>
      <c r="AB675" s="7"/>
      <c r="AC675" s="7"/>
    </row>
    <row r="676" spans="1:29" ht="25.5">
      <c r="A676" s="252"/>
      <c r="B676" s="104" t="s">
        <v>616</v>
      </c>
      <c r="C676" s="91">
        <f t="shared" si="91"/>
        <v>445.12</v>
      </c>
      <c r="D676" s="92"/>
      <c r="E676" s="91">
        <f t="shared" si="92"/>
        <v>29.12</v>
      </c>
      <c r="F676" s="91">
        <f t="shared" si="93"/>
        <v>16.64</v>
      </c>
      <c r="G676" s="91">
        <f t="shared" si="94"/>
        <v>12.48</v>
      </c>
      <c r="H676" s="91">
        <f t="shared" si="95"/>
        <v>416</v>
      </c>
      <c r="I676" s="91">
        <f t="shared" si="97"/>
        <v>208</v>
      </c>
      <c r="J676" s="98"/>
      <c r="K676" s="98"/>
      <c r="L676" s="98"/>
      <c r="M676" s="98"/>
      <c r="N676" s="98"/>
      <c r="O676" s="92">
        <v>34948</v>
      </c>
      <c r="P676" s="92">
        <v>35364</v>
      </c>
      <c r="Q676" s="105"/>
      <c r="R676" s="106"/>
      <c r="S676" s="92">
        <v>1</v>
      </c>
      <c r="T676" s="91">
        <f t="shared" si="96"/>
        <v>416</v>
      </c>
      <c r="U676" s="644" t="s">
        <v>1065</v>
      </c>
      <c r="V676" s="698" t="s">
        <v>617</v>
      </c>
      <c r="W676" s="14" t="s">
        <v>48</v>
      </c>
      <c r="X676" s="7"/>
      <c r="Y676" s="7"/>
      <c r="Z676" s="7"/>
      <c r="AA676" s="7"/>
      <c r="AB676" s="7"/>
      <c r="AC676" s="7"/>
    </row>
    <row r="677" spans="1:29" ht="25.5">
      <c r="A677" s="252"/>
      <c r="B677" s="104" t="s">
        <v>837</v>
      </c>
      <c r="C677" s="91">
        <f t="shared" si="91"/>
        <v>0</v>
      </c>
      <c r="D677" s="92"/>
      <c r="E677" s="91">
        <f t="shared" si="92"/>
        <v>0</v>
      </c>
      <c r="F677" s="91">
        <f t="shared" si="93"/>
        <v>0</v>
      </c>
      <c r="G677" s="91">
        <f t="shared" si="94"/>
        <v>0</v>
      </c>
      <c r="H677" s="91">
        <f t="shared" si="95"/>
        <v>0</v>
      </c>
      <c r="I677" s="91">
        <f t="shared" si="97"/>
        <v>0</v>
      </c>
      <c r="J677" s="98"/>
      <c r="K677" s="98"/>
      <c r="L677" s="98"/>
      <c r="M677" s="98"/>
      <c r="N677" s="98"/>
      <c r="O677" s="648">
        <v>66445</v>
      </c>
      <c r="P677" s="648">
        <v>66445</v>
      </c>
      <c r="Q677" s="105"/>
      <c r="R677" s="106"/>
      <c r="S677" s="92">
        <v>1</v>
      </c>
      <c r="T677" s="91">
        <f t="shared" si="96"/>
        <v>0</v>
      </c>
      <c r="U677" s="644" t="s">
        <v>1066</v>
      </c>
      <c r="V677" s="698" t="s">
        <v>817</v>
      </c>
      <c r="W677" s="14" t="s">
        <v>48</v>
      </c>
      <c r="X677" s="7"/>
      <c r="Y677" s="7"/>
      <c r="Z677" s="7"/>
      <c r="AA677" s="7"/>
      <c r="AB677" s="7"/>
      <c r="AC677" s="7"/>
    </row>
    <row r="678" spans="1:29" ht="25.5">
      <c r="A678" s="252"/>
      <c r="B678" s="104" t="s">
        <v>618</v>
      </c>
      <c r="C678" s="91">
        <f t="shared" si="91"/>
        <v>976.91</v>
      </c>
      <c r="D678" s="92"/>
      <c r="E678" s="91">
        <f t="shared" si="92"/>
        <v>63.910000000000004</v>
      </c>
      <c r="F678" s="91">
        <f t="shared" si="93"/>
        <v>36.520000000000003</v>
      </c>
      <c r="G678" s="91">
        <f t="shared" si="94"/>
        <v>27.39</v>
      </c>
      <c r="H678" s="91">
        <f t="shared" si="95"/>
        <v>913</v>
      </c>
      <c r="I678" s="91">
        <f t="shared" si="97"/>
        <v>456.5</v>
      </c>
      <c r="J678" s="98"/>
      <c r="K678" s="98"/>
      <c r="L678" s="98"/>
      <c r="M678" s="98"/>
      <c r="N678" s="98"/>
      <c r="O678" s="92">
        <v>58094</v>
      </c>
      <c r="P678" s="92">
        <v>59007</v>
      </c>
      <c r="Q678" s="105"/>
      <c r="R678" s="106"/>
      <c r="S678" s="92">
        <v>1</v>
      </c>
      <c r="T678" s="91">
        <f t="shared" si="96"/>
        <v>913</v>
      </c>
      <c r="U678" s="644" t="s">
        <v>1067</v>
      </c>
      <c r="V678" s="698" t="s">
        <v>838</v>
      </c>
      <c r="W678" s="14" t="s">
        <v>48</v>
      </c>
      <c r="X678" s="7"/>
      <c r="Y678" s="7"/>
      <c r="Z678" s="7"/>
      <c r="AA678" s="7"/>
      <c r="AB678" s="7"/>
      <c r="AC678" s="7"/>
    </row>
    <row r="679" spans="1:29" ht="25.5">
      <c r="A679" s="252"/>
      <c r="B679" s="104" t="s">
        <v>619</v>
      </c>
      <c r="C679" s="91">
        <f>H679+E679</f>
        <v>1499.07</v>
      </c>
      <c r="D679" s="91"/>
      <c r="E679" s="91">
        <f>F679+G679</f>
        <v>98.07</v>
      </c>
      <c r="F679" s="91">
        <f>0.04*H679</f>
        <v>56.04</v>
      </c>
      <c r="G679" s="91">
        <f>0.03*H679</f>
        <v>42.03</v>
      </c>
      <c r="H679" s="91">
        <f>T679</f>
        <v>1401</v>
      </c>
      <c r="I679" s="91">
        <f>0.5*C679</f>
        <v>749.53499999999997</v>
      </c>
      <c r="J679" s="22"/>
      <c r="K679" s="22"/>
      <c r="L679" s="22"/>
      <c r="M679" s="22"/>
      <c r="N679" s="22"/>
      <c r="O679" s="91">
        <v>72609</v>
      </c>
      <c r="P679" s="91">
        <v>74010</v>
      </c>
      <c r="Q679" s="122"/>
      <c r="R679" s="649"/>
      <c r="S679" s="91">
        <v>1</v>
      </c>
      <c r="T679" s="91">
        <f t="shared" si="96"/>
        <v>1401</v>
      </c>
      <c r="U679" s="644" t="s">
        <v>1068</v>
      </c>
      <c r="V679" s="698" t="s">
        <v>839</v>
      </c>
      <c r="W679" s="14" t="s">
        <v>48</v>
      </c>
      <c r="X679" s="7"/>
      <c r="Y679" s="7"/>
      <c r="Z679" s="7"/>
      <c r="AA679" s="7"/>
      <c r="AB679" s="7"/>
      <c r="AC679" s="7"/>
    </row>
    <row r="680" spans="1:29" ht="25.5">
      <c r="A680" s="252"/>
      <c r="B680" s="104" t="s">
        <v>949</v>
      </c>
      <c r="C680" s="91">
        <f t="shared" si="91"/>
        <v>1675.62</v>
      </c>
      <c r="D680" s="92"/>
      <c r="E680" s="91">
        <f t="shared" si="92"/>
        <v>109.62</v>
      </c>
      <c r="F680" s="91">
        <f t="shared" si="93"/>
        <v>62.64</v>
      </c>
      <c r="G680" s="91">
        <f t="shared" si="94"/>
        <v>46.98</v>
      </c>
      <c r="H680" s="91">
        <f t="shared" si="95"/>
        <v>1566</v>
      </c>
      <c r="I680" s="91">
        <f t="shared" si="97"/>
        <v>783</v>
      </c>
      <c r="J680" s="98"/>
      <c r="K680" s="98"/>
      <c r="L680" s="98"/>
      <c r="M680" s="98"/>
      <c r="N680" s="98"/>
      <c r="O680" s="92">
        <v>41568</v>
      </c>
      <c r="P680" s="92">
        <v>43134</v>
      </c>
      <c r="Q680" s="105"/>
      <c r="R680" s="106"/>
      <c r="S680" s="92">
        <v>1</v>
      </c>
      <c r="T680" s="91">
        <f t="shared" si="96"/>
        <v>1566</v>
      </c>
      <c r="U680" s="644" t="s">
        <v>1069</v>
      </c>
      <c r="V680" s="698" t="s">
        <v>620</v>
      </c>
      <c r="W680" s="14" t="s">
        <v>48</v>
      </c>
      <c r="X680" s="7"/>
      <c r="Y680" s="7"/>
      <c r="Z680" s="7"/>
      <c r="AA680" s="7"/>
      <c r="AB680" s="7"/>
      <c r="AC680" s="7"/>
    </row>
    <row r="681" spans="1:29" ht="25.5">
      <c r="A681" s="252"/>
      <c r="B681" s="104" t="s">
        <v>621</v>
      </c>
      <c r="C681" s="91">
        <f t="shared" si="91"/>
        <v>668.75</v>
      </c>
      <c r="D681" s="92"/>
      <c r="E681" s="91">
        <f t="shared" si="92"/>
        <v>43.75</v>
      </c>
      <c r="F681" s="91">
        <f t="shared" si="93"/>
        <v>25</v>
      </c>
      <c r="G681" s="91">
        <f t="shared" si="94"/>
        <v>18.75</v>
      </c>
      <c r="H681" s="91">
        <f t="shared" si="95"/>
        <v>625</v>
      </c>
      <c r="I681" s="91">
        <f t="shared" si="97"/>
        <v>312.5</v>
      </c>
      <c r="J681" s="98"/>
      <c r="K681" s="98"/>
      <c r="L681" s="98"/>
      <c r="M681" s="98"/>
      <c r="N681" s="98"/>
      <c r="O681" s="92">
        <v>55109</v>
      </c>
      <c r="P681" s="92">
        <v>55734</v>
      </c>
      <c r="Q681" s="105"/>
      <c r="R681" s="106"/>
      <c r="S681" s="92">
        <v>1</v>
      </c>
      <c r="T681" s="91">
        <f t="shared" si="96"/>
        <v>625</v>
      </c>
      <c r="U681" s="644" t="s">
        <v>1070</v>
      </c>
      <c r="V681" s="698" t="s">
        <v>622</v>
      </c>
      <c r="W681" s="14" t="s">
        <v>48</v>
      </c>
      <c r="X681" s="7"/>
      <c r="Y681" s="7"/>
      <c r="Z681" s="7"/>
      <c r="AA681" s="7"/>
      <c r="AB681" s="7"/>
      <c r="AC681" s="7"/>
    </row>
    <row r="682" spans="1:29" ht="25.5">
      <c r="A682" s="252"/>
      <c r="B682" s="104" t="s">
        <v>623</v>
      </c>
      <c r="C682" s="91">
        <f t="shared" si="91"/>
        <v>1361.04</v>
      </c>
      <c r="D682" s="92"/>
      <c r="E682" s="91">
        <f t="shared" si="92"/>
        <v>89.039999999999992</v>
      </c>
      <c r="F682" s="91">
        <f t="shared" si="93"/>
        <v>50.88</v>
      </c>
      <c r="G682" s="91">
        <f t="shared" si="94"/>
        <v>38.159999999999997</v>
      </c>
      <c r="H682" s="91">
        <f t="shared" si="95"/>
        <v>1272</v>
      </c>
      <c r="I682" s="91">
        <f t="shared" si="97"/>
        <v>636</v>
      </c>
      <c r="J682" s="98"/>
      <c r="K682" s="98"/>
      <c r="L682" s="98"/>
      <c r="M682" s="98"/>
      <c r="N682" s="98"/>
      <c r="O682" s="92">
        <v>176856</v>
      </c>
      <c r="P682" s="92">
        <v>178128</v>
      </c>
      <c r="Q682" s="105"/>
      <c r="R682" s="106"/>
      <c r="S682" s="92">
        <v>1</v>
      </c>
      <c r="T682" s="91">
        <f t="shared" si="96"/>
        <v>1272</v>
      </c>
      <c r="U682" s="644" t="s">
        <v>1071</v>
      </c>
      <c r="V682" s="698" t="s">
        <v>624</v>
      </c>
      <c r="W682" s="14" t="s">
        <v>48</v>
      </c>
      <c r="X682" s="7"/>
      <c r="Y682" s="7"/>
      <c r="Z682" s="7"/>
      <c r="AA682" s="7"/>
      <c r="AB682" s="7"/>
      <c r="AC682" s="7"/>
    </row>
    <row r="683" spans="1:29" ht="25.5">
      <c r="A683" s="252"/>
      <c r="B683" s="104" t="s">
        <v>625</v>
      </c>
      <c r="C683" s="91">
        <f t="shared" si="91"/>
        <v>1114.94</v>
      </c>
      <c r="D683" s="92"/>
      <c r="E683" s="91">
        <f t="shared" si="92"/>
        <v>72.94</v>
      </c>
      <c r="F683" s="91">
        <f t="shared" si="93"/>
        <v>41.68</v>
      </c>
      <c r="G683" s="91">
        <f t="shared" si="94"/>
        <v>31.259999999999998</v>
      </c>
      <c r="H683" s="91">
        <f t="shared" si="95"/>
        <v>1042</v>
      </c>
      <c r="I683" s="91">
        <f t="shared" si="97"/>
        <v>521</v>
      </c>
      <c r="J683" s="22"/>
      <c r="K683" s="22"/>
      <c r="L683" s="22"/>
      <c r="M683" s="22"/>
      <c r="N683" s="22"/>
      <c r="O683" s="91">
        <v>56958</v>
      </c>
      <c r="P683" s="91">
        <v>58000</v>
      </c>
      <c r="Q683" s="244"/>
      <c r="R683" s="106"/>
      <c r="S683" s="151">
        <v>1</v>
      </c>
      <c r="T683" s="91">
        <f t="shared" si="96"/>
        <v>1042</v>
      </c>
      <c r="U683" s="644" t="s">
        <v>1072</v>
      </c>
      <c r="V683" s="698" t="s">
        <v>626</v>
      </c>
      <c r="W683" s="14" t="s">
        <v>48</v>
      </c>
      <c r="X683" s="7"/>
      <c r="Y683" s="7"/>
      <c r="Z683" s="7"/>
      <c r="AA683" s="7"/>
      <c r="AB683" s="7"/>
      <c r="AC683" s="7"/>
    </row>
    <row r="684" spans="1:29" ht="25.5">
      <c r="A684" s="252"/>
      <c r="B684" s="104" t="s">
        <v>627</v>
      </c>
      <c r="C684" s="91">
        <f t="shared" si="91"/>
        <v>383.06</v>
      </c>
      <c r="D684" s="92"/>
      <c r="E684" s="91">
        <f t="shared" si="92"/>
        <v>25.060000000000002</v>
      </c>
      <c r="F684" s="91">
        <f t="shared" si="93"/>
        <v>14.32</v>
      </c>
      <c r="G684" s="91">
        <f t="shared" si="94"/>
        <v>10.74</v>
      </c>
      <c r="H684" s="91">
        <f t="shared" si="95"/>
        <v>358</v>
      </c>
      <c r="I684" s="91">
        <f t="shared" si="97"/>
        <v>179</v>
      </c>
      <c r="J684" s="22"/>
      <c r="K684" s="22"/>
      <c r="L684" s="22"/>
      <c r="M684" s="22"/>
      <c r="N684" s="22"/>
      <c r="O684" s="91">
        <v>32940</v>
      </c>
      <c r="P684" s="91">
        <v>33298</v>
      </c>
      <c r="Q684" s="244"/>
      <c r="R684" s="106"/>
      <c r="S684" s="151">
        <v>1</v>
      </c>
      <c r="T684" s="91">
        <f t="shared" si="96"/>
        <v>358</v>
      </c>
      <c r="U684" s="644" t="s">
        <v>1073</v>
      </c>
      <c r="V684" s="698" t="s">
        <v>628</v>
      </c>
      <c r="W684" s="14" t="s">
        <v>48</v>
      </c>
      <c r="X684" s="7"/>
      <c r="Y684" s="7"/>
      <c r="Z684" s="7"/>
      <c r="AA684" s="7"/>
      <c r="AB684" s="7"/>
      <c r="AC684" s="7"/>
    </row>
    <row r="685" spans="1:29" ht="25.5">
      <c r="A685" s="252"/>
      <c r="B685" s="104" t="s">
        <v>629</v>
      </c>
      <c r="C685" s="91">
        <f t="shared" si="91"/>
        <v>438.7</v>
      </c>
      <c r="D685" s="92"/>
      <c r="E685" s="91">
        <f t="shared" si="92"/>
        <v>28.699999999999996</v>
      </c>
      <c r="F685" s="91">
        <f t="shared" si="93"/>
        <v>16.399999999999999</v>
      </c>
      <c r="G685" s="91">
        <f t="shared" si="94"/>
        <v>12.299999999999999</v>
      </c>
      <c r="H685" s="91">
        <f t="shared" si="95"/>
        <v>410</v>
      </c>
      <c r="I685" s="91">
        <f t="shared" si="97"/>
        <v>205</v>
      </c>
      <c r="J685" s="22"/>
      <c r="K685" s="22"/>
      <c r="L685" s="22"/>
      <c r="M685" s="22"/>
      <c r="N685" s="22"/>
      <c r="O685" s="91">
        <v>16343</v>
      </c>
      <c r="P685" s="91">
        <v>16753</v>
      </c>
      <c r="Q685" s="244"/>
      <c r="R685" s="106"/>
      <c r="S685" s="151">
        <v>1</v>
      </c>
      <c r="T685" s="91">
        <f t="shared" si="96"/>
        <v>410</v>
      </c>
      <c r="U685" s="644" t="s">
        <v>1074</v>
      </c>
      <c r="V685" s="698" t="s">
        <v>630</v>
      </c>
      <c r="W685" s="14" t="s">
        <v>48</v>
      </c>
      <c r="X685" s="7"/>
      <c r="Y685" s="7"/>
      <c r="Z685" s="7"/>
      <c r="AA685" s="7"/>
      <c r="AB685" s="7"/>
      <c r="AC685" s="7"/>
    </row>
    <row r="686" spans="1:29" ht="25.5">
      <c r="A686" s="252"/>
      <c r="B686" s="104" t="s">
        <v>950</v>
      </c>
      <c r="C686" s="91">
        <f t="shared" si="91"/>
        <v>1120.29</v>
      </c>
      <c r="D686" s="92"/>
      <c r="E686" s="91">
        <f t="shared" si="92"/>
        <v>73.290000000000006</v>
      </c>
      <c r="F686" s="91">
        <f t="shared" si="93"/>
        <v>41.88</v>
      </c>
      <c r="G686" s="91">
        <f t="shared" si="94"/>
        <v>31.41</v>
      </c>
      <c r="H686" s="91">
        <f t="shared" si="95"/>
        <v>1047</v>
      </c>
      <c r="I686" s="91">
        <f t="shared" si="97"/>
        <v>523.5</v>
      </c>
      <c r="J686" s="22"/>
      <c r="K686" s="22"/>
      <c r="L686" s="22"/>
      <c r="M686" s="22"/>
      <c r="N686" s="22"/>
      <c r="O686" s="91">
        <v>241492</v>
      </c>
      <c r="P686" s="91">
        <v>242539</v>
      </c>
      <c r="Q686" s="244"/>
      <c r="R686" s="106"/>
      <c r="S686" s="151">
        <v>1</v>
      </c>
      <c r="T686" s="91">
        <f t="shared" si="96"/>
        <v>1047</v>
      </c>
      <c r="U686" s="644" t="s">
        <v>1075</v>
      </c>
      <c r="V686" s="698" t="s">
        <v>930</v>
      </c>
      <c r="W686" s="14" t="s">
        <v>48</v>
      </c>
      <c r="X686" s="7"/>
      <c r="Y686" s="7"/>
      <c r="Z686" s="7"/>
      <c r="AA686" s="7"/>
      <c r="AB686" s="7"/>
      <c r="AC686" s="7"/>
    </row>
    <row r="687" spans="1:29" ht="25.5">
      <c r="A687" s="252"/>
      <c r="B687" s="104"/>
      <c r="C687" s="91"/>
      <c r="D687" s="92"/>
      <c r="E687" s="91"/>
      <c r="F687" s="91"/>
      <c r="G687" s="91"/>
      <c r="H687" s="91"/>
      <c r="I687" s="91"/>
      <c r="J687" s="22"/>
      <c r="K687" s="22"/>
      <c r="L687" s="22"/>
      <c r="M687" s="22"/>
      <c r="N687" s="22"/>
      <c r="O687" s="91"/>
      <c r="P687" s="91"/>
      <c r="Q687" s="244"/>
      <c r="R687" s="106"/>
      <c r="S687" s="151"/>
      <c r="T687" s="91"/>
      <c r="U687" s="644"/>
      <c r="V687" s="698"/>
      <c r="W687" s="14" t="s">
        <v>48</v>
      </c>
      <c r="X687" s="7"/>
      <c r="Y687" s="7"/>
      <c r="Z687" s="7"/>
      <c r="AA687" s="7"/>
      <c r="AB687" s="7"/>
      <c r="AC687" s="7"/>
    </row>
    <row r="688" spans="1:29" ht="30.75" customHeight="1">
      <c r="A688" s="252"/>
      <c r="B688" s="104"/>
      <c r="C688" s="91"/>
      <c r="D688" s="92"/>
      <c r="E688" s="91"/>
      <c r="F688" s="91"/>
      <c r="G688" s="91"/>
      <c r="H688" s="91"/>
      <c r="I688" s="91"/>
      <c r="J688" s="22"/>
      <c r="K688" s="22"/>
      <c r="L688" s="22"/>
      <c r="M688" s="22"/>
      <c r="N688" s="22"/>
      <c r="O688" s="91"/>
      <c r="P688" s="91"/>
      <c r="Q688" s="244"/>
      <c r="R688" s="106"/>
      <c r="S688" s="151"/>
      <c r="T688" s="91"/>
      <c r="U688" s="644"/>
      <c r="V688" s="698"/>
      <c r="W688" s="14" t="s">
        <v>48</v>
      </c>
      <c r="X688" s="7"/>
      <c r="Y688" s="7"/>
      <c r="Z688" s="7"/>
      <c r="AA688" s="7"/>
      <c r="AB688" s="7"/>
      <c r="AC688" s="7"/>
    </row>
    <row r="689" spans="1:29" ht="25.5">
      <c r="A689" s="252"/>
      <c r="B689" s="104" t="s">
        <v>631</v>
      </c>
      <c r="C689" s="91">
        <f t="shared" si="91"/>
        <v>669.81999999999994</v>
      </c>
      <c r="D689" s="92"/>
      <c r="E689" s="91">
        <f t="shared" si="92"/>
        <v>43.819999999999993</v>
      </c>
      <c r="F689" s="91">
        <f t="shared" si="93"/>
        <v>25.04</v>
      </c>
      <c r="G689" s="91">
        <f t="shared" si="94"/>
        <v>18.779999999999998</v>
      </c>
      <c r="H689" s="91">
        <f t="shared" si="95"/>
        <v>626</v>
      </c>
      <c r="I689" s="91">
        <f t="shared" si="97"/>
        <v>313</v>
      </c>
      <c r="J689" s="22"/>
      <c r="K689" s="22"/>
      <c r="L689" s="22"/>
      <c r="M689" s="22"/>
      <c r="N689" s="22"/>
      <c r="O689" s="91">
        <v>42422</v>
      </c>
      <c r="P689" s="91">
        <v>43048</v>
      </c>
      <c r="Q689" s="244"/>
      <c r="R689" s="106"/>
      <c r="S689" s="151">
        <v>1</v>
      </c>
      <c r="T689" s="91">
        <f t="shared" si="96"/>
        <v>626</v>
      </c>
      <c r="U689" s="644" t="s">
        <v>1076</v>
      </c>
      <c r="V689" s="698" t="s">
        <v>633</v>
      </c>
      <c r="W689" s="14" t="s">
        <v>48</v>
      </c>
      <c r="X689" s="7"/>
      <c r="Y689" s="7"/>
      <c r="Z689" s="7"/>
      <c r="AA689" s="7"/>
      <c r="AB689" s="7"/>
      <c r="AC689" s="7"/>
    </row>
    <row r="690" spans="1:29" ht="25.5">
      <c r="A690" s="252"/>
      <c r="B690" s="339"/>
      <c r="C690" s="91"/>
      <c r="D690" s="92"/>
      <c r="E690" s="91"/>
      <c r="F690" s="91"/>
      <c r="G690" s="91"/>
      <c r="H690" s="91"/>
      <c r="I690" s="91"/>
      <c r="J690" s="22"/>
      <c r="K690" s="22"/>
      <c r="L690" s="22"/>
      <c r="M690" s="22"/>
      <c r="N690" s="22"/>
      <c r="O690" s="91"/>
      <c r="P690" s="91"/>
      <c r="Q690" s="244"/>
      <c r="R690" s="106"/>
      <c r="S690" s="151"/>
      <c r="T690" s="91"/>
      <c r="U690" s="644"/>
      <c r="V690" s="698"/>
      <c r="W690" s="14" t="s">
        <v>48</v>
      </c>
      <c r="X690" s="7"/>
      <c r="Y690" s="7"/>
      <c r="Z690" s="7"/>
      <c r="AA690" s="7"/>
      <c r="AB690" s="7"/>
      <c r="AC690" s="7"/>
    </row>
    <row r="691" spans="1:29" ht="25.5">
      <c r="A691" s="252"/>
      <c r="B691" s="104"/>
      <c r="C691" s="91"/>
      <c r="D691" s="92"/>
      <c r="E691" s="91"/>
      <c r="F691" s="91"/>
      <c r="G691" s="91"/>
      <c r="H691" s="91"/>
      <c r="I691" s="91"/>
      <c r="J691" s="22"/>
      <c r="K691" s="22"/>
      <c r="L691" s="22"/>
      <c r="M691" s="22"/>
      <c r="N691" s="22"/>
      <c r="O691" s="91"/>
      <c r="P691" s="91"/>
      <c r="Q691" s="244"/>
      <c r="R691" s="106"/>
      <c r="S691" s="151"/>
      <c r="T691" s="91"/>
      <c r="U691" s="644"/>
      <c r="V691" s="698"/>
      <c r="W691" s="14" t="s">
        <v>48</v>
      </c>
      <c r="X691" s="7"/>
      <c r="Y691" s="7"/>
      <c r="Z691" s="7"/>
      <c r="AA691" s="7"/>
      <c r="AB691" s="7"/>
      <c r="AC691" s="7"/>
    </row>
    <row r="692" spans="1:29" ht="25.5">
      <c r="A692" s="252"/>
      <c r="B692" s="104"/>
      <c r="C692" s="91"/>
      <c r="D692" s="92"/>
      <c r="E692" s="91"/>
      <c r="F692" s="91"/>
      <c r="G692" s="91"/>
      <c r="H692" s="91"/>
      <c r="I692" s="91"/>
      <c r="J692" s="22"/>
      <c r="K692" s="22"/>
      <c r="L692" s="22"/>
      <c r="M692" s="22"/>
      <c r="N692" s="22"/>
      <c r="O692" s="91"/>
      <c r="P692" s="91"/>
      <c r="Q692" s="244"/>
      <c r="R692" s="106"/>
      <c r="S692" s="151"/>
      <c r="T692" s="91"/>
      <c r="U692" s="644"/>
      <c r="V692" s="698"/>
      <c r="W692" s="14" t="s">
        <v>48</v>
      </c>
      <c r="X692" s="7"/>
      <c r="Y692" s="7"/>
      <c r="Z692" s="7"/>
      <c r="AA692" s="7"/>
      <c r="AB692" s="7"/>
      <c r="AC692" s="7"/>
    </row>
    <row r="693" spans="1:29" ht="25.5">
      <c r="A693" s="252"/>
      <c r="B693" s="104" t="s">
        <v>634</v>
      </c>
      <c r="C693" s="91">
        <f t="shared" si="91"/>
        <v>3759.98</v>
      </c>
      <c r="D693" s="92"/>
      <c r="E693" s="91">
        <f t="shared" si="92"/>
        <v>245.98000000000002</v>
      </c>
      <c r="F693" s="91">
        <f t="shared" si="93"/>
        <v>140.56</v>
      </c>
      <c r="G693" s="91">
        <f t="shared" si="94"/>
        <v>105.42</v>
      </c>
      <c r="H693" s="91">
        <f t="shared" si="95"/>
        <v>3514</v>
      </c>
      <c r="I693" s="91">
        <f t="shared" si="97"/>
        <v>1757</v>
      </c>
      <c r="J693" s="22"/>
      <c r="K693" s="22"/>
      <c r="L693" s="22"/>
      <c r="M693" s="22"/>
      <c r="N693" s="22"/>
      <c r="O693" s="91">
        <v>53022</v>
      </c>
      <c r="P693" s="91">
        <v>56536</v>
      </c>
      <c r="Q693" s="244"/>
      <c r="R693" s="106"/>
      <c r="S693" s="151">
        <v>1</v>
      </c>
      <c r="T693" s="91">
        <f t="shared" si="96"/>
        <v>3514</v>
      </c>
      <c r="U693" s="644" t="s">
        <v>1077</v>
      </c>
      <c r="V693" s="698" t="s">
        <v>635</v>
      </c>
      <c r="W693" s="14" t="s">
        <v>48</v>
      </c>
      <c r="X693" s="7"/>
      <c r="Y693" s="7"/>
      <c r="Z693" s="7"/>
      <c r="AA693" s="7"/>
      <c r="AB693" s="7"/>
      <c r="AC693" s="7"/>
    </row>
    <row r="694" spans="1:29" ht="25.5">
      <c r="A694" s="252"/>
      <c r="B694" s="104" t="s">
        <v>767</v>
      </c>
      <c r="C694" s="91">
        <f t="shared" si="91"/>
        <v>9852.56</v>
      </c>
      <c r="D694" s="92"/>
      <c r="E694" s="91">
        <f t="shared" si="92"/>
        <v>644.55999999999995</v>
      </c>
      <c r="F694" s="91">
        <f t="shared" si="93"/>
        <v>368.32</v>
      </c>
      <c r="G694" s="91">
        <f t="shared" si="94"/>
        <v>276.24</v>
      </c>
      <c r="H694" s="91">
        <f t="shared" si="95"/>
        <v>9208</v>
      </c>
      <c r="I694" s="91">
        <f t="shared" si="97"/>
        <v>4604</v>
      </c>
      <c r="J694" s="22"/>
      <c r="K694" s="22"/>
      <c r="L694" s="22"/>
      <c r="M694" s="22"/>
      <c r="N694" s="22"/>
      <c r="O694" s="91">
        <v>83460</v>
      </c>
      <c r="P694" s="91">
        <v>92668</v>
      </c>
      <c r="Q694" s="244"/>
      <c r="R694" s="106"/>
      <c r="S694" s="151">
        <v>1</v>
      </c>
      <c r="T694" s="91">
        <f t="shared" si="96"/>
        <v>9208</v>
      </c>
      <c r="U694" s="644" t="s">
        <v>958</v>
      </c>
      <c r="V694" s="698" t="s">
        <v>760</v>
      </c>
      <c r="W694" s="14" t="s">
        <v>48</v>
      </c>
      <c r="X694" s="7"/>
      <c r="Y694" s="7"/>
      <c r="Z694" s="7"/>
      <c r="AA694" s="7"/>
      <c r="AB694" s="7"/>
      <c r="AC694" s="7"/>
    </row>
    <row r="695" spans="1:29" ht="25.5">
      <c r="A695" s="252"/>
      <c r="B695" s="104"/>
      <c r="C695" s="91"/>
      <c r="D695" s="92"/>
      <c r="E695" s="91"/>
      <c r="F695" s="91"/>
      <c r="G695" s="91"/>
      <c r="H695" s="91"/>
      <c r="I695" s="91"/>
      <c r="J695" s="22"/>
      <c r="K695" s="22"/>
      <c r="L695" s="22"/>
      <c r="M695" s="22"/>
      <c r="N695" s="22"/>
      <c r="O695" s="91"/>
      <c r="P695" s="91"/>
      <c r="Q695" s="244"/>
      <c r="R695" s="106"/>
      <c r="S695" s="151"/>
      <c r="T695" s="91"/>
      <c r="U695" s="644"/>
      <c r="V695" s="698"/>
      <c r="W695" s="14" t="s">
        <v>48</v>
      </c>
      <c r="X695" s="7"/>
      <c r="Y695" s="7"/>
      <c r="Z695" s="7"/>
      <c r="AA695" s="7"/>
      <c r="AB695" s="7"/>
      <c r="AC695" s="7"/>
    </row>
    <row r="696" spans="1:29" ht="25.5">
      <c r="A696" s="252"/>
      <c r="B696" s="104" t="s">
        <v>636</v>
      </c>
      <c r="C696" s="91">
        <f t="shared" si="91"/>
        <v>28.89</v>
      </c>
      <c r="D696" s="92"/>
      <c r="E696" s="91">
        <f t="shared" si="92"/>
        <v>1.8900000000000001</v>
      </c>
      <c r="F696" s="91">
        <f t="shared" si="93"/>
        <v>1.08</v>
      </c>
      <c r="G696" s="91">
        <f t="shared" si="94"/>
        <v>0.80999999999999994</v>
      </c>
      <c r="H696" s="91">
        <f t="shared" si="95"/>
        <v>27</v>
      </c>
      <c r="I696" s="91">
        <f t="shared" si="97"/>
        <v>13.5</v>
      </c>
      <c r="J696" s="22"/>
      <c r="K696" s="22"/>
      <c r="L696" s="22"/>
      <c r="M696" s="22"/>
      <c r="N696" s="22"/>
      <c r="O696" s="91">
        <v>63598</v>
      </c>
      <c r="P696" s="91">
        <v>64667</v>
      </c>
      <c r="Q696" s="244"/>
      <c r="R696" s="106"/>
      <c r="S696" s="151">
        <v>1</v>
      </c>
      <c r="T696" s="91">
        <f>(P696-O696)*S696-T683</f>
        <v>27</v>
      </c>
      <c r="U696" s="644" t="s">
        <v>1078</v>
      </c>
      <c r="V696" s="698" t="s">
        <v>638</v>
      </c>
      <c r="W696" s="14" t="s">
        <v>48</v>
      </c>
      <c r="X696" s="7"/>
      <c r="Y696" s="7"/>
      <c r="Z696" s="7"/>
      <c r="AA696" s="7"/>
      <c r="AB696" s="7"/>
      <c r="AC696" s="7"/>
    </row>
    <row r="697" spans="1:29" ht="25.5">
      <c r="A697" s="252"/>
      <c r="B697" s="430"/>
      <c r="C697" s="34"/>
      <c r="D697" s="370"/>
      <c r="E697" s="34"/>
      <c r="F697" s="34"/>
      <c r="G697" s="34"/>
      <c r="H697" s="34"/>
      <c r="I697" s="34"/>
      <c r="J697" s="36"/>
      <c r="K697" s="36"/>
      <c r="L697" s="36"/>
      <c r="M697" s="36"/>
      <c r="N697" s="36"/>
      <c r="O697" s="34"/>
      <c r="P697" s="34"/>
      <c r="Q697" s="371"/>
      <c r="R697" s="372"/>
      <c r="S697" s="373"/>
      <c r="T697" s="34"/>
      <c r="U697" s="718"/>
      <c r="V697" s="39"/>
      <c r="W697" s="14" t="s">
        <v>48</v>
      </c>
      <c r="X697" s="7"/>
      <c r="Y697" s="7"/>
      <c r="Z697" s="7"/>
      <c r="AA697" s="7"/>
      <c r="AB697" s="7"/>
      <c r="AC697" s="7"/>
    </row>
    <row r="698" spans="1:29" ht="25.5">
      <c r="A698" s="252"/>
      <c r="B698" s="430"/>
      <c r="C698" s="34"/>
      <c r="D698" s="370"/>
      <c r="E698" s="34"/>
      <c r="F698" s="34"/>
      <c r="G698" s="34"/>
      <c r="H698" s="34"/>
      <c r="I698" s="34"/>
      <c r="J698" s="36"/>
      <c r="K698" s="36"/>
      <c r="L698" s="36"/>
      <c r="M698" s="36"/>
      <c r="N698" s="36"/>
      <c r="O698" s="34"/>
      <c r="P698" s="34"/>
      <c r="Q698" s="371"/>
      <c r="R698" s="372"/>
      <c r="S698" s="373"/>
      <c r="T698" s="34"/>
      <c r="U698" s="718"/>
      <c r="V698" s="39"/>
      <c r="W698" s="14" t="s">
        <v>48</v>
      </c>
      <c r="X698" s="7"/>
      <c r="Y698" s="7"/>
      <c r="Z698" s="7"/>
      <c r="AA698" s="7"/>
      <c r="AB698" s="7"/>
      <c r="AC698" s="7"/>
    </row>
    <row r="699" spans="1:29" ht="25.5">
      <c r="A699" s="252"/>
      <c r="B699" s="314"/>
      <c r="C699" s="315"/>
      <c r="D699" s="315"/>
      <c r="E699" s="315"/>
      <c r="F699" s="315"/>
      <c r="G699" s="315"/>
      <c r="H699" s="315"/>
      <c r="I699" s="315"/>
      <c r="J699" s="316"/>
      <c r="K699" s="316"/>
      <c r="L699" s="316"/>
      <c r="M699" s="316"/>
      <c r="N699" s="316"/>
      <c r="O699" s="315"/>
      <c r="P699" s="315"/>
      <c r="Q699" s="344"/>
      <c r="R699" s="318"/>
      <c r="S699" s="315"/>
      <c r="T699" s="315"/>
      <c r="U699" s="712"/>
      <c r="V699" s="317"/>
      <c r="W699" s="14" t="s">
        <v>48</v>
      </c>
      <c r="X699" s="7"/>
      <c r="Y699" s="7"/>
      <c r="Z699" s="7"/>
      <c r="AA699" s="7"/>
      <c r="AB699" s="7"/>
      <c r="AC699" s="7"/>
    </row>
    <row r="700" spans="1:29" ht="25.5">
      <c r="A700" s="252"/>
      <c r="B700" s="459"/>
      <c r="C700" s="315"/>
      <c r="D700" s="315"/>
      <c r="E700" s="315"/>
      <c r="F700" s="315"/>
      <c r="G700" s="315"/>
      <c r="H700" s="315"/>
      <c r="I700" s="315"/>
      <c r="J700" s="316"/>
      <c r="K700" s="316"/>
      <c r="L700" s="316"/>
      <c r="M700" s="316"/>
      <c r="N700" s="316"/>
      <c r="O700" s="315"/>
      <c r="P700" s="315"/>
      <c r="Q700" s="344"/>
      <c r="R700" s="460"/>
      <c r="S700" s="315"/>
      <c r="T700" s="315"/>
      <c r="U700" s="712"/>
      <c r="V700" s="317"/>
      <c r="W700" s="14" t="s">
        <v>48</v>
      </c>
      <c r="X700" s="7"/>
      <c r="Y700" s="7"/>
      <c r="Z700" s="7"/>
      <c r="AA700" s="7"/>
      <c r="AB700" s="7"/>
      <c r="AC700" s="7"/>
    </row>
    <row r="701" spans="1:29" ht="25.5">
      <c r="A701" s="252"/>
      <c r="B701" s="430"/>
      <c r="C701" s="34"/>
      <c r="D701" s="34"/>
      <c r="E701" s="34"/>
      <c r="F701" s="34"/>
      <c r="G701" s="34"/>
      <c r="H701" s="34"/>
      <c r="I701" s="34"/>
      <c r="J701" s="36"/>
      <c r="K701" s="36"/>
      <c r="L701" s="36"/>
      <c r="M701" s="36"/>
      <c r="N701" s="36"/>
      <c r="O701" s="34"/>
      <c r="P701" s="34"/>
      <c r="Q701" s="437"/>
      <c r="R701" s="461"/>
      <c r="S701" s="373"/>
      <c r="T701" s="34"/>
      <c r="U701" s="718"/>
      <c r="V701" s="39"/>
      <c r="W701" s="14" t="s">
        <v>48</v>
      </c>
      <c r="X701" s="7"/>
      <c r="Y701" s="7"/>
      <c r="Z701" s="7"/>
      <c r="AA701" s="7"/>
      <c r="AB701" s="7"/>
      <c r="AC701" s="7"/>
    </row>
    <row r="702" spans="1:29" ht="25.5">
      <c r="A702" s="252"/>
      <c r="B702" s="430"/>
      <c r="C702" s="34"/>
      <c r="D702" s="34"/>
      <c r="E702" s="34"/>
      <c r="F702" s="34"/>
      <c r="G702" s="34"/>
      <c r="H702" s="34"/>
      <c r="I702" s="34"/>
      <c r="J702" s="36"/>
      <c r="K702" s="36"/>
      <c r="L702" s="36"/>
      <c r="M702" s="36"/>
      <c r="N702" s="36"/>
      <c r="O702" s="34"/>
      <c r="P702" s="34"/>
      <c r="Q702" s="437"/>
      <c r="R702" s="461"/>
      <c r="S702" s="373"/>
      <c r="T702" s="34"/>
      <c r="U702" s="718"/>
      <c r="V702" s="39"/>
      <c r="W702" s="14" t="s">
        <v>48</v>
      </c>
      <c r="X702" s="7"/>
      <c r="Y702" s="7"/>
      <c r="Z702" s="7"/>
      <c r="AA702" s="7"/>
      <c r="AB702" s="7"/>
      <c r="AC702" s="7"/>
    </row>
    <row r="703" spans="1:29" ht="25.5">
      <c r="A703" s="252"/>
      <c r="B703" s="430"/>
      <c r="C703" s="34"/>
      <c r="D703" s="34"/>
      <c r="E703" s="34"/>
      <c r="F703" s="34"/>
      <c r="G703" s="34"/>
      <c r="H703" s="34"/>
      <c r="I703" s="34"/>
      <c r="J703" s="36"/>
      <c r="K703" s="36"/>
      <c r="L703" s="36"/>
      <c r="M703" s="36"/>
      <c r="N703" s="36"/>
      <c r="O703" s="34"/>
      <c r="P703" s="34"/>
      <c r="Q703" s="437"/>
      <c r="R703" s="461"/>
      <c r="S703" s="373"/>
      <c r="T703" s="34"/>
      <c r="U703" s="718"/>
      <c r="V703" s="39"/>
      <c r="W703" s="14" t="s">
        <v>48</v>
      </c>
      <c r="X703" s="7"/>
      <c r="Y703" s="7"/>
      <c r="Z703" s="7"/>
      <c r="AA703" s="7"/>
      <c r="AB703" s="7"/>
      <c r="AC703" s="7"/>
    </row>
    <row r="704" spans="1:29" ht="25.5">
      <c r="A704" s="252"/>
      <c r="B704" s="430"/>
      <c r="C704" s="34"/>
      <c r="D704" s="34"/>
      <c r="E704" s="34"/>
      <c r="F704" s="34"/>
      <c r="G704" s="34"/>
      <c r="H704" s="34"/>
      <c r="I704" s="34"/>
      <c r="J704" s="36"/>
      <c r="K704" s="36"/>
      <c r="L704" s="36"/>
      <c r="M704" s="36"/>
      <c r="N704" s="36"/>
      <c r="O704" s="34"/>
      <c r="P704" s="34"/>
      <c r="Q704" s="437"/>
      <c r="R704" s="462"/>
      <c r="S704" s="34"/>
      <c r="T704" s="34"/>
      <c r="U704" s="718"/>
      <c r="V704" s="39"/>
      <c r="W704" s="14" t="s">
        <v>48</v>
      </c>
      <c r="X704" s="7"/>
      <c r="Y704" s="7"/>
      <c r="Z704" s="7"/>
      <c r="AA704" s="7"/>
      <c r="AB704" s="7"/>
      <c r="AC704" s="7"/>
    </row>
    <row r="705" spans="1:29" ht="25.5">
      <c r="A705" s="252"/>
      <c r="B705" s="104"/>
      <c r="C705" s="91"/>
      <c r="D705" s="91"/>
      <c r="E705" s="91"/>
      <c r="F705" s="91"/>
      <c r="G705" s="91"/>
      <c r="H705" s="91"/>
      <c r="I705" s="91"/>
      <c r="J705" s="22"/>
      <c r="K705" s="22"/>
      <c r="L705" s="22"/>
      <c r="M705" s="22"/>
      <c r="N705" s="22"/>
      <c r="O705" s="91"/>
      <c r="P705" s="91"/>
      <c r="Q705" s="7"/>
      <c r="R705" s="272"/>
      <c r="S705" s="151"/>
      <c r="T705" s="91"/>
      <c r="U705" s="644"/>
      <c r="V705" s="695"/>
      <c r="W705" s="14"/>
      <c r="X705" s="7"/>
      <c r="Y705" s="7"/>
      <c r="Z705" s="7"/>
      <c r="AA705" s="7"/>
      <c r="AB705" s="7"/>
      <c r="AC705" s="7"/>
    </row>
    <row r="706" spans="1:29" ht="26.25">
      <c r="A706" s="19"/>
      <c r="B706" s="143" t="s">
        <v>639</v>
      </c>
      <c r="C706" s="115">
        <f>SUM(C657:C705)</f>
        <v>36764.130000000005</v>
      </c>
      <c r="D706" s="246"/>
      <c r="E706" s="115"/>
      <c r="F706" s="115"/>
      <c r="G706" s="115"/>
      <c r="H706" s="115"/>
      <c r="I706" s="115">
        <f>SUM(I657:I691)</f>
        <v>10854.035</v>
      </c>
      <c r="J706" s="22"/>
      <c r="K706" s="22"/>
      <c r="L706" s="22"/>
      <c r="M706" s="22"/>
      <c r="N706" s="22"/>
      <c r="O706" s="91"/>
      <c r="P706" s="91"/>
      <c r="Q706" s="244"/>
      <c r="R706" s="106"/>
      <c r="S706" s="151"/>
      <c r="T706" s="91"/>
      <c r="U706" s="644"/>
      <c r="V706" s="695"/>
      <c r="W706" s="14"/>
      <c r="X706" s="7"/>
      <c r="Y706" s="7"/>
      <c r="Z706" s="7"/>
      <c r="AA706" s="7"/>
      <c r="AB706" s="7"/>
      <c r="AC706" s="7"/>
    </row>
    <row r="707" spans="1:29" ht="25.5">
      <c r="A707" s="19"/>
      <c r="B707" s="104"/>
      <c r="C707" s="91"/>
      <c r="D707" s="92"/>
      <c r="E707" s="91"/>
      <c r="F707" s="91"/>
      <c r="G707" s="91"/>
      <c r="H707" s="91"/>
      <c r="I707" s="91"/>
      <c r="J707" s="22"/>
      <c r="K707" s="22"/>
      <c r="L707" s="22"/>
      <c r="M707" s="22"/>
      <c r="N707" s="22"/>
      <c r="O707" s="91"/>
      <c r="P707" s="91"/>
      <c r="Q707" s="244"/>
      <c r="R707" s="106"/>
      <c r="S707" s="151"/>
      <c r="T707" s="91"/>
      <c r="U707" s="644"/>
      <c r="V707" s="695"/>
      <c r="W707" s="14"/>
      <c r="X707" s="7"/>
      <c r="Y707" s="7"/>
      <c r="Z707" s="7"/>
      <c r="AA707" s="7"/>
      <c r="AB707" s="7"/>
      <c r="AC707" s="7"/>
    </row>
    <row r="708" spans="1:29" ht="25.5">
      <c r="A708" s="19"/>
      <c r="B708" s="148"/>
      <c r="C708" s="91"/>
      <c r="D708" s="92"/>
      <c r="E708" s="91"/>
      <c r="F708" s="91"/>
      <c r="G708" s="91"/>
      <c r="H708" s="91"/>
      <c r="I708" s="91"/>
      <c r="J708" s="22"/>
      <c r="K708" s="22"/>
      <c r="L708" s="22"/>
      <c r="M708" s="22"/>
      <c r="N708" s="22"/>
      <c r="O708" s="91"/>
      <c r="P708" s="91"/>
      <c r="Q708" s="244"/>
      <c r="R708" s="106"/>
      <c r="S708" s="151"/>
      <c r="T708" s="91"/>
      <c r="U708" s="644"/>
      <c r="V708" s="695"/>
      <c r="W708" s="14"/>
      <c r="X708" s="7"/>
      <c r="Y708" s="7"/>
      <c r="Z708" s="7"/>
      <c r="AA708" s="7"/>
      <c r="AB708" s="7"/>
      <c r="AC708" s="7"/>
    </row>
    <row r="709" spans="1:29" ht="26.25">
      <c r="A709" s="19"/>
      <c r="B709" s="90" t="s">
        <v>640</v>
      </c>
      <c r="C709" s="115">
        <f>C85+C109+C132+C329+C379+C654+C706+C163+D142</f>
        <v>1354993.7586800042</v>
      </c>
      <c r="D709" s="115">
        <f>D109+D86+D613</f>
        <v>0</v>
      </c>
      <c r="E709" s="115" t="e">
        <f>#REF!+E86+E109+E613</f>
        <v>#REF!</v>
      </c>
      <c r="F709" s="115"/>
      <c r="G709" s="115"/>
      <c r="H709" s="115" t="e">
        <f>#REF!+H109+H92+H613+H656+H657+H659+H56+H663</f>
        <v>#REF!</v>
      </c>
      <c r="I709" s="115">
        <f>I654+I85+I109+I613+I706</f>
        <v>191138.17599999963</v>
      </c>
      <c r="J709" s="22"/>
      <c r="K709" s="22"/>
      <c r="L709" s="22"/>
      <c r="M709" s="22"/>
      <c r="N709" s="22"/>
      <c r="O709" s="91"/>
      <c r="P709" s="91"/>
      <c r="Q709" s="7"/>
      <c r="R709" s="228"/>
      <c r="S709" s="151"/>
      <c r="T709" s="91"/>
      <c r="U709" s="644"/>
      <c r="V709" s="695"/>
      <c r="W709" s="14"/>
      <c r="X709" s="7"/>
      <c r="Y709" s="7"/>
      <c r="Z709" s="7"/>
      <c r="AA709" s="7"/>
      <c r="AB709" s="7"/>
      <c r="AC709" s="7"/>
    </row>
    <row r="710" spans="1:29" ht="26.25">
      <c r="A710" s="19"/>
      <c r="B710" s="148"/>
      <c r="C710" s="91"/>
      <c r="D710" s="115"/>
      <c r="E710" s="91"/>
      <c r="F710" s="91"/>
      <c r="G710" s="91"/>
      <c r="H710" s="91"/>
      <c r="I710" s="91"/>
      <c r="J710" s="22"/>
      <c r="K710" s="22"/>
      <c r="L710" s="22"/>
      <c r="M710" s="22"/>
      <c r="N710" s="22"/>
      <c r="O710" s="91"/>
      <c r="P710" s="91"/>
      <c r="Q710" s="7"/>
      <c r="R710" s="228"/>
      <c r="S710" s="248"/>
      <c r="T710" s="91"/>
      <c r="U710" s="644"/>
      <c r="V710" s="695"/>
      <c r="W710" s="14"/>
      <c r="X710" s="7"/>
      <c r="Y710" s="7"/>
      <c r="Z710" s="7"/>
      <c r="AA710" s="7"/>
      <c r="AB710" s="7"/>
      <c r="AC710" s="7"/>
    </row>
    <row r="711" spans="1:29" ht="26.25">
      <c r="A711" s="19"/>
      <c r="B711" s="148"/>
      <c r="C711" s="115"/>
      <c r="D711" s="92"/>
      <c r="E711" s="91"/>
      <c r="F711" s="91"/>
      <c r="G711" s="91"/>
      <c r="H711" s="91"/>
      <c r="I711" s="91"/>
      <c r="J711" s="22"/>
      <c r="K711" s="22"/>
      <c r="L711" s="22"/>
      <c r="M711" s="22"/>
      <c r="N711" s="22"/>
      <c r="O711" s="91"/>
      <c r="P711" s="91"/>
      <c r="Q711" s="7"/>
      <c r="R711" s="228"/>
      <c r="S711" s="248"/>
      <c r="T711" s="91"/>
      <c r="U711" s="644"/>
      <c r="V711" s="695"/>
      <c r="W711" s="14"/>
      <c r="X711" s="7"/>
      <c r="Y711" s="7"/>
      <c r="Z711" s="7"/>
      <c r="AA711" s="7"/>
      <c r="AB711" s="7"/>
      <c r="AC711" s="7"/>
    </row>
    <row r="712" spans="1:29" ht="25.5">
      <c r="A712" s="19"/>
      <c r="B712" s="148"/>
      <c r="C712" s="91"/>
      <c r="D712" s="92"/>
      <c r="E712" s="91"/>
      <c r="F712" s="91"/>
      <c r="G712" s="91"/>
      <c r="H712" s="91"/>
      <c r="I712" s="91"/>
      <c r="J712" s="22"/>
      <c r="K712" s="22"/>
      <c r="L712" s="22"/>
      <c r="M712" s="22"/>
      <c r="N712" s="22"/>
      <c r="O712" s="91"/>
      <c r="P712" s="91"/>
      <c r="Q712" s="7"/>
      <c r="R712" s="228"/>
      <c r="S712" s="151"/>
      <c r="T712" s="91"/>
      <c r="U712" s="644"/>
      <c r="V712" s="695"/>
      <c r="W712" s="14"/>
      <c r="X712" s="7"/>
      <c r="Y712" s="7"/>
      <c r="Z712" s="7"/>
      <c r="AA712" s="7"/>
      <c r="AB712" s="7"/>
      <c r="AC712" s="7"/>
    </row>
    <row r="713" spans="1:29" ht="25.5">
      <c r="A713" s="19"/>
      <c r="B713" s="148"/>
      <c r="C713" s="28"/>
      <c r="D713" s="77"/>
      <c r="E713" s="28"/>
      <c r="F713" s="28"/>
      <c r="G713" s="28"/>
      <c r="H713" s="28"/>
      <c r="I713" s="28"/>
      <c r="J713" s="29"/>
      <c r="K713" s="29"/>
      <c r="L713" s="29"/>
      <c r="M713" s="29"/>
      <c r="N713" s="29"/>
      <c r="O713" s="91"/>
      <c r="P713" s="91"/>
      <c r="Q713" s="30"/>
      <c r="R713" s="256"/>
      <c r="S713" s="54"/>
      <c r="T713" s="28"/>
      <c r="U713" s="644"/>
      <c r="V713" s="695"/>
      <c r="W713" s="14"/>
      <c r="X713" s="7"/>
      <c r="Y713" s="7"/>
      <c r="Z713" s="7"/>
      <c r="AA713" s="7"/>
      <c r="AB713" s="7"/>
      <c r="AC713" s="7"/>
    </row>
    <row r="714" spans="1:29" ht="25.5">
      <c r="A714" s="19"/>
      <c r="B714" s="148"/>
      <c r="C714" s="28"/>
      <c r="D714" s="77"/>
      <c r="E714" s="28"/>
      <c r="F714" s="28"/>
      <c r="G714" s="28"/>
      <c r="H714" s="28"/>
      <c r="I714" s="28"/>
      <c r="J714" s="29"/>
      <c r="K714" s="29"/>
      <c r="L714" s="29"/>
      <c r="M714" s="29"/>
      <c r="N714" s="29"/>
      <c r="O714" s="28"/>
      <c r="P714" s="28"/>
      <c r="Q714" s="30"/>
      <c r="R714" s="256"/>
      <c r="S714" s="54"/>
      <c r="T714" s="28"/>
      <c r="U714" s="644"/>
      <c r="V714" s="695"/>
      <c r="W714" s="14"/>
      <c r="X714" s="7"/>
      <c r="Y714" s="7"/>
      <c r="Z714" s="7"/>
      <c r="AA714" s="7"/>
      <c r="AB714" s="7"/>
      <c r="AC714" s="7"/>
    </row>
    <row r="715" spans="1:29" ht="26.25">
      <c r="A715" s="19"/>
      <c r="B715" s="148"/>
      <c r="C715" s="115"/>
      <c r="D715" s="92"/>
      <c r="E715" s="91"/>
      <c r="F715" s="91"/>
      <c r="G715" s="91"/>
      <c r="H715" s="91"/>
      <c r="I715" s="91"/>
      <c r="J715" s="22"/>
      <c r="K715" s="22"/>
      <c r="L715" s="22"/>
      <c r="M715" s="22"/>
      <c r="N715" s="22"/>
      <c r="O715" s="91"/>
      <c r="P715" s="91"/>
      <c r="Q715" s="149"/>
      <c r="R715" s="150"/>
      <c r="S715" s="151"/>
      <c r="T715" s="91"/>
      <c r="U715" s="644"/>
      <c r="V715" s="695"/>
      <c r="W715" s="14"/>
      <c r="X715" s="7"/>
      <c r="Y715" s="7"/>
      <c r="Z715" s="7"/>
      <c r="AA715" s="7"/>
      <c r="AB715" s="7"/>
      <c r="AC715" s="7"/>
    </row>
    <row r="716" spans="1:29" ht="26.25">
      <c r="A716" s="19"/>
      <c r="B716" s="148"/>
      <c r="C716" s="115"/>
      <c r="D716" s="91"/>
      <c r="E716" s="91"/>
      <c r="F716" s="91"/>
      <c r="G716" s="91"/>
      <c r="H716" s="91"/>
      <c r="I716" s="91"/>
      <c r="J716" s="22"/>
      <c r="K716" s="22"/>
      <c r="L716" s="22"/>
      <c r="M716" s="22"/>
      <c r="N716" s="22"/>
      <c r="O716" s="91"/>
      <c r="P716" s="91"/>
      <c r="Q716" s="149"/>
      <c r="R716" s="150"/>
      <c r="S716" s="151"/>
      <c r="T716" s="91"/>
      <c r="U716" s="644"/>
      <c r="V716" s="695"/>
      <c r="W716" s="14"/>
      <c r="X716" s="7"/>
      <c r="Y716" s="7"/>
      <c r="Z716" s="7"/>
      <c r="AA716" s="7"/>
      <c r="AB716" s="7"/>
      <c r="AC716" s="7"/>
    </row>
    <row r="717" spans="1:29" ht="25.5">
      <c r="A717" s="19"/>
      <c r="B717" s="104"/>
      <c r="C717" s="92"/>
      <c r="D717" s="92"/>
      <c r="E717" s="92"/>
      <c r="F717" s="92"/>
      <c r="G717" s="92"/>
      <c r="H717" s="92"/>
      <c r="I717" s="92"/>
      <c r="J717" s="142"/>
      <c r="K717" s="142"/>
      <c r="L717" s="142"/>
      <c r="M717" s="142"/>
      <c r="N717" s="142"/>
      <c r="O717" s="94"/>
      <c r="P717" s="94"/>
      <c r="Q717" s="94"/>
      <c r="R717" s="94"/>
      <c r="S717" s="94"/>
      <c r="T717" s="94"/>
      <c r="U717" s="731"/>
      <c r="V717" s="274"/>
      <c r="W717" s="14"/>
      <c r="X717" s="7"/>
      <c r="Y717" s="7"/>
      <c r="Z717" s="7"/>
      <c r="AA717" s="7"/>
      <c r="AB717" s="7"/>
      <c r="AC717" s="7"/>
    </row>
    <row r="718" spans="1:29" ht="26.25">
      <c r="A718" s="19"/>
      <c r="B718" s="123" t="s">
        <v>641</v>
      </c>
      <c r="C718" s="115"/>
      <c r="D718" s="92"/>
      <c r="E718" s="91">
        <f>F718+G718</f>
        <v>0</v>
      </c>
      <c r="F718" s="91"/>
      <c r="G718" s="91"/>
      <c r="H718" s="91"/>
      <c r="I718" s="91"/>
      <c r="J718" s="22"/>
      <c r="K718" s="22"/>
      <c r="L718" s="22"/>
      <c r="M718" s="22"/>
      <c r="N718" s="22"/>
      <c r="O718" s="91"/>
      <c r="P718" s="91"/>
      <c r="Q718" s="7"/>
      <c r="R718" s="228"/>
      <c r="S718" s="151"/>
      <c r="T718" s="91"/>
      <c r="U718" s="644"/>
      <c r="V718" s="695"/>
      <c r="W718" s="14"/>
      <c r="X718" s="7"/>
      <c r="Y718" s="7"/>
      <c r="Z718" s="7"/>
      <c r="AA718" s="7"/>
      <c r="AB718" s="7"/>
      <c r="AC718" s="7"/>
    </row>
    <row r="719" spans="1:29" ht="26.25">
      <c r="A719" s="19"/>
      <c r="B719" s="148" t="s">
        <v>642</v>
      </c>
      <c r="C719" s="115">
        <f>T719</f>
        <v>60</v>
      </c>
      <c r="D719" s="92"/>
      <c r="E719" s="91"/>
      <c r="F719" s="91"/>
      <c r="G719" s="91"/>
      <c r="H719" s="91"/>
      <c r="I719" s="91"/>
      <c r="J719" s="22"/>
      <c r="K719" s="22"/>
      <c r="L719" s="22"/>
      <c r="M719" s="22"/>
      <c r="N719" s="22"/>
      <c r="O719" s="91">
        <v>8076</v>
      </c>
      <c r="P719" s="91">
        <v>8136</v>
      </c>
      <c r="Q719" s="122"/>
      <c r="R719" s="338"/>
      <c r="S719" s="151">
        <v>1</v>
      </c>
      <c r="T719" s="91">
        <f>(P719-O719)*S719</f>
        <v>60</v>
      </c>
      <c r="U719" s="644"/>
      <c r="V719" s="695"/>
      <c r="W719" s="14"/>
      <c r="X719" s="7"/>
      <c r="Y719" s="7"/>
      <c r="Z719" s="7"/>
      <c r="AA719" s="7"/>
      <c r="AB719" s="7"/>
      <c r="AC719" s="7"/>
    </row>
    <row r="720" spans="1:29" ht="26.25">
      <c r="A720" s="19"/>
      <c r="B720" s="148" t="s">
        <v>643</v>
      </c>
      <c r="C720" s="91"/>
      <c r="D720" s="115">
        <f>P720-O720</f>
        <v>680</v>
      </c>
      <c r="E720" s="91"/>
      <c r="F720" s="91"/>
      <c r="G720" s="91"/>
      <c r="H720" s="91"/>
      <c r="I720" s="91"/>
      <c r="J720" s="22"/>
      <c r="K720" s="22"/>
      <c r="L720" s="22"/>
      <c r="M720" s="22"/>
      <c r="N720" s="22"/>
      <c r="O720" s="91">
        <v>123350</v>
      </c>
      <c r="P720" s="91">
        <v>124030</v>
      </c>
      <c r="Q720" s="122"/>
      <c r="R720" s="338"/>
      <c r="S720" s="248">
        <v>1</v>
      </c>
      <c r="T720" s="91">
        <f>(P720-O720)*S720</f>
        <v>680</v>
      </c>
      <c r="U720" s="644"/>
      <c r="V720" s="695"/>
      <c r="W720" s="14"/>
      <c r="X720" s="7"/>
      <c r="Y720" s="7"/>
      <c r="Z720" s="7"/>
      <c r="AA720" s="7"/>
      <c r="AB720" s="7"/>
      <c r="AC720" s="7"/>
    </row>
    <row r="721" spans="1:29" ht="26.25">
      <c r="A721" s="19"/>
      <c r="B721" s="148" t="s">
        <v>644</v>
      </c>
      <c r="C721" s="115">
        <f>P721-O721</f>
        <v>40</v>
      </c>
      <c r="D721" s="92"/>
      <c r="E721" s="91"/>
      <c r="F721" s="91"/>
      <c r="G721" s="91"/>
      <c r="H721" s="91"/>
      <c r="I721" s="91"/>
      <c r="J721" s="22"/>
      <c r="K721" s="22"/>
      <c r="L721" s="22"/>
      <c r="M721" s="22"/>
      <c r="N721" s="22"/>
      <c r="O721" s="91">
        <v>14910</v>
      </c>
      <c r="P721" s="91">
        <v>14950</v>
      </c>
      <c r="Q721" s="122"/>
      <c r="R721" s="338"/>
      <c r="S721" s="248">
        <v>1</v>
      </c>
      <c r="T721" s="91">
        <f>(P721-O721)*S721</f>
        <v>40</v>
      </c>
      <c r="U721" s="644"/>
      <c r="V721" s="695"/>
      <c r="W721" s="14"/>
      <c r="X721" s="7"/>
      <c r="Y721" s="7"/>
      <c r="Z721" s="7"/>
      <c r="AA721" s="7"/>
      <c r="AB721" s="7"/>
      <c r="AC721" s="7"/>
    </row>
    <row r="722" spans="1:29" ht="26.25">
      <c r="A722" s="19"/>
      <c r="B722" s="148" t="s">
        <v>645</v>
      </c>
      <c r="C722" s="115">
        <f>P722-O722</f>
        <v>1080</v>
      </c>
      <c r="D722" s="92"/>
      <c r="E722" s="91"/>
      <c r="F722" s="91"/>
      <c r="G722" s="91"/>
      <c r="H722" s="91"/>
      <c r="I722" s="91"/>
      <c r="J722" s="22"/>
      <c r="K722" s="22"/>
      <c r="L722" s="22"/>
      <c r="M722" s="22"/>
      <c r="N722" s="22"/>
      <c r="O722" s="340">
        <v>89430</v>
      </c>
      <c r="P722" s="340">
        <v>90510</v>
      </c>
      <c r="Q722" s="122"/>
      <c r="R722" s="338"/>
      <c r="S722" s="248">
        <v>1</v>
      </c>
      <c r="T722" s="91">
        <f>(P722-O722)*S722</f>
        <v>1080</v>
      </c>
      <c r="U722" s="644"/>
      <c r="V722" s="695"/>
      <c r="W722" s="14"/>
      <c r="X722" s="7"/>
      <c r="Y722" s="7"/>
      <c r="Z722" s="7"/>
      <c r="AA722" s="7"/>
      <c r="AB722" s="7"/>
      <c r="AC722" s="7"/>
    </row>
    <row r="723" spans="1:29" ht="25.5">
      <c r="A723" s="19"/>
      <c r="B723" s="148" t="s">
        <v>646</v>
      </c>
      <c r="C723" s="91">
        <f>T723</f>
        <v>203</v>
      </c>
      <c r="D723" s="92"/>
      <c r="E723" s="91"/>
      <c r="F723" s="91"/>
      <c r="G723" s="91"/>
      <c r="H723" s="91"/>
      <c r="I723" s="91"/>
      <c r="J723" s="22"/>
      <c r="K723" s="22"/>
      <c r="L723" s="22"/>
      <c r="M723" s="22"/>
      <c r="N723" s="22"/>
      <c r="O723" s="91">
        <v>51039</v>
      </c>
      <c r="P723" s="91">
        <v>51242</v>
      </c>
      <c r="Q723" s="122"/>
      <c r="R723" s="338"/>
      <c r="S723" s="151">
        <v>1</v>
      </c>
      <c r="T723" s="91">
        <f>(P723-O723)*S723</f>
        <v>203</v>
      </c>
      <c r="U723" s="644"/>
      <c r="V723" s="695"/>
      <c r="W723" s="14"/>
      <c r="X723" s="7"/>
      <c r="Y723" s="7"/>
      <c r="Z723" s="7"/>
      <c r="AA723" s="7"/>
      <c r="AB723" s="7"/>
      <c r="AC723" s="7"/>
    </row>
    <row r="724" spans="1:29" ht="26.25">
      <c r="A724" s="19"/>
      <c r="B724" s="148" t="s">
        <v>647</v>
      </c>
      <c r="C724" s="115">
        <f>T724</f>
        <v>832</v>
      </c>
      <c r="D724" s="92">
        <v>0</v>
      </c>
      <c r="E724" s="91"/>
      <c r="F724" s="91"/>
      <c r="G724" s="91"/>
      <c r="H724" s="91"/>
      <c r="I724" s="91"/>
      <c r="J724" s="22"/>
      <c r="K724" s="22"/>
      <c r="L724" s="22"/>
      <c r="M724" s="22"/>
      <c r="N724" s="22"/>
      <c r="O724" s="91">
        <v>7944</v>
      </c>
      <c r="P724" s="91">
        <v>8776</v>
      </c>
      <c r="Q724" s="149"/>
      <c r="R724" s="150"/>
      <c r="S724" s="151">
        <v>1</v>
      </c>
      <c r="T724" s="91">
        <f>P724-O724</f>
        <v>832</v>
      </c>
      <c r="U724" s="644"/>
      <c r="V724" s="695"/>
      <c r="W724" s="14"/>
      <c r="X724" s="7"/>
      <c r="Y724" s="7"/>
      <c r="Z724" s="7"/>
      <c r="AA724" s="7"/>
      <c r="AB724" s="7"/>
      <c r="AC724" s="7"/>
    </row>
    <row r="725" spans="1:29" ht="26.25">
      <c r="A725" s="19"/>
      <c r="B725" s="218"/>
      <c r="C725" s="72"/>
      <c r="D725" s="77"/>
      <c r="E725" s="28"/>
      <c r="F725" s="28"/>
      <c r="G725" s="28"/>
      <c r="H725" s="28"/>
      <c r="I725" s="28"/>
      <c r="J725" s="29"/>
      <c r="K725" s="29"/>
      <c r="L725" s="29"/>
      <c r="M725" s="29"/>
      <c r="N725" s="29"/>
      <c r="O725" s="28"/>
      <c r="P725" s="28"/>
      <c r="Q725" s="146"/>
      <c r="R725" s="147"/>
      <c r="S725" s="54"/>
      <c r="T725" s="28"/>
      <c r="U725" s="644"/>
      <c r="V725" s="695"/>
      <c r="W725" s="14"/>
      <c r="X725" s="7"/>
      <c r="Y725" s="7"/>
      <c r="Z725" s="7"/>
      <c r="AA725" s="7"/>
      <c r="AB725" s="7"/>
      <c r="AC725" s="7"/>
    </row>
    <row r="726" spans="1:29" ht="26.25">
      <c r="A726" s="19"/>
      <c r="B726" s="148" t="s">
        <v>86</v>
      </c>
      <c r="C726" s="115">
        <f>C719+C721+C723+C722+C724</f>
        <v>2215</v>
      </c>
      <c r="D726" s="91">
        <f>D720+D724</f>
        <v>680</v>
      </c>
      <c r="E726" s="28"/>
      <c r="F726" s="28"/>
      <c r="G726" s="28"/>
      <c r="H726" s="28"/>
      <c r="I726" s="28"/>
      <c r="J726" s="29"/>
      <c r="K726" s="29"/>
      <c r="L726" s="29"/>
      <c r="M726" s="29"/>
      <c r="N726" s="29"/>
      <c r="O726" s="28"/>
      <c r="P726" s="28"/>
      <c r="Q726" s="146"/>
      <c r="R726" s="147"/>
      <c r="S726" s="54"/>
      <c r="T726" s="28"/>
      <c r="U726" s="644"/>
      <c r="V726" s="695"/>
      <c r="W726" s="14"/>
      <c r="X726" s="7"/>
      <c r="Y726" s="7"/>
      <c r="Z726" s="7"/>
      <c r="AA726" s="7"/>
      <c r="AB726" s="7"/>
      <c r="AC726" s="7"/>
    </row>
    <row r="727" spans="1:29" ht="25.5">
      <c r="A727" s="19"/>
      <c r="B727" s="104"/>
      <c r="C727" s="92"/>
      <c r="D727" s="92"/>
      <c r="E727" s="92"/>
      <c r="F727" s="92"/>
      <c r="G727" s="92"/>
      <c r="H727" s="92"/>
      <c r="I727" s="92"/>
      <c r="J727" s="142"/>
      <c r="K727" s="142"/>
      <c r="L727" s="142"/>
      <c r="M727" s="142"/>
      <c r="N727" s="142"/>
      <c r="O727" s="94"/>
      <c r="P727" s="91"/>
      <c r="Q727" s="94"/>
      <c r="R727" s="94"/>
      <c r="S727" s="94"/>
      <c r="T727" s="94"/>
      <c r="U727" s="731"/>
      <c r="V727" s="274"/>
      <c r="W727" s="14"/>
      <c r="X727" s="7"/>
      <c r="Y727" s="7"/>
      <c r="Z727" s="7"/>
      <c r="AA727" s="7"/>
      <c r="AB727" s="7"/>
      <c r="AC727" s="7"/>
    </row>
    <row r="728" spans="1:29" ht="26.25">
      <c r="A728" s="19"/>
      <c r="B728" s="143"/>
      <c r="C728" s="92"/>
      <c r="D728" s="92"/>
      <c r="E728" s="246"/>
      <c r="F728" s="246"/>
      <c r="G728" s="92"/>
      <c r="H728" s="92"/>
      <c r="I728" s="92"/>
      <c r="J728" s="142"/>
      <c r="K728" s="142"/>
      <c r="L728" s="142"/>
      <c r="M728" s="142"/>
      <c r="N728" s="142"/>
      <c r="O728" s="94"/>
      <c r="P728" s="94"/>
      <c r="Q728" s="94"/>
      <c r="R728" s="94"/>
      <c r="S728" s="94"/>
      <c r="T728" s="94"/>
      <c r="U728" s="731"/>
      <c r="V728" s="274"/>
      <c r="W728" s="14"/>
      <c r="X728" s="7"/>
      <c r="Y728" s="7"/>
      <c r="Z728" s="7"/>
      <c r="AA728" s="7"/>
      <c r="AB728" s="7"/>
      <c r="AC728" s="7"/>
    </row>
    <row r="729" spans="1:29" ht="26.25">
      <c r="A729" s="271"/>
      <c r="B729" s="143" t="s">
        <v>648</v>
      </c>
      <c r="C729" s="115">
        <f>C709+C92</f>
        <v>1387753.7586800042</v>
      </c>
      <c r="D729" s="115">
        <f>D709+D726</f>
        <v>680</v>
      </c>
      <c r="E729" s="115" t="e">
        <f>E709</f>
        <v>#REF!</v>
      </c>
      <c r="F729" s="91"/>
      <c r="G729" s="91"/>
      <c r="H729" s="248" t="e">
        <f>H709</f>
        <v>#REF!</v>
      </c>
      <c r="I729" s="115">
        <f>I709</f>
        <v>191138.17599999963</v>
      </c>
      <c r="J729" s="142"/>
      <c r="K729" s="142"/>
      <c r="L729" s="142"/>
      <c r="M729" s="142"/>
      <c r="N729" s="142"/>
      <c r="O729" s="94"/>
      <c r="P729" s="94"/>
      <c r="Q729" s="94"/>
      <c r="R729" s="94"/>
      <c r="S729" s="94"/>
      <c r="T729" s="94"/>
      <c r="U729" s="731"/>
      <c r="V729" s="274"/>
      <c r="W729" s="14"/>
      <c r="X729" s="7"/>
      <c r="Y729" s="7"/>
      <c r="Z729" s="7"/>
      <c r="AA729" s="7"/>
      <c r="AB729" s="7"/>
      <c r="AC729" s="7"/>
    </row>
    <row r="730" spans="1:29" ht="26.25">
      <c r="A730" s="271"/>
      <c r="B730" s="143"/>
      <c r="C730" s="246"/>
      <c r="D730" s="246"/>
      <c r="E730" s="246"/>
      <c r="F730" s="92"/>
      <c r="G730" s="92"/>
      <c r="H730" s="92"/>
      <c r="I730" s="92"/>
      <c r="J730" s="142"/>
      <c r="K730" s="142"/>
      <c r="L730" s="142"/>
      <c r="M730" s="142"/>
      <c r="N730" s="142"/>
      <c r="O730" s="94"/>
      <c r="P730" s="94"/>
      <c r="Q730" s="94"/>
      <c r="R730" s="94"/>
      <c r="S730" s="94"/>
      <c r="T730" s="94"/>
      <c r="U730" s="731"/>
      <c r="V730" s="274"/>
      <c r="W730" s="14"/>
      <c r="X730" s="7"/>
      <c r="Y730" s="7"/>
      <c r="Z730" s="7"/>
      <c r="AA730" s="7"/>
      <c r="AB730" s="7"/>
      <c r="AC730" s="7"/>
    </row>
    <row r="731" spans="1:29" ht="25.5">
      <c r="A731" s="271"/>
      <c r="B731" s="104"/>
      <c r="C731" s="92"/>
      <c r="D731" s="92"/>
      <c r="E731" s="92"/>
      <c r="F731" s="92"/>
      <c r="G731" s="92"/>
      <c r="H731" s="92"/>
      <c r="I731" s="92"/>
      <c r="J731" s="142"/>
      <c r="K731" s="142"/>
      <c r="L731" s="142"/>
      <c r="M731" s="142"/>
      <c r="N731" s="142"/>
      <c r="O731" s="94"/>
      <c r="P731" s="94"/>
      <c r="Q731" s="94"/>
      <c r="R731" s="94"/>
      <c r="S731" s="94"/>
      <c r="T731" s="94"/>
      <c r="U731" s="731"/>
      <c r="V731" s="274"/>
      <c r="W731" s="14"/>
      <c r="X731" s="7"/>
      <c r="Y731" s="7"/>
      <c r="Z731" s="7"/>
      <c r="AA731" s="7"/>
      <c r="AB731" s="7"/>
      <c r="AC731" s="7"/>
    </row>
    <row r="732" spans="1:29" ht="26.25">
      <c r="A732" s="271"/>
      <c r="B732" s="143" t="s">
        <v>649</v>
      </c>
      <c r="C732" s="246"/>
      <c r="D732" s="246"/>
      <c r="E732" s="246"/>
      <c r="F732" s="92"/>
      <c r="G732" s="275"/>
      <c r="H732" s="92"/>
      <c r="I732" s="92"/>
      <c r="J732" s="142"/>
      <c r="K732" s="142"/>
      <c r="L732" s="142"/>
      <c r="M732" s="142"/>
      <c r="N732" s="142"/>
      <c r="O732" s="94"/>
      <c r="P732" s="94"/>
      <c r="Q732" s="94"/>
      <c r="R732" s="94"/>
      <c r="S732" s="94"/>
      <c r="T732" s="94"/>
      <c r="U732" s="731"/>
      <c r="V732" s="274"/>
      <c r="W732" s="14"/>
      <c r="X732" s="7"/>
      <c r="Y732" s="7"/>
      <c r="Z732" s="7"/>
      <c r="AA732" s="7"/>
      <c r="AB732" s="7"/>
      <c r="AC732" s="7"/>
    </row>
    <row r="733" spans="1:29" ht="25.5">
      <c r="A733" s="271"/>
      <c r="B733" s="104"/>
      <c r="C733" s="92"/>
      <c r="D733" s="92"/>
      <c r="E733" s="92"/>
      <c r="F733" s="92"/>
      <c r="G733" s="275"/>
      <c r="H733" s="92"/>
      <c r="I733" s="92"/>
      <c r="J733" s="142"/>
      <c r="K733" s="142"/>
      <c r="L733" s="142"/>
      <c r="M733" s="142"/>
      <c r="N733" s="142"/>
      <c r="O733" s="94"/>
      <c r="P733" s="94"/>
      <c r="Q733" s="94"/>
      <c r="R733" s="94"/>
      <c r="S733" s="94"/>
      <c r="T733" s="94"/>
      <c r="U733" s="731"/>
      <c r="V733" s="274"/>
      <c r="W733" s="14"/>
      <c r="X733" s="7"/>
      <c r="Y733" s="7"/>
      <c r="Z733" s="7"/>
      <c r="AA733" s="7"/>
      <c r="AB733" s="7"/>
      <c r="AC733" s="7"/>
    </row>
    <row r="734" spans="1:29" ht="25.5">
      <c r="A734" s="276"/>
      <c r="B734" s="277"/>
      <c r="C734" s="105"/>
      <c r="D734" s="105"/>
      <c r="E734" s="105"/>
      <c r="F734" s="105"/>
      <c r="G734" s="105"/>
      <c r="H734" s="105"/>
      <c r="I734" s="105"/>
      <c r="J734" s="98"/>
      <c r="K734" s="98"/>
      <c r="L734" s="98"/>
      <c r="M734" s="98"/>
      <c r="N734" s="98"/>
      <c r="O734" s="227"/>
      <c r="P734" s="227"/>
      <c r="Q734" s="227"/>
      <c r="R734" s="227"/>
      <c r="S734" s="227"/>
      <c r="T734" s="227"/>
      <c r="U734" s="273"/>
      <c r="V734" s="274"/>
      <c r="W734" s="7"/>
      <c r="X734" s="7"/>
      <c r="Y734" s="7"/>
      <c r="Z734" s="7"/>
      <c r="AA734" s="7"/>
      <c r="AB734" s="7"/>
      <c r="AC734" s="7"/>
    </row>
    <row r="735" spans="1:29" ht="25.5">
      <c r="A735" s="276"/>
      <c r="B735" s="277"/>
      <c r="C735" s="105"/>
      <c r="D735" s="105"/>
      <c r="E735" s="105"/>
      <c r="F735" s="105"/>
      <c r="G735" s="105"/>
      <c r="H735" s="105"/>
      <c r="I735" s="105"/>
      <c r="J735" s="98"/>
      <c r="K735" s="98"/>
      <c r="L735" s="98"/>
      <c r="M735" s="98"/>
      <c r="N735" s="98"/>
      <c r="O735" s="227"/>
      <c r="P735" s="227"/>
      <c r="Q735" s="227"/>
      <c r="R735" s="227"/>
      <c r="S735" s="227"/>
      <c r="T735" s="227"/>
      <c r="U735" s="273"/>
      <c r="V735" s="274"/>
      <c r="W735" s="7"/>
      <c r="X735" s="7"/>
      <c r="Y735" s="7"/>
      <c r="Z735" s="7"/>
      <c r="AA735" s="7"/>
      <c r="AB735" s="7"/>
      <c r="AC735" s="7"/>
    </row>
    <row r="736" spans="1:29" ht="25.5">
      <c r="A736" s="276"/>
      <c r="B736" s="277"/>
      <c r="C736" s="105"/>
      <c r="D736" s="105"/>
      <c r="E736" s="105"/>
      <c r="F736" s="105"/>
      <c r="G736" s="105"/>
      <c r="H736" s="105"/>
      <c r="I736" s="105"/>
      <c r="J736" s="98"/>
      <c r="K736" s="98"/>
      <c r="L736" s="98"/>
      <c r="M736" s="98"/>
      <c r="N736" s="98"/>
      <c r="O736" s="227"/>
      <c r="P736" s="227"/>
      <c r="Q736" s="227"/>
      <c r="R736" s="227"/>
      <c r="S736" s="227"/>
      <c r="T736" s="227"/>
      <c r="U736" s="273"/>
      <c r="V736" s="274"/>
      <c r="W736" s="7"/>
      <c r="X736" s="7"/>
      <c r="Y736" s="7"/>
      <c r="Z736" s="7"/>
      <c r="AA736" s="7"/>
      <c r="AB736" s="7"/>
      <c r="AC736" s="7"/>
    </row>
    <row r="737" spans="1:29" ht="25.5">
      <c r="A737" s="276"/>
      <c r="B737" s="277"/>
      <c r="C737" s="105"/>
      <c r="D737" s="105"/>
      <c r="E737" s="105"/>
      <c r="F737" s="105"/>
      <c r="G737" s="105"/>
      <c r="H737" s="105"/>
      <c r="I737" s="105"/>
      <c r="J737" s="98"/>
      <c r="K737" s="98"/>
      <c r="L737" s="98"/>
      <c r="M737" s="98"/>
      <c r="N737" s="98"/>
      <c r="O737" s="227"/>
      <c r="P737" s="227"/>
      <c r="Q737" s="227"/>
      <c r="R737" s="227"/>
      <c r="S737" s="227"/>
      <c r="T737" s="227"/>
      <c r="U737" s="273"/>
      <c r="V737" s="274"/>
      <c r="W737" s="7"/>
      <c r="X737" s="7"/>
      <c r="Y737" s="7"/>
      <c r="Z737" s="7"/>
      <c r="AA737" s="7"/>
      <c r="AB737" s="7"/>
      <c r="AC737" s="7"/>
    </row>
    <row r="738" spans="1:29" ht="25.5">
      <c r="A738" s="276"/>
      <c r="B738" s="277"/>
      <c r="C738" s="105"/>
      <c r="D738" s="105"/>
      <c r="E738" s="105"/>
      <c r="F738" s="105"/>
      <c r="G738" s="105"/>
      <c r="H738" s="105"/>
      <c r="I738" s="105"/>
      <c r="J738" s="98"/>
      <c r="K738" s="98"/>
      <c r="L738" s="98"/>
      <c r="M738" s="98"/>
      <c r="N738" s="98"/>
      <c r="O738" s="227"/>
      <c r="P738" s="227"/>
      <c r="Q738" s="227"/>
      <c r="R738" s="227"/>
      <c r="S738" s="227"/>
      <c r="T738" s="227"/>
      <c r="U738" s="273"/>
      <c r="V738" s="274"/>
      <c r="W738" s="7"/>
      <c r="X738" s="7"/>
      <c r="Y738" s="7"/>
      <c r="Z738" s="7"/>
      <c r="AA738" s="7"/>
      <c r="AB738" s="7"/>
      <c r="AC738" s="7"/>
    </row>
    <row r="739" spans="1:29" ht="25.5">
      <c r="A739" s="276"/>
      <c r="B739" s="277"/>
      <c r="C739" s="105"/>
      <c r="D739" s="105"/>
      <c r="E739" s="105"/>
      <c r="F739" s="105"/>
      <c r="G739" s="105"/>
      <c r="H739" s="105"/>
      <c r="I739" s="105"/>
      <c r="J739" s="98"/>
      <c r="K739" s="98"/>
      <c r="L739" s="98"/>
      <c r="M739" s="98"/>
      <c r="N739" s="98"/>
      <c r="O739" s="227"/>
      <c r="P739" s="227"/>
      <c r="Q739" s="227"/>
      <c r="R739" s="227"/>
      <c r="S739" s="227"/>
      <c r="T739" s="227"/>
      <c r="U739" s="273"/>
      <c r="V739" s="274"/>
      <c r="W739" s="7"/>
      <c r="X739" s="7"/>
      <c r="Y739" s="7"/>
      <c r="Z739" s="7"/>
      <c r="AA739" s="7"/>
      <c r="AB739" s="7"/>
      <c r="AC739" s="7"/>
    </row>
    <row r="740" spans="1:29" ht="25.5">
      <c r="A740" s="276"/>
      <c r="B740" s="277"/>
      <c r="C740" s="105"/>
      <c r="D740" s="105"/>
      <c r="E740" s="105"/>
      <c r="F740" s="105"/>
      <c r="G740" s="105"/>
      <c r="H740" s="105"/>
      <c r="I740" s="105"/>
      <c r="J740" s="98"/>
      <c r="K740" s="98"/>
      <c r="L740" s="98"/>
      <c r="M740" s="98"/>
      <c r="N740" s="98"/>
      <c r="O740" s="227"/>
      <c r="P740" s="227"/>
      <c r="Q740" s="227"/>
      <c r="R740" s="227"/>
      <c r="S740" s="227"/>
      <c r="T740" s="227"/>
      <c r="U740" s="273"/>
      <c r="V740" s="274"/>
      <c r="W740" s="7"/>
      <c r="X740" s="7"/>
      <c r="Y740" s="7"/>
      <c r="Z740" s="7"/>
      <c r="AA740" s="7"/>
      <c r="AB740" s="7"/>
      <c r="AC740" s="7"/>
    </row>
    <row r="741" spans="1:29" ht="25.5">
      <c r="A741" s="276"/>
      <c r="B741" s="277"/>
      <c r="C741" s="105"/>
      <c r="D741" s="105"/>
      <c r="E741" s="105"/>
      <c r="F741" s="105"/>
      <c r="G741" s="105"/>
      <c r="H741" s="105"/>
      <c r="I741" s="105"/>
      <c r="J741" s="98"/>
      <c r="K741" s="98"/>
      <c r="L741" s="98"/>
      <c r="M741" s="98"/>
      <c r="N741" s="98"/>
      <c r="O741" s="227"/>
      <c r="P741" s="227"/>
      <c r="Q741" s="227"/>
      <c r="R741" s="227"/>
      <c r="S741" s="227"/>
      <c r="T741" s="227"/>
      <c r="U741" s="273"/>
      <c r="V741" s="274"/>
      <c r="W741" s="7"/>
      <c r="X741" s="7"/>
      <c r="Y741" s="7"/>
      <c r="Z741" s="7"/>
      <c r="AA741" s="7"/>
      <c r="AB741" s="7"/>
      <c r="AC741" s="7"/>
    </row>
    <row r="742" spans="1:29" ht="25.5">
      <c r="A742" s="276"/>
      <c r="B742" s="277"/>
      <c r="C742" s="105"/>
      <c r="D742" s="105"/>
      <c r="E742" s="105"/>
      <c r="F742" s="105"/>
      <c r="G742" s="105"/>
      <c r="H742" s="105"/>
      <c r="I742" s="105"/>
      <c r="J742" s="98"/>
      <c r="K742" s="98"/>
      <c r="L742" s="98"/>
      <c r="M742" s="98"/>
      <c r="N742" s="98"/>
      <c r="O742" s="227"/>
      <c r="P742" s="227"/>
      <c r="Q742" s="227"/>
      <c r="R742" s="227"/>
      <c r="S742" s="227"/>
      <c r="T742" s="227"/>
      <c r="U742" s="273"/>
      <c r="V742" s="274"/>
      <c r="W742" s="7"/>
      <c r="X742" s="7"/>
      <c r="Y742" s="7"/>
      <c r="Z742" s="7"/>
      <c r="AA742" s="7"/>
      <c r="AB742" s="7"/>
      <c r="AC742" s="7"/>
    </row>
    <row r="743" spans="1:29" ht="25.5">
      <c r="A743" s="276"/>
      <c r="B743" s="277"/>
      <c r="C743" s="105"/>
      <c r="D743" s="105"/>
      <c r="E743" s="105"/>
      <c r="F743" s="105"/>
      <c r="G743" s="105"/>
      <c r="H743" s="105"/>
      <c r="I743" s="105"/>
      <c r="J743" s="98"/>
      <c r="K743" s="98"/>
      <c r="L743" s="98"/>
      <c r="M743" s="98"/>
      <c r="N743" s="98"/>
      <c r="O743" s="227"/>
      <c r="P743" s="227"/>
      <c r="Q743" s="227"/>
      <c r="R743" s="227"/>
      <c r="S743" s="227"/>
      <c r="T743" s="227"/>
      <c r="U743" s="273"/>
      <c r="V743" s="274"/>
      <c r="W743" s="7"/>
      <c r="X743" s="7"/>
      <c r="Y743" s="7"/>
      <c r="Z743" s="7"/>
      <c r="AA743" s="7"/>
      <c r="AB743" s="7"/>
      <c r="AC743" s="7"/>
    </row>
    <row r="744" spans="1:29" ht="25.5">
      <c r="A744" s="276"/>
      <c r="B744" s="277"/>
      <c r="C744" s="105"/>
      <c r="D744" s="105"/>
      <c r="E744" s="105"/>
      <c r="F744" s="105"/>
      <c r="G744" s="105"/>
      <c r="H744" s="105"/>
      <c r="I744" s="105"/>
      <c r="J744" s="98"/>
      <c r="K744" s="98"/>
      <c r="L744" s="98"/>
      <c r="M744" s="98"/>
      <c r="N744" s="98"/>
      <c r="O744" s="227"/>
      <c r="P744" s="227"/>
      <c r="Q744" s="227"/>
      <c r="R744" s="227"/>
      <c r="S744" s="227"/>
      <c r="T744" s="227"/>
      <c r="U744" s="273"/>
      <c r="V744" s="274"/>
      <c r="W744" s="7"/>
      <c r="X744" s="7"/>
      <c r="Y744" s="7"/>
      <c r="Z744" s="7"/>
      <c r="AA744" s="7"/>
      <c r="AB744" s="7"/>
      <c r="AC744" s="7"/>
    </row>
    <row r="745" spans="1:29" ht="25.5">
      <c r="A745" s="276"/>
      <c r="B745" s="277"/>
      <c r="C745" s="105"/>
      <c r="D745" s="105"/>
      <c r="E745" s="105"/>
      <c r="F745" s="105"/>
      <c r="G745" s="105"/>
      <c r="H745" s="105"/>
      <c r="I745" s="105"/>
      <c r="J745" s="98"/>
      <c r="K745" s="98"/>
      <c r="L745" s="98"/>
      <c r="M745" s="98"/>
      <c r="N745" s="98"/>
      <c r="O745" s="227"/>
      <c r="P745" s="227"/>
      <c r="Q745" s="227"/>
      <c r="R745" s="227"/>
      <c r="S745" s="227"/>
      <c r="T745" s="227"/>
      <c r="U745" s="273"/>
      <c r="V745" s="274"/>
      <c r="W745" s="7"/>
      <c r="X745" s="7"/>
      <c r="Y745" s="7"/>
      <c r="Z745" s="7"/>
      <c r="AA745" s="7"/>
      <c r="AB745" s="7"/>
      <c r="AC745" s="7"/>
    </row>
    <row r="746" spans="1:29" ht="25.5">
      <c r="A746" s="276"/>
      <c r="B746" s="277"/>
      <c r="C746" s="105"/>
      <c r="D746" s="105"/>
      <c r="E746" s="105"/>
      <c r="F746" s="105"/>
      <c r="G746" s="105"/>
      <c r="H746" s="105"/>
      <c r="I746" s="105"/>
      <c r="J746" s="98"/>
      <c r="K746" s="98"/>
      <c r="L746" s="98"/>
      <c r="M746" s="98"/>
      <c r="N746" s="98"/>
      <c r="O746" s="227"/>
      <c r="P746" s="227"/>
      <c r="Q746" s="227"/>
      <c r="R746" s="227"/>
      <c r="S746" s="227"/>
      <c r="T746" s="227"/>
      <c r="U746" s="273"/>
      <c r="V746" s="274"/>
      <c r="W746" s="7"/>
      <c r="X746" s="7"/>
      <c r="Y746" s="7"/>
      <c r="Z746" s="7"/>
      <c r="AA746" s="7"/>
      <c r="AB746" s="7"/>
      <c r="AC746" s="7"/>
    </row>
    <row r="747" spans="1:29" ht="25.5">
      <c r="A747" s="276"/>
      <c r="B747" s="277"/>
      <c r="C747" s="105"/>
      <c r="D747" s="105"/>
      <c r="E747" s="105"/>
      <c r="F747" s="105"/>
      <c r="G747" s="105"/>
      <c r="H747" s="105"/>
      <c r="I747" s="105"/>
      <c r="J747" s="98"/>
      <c r="K747" s="98"/>
      <c r="L747" s="98"/>
      <c r="M747" s="98"/>
      <c r="N747" s="98"/>
      <c r="O747" s="227"/>
      <c r="P747" s="227"/>
      <c r="Q747" s="227"/>
      <c r="R747" s="227"/>
      <c r="S747" s="227"/>
      <c r="T747" s="227"/>
      <c r="U747" s="273"/>
      <c r="V747" s="274"/>
      <c r="W747" s="7"/>
      <c r="X747" s="7"/>
      <c r="Y747" s="7"/>
      <c r="Z747" s="7"/>
      <c r="AA747" s="7"/>
      <c r="AB747" s="7"/>
      <c r="AC747" s="7"/>
    </row>
  </sheetData>
  <mergeCells count="25">
    <mergeCell ref="W650:W652"/>
    <mergeCell ref="B665:B666"/>
    <mergeCell ref="B98:B99"/>
    <mergeCell ref="B176:B177"/>
    <mergeCell ref="B187:B188"/>
    <mergeCell ref="V200:V201"/>
    <mergeCell ref="V211:V212"/>
    <mergeCell ref="B247:B248"/>
    <mergeCell ref="V247:V248"/>
    <mergeCell ref="A94:B94"/>
    <mergeCell ref="AQ1:BJ1"/>
    <mergeCell ref="A3:T3"/>
    <mergeCell ref="A4:A5"/>
    <mergeCell ref="B4:B5"/>
    <mergeCell ref="C4:C5"/>
    <mergeCell ref="D4:D5"/>
    <mergeCell ref="E4:G4"/>
    <mergeCell ref="H4:H5"/>
    <mergeCell ref="I4:I5"/>
    <mergeCell ref="O4:O5"/>
    <mergeCell ref="P4:P5"/>
    <mergeCell ref="S4:S5"/>
    <mergeCell ref="T4:T5"/>
    <mergeCell ref="V61:V62"/>
    <mergeCell ref="A87:B87"/>
  </mergeCells>
  <pageMargins left="0.27559055118110237" right="0" top="0.39370078740157483" bottom="0.39370078740157483" header="0.31496062992125984" footer="0.31496062992125984"/>
  <pageSetup paperSize="9" scale="43" orientation="landscape" r:id="rId1"/>
  <colBreaks count="1" manualBreakCount="1">
    <brk id="22" max="635" man="1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7"/>
  <sheetViews>
    <sheetView topLeftCell="A58" zoomScale="55" zoomScaleNormal="55" workbookViewId="0">
      <selection activeCell="O83" sqref="O83"/>
    </sheetView>
  </sheetViews>
  <sheetFormatPr defaultRowHeight="26.25"/>
  <cols>
    <col min="1" max="1" width="90" style="282" customWidth="1"/>
    <col min="2" max="2" width="21" style="282" customWidth="1"/>
    <col min="3" max="3" width="0.140625" style="282" customWidth="1"/>
    <col min="4" max="4" width="19" style="282" customWidth="1"/>
    <col min="5" max="5" width="17.7109375" style="282" customWidth="1"/>
    <col min="6" max="6" width="18.5703125" style="282" customWidth="1"/>
    <col min="7" max="7" width="21.5703125" style="282" customWidth="1"/>
    <col min="8" max="8" width="19.5703125" style="282" customWidth="1"/>
    <col min="9" max="12" width="9.140625" style="282" hidden="1" customWidth="1"/>
    <col min="13" max="13" width="21.7109375" style="282" hidden="1" customWidth="1"/>
    <col min="14" max="14" width="22.7109375" style="282" customWidth="1"/>
    <col min="15" max="15" width="40.140625" style="282" customWidth="1"/>
    <col min="16" max="16" width="9.140625" style="282" hidden="1" customWidth="1"/>
    <col min="17" max="17" width="14.85546875" style="282" hidden="1" customWidth="1"/>
    <col min="18" max="18" width="11.7109375" style="282" customWidth="1"/>
    <col min="19" max="19" width="21.5703125" style="282" customWidth="1"/>
    <col min="20" max="20" width="17.42578125" style="282" customWidth="1"/>
    <col min="21" max="16384" width="9.140625" style="282"/>
  </cols>
  <sheetData>
    <row r="1" spans="1:21">
      <c r="A1" s="278"/>
      <c r="B1" s="279"/>
      <c r="C1" s="279"/>
      <c r="D1" s="279"/>
      <c r="E1" s="279"/>
      <c r="F1" s="279"/>
      <c r="G1" s="279"/>
      <c r="H1" s="279"/>
      <c r="I1" s="280"/>
      <c r="J1" s="280"/>
      <c r="K1" s="280"/>
      <c r="L1" s="280"/>
      <c r="M1" s="280"/>
      <c r="N1" s="279"/>
      <c r="O1" s="279"/>
      <c r="P1" s="280"/>
      <c r="Q1" s="280"/>
      <c r="R1" s="279"/>
      <c r="S1" s="279"/>
      <c r="T1" s="281"/>
      <c r="U1" s="281"/>
    </row>
    <row r="2" spans="1:21">
      <c r="A2" s="278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</row>
    <row r="3" spans="1:21">
      <c r="A3" s="278"/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</row>
    <row r="4" spans="1:21">
      <c r="A4" s="278"/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</row>
    <row r="5" spans="1:21">
      <c r="A5" s="278"/>
      <c r="B5" s="281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</row>
    <row r="6" spans="1:21">
      <c r="A6" s="278"/>
      <c r="B6" s="281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</row>
    <row r="7" spans="1:21">
      <c r="A7" s="278"/>
      <c r="B7" s="281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</row>
    <row r="8" spans="1:21">
      <c r="A8" s="278"/>
      <c r="B8" s="281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</row>
    <row r="9" spans="1:21">
      <c r="A9" s="278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</row>
    <row r="10" spans="1:21">
      <c r="A10" s="278"/>
      <c r="B10" s="281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</row>
    <row r="11" spans="1:21">
      <c r="A11" s="278"/>
      <c r="B11" s="281"/>
      <c r="C11" s="279"/>
      <c r="D11" s="279"/>
      <c r="E11" s="279"/>
      <c r="F11" s="279"/>
      <c r="G11" s="279"/>
      <c r="H11" s="279"/>
      <c r="I11" s="279"/>
      <c r="J11" s="280"/>
      <c r="K11" s="280"/>
      <c r="L11" s="280"/>
      <c r="M11" s="280"/>
      <c r="N11" s="280"/>
      <c r="O11" s="279"/>
      <c r="P11" s="279"/>
      <c r="Q11" s="280"/>
      <c r="R11" s="280"/>
      <c r="S11" s="279"/>
      <c r="T11" s="279"/>
      <c r="U11" s="281"/>
    </row>
    <row r="12" spans="1:21">
      <c r="A12" s="278"/>
      <c r="B12" s="281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</row>
    <row r="13" spans="1:21">
      <c r="A13" s="278"/>
    </row>
    <row r="14" spans="1:21">
      <c r="A14" s="278"/>
    </row>
    <row r="15" spans="1:21">
      <c r="A15" s="278"/>
    </row>
    <row r="16" spans="1:21">
      <c r="A16" s="278"/>
    </row>
    <row r="17" spans="1:30">
      <c r="A17" s="278"/>
    </row>
    <row r="18" spans="1:30">
      <c r="A18" s="278"/>
    </row>
    <row r="19" spans="1:30">
      <c r="A19" s="278"/>
    </row>
    <row r="20" spans="1:30">
      <c r="A20" s="278"/>
    </row>
    <row r="21" spans="1:30">
      <c r="A21" s="278"/>
    </row>
    <row r="22" spans="1:30">
      <c r="A22" s="278"/>
    </row>
    <row r="23" spans="1:30">
      <c r="A23" s="278"/>
    </row>
    <row r="24" spans="1:30">
      <c r="A24" s="283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</row>
    <row r="25" spans="1:30">
      <c r="A25" s="284"/>
      <c r="B25" s="279"/>
      <c r="C25" s="279"/>
      <c r="D25" s="279"/>
      <c r="E25" s="279"/>
      <c r="F25" s="279"/>
      <c r="G25" s="279"/>
      <c r="H25" s="279"/>
      <c r="I25" s="280"/>
      <c r="J25" s="280"/>
      <c r="K25" s="280"/>
      <c r="L25" s="280"/>
      <c r="M25" s="280"/>
      <c r="N25" s="279"/>
      <c r="O25" s="279"/>
      <c r="P25" s="280"/>
      <c r="Q25" s="280"/>
      <c r="R25" s="279"/>
      <c r="S25" s="279"/>
    </row>
    <row r="26" spans="1:30">
      <c r="A26" s="283"/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</row>
    <row r="27" spans="1:30">
      <c r="A27" s="281"/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</row>
    <row r="28" spans="1:30" ht="15" customHeight="1" thickBot="1">
      <c r="A28" s="281"/>
      <c r="B28" s="281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</row>
    <row r="29" spans="1:30" ht="41.25" customHeight="1" thickBot="1">
      <c r="A29" s="285"/>
      <c r="B29" s="843" t="s">
        <v>940</v>
      </c>
      <c r="C29" s="844"/>
      <c r="D29" s="844"/>
      <c r="E29" s="844"/>
      <c r="F29" s="844"/>
      <c r="G29" s="844"/>
      <c r="H29" s="844"/>
      <c r="I29" s="844"/>
      <c r="J29" s="844"/>
      <c r="K29" s="844"/>
      <c r="L29" s="844"/>
      <c r="M29" s="844"/>
      <c r="N29" s="845"/>
      <c r="O29" s="285"/>
      <c r="P29" s="285"/>
      <c r="Q29" s="285"/>
      <c r="R29" s="285"/>
      <c r="S29" s="285"/>
      <c r="T29" s="286"/>
      <c r="U29" s="286"/>
      <c r="V29" s="286"/>
      <c r="W29" s="286"/>
      <c r="X29" s="286"/>
      <c r="Y29" s="286"/>
      <c r="Z29" s="286"/>
      <c r="AA29" s="286"/>
      <c r="AB29" s="286"/>
      <c r="AC29" s="286"/>
      <c r="AD29" s="286"/>
    </row>
    <row r="30" spans="1:30" ht="9.75" customHeight="1">
      <c r="A30" s="285"/>
      <c r="B30" s="285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5"/>
      <c r="N30" s="285"/>
      <c r="O30" s="285"/>
      <c r="P30" s="285"/>
      <c r="Q30" s="285"/>
      <c r="R30" s="285"/>
      <c r="S30" s="285"/>
      <c r="T30" s="286"/>
      <c r="U30" s="286"/>
      <c r="V30" s="286"/>
      <c r="W30" s="286"/>
      <c r="X30" s="286"/>
      <c r="Y30" s="286"/>
      <c r="Z30" s="286"/>
      <c r="AA30" s="286"/>
      <c r="AB30" s="286"/>
      <c r="AC30" s="286"/>
      <c r="AD30" s="286"/>
    </row>
    <row r="31" spans="1:30" ht="33.75" customHeight="1">
      <c r="A31" s="829" t="s">
        <v>1</v>
      </c>
      <c r="B31" s="826" t="s">
        <v>2</v>
      </c>
      <c r="C31" s="826" t="s">
        <v>3</v>
      </c>
      <c r="D31" s="826" t="s">
        <v>4</v>
      </c>
      <c r="E31" s="826"/>
      <c r="F31" s="826"/>
      <c r="G31" s="826" t="s">
        <v>5</v>
      </c>
      <c r="H31" s="826" t="s">
        <v>6</v>
      </c>
      <c r="I31" s="206"/>
      <c r="J31" s="287"/>
      <c r="K31" s="287"/>
      <c r="L31" s="287"/>
      <c r="M31" s="287"/>
      <c r="N31" s="824" t="s">
        <v>7</v>
      </c>
      <c r="O31" s="826" t="s">
        <v>8</v>
      </c>
      <c r="P31" s="287"/>
      <c r="Q31" s="287"/>
      <c r="R31" s="826" t="s">
        <v>9</v>
      </c>
      <c r="S31" s="826" t="s">
        <v>2</v>
      </c>
      <c r="T31" s="286"/>
      <c r="U31" s="286"/>
      <c r="V31" s="286"/>
      <c r="W31" s="286"/>
      <c r="X31" s="286"/>
      <c r="Y31" s="286"/>
      <c r="Z31" s="286"/>
      <c r="AA31" s="286"/>
      <c r="AB31" s="286"/>
      <c r="AC31" s="286"/>
      <c r="AD31" s="286"/>
    </row>
    <row r="32" spans="1:30" ht="51" customHeight="1">
      <c r="A32" s="829"/>
      <c r="B32" s="826"/>
      <c r="C32" s="826"/>
      <c r="D32" s="694" t="s">
        <v>10</v>
      </c>
      <c r="E32" s="694" t="s">
        <v>11</v>
      </c>
      <c r="F32" s="694" t="s">
        <v>12</v>
      </c>
      <c r="G32" s="826"/>
      <c r="H32" s="826"/>
      <c r="I32" s="206"/>
      <c r="J32" s="287"/>
      <c r="K32" s="287"/>
      <c r="L32" s="287"/>
      <c r="M32" s="287"/>
      <c r="N32" s="825"/>
      <c r="O32" s="826"/>
      <c r="P32" s="287"/>
      <c r="Q32" s="288"/>
      <c r="R32" s="826"/>
      <c r="S32" s="826"/>
      <c r="T32" s="286"/>
      <c r="U32" s="286"/>
      <c r="V32" s="286"/>
      <c r="W32" s="286"/>
      <c r="X32" s="286"/>
      <c r="Y32" s="286"/>
      <c r="Z32" s="286"/>
      <c r="AA32" s="286"/>
      <c r="AB32" s="286"/>
      <c r="AC32" s="286"/>
      <c r="AD32" s="286"/>
    </row>
    <row r="33" spans="1:30" ht="35.1" customHeight="1">
      <c r="A33" s="289" t="s">
        <v>650</v>
      </c>
      <c r="B33" s="206">
        <f t="shared" ref="B33:B60" si="0">G33+D33</f>
        <v>2482.4</v>
      </c>
      <c r="C33" s="206"/>
      <c r="D33" s="206">
        <f t="shared" ref="D33:D56" si="1">E33+F33</f>
        <v>162.39999999999998</v>
      </c>
      <c r="E33" s="206">
        <f t="shared" ref="E33:E56" si="2">0.04*G33</f>
        <v>92.8</v>
      </c>
      <c r="F33" s="206">
        <f t="shared" ref="F33:F56" si="3">0.03*G33</f>
        <v>69.599999999999994</v>
      </c>
      <c r="G33" s="206">
        <f t="shared" ref="G33:G56" si="4">S33</f>
        <v>2320</v>
      </c>
      <c r="H33" s="206">
        <f t="shared" ref="H33:H60" si="5">0.6*B33</f>
        <v>1489.44</v>
      </c>
      <c r="I33" s="290"/>
      <c r="J33" s="290"/>
      <c r="K33" s="290"/>
      <c r="L33" s="290"/>
      <c r="M33" s="290"/>
      <c r="N33" s="206">
        <v>4673</v>
      </c>
      <c r="O33" s="206">
        <v>4731</v>
      </c>
      <c r="P33" s="203"/>
      <c r="Q33" s="205"/>
      <c r="R33" s="291">
        <v>40</v>
      </c>
      <c r="S33" s="206">
        <f t="shared" ref="S33:S47" si="6">(O33-N33)*R33</f>
        <v>2320</v>
      </c>
      <c r="T33" s="286"/>
      <c r="U33" s="286"/>
      <c r="V33" s="286"/>
      <c r="W33" s="286"/>
      <c r="X33" s="286"/>
      <c r="Y33" s="286"/>
      <c r="Z33" s="286"/>
      <c r="AA33" s="286"/>
      <c r="AB33" s="286"/>
      <c r="AC33" s="286"/>
      <c r="AD33" s="286"/>
    </row>
    <row r="34" spans="1:30" ht="35.1" customHeight="1">
      <c r="A34" s="289" t="s">
        <v>651</v>
      </c>
      <c r="B34" s="206">
        <f t="shared" si="0"/>
        <v>3081.6</v>
      </c>
      <c r="C34" s="206"/>
      <c r="D34" s="206">
        <f t="shared" si="1"/>
        <v>201.6</v>
      </c>
      <c r="E34" s="206">
        <f t="shared" si="2"/>
        <v>115.2</v>
      </c>
      <c r="F34" s="206">
        <f t="shared" si="3"/>
        <v>86.399999999999991</v>
      </c>
      <c r="G34" s="206">
        <f t="shared" si="4"/>
        <v>2880</v>
      </c>
      <c r="H34" s="206">
        <f t="shared" si="5"/>
        <v>1848.9599999999998</v>
      </c>
      <c r="I34" s="290"/>
      <c r="J34" s="290"/>
      <c r="K34" s="290"/>
      <c r="L34" s="290"/>
      <c r="M34" s="290"/>
      <c r="N34" s="206">
        <v>4244</v>
      </c>
      <c r="O34" s="206">
        <v>4316</v>
      </c>
      <c r="P34" s="203"/>
      <c r="Q34" s="205"/>
      <c r="R34" s="291">
        <v>40</v>
      </c>
      <c r="S34" s="206">
        <f t="shared" si="6"/>
        <v>2880</v>
      </c>
      <c r="T34" s="286"/>
      <c r="U34" s="286"/>
      <c r="V34" s="286"/>
      <c r="W34" s="286"/>
      <c r="X34" s="286"/>
      <c r="Y34" s="286"/>
      <c r="Z34" s="286"/>
      <c r="AA34" s="286"/>
      <c r="AB34" s="286"/>
      <c r="AC34" s="286"/>
      <c r="AD34" s="286"/>
    </row>
    <row r="35" spans="1:30" ht="35.1" customHeight="1">
      <c r="A35" s="289" t="s">
        <v>652</v>
      </c>
      <c r="B35" s="206">
        <f t="shared" si="0"/>
        <v>3381.2</v>
      </c>
      <c r="C35" s="206"/>
      <c r="D35" s="206">
        <f t="shared" si="1"/>
        <v>221.2</v>
      </c>
      <c r="E35" s="206">
        <f t="shared" si="2"/>
        <v>126.4</v>
      </c>
      <c r="F35" s="206">
        <f t="shared" si="3"/>
        <v>94.8</v>
      </c>
      <c r="G35" s="206">
        <f t="shared" si="4"/>
        <v>3160</v>
      </c>
      <c r="H35" s="206">
        <f t="shared" si="5"/>
        <v>2028.7199999999998</v>
      </c>
      <c r="I35" s="290"/>
      <c r="J35" s="290"/>
      <c r="K35" s="290"/>
      <c r="L35" s="290"/>
      <c r="M35" s="290"/>
      <c r="N35" s="206">
        <v>4722</v>
      </c>
      <c r="O35" s="206">
        <v>4801</v>
      </c>
      <c r="P35" s="203"/>
      <c r="Q35" s="205"/>
      <c r="R35" s="291">
        <v>40</v>
      </c>
      <c r="S35" s="206">
        <f t="shared" si="6"/>
        <v>3160</v>
      </c>
      <c r="T35" s="286"/>
      <c r="U35" s="286"/>
      <c r="V35" s="286"/>
      <c r="W35" s="286"/>
      <c r="X35" s="286"/>
      <c r="Y35" s="286"/>
      <c r="Z35" s="286"/>
      <c r="AA35" s="286"/>
      <c r="AB35" s="286"/>
      <c r="AC35" s="286"/>
      <c r="AD35" s="286"/>
    </row>
    <row r="36" spans="1:30" ht="35.1" customHeight="1">
      <c r="A36" s="289" t="s">
        <v>653</v>
      </c>
      <c r="B36" s="206">
        <f t="shared" si="0"/>
        <v>20415.599999999999</v>
      </c>
      <c r="C36" s="206"/>
      <c r="D36" s="206">
        <f t="shared" si="1"/>
        <v>1335.6</v>
      </c>
      <c r="E36" s="206">
        <f t="shared" si="2"/>
        <v>763.2</v>
      </c>
      <c r="F36" s="206">
        <f t="shared" si="3"/>
        <v>572.4</v>
      </c>
      <c r="G36" s="206">
        <f t="shared" si="4"/>
        <v>19080</v>
      </c>
      <c r="H36" s="206">
        <f t="shared" si="5"/>
        <v>12249.359999999999</v>
      </c>
      <c r="I36" s="290"/>
      <c r="J36" s="290"/>
      <c r="K36" s="290"/>
      <c r="L36" s="290"/>
      <c r="M36" s="290"/>
      <c r="N36" s="206">
        <v>15650</v>
      </c>
      <c r="O36" s="206">
        <v>16127</v>
      </c>
      <c r="P36" s="203"/>
      <c r="Q36" s="205"/>
      <c r="R36" s="291">
        <v>40</v>
      </c>
      <c r="S36" s="206">
        <f t="shared" si="6"/>
        <v>19080</v>
      </c>
      <c r="T36" s="286"/>
      <c r="U36" s="286"/>
      <c r="V36" s="286"/>
      <c r="W36" s="286"/>
      <c r="X36" s="286"/>
      <c r="Y36" s="286"/>
      <c r="Z36" s="286"/>
      <c r="AA36" s="286"/>
      <c r="AB36" s="286"/>
      <c r="AC36" s="286"/>
      <c r="AD36" s="286"/>
    </row>
    <row r="37" spans="1:30" ht="35.1" customHeight="1">
      <c r="A37" s="289" t="s">
        <v>654</v>
      </c>
      <c r="B37" s="206">
        <f t="shared" si="0"/>
        <v>2140</v>
      </c>
      <c r="C37" s="206"/>
      <c r="D37" s="206">
        <f t="shared" si="1"/>
        <v>140</v>
      </c>
      <c r="E37" s="206">
        <f t="shared" si="2"/>
        <v>80</v>
      </c>
      <c r="F37" s="206">
        <f t="shared" si="3"/>
        <v>60</v>
      </c>
      <c r="G37" s="206">
        <f t="shared" si="4"/>
        <v>2000</v>
      </c>
      <c r="H37" s="206">
        <f t="shared" si="5"/>
        <v>1284</v>
      </c>
      <c r="I37" s="290"/>
      <c r="J37" s="290"/>
      <c r="K37" s="290"/>
      <c r="L37" s="290"/>
      <c r="M37" s="290"/>
      <c r="N37" s="206">
        <v>6471</v>
      </c>
      <c r="O37" s="206">
        <v>6521</v>
      </c>
      <c r="P37" s="203"/>
      <c r="Q37" s="205"/>
      <c r="R37" s="291">
        <v>40</v>
      </c>
      <c r="S37" s="206">
        <f t="shared" si="6"/>
        <v>2000</v>
      </c>
      <c r="T37" s="286"/>
      <c r="U37" s="286"/>
      <c r="V37" s="286"/>
      <c r="W37" s="286"/>
      <c r="X37" s="286"/>
      <c r="Y37" s="286"/>
      <c r="Z37" s="286"/>
      <c r="AA37" s="286"/>
      <c r="AB37" s="286"/>
      <c r="AC37" s="286"/>
      <c r="AD37" s="286"/>
    </row>
    <row r="38" spans="1:30" ht="35.1" customHeight="1">
      <c r="A38" s="289" t="s">
        <v>764</v>
      </c>
      <c r="B38" s="206">
        <f t="shared" si="0"/>
        <v>834.6</v>
      </c>
      <c r="C38" s="206"/>
      <c r="D38" s="206">
        <f t="shared" si="1"/>
        <v>54.599999999999994</v>
      </c>
      <c r="E38" s="206">
        <f t="shared" si="2"/>
        <v>31.2</v>
      </c>
      <c r="F38" s="206">
        <f t="shared" si="3"/>
        <v>23.4</v>
      </c>
      <c r="G38" s="206">
        <f t="shared" si="4"/>
        <v>780</v>
      </c>
      <c r="H38" s="206">
        <f t="shared" si="5"/>
        <v>500.76</v>
      </c>
      <c r="I38" s="290"/>
      <c r="J38" s="290"/>
      <c r="K38" s="290"/>
      <c r="L38" s="290"/>
      <c r="M38" s="290"/>
      <c r="N38" s="206">
        <v>711</v>
      </c>
      <c r="O38" s="206">
        <v>737</v>
      </c>
      <c r="P38" s="203"/>
      <c r="Q38" s="205"/>
      <c r="R38" s="291">
        <v>30</v>
      </c>
      <c r="S38" s="206">
        <f t="shared" si="6"/>
        <v>780</v>
      </c>
      <c r="T38" s="286"/>
      <c r="U38" s="286"/>
      <c r="V38" s="286"/>
      <c r="W38" s="286"/>
      <c r="X38" s="286"/>
      <c r="Y38" s="286"/>
      <c r="Z38" s="286"/>
      <c r="AA38" s="286"/>
      <c r="AB38" s="286"/>
      <c r="AC38" s="286"/>
      <c r="AD38" s="286"/>
    </row>
    <row r="39" spans="1:30" ht="35.1" customHeight="1">
      <c r="A39" s="289" t="s">
        <v>655</v>
      </c>
      <c r="B39" s="206">
        <f t="shared" si="0"/>
        <v>2610.8000000000002</v>
      </c>
      <c r="C39" s="206"/>
      <c r="D39" s="206">
        <f t="shared" si="1"/>
        <v>170.8</v>
      </c>
      <c r="E39" s="206">
        <f t="shared" si="2"/>
        <v>97.600000000000009</v>
      </c>
      <c r="F39" s="206">
        <f t="shared" si="3"/>
        <v>73.2</v>
      </c>
      <c r="G39" s="206">
        <f t="shared" si="4"/>
        <v>2440</v>
      </c>
      <c r="H39" s="206">
        <f t="shared" si="5"/>
        <v>1566.48</v>
      </c>
      <c r="I39" s="290"/>
      <c r="J39" s="290"/>
      <c r="K39" s="290"/>
      <c r="L39" s="290"/>
      <c r="M39" s="290"/>
      <c r="N39" s="206">
        <v>4153</v>
      </c>
      <c r="O39" s="206">
        <v>4214</v>
      </c>
      <c r="P39" s="203"/>
      <c r="Q39" s="205"/>
      <c r="R39" s="291">
        <v>40</v>
      </c>
      <c r="S39" s="206">
        <f t="shared" si="6"/>
        <v>2440</v>
      </c>
      <c r="T39" s="286"/>
      <c r="U39" s="286"/>
      <c r="V39" s="286"/>
      <c r="W39" s="286"/>
      <c r="X39" s="286"/>
      <c r="Y39" s="286"/>
      <c r="Z39" s="286"/>
      <c r="AA39" s="286"/>
      <c r="AB39" s="286"/>
      <c r="AC39" s="286"/>
      <c r="AD39" s="286"/>
    </row>
    <row r="40" spans="1:30" ht="35.1" customHeight="1">
      <c r="A40" s="289" t="s">
        <v>765</v>
      </c>
      <c r="B40" s="206">
        <f t="shared" si="0"/>
        <v>3894.8</v>
      </c>
      <c r="C40" s="206"/>
      <c r="D40" s="206">
        <f t="shared" si="1"/>
        <v>254.8</v>
      </c>
      <c r="E40" s="206">
        <f t="shared" si="2"/>
        <v>145.6</v>
      </c>
      <c r="F40" s="206">
        <f t="shared" si="3"/>
        <v>109.2</v>
      </c>
      <c r="G40" s="206">
        <f t="shared" si="4"/>
        <v>3640</v>
      </c>
      <c r="H40" s="206">
        <f t="shared" si="5"/>
        <v>2336.88</v>
      </c>
      <c r="I40" s="290"/>
      <c r="J40" s="290"/>
      <c r="K40" s="290"/>
      <c r="L40" s="290"/>
      <c r="M40" s="290"/>
      <c r="N40" s="206">
        <v>5023</v>
      </c>
      <c r="O40" s="206">
        <v>5114</v>
      </c>
      <c r="P40" s="203"/>
      <c r="Q40" s="205"/>
      <c r="R40" s="291">
        <v>40</v>
      </c>
      <c r="S40" s="206">
        <f t="shared" si="6"/>
        <v>3640</v>
      </c>
      <c r="T40" s="286"/>
      <c r="U40" s="286"/>
      <c r="V40" s="286"/>
      <c r="W40" s="286"/>
      <c r="X40" s="286"/>
      <c r="Y40" s="286"/>
      <c r="Z40" s="286"/>
      <c r="AA40" s="286"/>
      <c r="AB40" s="286"/>
      <c r="AC40" s="286"/>
      <c r="AD40" s="286"/>
    </row>
    <row r="41" spans="1:30" ht="35.1" customHeight="1">
      <c r="A41" s="289" t="s">
        <v>656</v>
      </c>
      <c r="B41" s="206">
        <f t="shared" si="0"/>
        <v>4280</v>
      </c>
      <c r="C41" s="206"/>
      <c r="D41" s="206">
        <f t="shared" si="1"/>
        <v>280</v>
      </c>
      <c r="E41" s="206">
        <f t="shared" si="2"/>
        <v>160</v>
      </c>
      <c r="F41" s="206">
        <f t="shared" si="3"/>
        <v>120</v>
      </c>
      <c r="G41" s="206">
        <f t="shared" si="4"/>
        <v>4000</v>
      </c>
      <c r="H41" s="206">
        <f t="shared" si="5"/>
        <v>2568</v>
      </c>
      <c r="I41" s="290"/>
      <c r="J41" s="290"/>
      <c r="K41" s="290"/>
      <c r="L41" s="290"/>
      <c r="M41" s="290"/>
      <c r="N41" s="206">
        <v>8621</v>
      </c>
      <c r="O41" s="206">
        <v>8721</v>
      </c>
      <c r="P41" s="203"/>
      <c r="Q41" s="205"/>
      <c r="R41" s="291">
        <v>40</v>
      </c>
      <c r="S41" s="206">
        <f t="shared" si="6"/>
        <v>4000</v>
      </c>
      <c r="T41" s="286"/>
      <c r="U41" s="286"/>
      <c r="V41" s="286"/>
      <c r="W41" s="286"/>
      <c r="X41" s="286"/>
      <c r="Y41" s="286"/>
      <c r="Z41" s="286"/>
      <c r="AA41" s="286"/>
      <c r="AB41" s="286"/>
      <c r="AC41" s="286"/>
      <c r="AD41" s="286"/>
    </row>
    <row r="42" spans="1:30" ht="35.1" customHeight="1">
      <c r="A42" s="289" t="s">
        <v>657</v>
      </c>
      <c r="B42" s="206">
        <f t="shared" si="0"/>
        <v>1712</v>
      </c>
      <c r="C42" s="206"/>
      <c r="D42" s="206">
        <f t="shared" si="1"/>
        <v>112</v>
      </c>
      <c r="E42" s="206">
        <f t="shared" si="2"/>
        <v>64</v>
      </c>
      <c r="F42" s="206">
        <f t="shared" si="3"/>
        <v>48</v>
      </c>
      <c r="G42" s="206">
        <f t="shared" si="4"/>
        <v>1600</v>
      </c>
      <c r="H42" s="206">
        <f t="shared" si="5"/>
        <v>1027.2</v>
      </c>
      <c r="I42" s="290"/>
      <c r="J42" s="290"/>
      <c r="K42" s="290"/>
      <c r="L42" s="290"/>
      <c r="M42" s="290"/>
      <c r="N42" s="206">
        <v>1996</v>
      </c>
      <c r="O42" s="206">
        <v>2036</v>
      </c>
      <c r="P42" s="203"/>
      <c r="Q42" s="205"/>
      <c r="R42" s="291">
        <v>40</v>
      </c>
      <c r="S42" s="206">
        <f t="shared" si="6"/>
        <v>1600</v>
      </c>
      <c r="T42" s="286"/>
      <c r="U42" s="286"/>
      <c r="V42" s="286"/>
      <c r="W42" s="286"/>
      <c r="X42" s="286"/>
      <c r="Y42" s="286"/>
      <c r="Z42" s="286"/>
      <c r="AA42" s="286"/>
      <c r="AB42" s="286"/>
      <c r="AC42" s="286"/>
      <c r="AD42" s="286"/>
    </row>
    <row r="43" spans="1:30" ht="35.1" customHeight="1">
      <c r="A43" s="289" t="s">
        <v>658</v>
      </c>
      <c r="B43" s="206">
        <f t="shared" si="0"/>
        <v>1540.8</v>
      </c>
      <c r="C43" s="206"/>
      <c r="D43" s="206">
        <f t="shared" si="1"/>
        <v>100.8</v>
      </c>
      <c r="E43" s="206">
        <f t="shared" si="2"/>
        <v>57.6</v>
      </c>
      <c r="F43" s="206">
        <f t="shared" si="3"/>
        <v>43.199999999999996</v>
      </c>
      <c r="G43" s="206">
        <f t="shared" si="4"/>
        <v>1440</v>
      </c>
      <c r="H43" s="206">
        <f t="shared" si="5"/>
        <v>924.4799999999999</v>
      </c>
      <c r="I43" s="290"/>
      <c r="J43" s="290"/>
      <c r="K43" s="290"/>
      <c r="L43" s="290"/>
      <c r="M43" s="290"/>
      <c r="N43" s="206">
        <v>1500</v>
      </c>
      <c r="O43" s="206">
        <v>1536</v>
      </c>
      <c r="P43" s="203"/>
      <c r="Q43" s="205"/>
      <c r="R43" s="291">
        <v>40</v>
      </c>
      <c r="S43" s="206">
        <f t="shared" si="6"/>
        <v>1440</v>
      </c>
      <c r="T43" s="286"/>
      <c r="U43" s="286"/>
      <c r="V43" s="286"/>
      <c r="W43" s="286"/>
      <c r="X43" s="286"/>
      <c r="Y43" s="286"/>
      <c r="Z43" s="286"/>
      <c r="AA43" s="286"/>
      <c r="AB43" s="286"/>
      <c r="AC43" s="286"/>
      <c r="AD43" s="286"/>
    </row>
    <row r="44" spans="1:30" ht="35.1" customHeight="1">
      <c r="A44" s="292" t="s">
        <v>659</v>
      </c>
      <c r="B44" s="293">
        <f>G44+D44</f>
        <v>10443.200000000001</v>
      </c>
      <c r="C44" s="293"/>
      <c r="D44" s="293">
        <f>E44+F44</f>
        <v>683.2</v>
      </c>
      <c r="E44" s="293">
        <f>0.04*G44</f>
        <v>390.40000000000003</v>
      </c>
      <c r="F44" s="293">
        <f>0.03*G44</f>
        <v>292.8</v>
      </c>
      <c r="G44" s="293">
        <f>S44</f>
        <v>9760</v>
      </c>
      <c r="H44" s="293">
        <f>0.6*B44</f>
        <v>6265.92</v>
      </c>
      <c r="I44" s="294"/>
      <c r="J44" s="294"/>
      <c r="K44" s="294"/>
      <c r="L44" s="294"/>
      <c r="M44" s="294"/>
      <c r="N44" s="293">
        <v>28052</v>
      </c>
      <c r="O44" s="293">
        <v>28296</v>
      </c>
      <c r="P44" s="295"/>
      <c r="Q44" s="296"/>
      <c r="R44" s="297">
        <v>40</v>
      </c>
      <c r="S44" s="293">
        <f>(O44-N44)*R44</f>
        <v>9760</v>
      </c>
      <c r="T44" s="286"/>
      <c r="U44" s="286"/>
      <c r="V44" s="286"/>
      <c r="W44" s="286"/>
      <c r="X44" s="286"/>
      <c r="Y44" s="286"/>
      <c r="Z44" s="286"/>
      <c r="AA44" s="286"/>
      <c r="AB44" s="286"/>
      <c r="AC44" s="286"/>
      <c r="AD44" s="286"/>
    </row>
    <row r="45" spans="1:30" ht="35.1" customHeight="1">
      <c r="A45" s="289" t="s">
        <v>660</v>
      </c>
      <c r="B45" s="206">
        <f t="shared" si="0"/>
        <v>18190</v>
      </c>
      <c r="C45" s="206"/>
      <c r="D45" s="206">
        <f t="shared" si="1"/>
        <v>1190</v>
      </c>
      <c r="E45" s="206">
        <f t="shared" si="2"/>
        <v>680</v>
      </c>
      <c r="F45" s="206">
        <f t="shared" si="3"/>
        <v>510</v>
      </c>
      <c r="G45" s="206">
        <f t="shared" si="4"/>
        <v>17000</v>
      </c>
      <c r="H45" s="206">
        <f t="shared" si="5"/>
        <v>10914</v>
      </c>
      <c r="I45" s="290"/>
      <c r="J45" s="290"/>
      <c r="K45" s="290"/>
      <c r="L45" s="290"/>
      <c r="M45" s="290"/>
      <c r="N45" s="206">
        <v>23500</v>
      </c>
      <c r="O45" s="206">
        <v>23925</v>
      </c>
      <c r="P45" s="203"/>
      <c r="Q45" s="205"/>
      <c r="R45" s="291">
        <v>40</v>
      </c>
      <c r="S45" s="206">
        <f t="shared" si="6"/>
        <v>17000</v>
      </c>
      <c r="T45" s="286"/>
      <c r="U45" s="286"/>
      <c r="V45" s="286"/>
      <c r="W45" s="286"/>
      <c r="X45" s="286"/>
      <c r="Y45" s="286"/>
      <c r="Z45" s="286"/>
      <c r="AA45" s="286"/>
      <c r="AB45" s="286"/>
      <c r="AC45" s="286"/>
      <c r="AD45" s="286"/>
    </row>
    <row r="46" spans="1:30" ht="35.1" customHeight="1">
      <c r="A46" s="289" t="s">
        <v>661</v>
      </c>
      <c r="B46" s="206">
        <f t="shared" si="0"/>
        <v>14124</v>
      </c>
      <c r="C46" s="206"/>
      <c r="D46" s="206">
        <f t="shared" si="1"/>
        <v>924</v>
      </c>
      <c r="E46" s="206">
        <f t="shared" si="2"/>
        <v>528</v>
      </c>
      <c r="F46" s="206">
        <f t="shared" si="3"/>
        <v>396</v>
      </c>
      <c r="G46" s="206">
        <f t="shared" si="4"/>
        <v>13200</v>
      </c>
      <c r="H46" s="206">
        <f t="shared" si="5"/>
        <v>8474.4</v>
      </c>
      <c r="I46" s="290"/>
      <c r="J46" s="290"/>
      <c r="K46" s="290"/>
      <c r="L46" s="290"/>
      <c r="M46" s="290"/>
      <c r="N46" s="206">
        <v>17815</v>
      </c>
      <c r="O46" s="206">
        <v>18145</v>
      </c>
      <c r="P46" s="203"/>
      <c r="Q46" s="205"/>
      <c r="R46" s="291">
        <v>40</v>
      </c>
      <c r="S46" s="206">
        <f t="shared" si="6"/>
        <v>13200</v>
      </c>
      <c r="T46" s="286"/>
      <c r="U46" s="286"/>
      <c r="V46" s="286"/>
      <c r="W46" s="286"/>
      <c r="X46" s="286"/>
      <c r="Y46" s="286"/>
      <c r="Z46" s="286"/>
      <c r="AA46" s="286"/>
      <c r="AB46" s="286"/>
      <c r="AC46" s="286"/>
      <c r="AD46" s="286"/>
    </row>
    <row r="47" spans="1:30" ht="35.1" customHeight="1">
      <c r="A47" s="289" t="s">
        <v>662</v>
      </c>
      <c r="B47" s="206">
        <f t="shared" si="0"/>
        <v>1412.4</v>
      </c>
      <c r="C47" s="206"/>
      <c r="D47" s="206">
        <f t="shared" si="1"/>
        <v>92.4</v>
      </c>
      <c r="E47" s="206">
        <f t="shared" si="2"/>
        <v>52.800000000000004</v>
      </c>
      <c r="F47" s="206">
        <f t="shared" si="3"/>
        <v>39.6</v>
      </c>
      <c r="G47" s="206">
        <f t="shared" si="4"/>
        <v>1320</v>
      </c>
      <c r="H47" s="206">
        <f t="shared" si="5"/>
        <v>847.44</v>
      </c>
      <c r="I47" s="290"/>
      <c r="J47" s="290"/>
      <c r="K47" s="290"/>
      <c r="L47" s="290"/>
      <c r="M47" s="290"/>
      <c r="N47" s="206">
        <v>2658</v>
      </c>
      <c r="O47" s="206">
        <v>2691</v>
      </c>
      <c r="P47" s="203"/>
      <c r="Q47" s="205"/>
      <c r="R47" s="291">
        <v>40</v>
      </c>
      <c r="S47" s="206">
        <f t="shared" si="6"/>
        <v>1320</v>
      </c>
      <c r="T47" s="286"/>
      <c r="U47" s="286"/>
      <c r="V47" s="286"/>
      <c r="W47" s="286"/>
      <c r="X47" s="286"/>
      <c r="Y47" s="286"/>
      <c r="Z47" s="286"/>
      <c r="AA47" s="286"/>
      <c r="AB47" s="286"/>
      <c r="AC47" s="286"/>
      <c r="AD47" s="286"/>
    </row>
    <row r="48" spans="1:30" ht="35.1" customHeight="1">
      <c r="A48" s="289"/>
      <c r="B48" s="206"/>
      <c r="C48" s="206"/>
      <c r="D48" s="206"/>
      <c r="E48" s="206"/>
      <c r="F48" s="206"/>
      <c r="G48" s="206"/>
      <c r="H48" s="206"/>
      <c r="I48" s="290"/>
      <c r="J48" s="290"/>
      <c r="K48" s="290"/>
      <c r="L48" s="290"/>
      <c r="M48" s="290"/>
      <c r="N48" s="206"/>
      <c r="O48" s="206"/>
      <c r="P48" s="203"/>
      <c r="Q48" s="205"/>
      <c r="R48" s="291"/>
      <c r="S48" s="206"/>
      <c r="T48" s="286"/>
      <c r="U48" s="286"/>
      <c r="V48" s="286"/>
      <c r="W48" s="286"/>
      <c r="X48" s="286"/>
      <c r="Y48" s="286"/>
      <c r="Z48" s="286"/>
      <c r="AA48" s="286"/>
      <c r="AB48" s="286"/>
      <c r="AC48" s="286"/>
      <c r="AD48" s="286"/>
    </row>
    <row r="49" spans="1:30" ht="35.1" customHeight="1">
      <c r="A49" s="289" t="s">
        <v>663</v>
      </c>
      <c r="B49" s="206">
        <f t="shared" si="0"/>
        <v>28697.4</v>
      </c>
      <c r="C49" s="206"/>
      <c r="D49" s="206">
        <f t="shared" si="1"/>
        <v>1877.4</v>
      </c>
      <c r="E49" s="206">
        <f t="shared" si="2"/>
        <v>1072.8</v>
      </c>
      <c r="F49" s="206">
        <f t="shared" si="3"/>
        <v>804.6</v>
      </c>
      <c r="G49" s="206">
        <f t="shared" si="4"/>
        <v>26820</v>
      </c>
      <c r="H49" s="206">
        <f t="shared" si="5"/>
        <v>17218.439999999999</v>
      </c>
      <c r="I49" s="290"/>
      <c r="J49" s="290"/>
      <c r="K49" s="290"/>
      <c r="L49" s="290"/>
      <c r="M49" s="290"/>
      <c r="N49" s="206">
        <v>25163</v>
      </c>
      <c r="O49" s="206">
        <v>25610</v>
      </c>
      <c r="P49" s="203"/>
      <c r="Q49" s="205"/>
      <c r="R49" s="291">
        <v>60</v>
      </c>
      <c r="S49" s="206">
        <f t="shared" ref="S49:S61" si="7">(O49-N49)*R49</f>
        <v>26820</v>
      </c>
      <c r="T49" s="286"/>
      <c r="U49" s="286"/>
      <c r="V49" s="286"/>
      <c r="W49" s="286"/>
      <c r="X49" s="286"/>
      <c r="Y49" s="286"/>
      <c r="Z49" s="286"/>
      <c r="AA49" s="286"/>
      <c r="AB49" s="286"/>
      <c r="AC49" s="286"/>
      <c r="AD49" s="286"/>
    </row>
    <row r="50" spans="1:30" ht="35.1" customHeight="1">
      <c r="A50" s="289" t="s">
        <v>664</v>
      </c>
      <c r="B50" s="206">
        <f t="shared" si="0"/>
        <v>3852</v>
      </c>
      <c r="C50" s="206"/>
      <c r="D50" s="206">
        <f t="shared" si="1"/>
        <v>252</v>
      </c>
      <c r="E50" s="206">
        <f t="shared" si="2"/>
        <v>144</v>
      </c>
      <c r="F50" s="206">
        <f t="shared" si="3"/>
        <v>108</v>
      </c>
      <c r="G50" s="206">
        <f t="shared" si="4"/>
        <v>3600</v>
      </c>
      <c r="H50" s="206">
        <f t="shared" si="5"/>
        <v>2311.1999999999998</v>
      </c>
      <c r="I50" s="290"/>
      <c r="J50" s="290"/>
      <c r="K50" s="290"/>
      <c r="L50" s="290"/>
      <c r="M50" s="290"/>
      <c r="N50" s="206">
        <v>3227</v>
      </c>
      <c r="O50" s="206">
        <v>3317</v>
      </c>
      <c r="P50" s="203"/>
      <c r="Q50" s="205"/>
      <c r="R50" s="291">
        <v>40</v>
      </c>
      <c r="S50" s="206">
        <f t="shared" si="7"/>
        <v>3600</v>
      </c>
      <c r="T50" s="286"/>
      <c r="U50" s="286"/>
      <c r="V50" s="286"/>
      <c r="W50" s="286"/>
      <c r="X50" s="286"/>
      <c r="Y50" s="286"/>
      <c r="Z50" s="286"/>
      <c r="AA50" s="286"/>
      <c r="AB50" s="286"/>
      <c r="AC50" s="286"/>
      <c r="AD50" s="286"/>
    </row>
    <row r="51" spans="1:30" ht="35.1" customHeight="1">
      <c r="A51" s="289" t="s">
        <v>665</v>
      </c>
      <c r="B51" s="206">
        <f t="shared" si="0"/>
        <v>2140</v>
      </c>
      <c r="C51" s="206"/>
      <c r="D51" s="206">
        <f t="shared" si="1"/>
        <v>140</v>
      </c>
      <c r="E51" s="206">
        <f t="shared" si="2"/>
        <v>80</v>
      </c>
      <c r="F51" s="206">
        <f t="shared" si="3"/>
        <v>60</v>
      </c>
      <c r="G51" s="206">
        <f t="shared" si="4"/>
        <v>2000</v>
      </c>
      <c r="H51" s="206">
        <f t="shared" si="5"/>
        <v>1284</v>
      </c>
      <c r="I51" s="290"/>
      <c r="J51" s="290"/>
      <c r="K51" s="290"/>
      <c r="L51" s="290"/>
      <c r="M51" s="290"/>
      <c r="N51" s="206">
        <v>2558</v>
      </c>
      <c r="O51" s="206">
        <v>2608</v>
      </c>
      <c r="P51" s="203"/>
      <c r="Q51" s="205"/>
      <c r="R51" s="291">
        <v>40</v>
      </c>
      <c r="S51" s="206">
        <f t="shared" si="7"/>
        <v>2000</v>
      </c>
      <c r="T51" s="286"/>
      <c r="U51" s="286"/>
      <c r="V51" s="286"/>
      <c r="W51" s="286"/>
      <c r="X51" s="286"/>
      <c r="Y51" s="286"/>
      <c r="Z51" s="286"/>
      <c r="AA51" s="286"/>
      <c r="AB51" s="286"/>
      <c r="AC51" s="286"/>
      <c r="AD51" s="286"/>
    </row>
    <row r="52" spans="1:30" ht="35.1" customHeight="1">
      <c r="A52" s="289" t="s">
        <v>666</v>
      </c>
      <c r="B52" s="206">
        <f t="shared" si="0"/>
        <v>2867.6</v>
      </c>
      <c r="C52" s="206"/>
      <c r="D52" s="206">
        <f t="shared" si="1"/>
        <v>187.6</v>
      </c>
      <c r="E52" s="206">
        <f t="shared" si="2"/>
        <v>107.2</v>
      </c>
      <c r="F52" s="206">
        <f t="shared" si="3"/>
        <v>80.399999999999991</v>
      </c>
      <c r="G52" s="206">
        <f t="shared" si="4"/>
        <v>2680</v>
      </c>
      <c r="H52" s="206">
        <f t="shared" si="5"/>
        <v>1720.56</v>
      </c>
      <c r="I52" s="290"/>
      <c r="J52" s="290"/>
      <c r="K52" s="290"/>
      <c r="L52" s="290"/>
      <c r="M52" s="290"/>
      <c r="N52" s="206">
        <v>5258</v>
      </c>
      <c r="O52" s="206">
        <v>5325</v>
      </c>
      <c r="P52" s="203"/>
      <c r="Q52" s="205"/>
      <c r="R52" s="291">
        <v>40</v>
      </c>
      <c r="S52" s="206">
        <f t="shared" si="7"/>
        <v>2680</v>
      </c>
      <c r="T52" s="286"/>
      <c r="U52" s="286"/>
      <c r="V52" s="286"/>
      <c r="W52" s="286"/>
      <c r="X52" s="286"/>
      <c r="Y52" s="286"/>
      <c r="Z52" s="286"/>
      <c r="AA52" s="286"/>
      <c r="AB52" s="286"/>
      <c r="AC52" s="286"/>
      <c r="AD52" s="286"/>
    </row>
    <row r="53" spans="1:30" ht="35.1" customHeight="1">
      <c r="A53" s="289" t="s">
        <v>667</v>
      </c>
      <c r="B53" s="206">
        <f t="shared" si="0"/>
        <v>12369.2</v>
      </c>
      <c r="C53" s="206"/>
      <c r="D53" s="206">
        <f t="shared" si="1"/>
        <v>809.2</v>
      </c>
      <c r="E53" s="206">
        <f t="shared" si="2"/>
        <v>462.40000000000003</v>
      </c>
      <c r="F53" s="206">
        <f t="shared" si="3"/>
        <v>346.8</v>
      </c>
      <c r="G53" s="206">
        <f t="shared" si="4"/>
        <v>11560</v>
      </c>
      <c r="H53" s="206">
        <f t="shared" si="5"/>
        <v>7421.52</v>
      </c>
      <c r="I53" s="290"/>
      <c r="J53" s="290"/>
      <c r="K53" s="290"/>
      <c r="L53" s="290"/>
      <c r="M53" s="290"/>
      <c r="N53" s="206">
        <v>29983</v>
      </c>
      <c r="O53" s="206">
        <v>30272</v>
      </c>
      <c r="P53" s="203"/>
      <c r="Q53" s="205"/>
      <c r="R53" s="291">
        <v>40</v>
      </c>
      <c r="S53" s="206">
        <f t="shared" si="7"/>
        <v>11560</v>
      </c>
      <c r="T53" s="286"/>
      <c r="U53" s="286"/>
      <c r="V53" s="286"/>
      <c r="W53" s="286"/>
      <c r="X53" s="286"/>
      <c r="Y53" s="286"/>
      <c r="Z53" s="286"/>
      <c r="AA53" s="286"/>
      <c r="AB53" s="286"/>
      <c r="AC53" s="286"/>
      <c r="AD53" s="286"/>
    </row>
    <row r="54" spans="1:30" ht="35.1" customHeight="1">
      <c r="A54" s="289" t="s">
        <v>668</v>
      </c>
      <c r="B54" s="206">
        <f t="shared" si="0"/>
        <v>7532.8</v>
      </c>
      <c r="C54" s="206"/>
      <c r="D54" s="206">
        <f t="shared" si="1"/>
        <v>492.8</v>
      </c>
      <c r="E54" s="206">
        <f t="shared" si="2"/>
        <v>281.60000000000002</v>
      </c>
      <c r="F54" s="206">
        <f t="shared" si="3"/>
        <v>211.2</v>
      </c>
      <c r="G54" s="206">
        <f t="shared" si="4"/>
        <v>7040</v>
      </c>
      <c r="H54" s="206">
        <f t="shared" si="5"/>
        <v>4519.68</v>
      </c>
      <c r="I54" s="290"/>
      <c r="J54" s="290"/>
      <c r="K54" s="290"/>
      <c r="L54" s="290"/>
      <c r="M54" s="290"/>
      <c r="N54" s="206">
        <v>9402</v>
      </c>
      <c r="O54" s="206">
        <v>9578</v>
      </c>
      <c r="P54" s="203"/>
      <c r="Q54" s="205"/>
      <c r="R54" s="291">
        <v>40</v>
      </c>
      <c r="S54" s="206">
        <f t="shared" si="7"/>
        <v>7040</v>
      </c>
      <c r="T54" s="286"/>
      <c r="U54" s="286"/>
      <c r="V54" s="286"/>
      <c r="W54" s="286"/>
      <c r="X54" s="286"/>
      <c r="Y54" s="286"/>
      <c r="Z54" s="286"/>
      <c r="AA54" s="286"/>
      <c r="AB54" s="286"/>
      <c r="AC54" s="286"/>
      <c r="AD54" s="286"/>
    </row>
    <row r="55" spans="1:30" ht="35.1" customHeight="1">
      <c r="A55" s="289" t="s">
        <v>669</v>
      </c>
      <c r="B55" s="206">
        <f t="shared" si="0"/>
        <v>1797.6</v>
      </c>
      <c r="C55" s="206"/>
      <c r="D55" s="206">
        <f t="shared" si="1"/>
        <v>117.6</v>
      </c>
      <c r="E55" s="206">
        <f t="shared" si="2"/>
        <v>67.2</v>
      </c>
      <c r="F55" s="206">
        <f t="shared" si="3"/>
        <v>50.4</v>
      </c>
      <c r="G55" s="206">
        <f t="shared" si="4"/>
        <v>1680</v>
      </c>
      <c r="H55" s="206">
        <f t="shared" si="5"/>
        <v>1078.56</v>
      </c>
      <c r="I55" s="290"/>
      <c r="J55" s="290"/>
      <c r="K55" s="290"/>
      <c r="L55" s="290"/>
      <c r="M55" s="290"/>
      <c r="N55" s="206">
        <v>2081</v>
      </c>
      <c r="O55" s="206">
        <v>2123</v>
      </c>
      <c r="P55" s="203"/>
      <c r="Q55" s="205"/>
      <c r="R55" s="291">
        <v>40</v>
      </c>
      <c r="S55" s="206">
        <f t="shared" si="7"/>
        <v>1680</v>
      </c>
      <c r="T55" s="286"/>
      <c r="U55" s="286"/>
      <c r="V55" s="286"/>
      <c r="W55" s="286"/>
      <c r="X55" s="286"/>
      <c r="Y55" s="286"/>
      <c r="Z55" s="286"/>
      <c r="AA55" s="286"/>
      <c r="AB55" s="286"/>
      <c r="AC55" s="286"/>
      <c r="AD55" s="286"/>
    </row>
    <row r="56" spans="1:30" ht="35.1" customHeight="1">
      <c r="A56" s="289" t="s">
        <v>670</v>
      </c>
      <c r="B56" s="206">
        <f t="shared" si="0"/>
        <v>21956.400000000001</v>
      </c>
      <c r="C56" s="206"/>
      <c r="D56" s="206">
        <f t="shared" si="1"/>
        <v>1436.4</v>
      </c>
      <c r="E56" s="206">
        <f t="shared" si="2"/>
        <v>820.80000000000007</v>
      </c>
      <c r="F56" s="206">
        <f t="shared" si="3"/>
        <v>615.6</v>
      </c>
      <c r="G56" s="206">
        <f t="shared" si="4"/>
        <v>20520</v>
      </c>
      <c r="H56" s="206">
        <f t="shared" si="5"/>
        <v>13173.84</v>
      </c>
      <c r="I56" s="290"/>
      <c r="J56" s="290"/>
      <c r="K56" s="290"/>
      <c r="L56" s="290"/>
      <c r="M56" s="290"/>
      <c r="N56" s="206">
        <v>42514</v>
      </c>
      <c r="O56" s="206">
        <v>43027</v>
      </c>
      <c r="P56" s="203"/>
      <c r="Q56" s="205"/>
      <c r="R56" s="291">
        <v>40</v>
      </c>
      <c r="S56" s="206">
        <f t="shared" si="7"/>
        <v>20520</v>
      </c>
      <c r="T56" s="286"/>
      <c r="U56" s="286"/>
      <c r="V56" s="286"/>
      <c r="W56" s="286"/>
      <c r="X56" s="286"/>
      <c r="Y56" s="286"/>
      <c r="Z56" s="286"/>
      <c r="AA56" s="286"/>
      <c r="AB56" s="286"/>
      <c r="AC56" s="286"/>
      <c r="AD56" s="286"/>
    </row>
    <row r="57" spans="1:30" ht="35.1" customHeight="1">
      <c r="A57" s="289" t="s">
        <v>671</v>
      </c>
      <c r="B57" s="206">
        <f t="shared" si="0"/>
        <v>10357.6</v>
      </c>
      <c r="C57" s="206"/>
      <c r="D57" s="206">
        <f>E57+F57</f>
        <v>677.59999999999991</v>
      </c>
      <c r="E57" s="206">
        <f>0.04*G57</f>
        <v>387.2</v>
      </c>
      <c r="F57" s="206">
        <f>0.03*G57</f>
        <v>290.39999999999998</v>
      </c>
      <c r="G57" s="206">
        <f>S57</f>
        <v>9680</v>
      </c>
      <c r="H57" s="206">
        <f t="shared" si="5"/>
        <v>6214.56</v>
      </c>
      <c r="I57" s="290"/>
      <c r="J57" s="290"/>
      <c r="K57" s="290"/>
      <c r="L57" s="290"/>
      <c r="M57" s="290"/>
      <c r="N57" s="206">
        <v>11823</v>
      </c>
      <c r="O57" s="206">
        <v>12065</v>
      </c>
      <c r="P57" s="203"/>
      <c r="Q57" s="205"/>
      <c r="R57" s="291">
        <v>40</v>
      </c>
      <c r="S57" s="206">
        <f t="shared" si="7"/>
        <v>9680</v>
      </c>
      <c r="T57" s="286"/>
      <c r="U57" s="286"/>
      <c r="V57" s="286"/>
      <c r="W57" s="286"/>
      <c r="X57" s="286"/>
      <c r="Y57" s="286"/>
      <c r="Z57" s="286"/>
      <c r="AA57" s="286"/>
      <c r="AB57" s="286"/>
      <c r="AC57" s="286"/>
      <c r="AD57" s="286"/>
    </row>
    <row r="58" spans="1:30" ht="35.1" customHeight="1">
      <c r="A58" s="289" t="s">
        <v>672</v>
      </c>
      <c r="B58" s="206">
        <f t="shared" si="0"/>
        <v>0</v>
      </c>
      <c r="C58" s="206"/>
      <c r="D58" s="206">
        <f>E58+F58</f>
        <v>0</v>
      </c>
      <c r="E58" s="206">
        <f>0.04*G58</f>
        <v>0</v>
      </c>
      <c r="F58" s="206">
        <f>0.03*G58</f>
        <v>0</v>
      </c>
      <c r="G58" s="206">
        <f>S58</f>
        <v>0</v>
      </c>
      <c r="H58" s="206">
        <f t="shared" si="5"/>
        <v>0</v>
      </c>
      <c r="I58" s="290"/>
      <c r="J58" s="290"/>
      <c r="K58" s="290"/>
      <c r="L58" s="290"/>
      <c r="M58" s="290"/>
      <c r="N58" s="487">
        <v>7</v>
      </c>
      <c r="O58" s="487">
        <v>7</v>
      </c>
      <c r="P58" s="203"/>
      <c r="Q58" s="205"/>
      <c r="R58" s="291">
        <v>40</v>
      </c>
      <c r="S58" s="206">
        <f t="shared" si="7"/>
        <v>0</v>
      </c>
      <c r="T58" s="286"/>
      <c r="U58" s="286"/>
      <c r="V58" s="286"/>
      <c r="W58" s="286"/>
      <c r="X58" s="286"/>
      <c r="Y58" s="286"/>
      <c r="Z58" s="286"/>
      <c r="AA58" s="286"/>
      <c r="AB58" s="286"/>
      <c r="AC58" s="286"/>
      <c r="AD58" s="286"/>
    </row>
    <row r="59" spans="1:30" ht="35.1" customHeight="1">
      <c r="A59" s="289" t="s">
        <v>761</v>
      </c>
      <c r="B59" s="487">
        <f t="shared" si="0"/>
        <v>5735.2</v>
      </c>
      <c r="C59" s="487"/>
      <c r="D59" s="487">
        <f t="shared" ref="D59:D60" si="8">E59+F59</f>
        <v>375.2</v>
      </c>
      <c r="E59" s="487">
        <f t="shared" ref="E59:E60" si="9">0.04*G59</f>
        <v>214.4</v>
      </c>
      <c r="F59" s="487">
        <f t="shared" ref="F59:F60" si="10">0.03*G59</f>
        <v>160.79999999999998</v>
      </c>
      <c r="G59" s="487">
        <f t="shared" ref="G59:G61" si="11">S59</f>
        <v>5360</v>
      </c>
      <c r="H59" s="487">
        <f t="shared" si="5"/>
        <v>3441.12</v>
      </c>
      <c r="I59" s="290"/>
      <c r="J59" s="290"/>
      <c r="K59" s="290"/>
      <c r="L59" s="290"/>
      <c r="M59" s="290"/>
      <c r="N59" s="487">
        <v>1296</v>
      </c>
      <c r="O59" s="487">
        <v>1430</v>
      </c>
      <c r="P59" s="203"/>
      <c r="Q59" s="489"/>
      <c r="R59" s="490">
        <v>40</v>
      </c>
      <c r="S59" s="487">
        <f t="shared" si="7"/>
        <v>5360</v>
      </c>
      <c r="T59" s="286"/>
      <c r="U59" s="286"/>
      <c r="V59" s="286"/>
      <c r="W59" s="286"/>
      <c r="X59" s="286"/>
      <c r="Y59" s="286"/>
      <c r="Z59" s="286"/>
      <c r="AA59" s="286"/>
      <c r="AB59" s="286"/>
      <c r="AC59" s="286"/>
      <c r="AD59" s="286"/>
    </row>
    <row r="60" spans="1:30" ht="35.1" customHeight="1">
      <c r="A60" s="289" t="s">
        <v>762</v>
      </c>
      <c r="B60" s="206">
        <f t="shared" si="0"/>
        <v>4879.2</v>
      </c>
      <c r="C60" s="206"/>
      <c r="D60" s="206">
        <f t="shared" si="8"/>
        <v>319.2</v>
      </c>
      <c r="E60" s="206">
        <f t="shared" si="9"/>
        <v>182.4</v>
      </c>
      <c r="F60" s="206">
        <f t="shared" si="10"/>
        <v>136.79999999999998</v>
      </c>
      <c r="G60" s="206">
        <f t="shared" si="11"/>
        <v>4560</v>
      </c>
      <c r="H60" s="206">
        <f t="shared" si="5"/>
        <v>2927.52</v>
      </c>
      <c r="I60" s="491"/>
      <c r="J60" s="491"/>
      <c r="K60" s="491"/>
      <c r="L60" s="491"/>
      <c r="M60" s="491"/>
      <c r="N60" s="206">
        <v>1714</v>
      </c>
      <c r="O60" s="206">
        <v>1866</v>
      </c>
      <c r="P60" s="492"/>
      <c r="Q60" s="205"/>
      <c r="R60" s="291">
        <v>30</v>
      </c>
      <c r="S60" s="206">
        <f t="shared" si="7"/>
        <v>4560</v>
      </c>
      <c r="T60" s="286"/>
      <c r="U60" s="286"/>
      <c r="V60" s="286"/>
      <c r="W60" s="286"/>
      <c r="X60" s="286"/>
      <c r="Y60" s="286"/>
      <c r="Z60" s="286"/>
      <c r="AA60" s="286"/>
      <c r="AB60" s="286"/>
      <c r="AC60" s="286"/>
      <c r="AD60" s="286"/>
    </row>
    <row r="61" spans="1:30" ht="35.1" customHeight="1">
      <c r="A61" s="300" t="s">
        <v>801</v>
      </c>
      <c r="B61" s="124">
        <f>G61</f>
        <v>2136</v>
      </c>
      <c r="C61" s="125"/>
      <c r="D61" s="124">
        <f>E61+F61</f>
        <v>149.51999999999998</v>
      </c>
      <c r="E61" s="124">
        <f>0.04*G61</f>
        <v>85.44</v>
      </c>
      <c r="F61" s="124">
        <f>0.03*G61</f>
        <v>64.08</v>
      </c>
      <c r="G61" s="125">
        <f t="shared" si="11"/>
        <v>2136</v>
      </c>
      <c r="H61" s="345">
        <f>B61*0.4</f>
        <v>854.40000000000009</v>
      </c>
      <c r="I61" s="133"/>
      <c r="J61" s="133"/>
      <c r="K61" s="133"/>
      <c r="L61" s="133"/>
      <c r="M61" s="133"/>
      <c r="N61" s="125">
        <v>6923</v>
      </c>
      <c r="O61" s="125">
        <v>9059</v>
      </c>
      <c r="P61" s="546"/>
      <c r="Q61" s="547"/>
      <c r="R61" s="547">
        <v>1</v>
      </c>
      <c r="S61" s="125">
        <f t="shared" si="7"/>
        <v>2136</v>
      </c>
      <c r="T61" s="286"/>
      <c r="U61" s="286"/>
      <c r="V61" s="286"/>
      <c r="W61" s="286"/>
      <c r="X61" s="286"/>
      <c r="Y61" s="286"/>
      <c r="Z61" s="286"/>
      <c r="AA61" s="286"/>
      <c r="AB61" s="286"/>
      <c r="AC61" s="286"/>
      <c r="AD61" s="286"/>
    </row>
    <row r="62" spans="1:30" ht="35.1" customHeight="1">
      <c r="A62" s="548" t="s">
        <v>673</v>
      </c>
      <c r="B62" s="208">
        <f>SUM(B33:B61)-B44</f>
        <v>184421.2</v>
      </c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6"/>
      <c r="N62" s="488"/>
      <c r="O62" s="488"/>
      <c r="P62" s="286"/>
      <c r="Q62" s="286"/>
      <c r="R62" s="286"/>
      <c r="S62" s="286"/>
      <c r="T62" s="651"/>
      <c r="U62" s="286"/>
      <c r="V62" s="286"/>
      <c r="W62" s="286"/>
      <c r="X62" s="286"/>
      <c r="Y62" s="286"/>
      <c r="Z62" s="286"/>
      <c r="AA62" s="286"/>
      <c r="AB62" s="286"/>
      <c r="AC62" s="286"/>
      <c r="AD62" s="286"/>
    </row>
    <row r="63" spans="1:30" ht="35.1" customHeight="1">
      <c r="A63" s="286"/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6"/>
      <c r="P63" s="286"/>
      <c r="Q63" s="286"/>
      <c r="R63" s="286"/>
      <c r="S63" s="286"/>
      <c r="T63" s="286"/>
      <c r="U63" s="286"/>
      <c r="V63" s="286"/>
      <c r="W63" s="286"/>
      <c r="X63" s="286"/>
      <c r="Y63" s="286"/>
      <c r="Z63" s="286"/>
      <c r="AA63" s="286"/>
      <c r="AB63" s="286"/>
      <c r="AC63" s="286"/>
      <c r="AD63" s="286"/>
    </row>
    <row r="64" spans="1:30" ht="35.1" customHeight="1">
      <c r="A64" s="679" t="s">
        <v>775</v>
      </c>
      <c r="B64" s="124">
        <f>G64</f>
        <v>1241</v>
      </c>
      <c r="C64" s="125"/>
      <c r="D64" s="124">
        <f>E64+F64</f>
        <v>86.87</v>
      </c>
      <c r="E64" s="124">
        <f>0.04*G64</f>
        <v>49.64</v>
      </c>
      <c r="F64" s="124">
        <f>0.03*G64</f>
        <v>37.229999999999997</v>
      </c>
      <c r="G64" s="125">
        <f t="shared" ref="G64" si="12">S64</f>
        <v>1241</v>
      </c>
      <c r="H64" s="345">
        <f>B64*0.4</f>
        <v>496.40000000000003</v>
      </c>
      <c r="I64" s="133"/>
      <c r="J64" s="133"/>
      <c r="K64" s="133"/>
      <c r="L64" s="133"/>
      <c r="M64" s="133"/>
      <c r="N64" s="125">
        <v>21629</v>
      </c>
      <c r="O64" s="125">
        <v>22870</v>
      </c>
      <c r="P64" s="546"/>
      <c r="Q64" s="547"/>
      <c r="R64" s="547">
        <v>1</v>
      </c>
      <c r="S64" s="125">
        <f t="shared" ref="S64" si="13">(O64-N64)*R64</f>
        <v>1241</v>
      </c>
      <c r="T64" s="286"/>
      <c r="U64" s="286"/>
      <c r="V64" s="286"/>
      <c r="W64" s="286"/>
      <c r="X64" s="286"/>
      <c r="Y64" s="286"/>
      <c r="Z64" s="286"/>
      <c r="AA64" s="286"/>
      <c r="AB64" s="286"/>
      <c r="AC64" s="286"/>
      <c r="AD64" s="286"/>
    </row>
    <row r="65" spans="1:30" ht="35.1" customHeight="1">
      <c r="A65" s="298" t="s">
        <v>674</v>
      </c>
      <c r="B65" s="202">
        <f>(G65+D65)</f>
        <v>485708.31000000483</v>
      </c>
      <c r="C65" s="202"/>
      <c r="D65" s="202">
        <f>E65+F65</f>
        <v>31775.310000000318</v>
      </c>
      <c r="E65" s="202">
        <f>0.04*G65</f>
        <v>18157.320000000182</v>
      </c>
      <c r="F65" s="202">
        <f>0.03*G65</f>
        <v>13617.990000000136</v>
      </c>
      <c r="G65" s="202">
        <f>(S65+S66)</f>
        <v>453933.00000000454</v>
      </c>
      <c r="H65" s="202">
        <f>S67</f>
        <v>0</v>
      </c>
      <c r="I65" s="203"/>
      <c r="J65" s="203"/>
      <c r="K65" s="203"/>
      <c r="L65" s="203"/>
      <c r="M65" s="203" t="s">
        <v>675</v>
      </c>
      <c r="N65" s="204">
        <v>79019.149999999994</v>
      </c>
      <c r="O65" s="204">
        <v>79759.600000000006</v>
      </c>
      <c r="P65" s="203"/>
      <c r="Q65" s="205" t="s">
        <v>676</v>
      </c>
      <c r="R65" s="202">
        <v>300</v>
      </c>
      <c r="S65" s="206">
        <f>(O65-N65)*R65</f>
        <v>222135.00000000349</v>
      </c>
      <c r="T65" s="827"/>
      <c r="U65" s="828"/>
      <c r="V65" s="828"/>
      <c r="W65" s="828"/>
      <c r="X65" s="828"/>
      <c r="Y65" s="828"/>
      <c r="Z65" s="828"/>
      <c r="AA65" s="828"/>
      <c r="AB65" s="828"/>
      <c r="AC65" s="828"/>
      <c r="AD65" s="828"/>
    </row>
    <row r="66" spans="1:30" ht="35.1" customHeight="1">
      <c r="A66" s="299" t="s">
        <v>677</v>
      </c>
      <c r="B66" s="202"/>
      <c r="C66" s="202"/>
      <c r="D66" s="208"/>
      <c r="E66" s="202"/>
      <c r="F66" s="202"/>
      <c r="G66" s="202"/>
      <c r="H66" s="202"/>
      <c r="I66" s="203"/>
      <c r="J66" s="203"/>
      <c r="K66" s="203"/>
      <c r="L66" s="203"/>
      <c r="M66" s="203"/>
      <c r="N66" s="204">
        <v>73183.039999999994</v>
      </c>
      <c r="O66" s="204">
        <v>73955.7</v>
      </c>
      <c r="P66" s="203"/>
      <c r="Q66" s="205" t="s">
        <v>676</v>
      </c>
      <c r="R66" s="202">
        <v>300</v>
      </c>
      <c r="S66" s="206">
        <f>(O66-N66)*R66</f>
        <v>231798.00000000105</v>
      </c>
      <c r="T66" s="286"/>
      <c r="U66" s="286"/>
      <c r="V66" s="286"/>
      <c r="W66" s="286"/>
      <c r="X66" s="286"/>
      <c r="Y66" s="286"/>
      <c r="Z66" s="286"/>
      <c r="AA66" s="286"/>
      <c r="AB66" s="286"/>
      <c r="AC66" s="286"/>
      <c r="AD66" s="286"/>
    </row>
    <row r="67" spans="1:30">
      <c r="A67" s="286"/>
      <c r="B67" s="286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6"/>
      <c r="N67" s="286"/>
      <c r="O67" s="286"/>
      <c r="P67" s="286"/>
      <c r="Q67" s="286"/>
      <c r="R67" s="286"/>
      <c r="S67" s="286"/>
      <c r="T67" s="286"/>
      <c r="U67" s="286"/>
      <c r="V67" s="286"/>
      <c r="W67" s="286"/>
      <c r="X67" s="286"/>
      <c r="Y67" s="286"/>
      <c r="Z67" s="286"/>
      <c r="AA67" s="286"/>
      <c r="AB67" s="286"/>
      <c r="AC67" s="286"/>
      <c r="AD67" s="286"/>
    </row>
    <row r="68" spans="1:30">
      <c r="A68" s="286"/>
      <c r="B68" s="286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6"/>
      <c r="N68" s="286"/>
      <c r="O68" s="286"/>
      <c r="P68" s="286"/>
      <c r="Q68" s="286"/>
      <c r="R68" s="286"/>
      <c r="S68" s="286"/>
      <c r="T68" s="286"/>
      <c r="U68" s="286"/>
      <c r="V68" s="286"/>
      <c r="W68" s="286"/>
      <c r="X68" s="286"/>
      <c r="Y68" s="286"/>
      <c r="Z68" s="286"/>
      <c r="AA68" s="286"/>
      <c r="AB68" s="286"/>
      <c r="AC68" s="286"/>
      <c r="AD68" s="286"/>
    </row>
    <row r="69" spans="1:30">
      <c r="A69" s="286" t="s">
        <v>678</v>
      </c>
      <c r="B69" s="300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6"/>
      <c r="P69" s="286"/>
      <c r="Q69" s="286"/>
      <c r="R69" s="286"/>
      <c r="S69" s="286"/>
      <c r="T69" s="286"/>
      <c r="U69" s="286"/>
      <c r="V69" s="286"/>
      <c r="W69" s="286"/>
      <c r="X69" s="286"/>
      <c r="Y69" s="286"/>
      <c r="Z69" s="286"/>
      <c r="AA69" s="286"/>
      <c r="AB69" s="286"/>
      <c r="AC69" s="286"/>
      <c r="AD69" s="286"/>
    </row>
    <row r="70" spans="1:30">
      <c r="A70" s="286"/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6"/>
      <c r="P70" s="286"/>
      <c r="Q70" s="286"/>
      <c r="R70" s="286"/>
      <c r="S70" s="286"/>
      <c r="T70" s="286"/>
      <c r="U70" s="286"/>
      <c r="V70" s="286"/>
      <c r="W70" s="286"/>
      <c r="X70" s="286"/>
      <c r="Y70" s="286"/>
      <c r="Z70" s="286"/>
      <c r="AA70" s="286"/>
      <c r="AB70" s="286"/>
      <c r="AC70" s="286"/>
      <c r="AD70" s="286"/>
    </row>
    <row r="71" spans="1:30">
      <c r="A71" s="286"/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86"/>
      <c r="AB71" s="286"/>
      <c r="AC71" s="286"/>
      <c r="AD71" s="286"/>
    </row>
    <row r="72" spans="1:30">
      <c r="A72" s="286"/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86"/>
      <c r="AB72" s="286"/>
      <c r="AC72" s="286"/>
      <c r="AD72" s="286"/>
    </row>
    <row r="73" spans="1:30">
      <c r="A73" s="301" t="s">
        <v>338</v>
      </c>
      <c r="B73" s="302">
        <f>B65-(B62+B44+B86+'Март 2021  '!C328)</f>
        <v>119719.55000000482</v>
      </c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  <c r="N73" s="286"/>
      <c r="O73" s="286"/>
      <c r="P73" s="286"/>
      <c r="Q73" s="286"/>
      <c r="R73" s="286"/>
      <c r="S73" s="286"/>
      <c r="T73" s="286"/>
      <c r="U73" s="286"/>
      <c r="V73" s="286"/>
      <c r="W73" s="286"/>
      <c r="X73" s="286"/>
      <c r="Y73" s="286"/>
      <c r="Z73" s="286"/>
      <c r="AA73" s="286"/>
      <c r="AB73" s="286"/>
      <c r="AC73" s="286"/>
      <c r="AD73" s="286"/>
    </row>
    <row r="74" spans="1:30">
      <c r="A74" s="303"/>
      <c r="B74" s="303"/>
      <c r="C74" s="303"/>
      <c r="D74" s="303"/>
      <c r="E74" s="303"/>
      <c r="F74" s="303"/>
      <c r="G74" s="303"/>
      <c r="H74" s="303"/>
      <c r="I74" s="303"/>
      <c r="J74" s="303"/>
      <c r="K74" s="303"/>
      <c r="L74" s="303"/>
      <c r="M74" s="303"/>
      <c r="N74" s="303"/>
      <c r="O74" s="303"/>
      <c r="P74" s="303"/>
      <c r="Q74" s="303"/>
      <c r="R74" s="303"/>
      <c r="S74" s="303"/>
      <c r="T74" s="303"/>
      <c r="U74" s="303"/>
      <c r="V74" s="286"/>
      <c r="W74" s="286"/>
      <c r="X74" s="286"/>
      <c r="Y74" s="286"/>
      <c r="Z74" s="286"/>
      <c r="AA74" s="286"/>
      <c r="AB74" s="286"/>
      <c r="AC74" s="286"/>
      <c r="AD74" s="286"/>
    </row>
    <row r="75" spans="1:30">
      <c r="A75" s="304"/>
      <c r="B75" s="91">
        <v>500</v>
      </c>
      <c r="C75" s="91"/>
      <c r="D75" s="91"/>
      <c r="E75" s="91"/>
      <c r="F75" s="91"/>
      <c r="G75" s="91"/>
      <c r="H75" s="91"/>
      <c r="I75" s="22"/>
      <c r="J75" s="22"/>
      <c r="K75" s="22"/>
      <c r="L75" s="22"/>
      <c r="M75" s="22"/>
      <c r="N75" s="206"/>
      <c r="O75" s="206"/>
      <c r="P75" s="22"/>
      <c r="Q75" s="142"/>
      <c r="R75" s="151"/>
      <c r="S75" s="91"/>
      <c r="T75" s="305" t="s">
        <v>679</v>
      </c>
      <c r="U75" s="306"/>
      <c r="V75" s="303"/>
      <c r="W75" s="303"/>
      <c r="X75" s="303"/>
      <c r="Y75" s="286"/>
      <c r="Z75" s="286"/>
      <c r="AA75" s="286"/>
      <c r="AB75" s="286"/>
      <c r="AC75" s="286"/>
      <c r="AD75" s="286"/>
    </row>
    <row r="76" spans="1:30">
      <c r="A76" s="304"/>
      <c r="B76" s="91"/>
      <c r="C76" s="91"/>
      <c r="D76" s="91"/>
      <c r="E76" s="91"/>
      <c r="F76" s="91"/>
      <c r="G76" s="91"/>
      <c r="H76" s="91"/>
      <c r="I76" s="22"/>
      <c r="J76" s="22"/>
      <c r="K76" s="22"/>
      <c r="L76" s="22"/>
      <c r="M76" s="22"/>
      <c r="N76" s="206"/>
      <c r="O76" s="206"/>
      <c r="P76" s="22"/>
      <c r="Q76" s="142"/>
      <c r="R76" s="151"/>
      <c r="S76" s="91"/>
      <c r="T76" s="305"/>
      <c r="U76" s="306"/>
      <c r="V76" s="303"/>
      <c r="W76" s="303"/>
      <c r="X76" s="303"/>
      <c r="Y76" s="286"/>
      <c r="Z76" s="286"/>
      <c r="AA76" s="286"/>
      <c r="AB76" s="286"/>
      <c r="AC76" s="286"/>
      <c r="AD76" s="286"/>
    </row>
    <row r="77" spans="1:30">
      <c r="A77" s="304"/>
      <c r="B77" s="124"/>
      <c r="C77" s="125"/>
      <c r="D77" s="124"/>
      <c r="E77" s="124"/>
      <c r="F77" s="124"/>
      <c r="G77" s="125"/>
      <c r="H77" s="345"/>
      <c r="I77" s="133"/>
      <c r="J77" s="133"/>
      <c r="K77" s="133"/>
      <c r="L77" s="133"/>
      <c r="M77" s="133"/>
      <c r="N77" s="125"/>
      <c r="O77" s="125"/>
      <c r="P77" s="544"/>
      <c r="Q77" s="545"/>
      <c r="R77" s="545"/>
      <c r="S77" s="85"/>
      <c r="T77" s="127"/>
      <c r="U77" s="128"/>
      <c r="V77" s="303"/>
      <c r="W77" s="303"/>
      <c r="X77" s="303"/>
      <c r="Y77" s="286"/>
      <c r="Z77" s="286"/>
      <c r="AA77" s="286"/>
      <c r="AB77" s="286"/>
      <c r="AC77" s="286"/>
      <c r="AD77" s="286"/>
    </row>
    <row r="78" spans="1:30">
      <c r="A78" s="304"/>
      <c r="B78" s="124">
        <f>G78</f>
        <v>8680</v>
      </c>
      <c r="C78" s="125"/>
      <c r="D78" s="124">
        <f>E78+F78</f>
        <v>607.59999999999991</v>
      </c>
      <c r="E78" s="124">
        <f>0.04*G78</f>
        <v>347.2</v>
      </c>
      <c r="F78" s="124">
        <f>0.03*G78</f>
        <v>260.39999999999998</v>
      </c>
      <c r="G78" s="125">
        <f t="shared" ref="G78" si="14">S78</f>
        <v>8680</v>
      </c>
      <c r="H78" s="345">
        <f>B78*0.4</f>
        <v>3472</v>
      </c>
      <c r="I78" s="133"/>
      <c r="J78" s="133"/>
      <c r="K78" s="133"/>
      <c r="L78" s="133"/>
      <c r="M78" s="133"/>
      <c r="N78" s="28">
        <v>104064</v>
      </c>
      <c r="O78" s="91">
        <v>112744</v>
      </c>
      <c r="P78" s="105"/>
      <c r="Q78" s="106"/>
      <c r="R78" s="106">
        <v>1</v>
      </c>
      <c r="S78" s="92">
        <f t="shared" ref="S78" si="15">(O78-N78)*R78</f>
        <v>8680</v>
      </c>
      <c r="T78" s="127">
        <v>5732</v>
      </c>
      <c r="U78" s="307" t="s">
        <v>688</v>
      </c>
      <c r="V78" s="303"/>
      <c r="W78" s="303"/>
      <c r="X78" s="303"/>
      <c r="Y78" s="286"/>
      <c r="Z78" s="286"/>
      <c r="AA78" s="286"/>
      <c r="AB78" s="286"/>
      <c r="AC78" s="286"/>
      <c r="AD78" s="286"/>
    </row>
    <row r="79" spans="1:30">
      <c r="A79" s="308"/>
      <c r="B79" s="124">
        <f>G79+D79</f>
        <v>2101.48</v>
      </c>
      <c r="C79" s="124"/>
      <c r="D79" s="124">
        <f t="shared" ref="D79:D85" si="16">E79+F79</f>
        <v>137.47999999999999</v>
      </c>
      <c r="E79" s="124">
        <f t="shared" ref="E79:E85" si="17">0.04*G79</f>
        <v>78.56</v>
      </c>
      <c r="F79" s="124">
        <f t="shared" ref="F79:F85" si="18">0.03*G79</f>
        <v>58.919999999999995</v>
      </c>
      <c r="G79" s="124">
        <f>S79</f>
        <v>1964</v>
      </c>
      <c r="H79" s="124">
        <f>0.6*B79</f>
        <v>1260.8879999999999</v>
      </c>
      <c r="I79" s="126"/>
      <c r="J79" s="126"/>
      <c r="K79" s="126"/>
      <c r="L79" s="126"/>
      <c r="M79" s="126" t="s">
        <v>146</v>
      </c>
      <c r="N79" s="28">
        <v>38133</v>
      </c>
      <c r="O79" s="91">
        <v>40097</v>
      </c>
      <c r="P79" s="122"/>
      <c r="Q79" s="173"/>
      <c r="R79" s="151">
        <v>1</v>
      </c>
      <c r="S79" s="91">
        <f>(O79-N79)*R79</f>
        <v>1964</v>
      </c>
      <c r="T79" s="95">
        <v>3275</v>
      </c>
      <c r="U79" s="695" t="s">
        <v>680</v>
      </c>
      <c r="V79" s="303"/>
      <c r="W79" s="303"/>
      <c r="X79" s="303"/>
      <c r="Y79" s="286"/>
      <c r="Z79" s="286"/>
      <c r="AA79" s="286"/>
      <c r="AB79" s="286"/>
      <c r="AC79" s="286"/>
      <c r="AD79" s="286"/>
    </row>
    <row r="80" spans="1:30">
      <c r="A80" s="304"/>
      <c r="B80" s="509">
        <f t="shared" ref="B80:B84" si="19">G80+D80</f>
        <v>1625.33</v>
      </c>
      <c r="C80" s="509"/>
      <c r="D80" s="509">
        <f t="shared" si="16"/>
        <v>106.33</v>
      </c>
      <c r="E80" s="509">
        <f t="shared" si="17"/>
        <v>60.76</v>
      </c>
      <c r="F80" s="509">
        <f t="shared" si="18"/>
        <v>45.57</v>
      </c>
      <c r="G80" s="509">
        <f t="shared" ref="G80:G85" si="20">S80</f>
        <v>1519</v>
      </c>
      <c r="H80" s="509"/>
      <c r="I80" s="126"/>
      <c r="J80" s="126"/>
      <c r="K80" s="126"/>
      <c r="L80" s="126"/>
      <c r="M80" s="126" t="s">
        <v>271</v>
      </c>
      <c r="N80" s="349">
        <v>31042</v>
      </c>
      <c r="O80" s="117">
        <v>32561</v>
      </c>
      <c r="P80" s="149"/>
      <c r="Q80" s="309"/>
      <c r="R80" s="117">
        <v>1</v>
      </c>
      <c r="S80" s="91">
        <f>(O80-N80)*R80</f>
        <v>1519</v>
      </c>
      <c r="T80" s="3"/>
      <c r="U80" s="695" t="s">
        <v>272</v>
      </c>
      <c r="V80" s="303"/>
      <c r="W80" s="303"/>
      <c r="X80" s="303"/>
      <c r="Y80" s="286"/>
      <c r="Z80" s="286"/>
      <c r="AA80" s="286"/>
      <c r="AB80" s="286"/>
      <c r="AC80" s="286"/>
      <c r="AD80" s="286"/>
    </row>
    <row r="81" spans="1:30">
      <c r="A81" s="104"/>
      <c r="B81" s="124"/>
      <c r="C81" s="124"/>
      <c r="D81" s="124"/>
      <c r="E81" s="124"/>
      <c r="F81" s="124"/>
      <c r="G81" s="124"/>
      <c r="H81" s="124"/>
      <c r="I81" s="126"/>
      <c r="J81" s="126"/>
      <c r="K81" s="126"/>
      <c r="L81" s="126"/>
      <c r="M81" s="126"/>
      <c r="N81" s="124"/>
      <c r="O81" s="124"/>
      <c r="P81" s="122"/>
      <c r="Q81" s="310"/>
      <c r="R81" s="151"/>
      <c r="S81" s="91"/>
      <c r="T81" s="305"/>
      <c r="U81" s="306"/>
      <c r="V81" s="303"/>
      <c r="W81" s="303"/>
      <c r="X81" s="303"/>
      <c r="Y81" s="286"/>
      <c r="Z81" s="286"/>
      <c r="AA81" s="286"/>
      <c r="AB81" s="286"/>
      <c r="AC81" s="286"/>
      <c r="AD81" s="286"/>
    </row>
    <row r="82" spans="1:30">
      <c r="A82" s="308"/>
      <c r="B82" s="509">
        <f t="shared" si="19"/>
        <v>253.59</v>
      </c>
      <c r="C82" s="509"/>
      <c r="D82" s="509">
        <f t="shared" si="16"/>
        <v>16.59</v>
      </c>
      <c r="E82" s="509">
        <f t="shared" si="17"/>
        <v>9.48</v>
      </c>
      <c r="F82" s="509">
        <f t="shared" si="18"/>
        <v>7.1099999999999994</v>
      </c>
      <c r="G82" s="509">
        <f t="shared" si="20"/>
        <v>237</v>
      </c>
      <c r="H82" s="509"/>
      <c r="I82" s="126"/>
      <c r="J82" s="126"/>
      <c r="K82" s="126"/>
      <c r="L82" s="126"/>
      <c r="M82" s="126" t="s">
        <v>271</v>
      </c>
      <c r="N82" s="349">
        <v>5125</v>
      </c>
      <c r="O82" s="117">
        <v>5362</v>
      </c>
      <c r="P82" s="149"/>
      <c r="Q82" s="309"/>
      <c r="R82" s="117">
        <v>1</v>
      </c>
      <c r="S82" s="117">
        <f>O82-N82</f>
        <v>237</v>
      </c>
      <c r="T82" s="95"/>
      <c r="U82" s="695" t="s">
        <v>309</v>
      </c>
      <c r="V82" s="303"/>
      <c r="W82" s="303"/>
      <c r="X82" s="303"/>
      <c r="Y82" s="286"/>
      <c r="Z82" s="286"/>
      <c r="AA82" s="286"/>
      <c r="AB82" s="286"/>
      <c r="AC82" s="286"/>
      <c r="AD82" s="286"/>
    </row>
    <row r="83" spans="1:30">
      <c r="A83" s="132" t="s">
        <v>209</v>
      </c>
      <c r="B83" s="124">
        <f t="shared" si="19"/>
        <v>1092.47</v>
      </c>
      <c r="C83" s="124"/>
      <c r="D83" s="124">
        <f t="shared" si="16"/>
        <v>71.47</v>
      </c>
      <c r="E83" s="124">
        <f t="shared" si="17"/>
        <v>40.840000000000003</v>
      </c>
      <c r="F83" s="124">
        <f t="shared" si="18"/>
        <v>30.63</v>
      </c>
      <c r="G83" s="124">
        <f>S83</f>
        <v>1021</v>
      </c>
      <c r="H83" s="124">
        <f t="shared" ref="H83" si="21">0.6*B83</f>
        <v>655.48199999999997</v>
      </c>
      <c r="I83" s="126"/>
      <c r="J83" s="126"/>
      <c r="K83" s="126"/>
      <c r="L83" s="126"/>
      <c r="M83" s="126"/>
      <c r="N83" s="84">
        <v>25796</v>
      </c>
      <c r="O83" s="124">
        <v>26817</v>
      </c>
      <c r="P83" s="7"/>
      <c r="Q83" s="94"/>
      <c r="R83" s="124">
        <v>1</v>
      </c>
      <c r="S83" s="124">
        <f t="shared" ref="S83" si="22">(O83-N83)*R83</f>
        <v>1021</v>
      </c>
      <c r="T83" s="127">
        <v>179316</v>
      </c>
      <c r="U83" s="128" t="s">
        <v>210</v>
      </c>
      <c r="V83" s="303"/>
      <c r="W83" s="303"/>
      <c r="X83" s="303"/>
      <c r="Y83" s="286"/>
      <c r="Z83" s="286"/>
      <c r="AA83" s="286"/>
      <c r="AB83" s="286"/>
      <c r="AC83" s="286"/>
      <c r="AD83" s="286"/>
    </row>
    <row r="84" spans="1:30" ht="27">
      <c r="A84" s="304"/>
      <c r="B84" s="509">
        <f t="shared" si="19"/>
        <v>342.4</v>
      </c>
      <c r="C84" s="509"/>
      <c r="D84" s="509">
        <f t="shared" si="16"/>
        <v>22.4</v>
      </c>
      <c r="E84" s="509">
        <f t="shared" si="17"/>
        <v>12.8</v>
      </c>
      <c r="F84" s="509">
        <f t="shared" si="18"/>
        <v>9.6</v>
      </c>
      <c r="G84" s="509">
        <f t="shared" si="20"/>
        <v>320</v>
      </c>
      <c r="H84" s="509"/>
      <c r="I84" s="126"/>
      <c r="J84" s="126"/>
      <c r="K84" s="126"/>
      <c r="L84" s="126"/>
      <c r="M84" s="126" t="s">
        <v>271</v>
      </c>
      <c r="N84" s="349">
        <v>13286</v>
      </c>
      <c r="O84" s="117">
        <v>13606</v>
      </c>
      <c r="P84" s="149"/>
      <c r="Q84" s="309"/>
      <c r="R84" s="117">
        <v>1</v>
      </c>
      <c r="S84" s="117">
        <f>O84-N84</f>
        <v>320</v>
      </c>
      <c r="T84" s="311">
        <v>6292</v>
      </c>
      <c r="U84" s="695" t="s">
        <v>311</v>
      </c>
      <c r="V84" s="303"/>
      <c r="W84" s="303"/>
      <c r="X84" s="303"/>
      <c r="Y84" s="286"/>
      <c r="Z84" s="286"/>
      <c r="AA84" s="286"/>
      <c r="AB84" s="286"/>
      <c r="AC84" s="286"/>
      <c r="AD84" s="286"/>
    </row>
    <row r="85" spans="1:30">
      <c r="A85" s="312" t="s">
        <v>80</v>
      </c>
      <c r="B85" s="124">
        <f>G85</f>
        <v>7412</v>
      </c>
      <c r="C85" s="125"/>
      <c r="D85" s="124">
        <f t="shared" si="16"/>
        <v>518.84</v>
      </c>
      <c r="E85" s="124">
        <f t="shared" si="17"/>
        <v>296.48</v>
      </c>
      <c r="F85" s="124">
        <f t="shared" si="18"/>
        <v>222.35999999999999</v>
      </c>
      <c r="G85" s="125">
        <f t="shared" si="20"/>
        <v>7412</v>
      </c>
      <c r="H85" s="345">
        <f>B85*0.4</f>
        <v>2964.8</v>
      </c>
      <c r="I85" s="133"/>
      <c r="J85" s="133"/>
      <c r="K85" s="133"/>
      <c r="L85" s="133"/>
      <c r="M85" s="133"/>
      <c r="N85" s="77">
        <v>117681</v>
      </c>
      <c r="O85" s="92">
        <v>125093</v>
      </c>
      <c r="P85" s="105"/>
      <c r="Q85" s="106"/>
      <c r="R85" s="106">
        <v>1</v>
      </c>
      <c r="S85" s="92">
        <f>(O85-N85)*R85</f>
        <v>7412</v>
      </c>
      <c r="T85" s="95">
        <v>9148</v>
      </c>
      <c r="U85" s="695" t="s">
        <v>81</v>
      </c>
      <c r="V85" s="286"/>
      <c r="W85" s="286"/>
      <c r="X85" s="286"/>
      <c r="Y85" s="286"/>
      <c r="Z85" s="286"/>
      <c r="AA85" s="286"/>
      <c r="AB85" s="286"/>
      <c r="AC85" s="286"/>
      <c r="AD85" s="286"/>
    </row>
    <row r="86" spans="1:30" ht="24.75" customHeight="1">
      <c r="A86" s="313" t="s">
        <v>681</v>
      </c>
      <c r="B86" s="302">
        <f>SUM(B75:B85)+B64</f>
        <v>23248.269999999997</v>
      </c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06"/>
      <c r="P86" s="286"/>
      <c r="Q86" s="286"/>
      <c r="R86" s="286"/>
      <c r="S86" s="286"/>
      <c r="T86" s="286"/>
      <c r="U86" s="286"/>
      <c r="V86" s="286"/>
      <c r="W86" s="286"/>
      <c r="X86" s="286"/>
      <c r="Y86" s="286"/>
      <c r="Z86" s="286"/>
      <c r="AA86" s="286"/>
      <c r="AB86" s="286"/>
      <c r="AC86" s="286"/>
      <c r="AD86" s="286"/>
    </row>
    <row r="87" spans="1:30">
      <c r="A87" s="286"/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6"/>
      <c r="P87" s="286"/>
      <c r="Q87" s="286"/>
      <c r="R87" s="286"/>
      <c r="S87" s="286"/>
      <c r="T87" s="286"/>
      <c r="U87" s="286"/>
      <c r="V87" s="286"/>
      <c r="W87" s="286"/>
      <c r="X87" s="286"/>
      <c r="Y87" s="286"/>
      <c r="Z87" s="286"/>
      <c r="AA87" s="286"/>
      <c r="AB87" s="286"/>
      <c r="AC87" s="286"/>
      <c r="AD87" s="286"/>
    </row>
  </sheetData>
  <mergeCells count="12">
    <mergeCell ref="O31:O32"/>
    <mergeCell ref="R31:R32"/>
    <mergeCell ref="S31:S32"/>
    <mergeCell ref="T65:AD65"/>
    <mergeCell ref="B29:N29"/>
    <mergeCell ref="H31:H32"/>
    <mergeCell ref="N31:N32"/>
    <mergeCell ref="A31:A32"/>
    <mergeCell ref="B31:B32"/>
    <mergeCell ref="C31:C32"/>
    <mergeCell ref="D31:F31"/>
    <mergeCell ref="G31:G32"/>
  </mergeCells>
  <pageMargins left="0.51181102362204722" right="0.51181102362204722" top="0.55118110236220474" bottom="0.74803149606299213" header="0.31496062992125984" footer="0.31496062992125984"/>
  <pageSetup paperSize="9" scale="2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747"/>
  <sheetViews>
    <sheetView zoomScale="55" zoomScaleNormal="55" workbookViewId="0">
      <pane xSplit="1" ySplit="6" topLeftCell="B338" activePane="bottomRight" state="frozen"/>
      <selection pane="topRight" activeCell="B1" sqref="B1"/>
      <selection pane="bottomLeft" activeCell="A7" sqref="A7"/>
      <selection pane="bottomRight" activeCell="P666" sqref="P666"/>
    </sheetView>
  </sheetViews>
  <sheetFormatPr defaultRowHeight="15"/>
  <cols>
    <col min="1" max="1" width="0.28515625" style="1" customWidth="1"/>
    <col min="2" max="2" width="70.85546875" style="2" customWidth="1"/>
    <col min="3" max="3" width="22.7109375" style="1" customWidth="1"/>
    <col min="4" max="4" width="22.5703125" style="1" customWidth="1"/>
    <col min="5" max="5" width="18" style="1" customWidth="1"/>
    <col min="6" max="6" width="18.42578125" style="1" customWidth="1"/>
    <col min="7" max="7" width="18" style="1" customWidth="1"/>
    <col min="8" max="8" width="19.85546875" style="1" customWidth="1"/>
    <col min="9" max="9" width="32.140625" style="1" customWidth="1"/>
    <col min="10" max="10" width="0.28515625" style="1" customWidth="1"/>
    <col min="11" max="11" width="31.140625" style="1" hidden="1" customWidth="1"/>
    <col min="12" max="12" width="29.5703125" style="1" hidden="1" customWidth="1"/>
    <col min="13" max="13" width="29.140625" style="1" hidden="1" customWidth="1"/>
    <col min="14" max="14" width="29.5703125" style="1" hidden="1" customWidth="1"/>
    <col min="15" max="15" width="30.42578125" style="1" customWidth="1"/>
    <col min="16" max="16" width="29" style="1" customWidth="1"/>
    <col min="17" max="17" width="40.28515625" style="1" hidden="1" customWidth="1"/>
    <col min="18" max="18" width="42" style="1" hidden="1" customWidth="1"/>
    <col min="19" max="19" width="11.42578125" style="1" customWidth="1"/>
    <col min="20" max="20" width="20.28515625" style="1" customWidth="1"/>
    <col min="21" max="21" width="36.5703125" style="3" customWidth="1"/>
    <col min="22" max="22" width="161.42578125" style="4" customWidth="1"/>
    <col min="23" max="23" width="26" style="1" customWidth="1"/>
    <col min="24" max="24" width="16.7109375" style="1" customWidth="1"/>
    <col min="25" max="25" width="15.42578125" style="1" customWidth="1"/>
    <col min="26" max="26" width="10.5703125" style="1" bestFit="1" customWidth="1"/>
    <col min="27" max="16384" width="9.140625" style="1"/>
  </cols>
  <sheetData>
    <row r="1" spans="1:62" ht="25.5" customHeight="1"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810"/>
      <c r="AR1" s="810"/>
      <c r="AS1" s="810"/>
      <c r="AT1" s="810"/>
      <c r="AU1" s="810"/>
      <c r="AV1" s="810"/>
      <c r="AW1" s="810"/>
      <c r="AX1" s="810"/>
      <c r="AY1" s="810"/>
      <c r="AZ1" s="810"/>
      <c r="BA1" s="810"/>
      <c r="BB1" s="810"/>
      <c r="BC1" s="810"/>
      <c r="BD1" s="810"/>
      <c r="BE1" s="810"/>
      <c r="BF1" s="810"/>
      <c r="BG1" s="810"/>
      <c r="BH1" s="810"/>
      <c r="BI1" s="810"/>
      <c r="BJ1" s="810"/>
    </row>
    <row r="2" spans="1:62" ht="25.5">
      <c r="B2" s="5" t="s">
        <v>0</v>
      </c>
    </row>
    <row r="3" spans="1:62" ht="25.5" customHeight="1">
      <c r="A3" s="811" t="s">
        <v>1084</v>
      </c>
      <c r="B3" s="811"/>
      <c r="C3" s="811"/>
      <c r="D3" s="811"/>
      <c r="E3" s="811"/>
      <c r="F3" s="811"/>
      <c r="G3" s="811"/>
      <c r="H3" s="811"/>
      <c r="I3" s="811"/>
      <c r="J3" s="811"/>
      <c r="K3" s="811"/>
      <c r="L3" s="811"/>
      <c r="M3" s="811"/>
      <c r="N3" s="811"/>
      <c r="O3" s="811"/>
      <c r="P3" s="811"/>
      <c r="Q3" s="811"/>
      <c r="R3" s="811"/>
      <c r="S3" s="811"/>
      <c r="T3" s="811"/>
      <c r="U3" s="706"/>
      <c r="V3" s="6"/>
      <c r="W3" s="7"/>
      <c r="X3" s="7"/>
      <c r="Y3" s="7"/>
      <c r="Z3" s="7"/>
      <c r="AA3" s="7"/>
      <c r="AB3" s="7"/>
      <c r="AC3" s="7"/>
    </row>
    <row r="4" spans="1:62" ht="25.5" customHeight="1">
      <c r="A4" s="812"/>
      <c r="B4" s="814" t="s">
        <v>1</v>
      </c>
      <c r="C4" s="816" t="s">
        <v>2</v>
      </c>
      <c r="D4" s="816" t="s">
        <v>3</v>
      </c>
      <c r="E4" s="818" t="s">
        <v>4</v>
      </c>
      <c r="F4" s="819"/>
      <c r="G4" s="820"/>
      <c r="H4" s="816" t="s">
        <v>5</v>
      </c>
      <c r="I4" s="816" t="s">
        <v>6</v>
      </c>
      <c r="J4" s="8"/>
      <c r="K4" s="9"/>
      <c r="L4" s="9"/>
      <c r="M4" s="9"/>
      <c r="N4" s="9"/>
      <c r="O4" s="816" t="s">
        <v>7</v>
      </c>
      <c r="P4" s="816" t="s">
        <v>8</v>
      </c>
      <c r="Q4" s="10"/>
      <c r="R4" s="11"/>
      <c r="S4" s="816" t="s">
        <v>9</v>
      </c>
      <c r="T4" s="816" t="s">
        <v>2</v>
      </c>
      <c r="U4" s="12"/>
      <c r="V4" s="13"/>
      <c r="W4" s="14"/>
      <c r="X4" s="7"/>
      <c r="Y4" s="7"/>
      <c r="Z4" s="7"/>
      <c r="AA4" s="7"/>
      <c r="AB4" s="7"/>
      <c r="AC4" s="7"/>
      <c r="AD4" s="7"/>
    </row>
    <row r="5" spans="1:62" ht="76.5" customHeight="1">
      <c r="A5" s="813"/>
      <c r="B5" s="815"/>
      <c r="C5" s="817"/>
      <c r="D5" s="817"/>
      <c r="E5" s="15" t="s">
        <v>10</v>
      </c>
      <c r="F5" s="15" t="s">
        <v>11</v>
      </c>
      <c r="G5" s="15" t="s">
        <v>12</v>
      </c>
      <c r="H5" s="817"/>
      <c r="I5" s="817"/>
      <c r="J5" s="8"/>
      <c r="K5" s="9"/>
      <c r="L5" s="9"/>
      <c r="M5" s="9"/>
      <c r="N5" s="9"/>
      <c r="O5" s="817"/>
      <c r="P5" s="817"/>
      <c r="Q5" s="10"/>
      <c r="R5" s="16"/>
      <c r="S5" s="817"/>
      <c r="T5" s="817"/>
      <c r="U5" s="17" t="s">
        <v>13</v>
      </c>
      <c r="V5" s="18" t="s">
        <v>14</v>
      </c>
      <c r="W5" s="14"/>
      <c r="X5" s="7"/>
      <c r="Y5" s="7"/>
      <c r="Z5" s="7"/>
      <c r="AA5" s="7"/>
      <c r="AB5" s="7"/>
      <c r="AC5" s="7"/>
    </row>
    <row r="6" spans="1:62" ht="25.5">
      <c r="A6" s="19" t="s">
        <v>15</v>
      </c>
      <c r="B6" s="20">
        <v>2</v>
      </c>
      <c r="C6" s="19">
        <v>3</v>
      </c>
      <c r="D6" s="19">
        <v>4</v>
      </c>
      <c r="E6" s="19">
        <v>5</v>
      </c>
      <c r="F6" s="19">
        <v>6</v>
      </c>
      <c r="G6" s="19">
        <v>7</v>
      </c>
      <c r="H6" s="19">
        <v>8</v>
      </c>
      <c r="I6" s="19">
        <v>9</v>
      </c>
      <c r="J6" s="21"/>
      <c r="K6" s="22"/>
      <c r="L6" s="22"/>
      <c r="M6" s="22"/>
      <c r="N6" s="22"/>
      <c r="O6" s="19">
        <v>10</v>
      </c>
      <c r="P6" s="19">
        <v>11</v>
      </c>
      <c r="Q6" s="7"/>
      <c r="R6" s="23">
        <v>12</v>
      </c>
      <c r="S6" s="19">
        <v>13</v>
      </c>
      <c r="T6" s="19">
        <v>14</v>
      </c>
      <c r="U6" s="24"/>
      <c r="V6" s="25"/>
      <c r="W6" s="14"/>
      <c r="X6" s="7"/>
      <c r="Y6" s="7"/>
      <c r="Z6" s="7"/>
      <c r="AA6" s="7"/>
      <c r="AB6" s="7"/>
      <c r="AC6" s="7"/>
    </row>
    <row r="7" spans="1:62" ht="26.25">
      <c r="A7" s="19"/>
      <c r="B7" s="26" t="s">
        <v>933</v>
      </c>
      <c r="C7" s="19"/>
      <c r="D7" s="709"/>
      <c r="E7" s="19"/>
      <c r="F7" s="19"/>
      <c r="G7" s="19"/>
      <c r="H7" s="19"/>
      <c r="I7" s="19"/>
      <c r="J7" s="21"/>
      <c r="K7" s="22"/>
      <c r="L7" s="22"/>
      <c r="M7" s="22"/>
      <c r="N7" s="22"/>
      <c r="O7" s="19"/>
      <c r="P7" s="19"/>
      <c r="Q7" s="7"/>
      <c r="R7" s="23"/>
      <c r="S7" s="19"/>
      <c r="T7" s="19"/>
      <c r="U7" s="711"/>
      <c r="V7" s="25"/>
      <c r="W7" s="14"/>
      <c r="X7" s="7"/>
      <c r="Y7" s="7"/>
      <c r="Z7" s="7"/>
      <c r="AA7" s="7"/>
      <c r="AB7" s="7"/>
      <c r="AC7" s="7"/>
    </row>
    <row r="8" spans="1:62" ht="25.5">
      <c r="A8" s="19"/>
      <c r="B8" s="27" t="s">
        <v>17</v>
      </c>
      <c r="C8" s="28">
        <f>H8+E8</f>
        <v>3530</v>
      </c>
      <c r="D8" s="28"/>
      <c r="E8" s="28">
        <v>0</v>
      </c>
      <c r="F8" s="28">
        <v>0</v>
      </c>
      <c r="G8" s="28">
        <v>0</v>
      </c>
      <c r="H8" s="28">
        <f>T8+T9</f>
        <v>3530</v>
      </c>
      <c r="I8" s="28">
        <f>0.4*C8</f>
        <v>1412</v>
      </c>
      <c r="J8" s="346"/>
      <c r="K8" s="346"/>
      <c r="L8" s="346"/>
      <c r="M8" s="347"/>
      <c r="N8" s="29"/>
      <c r="O8" s="28">
        <v>604520</v>
      </c>
      <c r="P8" s="28">
        <v>607177</v>
      </c>
      <c r="Q8" s="30"/>
      <c r="R8" s="348"/>
      <c r="S8" s="28">
        <v>1</v>
      </c>
      <c r="T8" s="28">
        <f>(P8-O8)*S8</f>
        <v>2657</v>
      </c>
      <c r="U8" s="455">
        <v>108076</v>
      </c>
      <c r="V8" s="733" t="s">
        <v>18</v>
      </c>
      <c r="W8" s="14" t="s">
        <v>19</v>
      </c>
      <c r="X8" s="7"/>
      <c r="Y8" s="7"/>
      <c r="Z8" s="7"/>
      <c r="AA8" s="7"/>
      <c r="AB8" s="7"/>
      <c r="AC8" s="7"/>
    </row>
    <row r="9" spans="1:62" ht="25.5">
      <c r="A9" s="19"/>
      <c r="B9" s="27"/>
      <c r="C9" s="28"/>
      <c r="D9" s="28"/>
      <c r="E9" s="28"/>
      <c r="F9" s="28"/>
      <c r="G9" s="28"/>
      <c r="H9" s="28"/>
      <c r="I9" s="28"/>
      <c r="J9" s="346"/>
      <c r="K9" s="346"/>
      <c r="L9" s="346"/>
      <c r="M9" s="346"/>
      <c r="N9" s="29"/>
      <c r="O9" s="349">
        <v>276939</v>
      </c>
      <c r="P9" s="349">
        <v>277812</v>
      </c>
      <c r="Q9" s="30"/>
      <c r="R9" s="350"/>
      <c r="S9" s="349">
        <v>1</v>
      </c>
      <c r="T9" s="28">
        <f>(P9-O9)*S9</f>
        <v>873</v>
      </c>
      <c r="U9" s="455">
        <v>108093</v>
      </c>
      <c r="V9" s="733"/>
      <c r="W9" s="14" t="s">
        <v>19</v>
      </c>
      <c r="X9" s="7"/>
      <c r="Y9" s="7"/>
      <c r="Z9" s="7"/>
      <c r="AA9" s="7"/>
      <c r="AB9" s="7"/>
      <c r="AC9" s="7"/>
    </row>
    <row r="10" spans="1:62" ht="25.5">
      <c r="A10" s="19"/>
      <c r="B10" s="27" t="s">
        <v>20</v>
      </c>
      <c r="C10" s="28">
        <f>H10+E10</f>
        <v>12745.499999999995</v>
      </c>
      <c r="D10" s="28"/>
      <c r="E10" s="28">
        <f>F10+G10</f>
        <v>0</v>
      </c>
      <c r="F10" s="28">
        <v>0</v>
      </c>
      <c r="G10" s="28">
        <v>0</v>
      </c>
      <c r="H10" s="28">
        <f>T10+T11</f>
        <v>12745.499999999995</v>
      </c>
      <c r="I10" s="28">
        <f>0.4*C10</f>
        <v>5098.199999999998</v>
      </c>
      <c r="J10" s="346"/>
      <c r="K10" s="346"/>
      <c r="L10" s="346"/>
      <c r="M10" s="346"/>
      <c r="N10" s="29"/>
      <c r="O10" s="349">
        <v>7624.9</v>
      </c>
      <c r="P10" s="349">
        <v>8199.7999999999993</v>
      </c>
      <c r="Q10" s="30"/>
      <c r="R10" s="351"/>
      <c r="S10" s="349">
        <v>15</v>
      </c>
      <c r="T10" s="28">
        <f>(P10-O10)*S10</f>
        <v>8623.4999999999945</v>
      </c>
      <c r="U10" s="455">
        <v>798111</v>
      </c>
      <c r="V10" s="733" t="s">
        <v>21</v>
      </c>
      <c r="W10" s="14" t="s">
        <v>22</v>
      </c>
      <c r="X10" s="7"/>
      <c r="Y10" s="7"/>
      <c r="Z10" s="7"/>
      <c r="AA10" s="7"/>
      <c r="AB10" s="7"/>
      <c r="AC10" s="7"/>
    </row>
    <row r="11" spans="1:62" ht="25.5">
      <c r="A11" s="19"/>
      <c r="B11" s="27" t="s">
        <v>23</v>
      </c>
      <c r="C11" s="28"/>
      <c r="D11" s="28"/>
      <c r="E11" s="28"/>
      <c r="F11" s="28"/>
      <c r="G11" s="28"/>
      <c r="H11" s="28"/>
      <c r="I11" s="28"/>
      <c r="J11" s="346"/>
      <c r="K11" s="346"/>
      <c r="L11" s="346"/>
      <c r="M11" s="346"/>
      <c r="N11" s="29"/>
      <c r="O11" s="349">
        <v>62912</v>
      </c>
      <c r="P11" s="349">
        <v>67034</v>
      </c>
      <c r="Q11" s="30"/>
      <c r="R11" s="351"/>
      <c r="S11" s="349">
        <v>1</v>
      </c>
      <c r="T11" s="28">
        <f>(P11-O11)*S11</f>
        <v>4122</v>
      </c>
      <c r="U11" s="455">
        <v>16029</v>
      </c>
      <c r="V11" s="733" t="s">
        <v>24</v>
      </c>
      <c r="W11" s="14" t="s">
        <v>22</v>
      </c>
      <c r="X11" s="7"/>
      <c r="Y11" s="7"/>
      <c r="Z11" s="7"/>
      <c r="AA11" s="7"/>
      <c r="AB11" s="7"/>
      <c r="AC11" s="7"/>
    </row>
    <row r="12" spans="1:62" s="42" customFormat="1" ht="25.5">
      <c r="A12" s="32"/>
      <c r="B12" s="314"/>
      <c r="C12" s="315"/>
      <c r="D12" s="315"/>
      <c r="E12" s="315"/>
      <c r="F12" s="315"/>
      <c r="G12" s="315"/>
      <c r="H12" s="315"/>
      <c r="I12" s="315"/>
      <c r="J12" s="577"/>
      <c r="K12" s="578"/>
      <c r="L12" s="578"/>
      <c r="M12" s="316"/>
      <c r="N12" s="316"/>
      <c r="O12" s="315"/>
      <c r="P12" s="315"/>
      <c r="Q12" s="579"/>
      <c r="R12" s="579"/>
      <c r="S12" s="315"/>
      <c r="T12" s="315"/>
      <c r="U12" s="712"/>
      <c r="V12" s="317"/>
      <c r="W12" s="40"/>
      <c r="X12" s="41"/>
      <c r="Y12" s="41"/>
      <c r="Z12" s="41"/>
      <c r="AA12" s="41"/>
      <c r="AB12" s="41"/>
      <c r="AC12" s="41"/>
    </row>
    <row r="13" spans="1:62" s="42" customFormat="1" ht="25.5" customHeight="1">
      <c r="A13" s="32"/>
      <c r="B13" s="352" t="s">
        <v>25</v>
      </c>
      <c r="C13" s="43">
        <f>(C98-C46-C14-C95-C96)</f>
        <v>14767.720000000034</v>
      </c>
      <c r="D13" s="43"/>
      <c r="E13" s="43"/>
      <c r="F13" s="43"/>
      <c r="G13" s="43"/>
      <c r="H13" s="43"/>
      <c r="I13" s="43"/>
      <c r="J13" s="353"/>
      <c r="K13" s="354"/>
      <c r="L13" s="354"/>
      <c r="M13" s="355"/>
      <c r="N13" s="355"/>
      <c r="O13" s="43"/>
      <c r="P13" s="43"/>
      <c r="Q13" s="356"/>
      <c r="R13" s="356"/>
      <c r="S13" s="43"/>
      <c r="T13" s="43"/>
      <c r="U13" s="735" t="s">
        <v>773</v>
      </c>
      <c r="V13" s="44"/>
      <c r="W13" s="40"/>
      <c r="X13" s="45"/>
      <c r="Y13" s="45"/>
      <c r="Z13" s="45"/>
      <c r="AA13" s="45"/>
      <c r="AB13" s="45"/>
      <c r="AC13" s="41"/>
    </row>
    <row r="14" spans="1:62" ht="25.5">
      <c r="A14" s="19"/>
      <c r="B14" s="357" t="s">
        <v>791</v>
      </c>
      <c r="C14" s="28">
        <f>H14</f>
        <v>1073.9999999999964</v>
      </c>
      <c r="D14" s="28"/>
      <c r="E14" s="28">
        <v>0</v>
      </c>
      <c r="F14" s="28">
        <v>0</v>
      </c>
      <c r="G14" s="28">
        <v>0</v>
      </c>
      <c r="H14" s="28">
        <f>T14</f>
        <v>1073.9999999999964</v>
      </c>
      <c r="I14" s="28">
        <f>0.4*C14</f>
        <v>429.59999999999854</v>
      </c>
      <c r="J14" s="46" t="s">
        <v>15</v>
      </c>
      <c r="K14" s="46"/>
      <c r="L14" s="46"/>
      <c r="M14" s="29"/>
      <c r="N14" s="29"/>
      <c r="O14" s="28">
        <v>3864.9</v>
      </c>
      <c r="P14" s="28">
        <v>3918.6</v>
      </c>
      <c r="Q14" s="348" t="s">
        <v>26</v>
      </c>
      <c r="R14" s="348"/>
      <c r="S14" s="28">
        <v>20</v>
      </c>
      <c r="T14" s="28">
        <f>(P14-O14)*S14</f>
        <v>1073.9999999999964</v>
      </c>
      <c r="U14" s="455">
        <v>182341</v>
      </c>
      <c r="V14" s="733" t="s">
        <v>27</v>
      </c>
      <c r="W14" s="47" t="s">
        <v>27</v>
      </c>
      <c r="X14" s="48"/>
      <c r="Y14" s="48"/>
      <c r="Z14" s="48"/>
      <c r="AA14" s="48"/>
      <c r="AB14" s="48"/>
      <c r="AC14" s="7"/>
    </row>
    <row r="15" spans="1:62" s="42" customFormat="1" ht="28.5" customHeight="1">
      <c r="A15" s="32"/>
      <c r="B15" s="357" t="s">
        <v>921</v>
      </c>
      <c r="C15" s="43">
        <f t="shared" ref="C15" si="0">H15+E15</f>
        <v>0</v>
      </c>
      <c r="D15" s="43"/>
      <c r="E15" s="43"/>
      <c r="F15" s="43"/>
      <c r="G15" s="43"/>
      <c r="H15" s="43">
        <f>T15</f>
        <v>0</v>
      </c>
      <c r="I15" s="43">
        <f>0.2*C15</f>
        <v>0</v>
      </c>
      <c r="J15" s="354"/>
      <c r="K15" s="354"/>
      <c r="L15" s="354"/>
      <c r="M15" s="355"/>
      <c r="N15" s="355"/>
      <c r="O15" s="43">
        <v>1182</v>
      </c>
      <c r="P15" s="43">
        <v>1182</v>
      </c>
      <c r="Q15" s="359" t="s">
        <v>33</v>
      </c>
      <c r="R15" s="359"/>
      <c r="S15" s="43">
        <v>1</v>
      </c>
      <c r="T15" s="43">
        <f>P15-O15</f>
        <v>0</v>
      </c>
      <c r="U15" s="736">
        <v>1152</v>
      </c>
      <c r="V15" s="357" t="s">
        <v>921</v>
      </c>
      <c r="W15" s="40"/>
      <c r="X15" s="45"/>
      <c r="Y15" s="45"/>
      <c r="Z15" s="45"/>
      <c r="AA15" s="45"/>
      <c r="AB15" s="45"/>
      <c r="AC15" s="41"/>
    </row>
    <row r="16" spans="1:62" ht="33" customHeight="1">
      <c r="A16" s="19"/>
      <c r="B16" s="27" t="s">
        <v>792</v>
      </c>
      <c r="C16" s="28">
        <f>H16</f>
        <v>1253</v>
      </c>
      <c r="D16" s="28"/>
      <c r="E16" s="28">
        <f>F16+G16</f>
        <v>87.710000000000008</v>
      </c>
      <c r="F16" s="28">
        <f>0.04*H16</f>
        <v>50.120000000000005</v>
      </c>
      <c r="G16" s="28">
        <f>0.03*H16</f>
        <v>37.589999999999996</v>
      </c>
      <c r="H16" s="28">
        <f>T16</f>
        <v>1253</v>
      </c>
      <c r="I16" s="28">
        <f>0.6*C16</f>
        <v>751.8</v>
      </c>
      <c r="J16" s="29"/>
      <c r="K16" s="29"/>
      <c r="L16" s="29"/>
      <c r="M16" s="29"/>
      <c r="N16" s="29"/>
      <c r="O16" s="28">
        <v>53495</v>
      </c>
      <c r="P16" s="28">
        <v>54748</v>
      </c>
      <c r="Q16" s="30"/>
      <c r="R16" s="358"/>
      <c r="S16" s="54">
        <v>1</v>
      </c>
      <c r="T16" s="28">
        <f>(P16-O16)*S16</f>
        <v>1253</v>
      </c>
      <c r="U16" s="455">
        <v>84036</v>
      </c>
      <c r="V16" s="733" t="s">
        <v>30</v>
      </c>
      <c r="W16" s="14" t="s">
        <v>31</v>
      </c>
      <c r="X16" s="48"/>
      <c r="Y16" s="48"/>
      <c r="Z16" s="48"/>
      <c r="AA16" s="48"/>
      <c r="AB16" s="48"/>
      <c r="AC16" s="7"/>
    </row>
    <row r="17" spans="1:29" ht="30" customHeight="1">
      <c r="A17" s="19"/>
      <c r="B17" s="352" t="s">
        <v>32</v>
      </c>
      <c r="C17" s="43">
        <f t="shared" ref="C17:C22" si="1">H17+E17</f>
        <v>12670</v>
      </c>
      <c r="D17" s="43"/>
      <c r="E17" s="43"/>
      <c r="F17" s="43"/>
      <c r="G17" s="43"/>
      <c r="H17" s="43">
        <f>T17</f>
        <v>12670</v>
      </c>
      <c r="I17" s="43">
        <f>0.2*C17</f>
        <v>2534</v>
      </c>
      <c r="J17" s="354"/>
      <c r="K17" s="354"/>
      <c r="L17" s="354"/>
      <c r="M17" s="355"/>
      <c r="N17" s="355"/>
      <c r="O17" s="43">
        <v>613511</v>
      </c>
      <c r="P17" s="43">
        <v>626181</v>
      </c>
      <c r="Q17" s="359" t="s">
        <v>33</v>
      </c>
      <c r="R17" s="359"/>
      <c r="S17" s="43">
        <v>1</v>
      </c>
      <c r="T17" s="43">
        <f>P17-O17</f>
        <v>12670</v>
      </c>
      <c r="U17" s="736">
        <v>2648</v>
      </c>
      <c r="V17" s="44" t="s">
        <v>34</v>
      </c>
      <c r="W17" s="14" t="s">
        <v>35</v>
      </c>
      <c r="X17" s="48"/>
      <c r="Y17" s="48"/>
      <c r="Z17" s="48"/>
      <c r="AA17" s="48"/>
      <c r="AB17" s="48"/>
      <c r="AC17" s="7"/>
    </row>
    <row r="18" spans="1:29" ht="28.5" customHeight="1">
      <c r="A18" s="19"/>
      <c r="B18" s="27" t="s">
        <v>36</v>
      </c>
      <c r="C18" s="28">
        <f t="shared" si="1"/>
        <v>633.44000000000051</v>
      </c>
      <c r="D18" s="28"/>
      <c r="E18" s="28">
        <f>F18+G18</f>
        <v>0</v>
      </c>
      <c r="F18" s="28">
        <v>0</v>
      </c>
      <c r="G18" s="28">
        <v>0</v>
      </c>
      <c r="H18" s="28">
        <f>T18</f>
        <v>633.44000000000051</v>
      </c>
      <c r="I18" s="28">
        <f>T20</f>
        <v>0</v>
      </c>
      <c r="J18" s="29"/>
      <c r="K18" s="46"/>
      <c r="L18" s="46"/>
      <c r="M18" s="29"/>
      <c r="N18" s="29"/>
      <c r="O18" s="360">
        <v>914.77549999999997</v>
      </c>
      <c r="P18" s="360">
        <v>930.61149999999998</v>
      </c>
      <c r="Q18" s="348" t="s">
        <v>37</v>
      </c>
      <c r="R18" s="348"/>
      <c r="S18" s="28">
        <v>40</v>
      </c>
      <c r="T18" s="28">
        <f>(P18-O18)*S18</f>
        <v>633.44000000000051</v>
      </c>
      <c r="U18" s="455">
        <v>28377662</v>
      </c>
      <c r="V18" s="733" t="s">
        <v>38</v>
      </c>
      <c r="W18" s="14"/>
      <c r="X18" s="48"/>
      <c r="Y18" s="48"/>
      <c r="Z18" s="48"/>
      <c r="AA18" s="48"/>
      <c r="AB18" s="48"/>
      <c r="AC18" s="7"/>
    </row>
    <row r="19" spans="1:29" ht="28.5" customHeight="1">
      <c r="A19" s="19"/>
      <c r="B19" s="63" t="s">
        <v>36</v>
      </c>
      <c r="C19" s="49">
        <f t="shared" si="1"/>
        <v>0</v>
      </c>
      <c r="D19" s="49"/>
      <c r="E19" s="49">
        <f>F19+G19</f>
        <v>0</v>
      </c>
      <c r="F19" s="49"/>
      <c r="G19" s="49"/>
      <c r="H19" s="49"/>
      <c r="I19" s="49"/>
      <c r="J19" s="51"/>
      <c r="K19" s="50"/>
      <c r="L19" s="50"/>
      <c r="M19" s="51"/>
      <c r="N19" s="51"/>
      <c r="O19" s="49">
        <v>0.95</v>
      </c>
      <c r="P19" s="49">
        <v>0.95</v>
      </c>
      <c r="Q19" s="52"/>
      <c r="R19" s="52"/>
      <c r="S19" s="49">
        <v>40</v>
      </c>
      <c r="T19" s="49">
        <f>(P19-O19)*S19</f>
        <v>0</v>
      </c>
      <c r="U19" s="714">
        <v>28392412</v>
      </c>
      <c r="V19" s="64" t="s">
        <v>39</v>
      </c>
      <c r="W19" s="14"/>
      <c r="X19" s="48"/>
      <c r="Y19" s="48"/>
      <c r="Z19" s="48"/>
      <c r="AA19" s="48"/>
      <c r="AB19" s="48"/>
      <c r="AC19" s="7"/>
    </row>
    <row r="20" spans="1:29" ht="31.5" customHeight="1">
      <c r="A20" s="19"/>
      <c r="B20" s="27" t="s">
        <v>40</v>
      </c>
      <c r="C20" s="28">
        <f t="shared" si="1"/>
        <v>0</v>
      </c>
      <c r="D20" s="28"/>
      <c r="E20" s="28">
        <f>F20+G20</f>
        <v>0</v>
      </c>
      <c r="F20" s="28">
        <f>0.04*H20</f>
        <v>0</v>
      </c>
      <c r="G20" s="28">
        <f>0.03*H20</f>
        <v>0</v>
      </c>
      <c r="H20" s="28">
        <f>T20</f>
        <v>0</v>
      </c>
      <c r="I20" s="28">
        <f>0.6*C20</f>
        <v>0</v>
      </c>
      <c r="J20" s="29"/>
      <c r="K20" s="29"/>
      <c r="L20" s="29"/>
      <c r="M20" s="29"/>
      <c r="N20" s="29"/>
      <c r="O20" s="28">
        <f>13159+2088+1399</f>
        <v>16646</v>
      </c>
      <c r="P20" s="28">
        <f>13159+2088+1399</f>
        <v>16646</v>
      </c>
      <c r="Q20" s="30"/>
      <c r="R20" s="358"/>
      <c r="S20" s="54">
        <v>1</v>
      </c>
      <c r="T20" s="28">
        <f>(P20-O20)*S20</f>
        <v>0</v>
      </c>
      <c r="U20" s="455" t="s">
        <v>41</v>
      </c>
      <c r="V20" s="733" t="s">
        <v>42</v>
      </c>
      <c r="W20" s="14" t="s">
        <v>43</v>
      </c>
      <c r="X20" s="48"/>
      <c r="Y20" s="48"/>
      <c r="Z20" s="48"/>
      <c r="AA20" s="48"/>
      <c r="AB20" s="48"/>
      <c r="AC20" s="7"/>
    </row>
    <row r="21" spans="1:29" ht="31.5" customHeight="1">
      <c r="A21" s="19"/>
      <c r="B21" s="27" t="s">
        <v>44</v>
      </c>
      <c r="C21" s="28">
        <f t="shared" si="1"/>
        <v>11677.999999999993</v>
      </c>
      <c r="D21" s="28"/>
      <c r="E21" s="28">
        <v>0</v>
      </c>
      <c r="F21" s="28">
        <v>0</v>
      </c>
      <c r="G21" s="28">
        <v>0</v>
      </c>
      <c r="H21" s="28">
        <f>T21</f>
        <v>11677.999999999993</v>
      </c>
      <c r="I21" s="28">
        <f t="shared" ref="I21:I28" si="2">0.4*C21</f>
        <v>4671.1999999999971</v>
      </c>
      <c r="J21" s="29"/>
      <c r="K21" s="46"/>
      <c r="L21" s="46"/>
      <c r="M21" s="29"/>
      <c r="N21" s="29"/>
      <c r="O21" s="28">
        <v>4522.6000000000004</v>
      </c>
      <c r="P21" s="28">
        <v>5106.5</v>
      </c>
      <c r="Q21" s="61"/>
      <c r="R21" s="61"/>
      <c r="S21" s="28">
        <v>20</v>
      </c>
      <c r="T21" s="28">
        <f>(P21-O21)*S21</f>
        <v>11677.999999999993</v>
      </c>
      <c r="U21" s="455">
        <v>88154</v>
      </c>
      <c r="V21" s="733" t="s">
        <v>45</v>
      </c>
      <c r="W21" s="14" t="s">
        <v>31</v>
      </c>
      <c r="X21" s="48"/>
      <c r="Y21" s="48"/>
      <c r="Z21" s="48"/>
      <c r="AA21" s="48"/>
      <c r="AB21" s="48"/>
      <c r="AC21" s="7"/>
    </row>
    <row r="22" spans="1:29" s="42" customFormat="1" ht="24" customHeight="1">
      <c r="A22" s="32"/>
      <c r="B22" s="62" t="s">
        <v>46</v>
      </c>
      <c r="C22" s="28">
        <f t="shared" si="1"/>
        <v>148.72999999999999</v>
      </c>
      <c r="D22" s="28"/>
      <c r="E22" s="28">
        <f>F22+G22</f>
        <v>9.73</v>
      </c>
      <c r="F22" s="28">
        <f>0.04*H22</f>
        <v>5.5600000000000005</v>
      </c>
      <c r="G22" s="28">
        <f>0.03*H22</f>
        <v>4.17</v>
      </c>
      <c r="H22" s="28">
        <f>T22</f>
        <v>139</v>
      </c>
      <c r="I22" s="28">
        <f>0.6*C22</f>
        <v>89.237999999999985</v>
      </c>
      <c r="J22" s="29"/>
      <c r="K22" s="29"/>
      <c r="L22" s="29"/>
      <c r="M22" s="29"/>
      <c r="N22" s="29"/>
      <c r="O22" s="28">
        <v>26829</v>
      </c>
      <c r="P22" s="28">
        <v>26968</v>
      </c>
      <c r="Q22" s="30"/>
      <c r="R22" s="358"/>
      <c r="S22" s="54">
        <v>1</v>
      </c>
      <c r="T22" s="28">
        <f>(P22-O22)*S22</f>
        <v>139</v>
      </c>
      <c r="U22" s="455">
        <v>7862</v>
      </c>
      <c r="V22" s="733" t="s">
        <v>47</v>
      </c>
      <c r="W22" s="40" t="s">
        <v>48</v>
      </c>
      <c r="X22" s="45"/>
      <c r="Y22" s="45"/>
      <c r="Z22" s="45"/>
      <c r="AA22" s="45"/>
      <c r="AB22" s="45"/>
      <c r="AC22" s="41"/>
    </row>
    <row r="23" spans="1:29" s="42" customFormat="1" ht="24.75" customHeight="1">
      <c r="A23" s="32"/>
      <c r="B23" s="314"/>
      <c r="C23" s="581"/>
      <c r="D23" s="315"/>
      <c r="E23" s="315"/>
      <c r="F23" s="315"/>
      <c r="G23" s="315"/>
      <c r="H23" s="315"/>
      <c r="I23" s="581"/>
      <c r="J23" s="578"/>
      <c r="K23" s="578"/>
      <c r="L23" s="578"/>
      <c r="M23" s="316"/>
      <c r="N23" s="316"/>
      <c r="O23" s="315"/>
      <c r="P23" s="315"/>
      <c r="Q23" s="582"/>
      <c r="R23" s="582"/>
      <c r="S23" s="315"/>
      <c r="T23" s="315"/>
      <c r="U23" s="712"/>
      <c r="V23" s="317" t="s">
        <v>15</v>
      </c>
      <c r="W23" s="40"/>
      <c r="X23" s="41"/>
      <c r="Y23" s="41"/>
      <c r="Z23" s="41"/>
      <c r="AA23" s="41"/>
      <c r="AB23" s="41"/>
      <c r="AC23" s="41"/>
    </row>
    <row r="24" spans="1:29" s="42" customFormat="1" ht="26.25" customHeight="1">
      <c r="A24" s="32"/>
      <c r="B24" s="314"/>
      <c r="C24" s="581"/>
      <c r="D24" s="315"/>
      <c r="E24" s="315"/>
      <c r="F24" s="315"/>
      <c r="G24" s="315"/>
      <c r="H24" s="315"/>
      <c r="I24" s="581"/>
      <c r="J24" s="578"/>
      <c r="K24" s="578"/>
      <c r="L24" s="578"/>
      <c r="M24" s="316"/>
      <c r="N24" s="316"/>
      <c r="O24" s="315"/>
      <c r="P24" s="315"/>
      <c r="Q24" s="582"/>
      <c r="R24" s="582"/>
      <c r="S24" s="315"/>
      <c r="T24" s="315"/>
      <c r="U24" s="712"/>
      <c r="V24" s="317"/>
      <c r="W24" s="40"/>
      <c r="X24" s="41"/>
      <c r="Y24" s="41"/>
      <c r="Z24" s="41"/>
      <c r="AA24" s="41"/>
      <c r="AB24" s="41"/>
      <c r="AC24" s="41"/>
    </row>
    <row r="25" spans="1:29" ht="51">
      <c r="A25" s="19"/>
      <c r="B25" s="27" t="s">
        <v>49</v>
      </c>
      <c r="C25" s="28">
        <f t="shared" ref="C25:C30" si="3">H25+E25</f>
        <v>14370.000000000437</v>
      </c>
      <c r="D25" s="28"/>
      <c r="E25" s="28">
        <v>0</v>
      </c>
      <c r="F25" s="28">
        <v>0</v>
      </c>
      <c r="G25" s="28">
        <v>0</v>
      </c>
      <c r="H25" s="28">
        <f>T25</f>
        <v>14370.000000000437</v>
      </c>
      <c r="I25" s="28">
        <f t="shared" si="2"/>
        <v>5748.0000000001746</v>
      </c>
      <c r="J25" s="46"/>
      <c r="K25" s="46"/>
      <c r="L25" s="46"/>
      <c r="M25" s="29"/>
      <c r="N25" s="29"/>
      <c r="O25" s="28">
        <v>47573.4</v>
      </c>
      <c r="P25" s="28">
        <v>47621.3</v>
      </c>
      <c r="Q25" s="348" t="s">
        <v>50</v>
      </c>
      <c r="R25" s="348"/>
      <c r="S25" s="28">
        <v>300</v>
      </c>
      <c r="T25" s="28">
        <f>(P25-O25)*S25</f>
        <v>14370.000000000437</v>
      </c>
      <c r="U25" s="455" t="s">
        <v>51</v>
      </c>
      <c r="V25" s="733" t="s">
        <v>52</v>
      </c>
      <c r="W25" s="14" t="s">
        <v>53</v>
      </c>
      <c r="X25" s="7"/>
      <c r="Y25" s="7"/>
      <c r="Z25" s="7"/>
      <c r="AA25" s="7"/>
      <c r="AB25" s="7"/>
      <c r="AC25" s="7"/>
    </row>
    <row r="26" spans="1:29" s="42" customFormat="1" ht="24" customHeight="1">
      <c r="A26" s="32"/>
      <c r="B26" s="314"/>
      <c r="C26" s="315"/>
      <c r="D26" s="315"/>
      <c r="E26" s="315"/>
      <c r="F26" s="315"/>
      <c r="G26" s="315"/>
      <c r="H26" s="315"/>
      <c r="I26" s="315"/>
      <c r="J26" s="578"/>
      <c r="K26" s="578"/>
      <c r="L26" s="578"/>
      <c r="M26" s="316"/>
      <c r="N26" s="316"/>
      <c r="O26" s="584"/>
      <c r="P26" s="584"/>
      <c r="Q26" s="344"/>
      <c r="R26" s="579"/>
      <c r="S26" s="584"/>
      <c r="T26" s="584"/>
      <c r="U26" s="712"/>
      <c r="V26" s="317"/>
      <c r="W26" s="40"/>
      <c r="X26" s="41"/>
      <c r="Y26" s="41"/>
      <c r="Z26" s="41"/>
      <c r="AA26" s="41"/>
      <c r="AB26" s="41"/>
      <c r="AC26" s="41"/>
    </row>
    <row r="27" spans="1:29" s="68" customFormat="1" ht="55.5" customHeight="1">
      <c r="A27" s="65"/>
      <c r="B27" s="352" t="s">
        <v>54</v>
      </c>
      <c r="C27" s="28">
        <f t="shared" si="3"/>
        <v>6503.9999999999782</v>
      </c>
      <c r="D27" s="28"/>
      <c r="E27" s="28">
        <v>0</v>
      </c>
      <c r="F27" s="28">
        <v>0</v>
      </c>
      <c r="G27" s="28">
        <v>0</v>
      </c>
      <c r="H27" s="28">
        <f t="shared" ref="H27:H33" si="4">T27</f>
        <v>6503.9999999999782</v>
      </c>
      <c r="I27" s="28">
        <f t="shared" si="2"/>
        <v>2601.5999999999913</v>
      </c>
      <c r="J27" s="46"/>
      <c r="K27" s="46"/>
      <c r="L27" s="46"/>
      <c r="M27" s="29"/>
      <c r="N27" s="29"/>
      <c r="O27" s="28">
        <v>3393.5</v>
      </c>
      <c r="P27" s="28">
        <v>3447.7</v>
      </c>
      <c r="Q27" s="30"/>
      <c r="R27" s="361"/>
      <c r="S27" s="28">
        <v>120</v>
      </c>
      <c r="T27" s="28">
        <f>(P27-O27)*S27</f>
        <v>6503.9999999999782</v>
      </c>
      <c r="U27" s="737">
        <v>470</v>
      </c>
      <c r="V27" s="733" t="s">
        <v>52</v>
      </c>
      <c r="W27" s="66" t="s">
        <v>48</v>
      </c>
      <c r="X27" s="67"/>
      <c r="Y27" s="67"/>
      <c r="Z27" s="67"/>
      <c r="AA27" s="67"/>
      <c r="AB27" s="67"/>
      <c r="AC27" s="67"/>
    </row>
    <row r="28" spans="1:29" ht="50.25" customHeight="1">
      <c r="A28" s="19"/>
      <c r="B28" s="357" t="s">
        <v>55</v>
      </c>
      <c r="C28" s="28">
        <f t="shared" si="3"/>
        <v>570.00000000013824</v>
      </c>
      <c r="D28" s="28"/>
      <c r="E28" s="28">
        <v>0</v>
      </c>
      <c r="F28" s="28">
        <v>0</v>
      </c>
      <c r="G28" s="28">
        <v>0</v>
      </c>
      <c r="H28" s="28">
        <f t="shared" si="4"/>
        <v>570.00000000013824</v>
      </c>
      <c r="I28" s="28">
        <f t="shared" si="2"/>
        <v>228.00000000005531</v>
      </c>
      <c r="J28" s="46"/>
      <c r="K28" s="46"/>
      <c r="L28" s="46"/>
      <c r="M28" s="29"/>
      <c r="N28" s="29"/>
      <c r="O28" s="28">
        <v>15098.4</v>
      </c>
      <c r="P28" s="28">
        <v>15190.5</v>
      </c>
      <c r="Q28" s="30"/>
      <c r="R28" s="361"/>
      <c r="S28" s="28">
        <v>300</v>
      </c>
      <c r="T28" s="28">
        <f>(P28-O28)*S28-T32-T27</f>
        <v>570.00000000013824</v>
      </c>
      <c r="U28" s="455" t="s">
        <v>56</v>
      </c>
      <c r="V28" s="733" t="s">
        <v>52</v>
      </c>
      <c r="W28" s="14" t="s">
        <v>57</v>
      </c>
      <c r="X28" s="7"/>
      <c r="Y28" s="7"/>
      <c r="Z28" s="7"/>
      <c r="AA28" s="7"/>
      <c r="AB28" s="7"/>
      <c r="AC28" s="7"/>
    </row>
    <row r="29" spans="1:29" s="42" customFormat="1" ht="24" customHeight="1">
      <c r="A29" s="32"/>
      <c r="B29" s="523" t="s">
        <v>58</v>
      </c>
      <c r="C29" s="524">
        <f t="shared" si="3"/>
        <v>0</v>
      </c>
      <c r="D29" s="524"/>
      <c r="E29" s="524">
        <v>0</v>
      </c>
      <c r="F29" s="524">
        <v>0</v>
      </c>
      <c r="G29" s="524">
        <v>0</v>
      </c>
      <c r="H29" s="524">
        <f t="shared" si="4"/>
        <v>0</v>
      </c>
      <c r="I29" s="524">
        <f>0.4*C29</f>
        <v>0</v>
      </c>
      <c r="J29" s="525"/>
      <c r="K29" s="525"/>
      <c r="L29" s="525"/>
      <c r="M29" s="526"/>
      <c r="N29" s="526"/>
      <c r="O29" s="524">
        <v>2357</v>
      </c>
      <c r="P29" s="524">
        <v>2357</v>
      </c>
      <c r="Q29" s="527"/>
      <c r="R29" s="528"/>
      <c r="S29" s="524">
        <v>300</v>
      </c>
      <c r="T29" s="524">
        <f>(P29-O29)*S29</f>
        <v>0</v>
      </c>
      <c r="U29" s="716" t="s">
        <v>59</v>
      </c>
      <c r="V29" s="530" t="s">
        <v>52</v>
      </c>
      <c r="W29" s="40"/>
      <c r="X29" s="41"/>
      <c r="Y29" s="41"/>
      <c r="Z29" s="41"/>
      <c r="AA29" s="41"/>
      <c r="AB29" s="41"/>
      <c r="AC29" s="41"/>
    </row>
    <row r="30" spans="1:29" ht="30" customHeight="1">
      <c r="A30" s="19"/>
      <c r="B30" s="27" t="s">
        <v>793</v>
      </c>
      <c r="C30" s="28">
        <f t="shared" si="3"/>
        <v>21529.277400000101</v>
      </c>
      <c r="D30" s="28"/>
      <c r="E30" s="28">
        <f>F30+G30</f>
        <v>1408.4574000000066</v>
      </c>
      <c r="F30" s="28">
        <f>0.04*H30</f>
        <v>804.83280000000377</v>
      </c>
      <c r="G30" s="28">
        <f>0.03*H30</f>
        <v>603.62460000000283</v>
      </c>
      <c r="H30" s="28">
        <f t="shared" si="4"/>
        <v>20120.820000000094</v>
      </c>
      <c r="I30" s="28">
        <f>T31</f>
        <v>59600</v>
      </c>
      <c r="J30" s="46"/>
      <c r="K30" s="46"/>
      <c r="L30" s="46"/>
      <c r="M30" s="29"/>
      <c r="N30" s="29"/>
      <c r="O30" s="28">
        <v>41631.192999999999</v>
      </c>
      <c r="P30" s="28">
        <v>41966.54</v>
      </c>
      <c r="Q30" s="30"/>
      <c r="R30" s="71"/>
      <c r="S30" s="28">
        <v>60</v>
      </c>
      <c r="T30" s="28">
        <f>(P30-O30)*S30</f>
        <v>20120.820000000094</v>
      </c>
      <c r="U30" s="455" t="s">
        <v>60</v>
      </c>
      <c r="V30" s="733" t="s">
        <v>61</v>
      </c>
      <c r="W30" s="14" t="s">
        <v>57</v>
      </c>
      <c r="X30" s="7"/>
      <c r="Y30" s="7"/>
      <c r="Z30" s="7"/>
      <c r="AA30" s="7"/>
      <c r="AB30" s="7"/>
      <c r="AC30" s="7"/>
    </row>
    <row r="31" spans="1:29" ht="25.5">
      <c r="A31" s="19"/>
      <c r="B31" s="27" t="s">
        <v>62</v>
      </c>
      <c r="C31" s="28">
        <f>T31</f>
        <v>59600</v>
      </c>
      <c r="D31" s="28"/>
      <c r="E31" s="28">
        <f>F31+G31</f>
        <v>4172</v>
      </c>
      <c r="F31" s="28">
        <f>0.04*H31</f>
        <v>2384</v>
      </c>
      <c r="G31" s="28">
        <f>0.03*H31</f>
        <v>1788</v>
      </c>
      <c r="H31" s="28">
        <f t="shared" si="4"/>
        <v>59600</v>
      </c>
      <c r="I31" s="28">
        <f>0.6*C31</f>
        <v>35760</v>
      </c>
      <c r="J31" s="29"/>
      <c r="K31" s="29"/>
      <c r="L31" s="29"/>
      <c r="M31" s="29"/>
      <c r="N31" s="29"/>
      <c r="O31" s="28">
        <v>9122.5</v>
      </c>
      <c r="P31" s="28">
        <v>9495</v>
      </c>
      <c r="Q31" s="30"/>
      <c r="R31" s="358"/>
      <c r="S31" s="54">
        <v>160</v>
      </c>
      <c r="T31" s="28">
        <f>(P31-O31)*S31</f>
        <v>59600</v>
      </c>
      <c r="U31" s="455">
        <v>4435</v>
      </c>
      <c r="V31" s="733" t="s">
        <v>63</v>
      </c>
      <c r="W31" s="14" t="s">
        <v>53</v>
      </c>
      <c r="X31" s="7"/>
      <c r="Y31" s="7"/>
      <c r="Z31" s="7"/>
      <c r="AA31" s="7"/>
      <c r="AB31" s="7"/>
      <c r="AC31" s="7"/>
    </row>
    <row r="32" spans="1:29" ht="51" customHeight="1">
      <c r="A32" s="19"/>
      <c r="B32" s="363" t="s">
        <v>954</v>
      </c>
      <c r="C32" s="28">
        <f>H32+E32</f>
        <v>21994.919999999991</v>
      </c>
      <c r="D32" s="28"/>
      <c r="E32" s="28">
        <f>F32+G32</f>
        <v>1438.9199999999996</v>
      </c>
      <c r="F32" s="28">
        <f>0.04*H32</f>
        <v>822.23999999999978</v>
      </c>
      <c r="G32" s="28">
        <f>0.03*H32</f>
        <v>616.67999999999972</v>
      </c>
      <c r="H32" s="28">
        <f t="shared" si="4"/>
        <v>20555.999999999993</v>
      </c>
      <c r="I32" s="72">
        <f>T33-I34</f>
        <v>1624</v>
      </c>
      <c r="J32" s="46"/>
      <c r="K32" s="46"/>
      <c r="L32" s="46"/>
      <c r="M32" s="29"/>
      <c r="N32" s="29"/>
      <c r="O32" s="28">
        <v>844</v>
      </c>
      <c r="P32" s="28">
        <v>1186.5999999999999</v>
      </c>
      <c r="Q32" s="30"/>
      <c r="R32" s="71"/>
      <c r="S32" s="28">
        <v>60</v>
      </c>
      <c r="T32" s="28">
        <f>(P32-O32)*S32</f>
        <v>20555.999999999993</v>
      </c>
      <c r="U32" s="455">
        <v>18628</v>
      </c>
      <c r="V32" s="733" t="s">
        <v>795</v>
      </c>
      <c r="W32" s="73" t="s">
        <v>57</v>
      </c>
      <c r="X32" s="74"/>
      <c r="Y32" s="74"/>
      <c r="Z32" s="74"/>
      <c r="AA32" s="75"/>
      <c r="AB32" s="7"/>
      <c r="AC32" s="7"/>
    </row>
    <row r="33" spans="1:29" ht="25.5">
      <c r="A33" s="19"/>
      <c r="B33" s="62" t="s">
        <v>64</v>
      </c>
      <c r="C33" s="28">
        <f>H33+E33</f>
        <v>1737.68</v>
      </c>
      <c r="D33" s="28"/>
      <c r="E33" s="28">
        <f>F33+G33</f>
        <v>113.68</v>
      </c>
      <c r="F33" s="28">
        <f>0.04*H33</f>
        <v>64.960000000000008</v>
      </c>
      <c r="G33" s="28">
        <f>0.03*H33</f>
        <v>48.72</v>
      </c>
      <c r="H33" s="28">
        <f t="shared" si="4"/>
        <v>1624</v>
      </c>
      <c r="I33" s="28">
        <f>0.6*C33</f>
        <v>1042.6079999999999</v>
      </c>
      <c r="J33" s="29"/>
      <c r="K33" s="29"/>
      <c r="L33" s="29"/>
      <c r="M33" s="29"/>
      <c r="N33" s="29"/>
      <c r="O33" s="28">
        <v>29427</v>
      </c>
      <c r="P33" s="28">
        <v>31051</v>
      </c>
      <c r="Q33" s="30"/>
      <c r="R33" s="358"/>
      <c r="S33" s="54">
        <v>1</v>
      </c>
      <c r="T33" s="28">
        <f>(P33-O33)*S33</f>
        <v>1624</v>
      </c>
      <c r="U33" s="455"/>
      <c r="V33" s="733" t="s">
        <v>65</v>
      </c>
      <c r="W33" s="14" t="s">
        <v>48</v>
      </c>
      <c r="X33" s="7"/>
      <c r="Y33" s="7"/>
      <c r="Z33" s="7"/>
      <c r="AA33" s="7"/>
      <c r="AB33" s="7"/>
      <c r="AC33" s="7"/>
    </row>
    <row r="34" spans="1:29" s="42" customFormat="1" ht="31.5" customHeight="1">
      <c r="A34" s="32"/>
      <c r="B34" s="314"/>
      <c r="C34" s="315"/>
      <c r="D34" s="315"/>
      <c r="E34" s="315"/>
      <c r="F34" s="315"/>
      <c r="G34" s="315"/>
      <c r="H34" s="315"/>
      <c r="I34" s="315"/>
      <c r="J34" s="578"/>
      <c r="K34" s="578"/>
      <c r="L34" s="578"/>
      <c r="M34" s="316"/>
      <c r="N34" s="316"/>
      <c r="O34" s="315"/>
      <c r="P34" s="315"/>
      <c r="Q34" s="344"/>
      <c r="R34" s="579"/>
      <c r="S34" s="315"/>
      <c r="T34" s="315"/>
      <c r="U34" s="712"/>
      <c r="V34" s="317"/>
      <c r="W34" s="40"/>
      <c r="X34" s="41"/>
      <c r="Y34" s="41"/>
      <c r="Z34" s="41"/>
      <c r="AA34" s="41"/>
      <c r="AB34" s="41"/>
      <c r="AC34" s="41"/>
    </row>
    <row r="35" spans="1:29" s="68" customFormat="1" ht="31.5" customHeight="1">
      <c r="A35" s="65"/>
      <c r="B35" s="352" t="s">
        <v>682</v>
      </c>
      <c r="C35" s="28">
        <f t="shared" ref="C35:C40" si="5">H35+E35</f>
        <v>381</v>
      </c>
      <c r="D35" s="28"/>
      <c r="E35" s="28">
        <v>0</v>
      </c>
      <c r="F35" s="28">
        <v>0</v>
      </c>
      <c r="G35" s="28">
        <v>0</v>
      </c>
      <c r="H35" s="28">
        <f>T35</f>
        <v>381</v>
      </c>
      <c r="I35" s="28">
        <f t="shared" ref="I35:I43" si="6">0.4*C35</f>
        <v>152.4</v>
      </c>
      <c r="J35" s="46"/>
      <c r="K35" s="46"/>
      <c r="L35" s="46"/>
      <c r="M35" s="29"/>
      <c r="N35" s="29"/>
      <c r="O35" s="28">
        <v>6002</v>
      </c>
      <c r="P35" s="28">
        <v>6383</v>
      </c>
      <c r="Q35" s="30"/>
      <c r="R35" s="361"/>
      <c r="S35" s="28">
        <v>1</v>
      </c>
      <c r="T35" s="28">
        <f>(P35-O35)*S35</f>
        <v>381</v>
      </c>
      <c r="U35" s="736">
        <v>9051</v>
      </c>
      <c r="V35" s="44" t="s">
        <v>683</v>
      </c>
      <c r="W35" s="66"/>
      <c r="X35" s="67"/>
      <c r="Y35" s="67"/>
      <c r="Z35" s="67"/>
      <c r="AA35" s="67"/>
      <c r="AB35" s="67"/>
      <c r="AC35" s="67"/>
    </row>
    <row r="36" spans="1:29" ht="30" customHeight="1">
      <c r="A36" s="19"/>
      <c r="B36" s="27" t="s">
        <v>66</v>
      </c>
      <c r="C36" s="28">
        <f t="shared" si="5"/>
        <v>11522</v>
      </c>
      <c r="D36" s="28"/>
      <c r="E36" s="28">
        <v>0</v>
      </c>
      <c r="F36" s="28">
        <v>0</v>
      </c>
      <c r="G36" s="28">
        <v>0</v>
      </c>
      <c r="H36" s="28">
        <f>T36</f>
        <v>11522</v>
      </c>
      <c r="I36" s="28">
        <f t="shared" si="6"/>
        <v>4608.8</v>
      </c>
      <c r="J36" s="46"/>
      <c r="K36" s="46"/>
      <c r="L36" s="46"/>
      <c r="M36" s="29"/>
      <c r="N36" s="29"/>
      <c r="O36" s="28">
        <v>29299</v>
      </c>
      <c r="P36" s="28">
        <v>29453</v>
      </c>
      <c r="Q36" s="30"/>
      <c r="R36" s="351"/>
      <c r="S36" s="28">
        <v>80</v>
      </c>
      <c r="T36" s="28">
        <f>(P36-O36)*S36-T35-T271-T272-T270-T279-T280-T282-T284</f>
        <v>11522</v>
      </c>
      <c r="U36" s="455">
        <v>81596396</v>
      </c>
      <c r="V36" s="733" t="s">
        <v>61</v>
      </c>
      <c r="W36" s="14" t="s">
        <v>57</v>
      </c>
      <c r="X36" s="7"/>
      <c r="Y36" s="7"/>
      <c r="Z36" s="7"/>
      <c r="AA36" s="7"/>
      <c r="AB36" s="7"/>
      <c r="AC36" s="7"/>
    </row>
    <row r="37" spans="1:29" ht="30" customHeight="1">
      <c r="A37" s="19"/>
      <c r="B37" s="27" t="s">
        <v>67</v>
      </c>
      <c r="C37" s="28">
        <f t="shared" si="5"/>
        <v>223.63</v>
      </c>
      <c r="D37" s="28"/>
      <c r="E37" s="28">
        <f>F37+G37</f>
        <v>14.629999999999999</v>
      </c>
      <c r="F37" s="28">
        <f>0.04*H37</f>
        <v>8.36</v>
      </c>
      <c r="G37" s="28">
        <f>0.03*H37</f>
        <v>6.27</v>
      </c>
      <c r="H37" s="28">
        <f>T37</f>
        <v>209</v>
      </c>
      <c r="I37" s="28">
        <f>0.6*C37</f>
        <v>134.178</v>
      </c>
      <c r="J37" s="29"/>
      <c r="K37" s="29"/>
      <c r="L37" s="29"/>
      <c r="M37" s="29"/>
      <c r="N37" s="29"/>
      <c r="O37" s="28">
        <v>78934</v>
      </c>
      <c r="P37" s="28">
        <v>79143</v>
      </c>
      <c r="Q37" s="30"/>
      <c r="R37" s="358"/>
      <c r="S37" s="54">
        <v>1</v>
      </c>
      <c r="T37" s="28">
        <f>(P37-O37)*S37</f>
        <v>209</v>
      </c>
      <c r="U37" s="455">
        <v>15737.0376</v>
      </c>
      <c r="V37" s="733" t="s">
        <v>68</v>
      </c>
      <c r="W37" s="14" t="s">
        <v>57</v>
      </c>
      <c r="X37" s="7"/>
      <c r="Y37" s="7"/>
      <c r="Z37" s="7"/>
      <c r="AA37" s="7"/>
      <c r="AB37" s="7"/>
      <c r="AC37" s="7"/>
    </row>
    <row r="38" spans="1:29" ht="28.5" customHeight="1">
      <c r="A38" s="19"/>
      <c r="B38" s="148"/>
      <c r="C38" s="91"/>
      <c r="D38" s="91"/>
      <c r="E38" s="91"/>
      <c r="F38" s="91"/>
      <c r="G38" s="91"/>
      <c r="H38" s="91"/>
      <c r="I38" s="91"/>
      <c r="J38" s="98"/>
      <c r="K38" s="98"/>
      <c r="L38" s="98"/>
      <c r="M38" s="22"/>
      <c r="N38" s="22"/>
      <c r="O38" s="250"/>
      <c r="P38" s="250"/>
      <c r="Q38" s="122"/>
      <c r="R38" s="142"/>
      <c r="S38" s="91"/>
      <c r="T38" s="91"/>
      <c r="U38" s="644"/>
      <c r="V38" s="710"/>
      <c r="W38" s="14" t="s">
        <v>48</v>
      </c>
      <c r="X38" s="7"/>
      <c r="Y38" s="7"/>
      <c r="Z38" s="7"/>
      <c r="AA38" s="7"/>
      <c r="AB38" s="7"/>
      <c r="AC38" s="7"/>
    </row>
    <row r="39" spans="1:29" ht="60" customHeight="1">
      <c r="A39" s="19"/>
      <c r="B39" s="27" t="s">
        <v>69</v>
      </c>
      <c r="C39" s="28">
        <f t="shared" si="5"/>
        <v>1662.78</v>
      </c>
      <c r="D39" s="28"/>
      <c r="E39" s="28">
        <f>F39+G39</f>
        <v>108.78</v>
      </c>
      <c r="F39" s="28">
        <f>0.04*H39</f>
        <v>62.160000000000004</v>
      </c>
      <c r="G39" s="77">
        <f>0.03*H39</f>
        <v>46.62</v>
      </c>
      <c r="H39" s="28">
        <f>T39-H214-H216-H215-H213-H188-H169-H232-H233</f>
        <v>1554</v>
      </c>
      <c r="I39" s="28">
        <f t="shared" si="6"/>
        <v>665.11200000000008</v>
      </c>
      <c r="J39" s="46"/>
      <c r="K39" s="46"/>
      <c r="L39" s="46"/>
      <c r="M39" s="29"/>
      <c r="N39" s="29"/>
      <c r="O39" s="365">
        <v>16104.3</v>
      </c>
      <c r="P39" s="365">
        <v>16254.3</v>
      </c>
      <c r="Q39" s="30"/>
      <c r="R39" s="348"/>
      <c r="S39" s="28">
        <v>40</v>
      </c>
      <c r="T39" s="28">
        <f>(P39-O39)*S39</f>
        <v>6000</v>
      </c>
      <c r="U39" s="455">
        <v>81596438</v>
      </c>
      <c r="V39" s="733" t="s">
        <v>796</v>
      </c>
      <c r="W39" s="14" t="s">
        <v>48</v>
      </c>
      <c r="X39" s="7"/>
      <c r="Y39" s="7"/>
      <c r="Z39" s="7"/>
      <c r="AA39" s="7"/>
      <c r="AB39" s="7"/>
      <c r="AC39" s="7"/>
    </row>
    <row r="40" spans="1:29" ht="30" customHeight="1">
      <c r="A40" s="19"/>
      <c r="B40" s="148" t="s">
        <v>70</v>
      </c>
      <c r="C40" s="91">
        <f t="shared" si="5"/>
        <v>1379.23</v>
      </c>
      <c r="D40" s="91"/>
      <c r="E40" s="91">
        <f>F40+G40</f>
        <v>90.23</v>
      </c>
      <c r="F40" s="91">
        <f>0.04*H40</f>
        <v>51.56</v>
      </c>
      <c r="G40" s="92">
        <f>0.03*H40</f>
        <v>38.67</v>
      </c>
      <c r="H40" s="91">
        <f>T40-T232</f>
        <v>1289</v>
      </c>
      <c r="I40" s="91">
        <f t="shared" si="6"/>
        <v>551.69200000000001</v>
      </c>
      <c r="J40" s="98"/>
      <c r="K40" s="98"/>
      <c r="L40" s="98"/>
      <c r="M40" s="22"/>
      <c r="N40" s="22"/>
      <c r="O40" s="91">
        <v>35054</v>
      </c>
      <c r="P40" s="91">
        <v>35131</v>
      </c>
      <c r="Q40" s="122"/>
      <c r="R40" s="142"/>
      <c r="S40" s="91">
        <v>40</v>
      </c>
      <c r="T40" s="91">
        <f>(P40-O40)*S40</f>
        <v>3080</v>
      </c>
      <c r="U40" s="644">
        <v>218822</v>
      </c>
      <c r="V40" s="710" t="s">
        <v>797</v>
      </c>
      <c r="W40" s="78" t="s">
        <v>48</v>
      </c>
      <c r="X40" s="7"/>
      <c r="Y40" s="7"/>
      <c r="Z40" s="7"/>
      <c r="AA40" s="7"/>
      <c r="AB40" s="7"/>
      <c r="AC40" s="7"/>
    </row>
    <row r="41" spans="1:29" ht="51" customHeight="1">
      <c r="A41" s="19"/>
      <c r="B41" s="89" t="s">
        <v>775</v>
      </c>
      <c r="C41" s="84">
        <f>H41</f>
        <v>763</v>
      </c>
      <c r="D41" s="85"/>
      <c r="E41" s="84">
        <f>F41+G41</f>
        <v>53.41</v>
      </c>
      <c r="F41" s="84">
        <f>0.04*H41</f>
        <v>30.52</v>
      </c>
      <c r="G41" s="84">
        <f>0.03*H41</f>
        <v>22.89</v>
      </c>
      <c r="H41" s="85">
        <f t="shared" ref="H41:H49" si="7">T41</f>
        <v>763</v>
      </c>
      <c r="I41" s="484">
        <f>C41*0.4</f>
        <v>305.2</v>
      </c>
      <c r="J41" s="131"/>
      <c r="K41" s="131"/>
      <c r="L41" s="131"/>
      <c r="M41" s="131"/>
      <c r="N41" s="131"/>
      <c r="O41" s="85">
        <v>22870</v>
      </c>
      <c r="P41" s="85">
        <v>23633</v>
      </c>
      <c r="Q41" s="544"/>
      <c r="R41" s="545"/>
      <c r="S41" s="545">
        <v>1</v>
      </c>
      <c r="T41" s="85">
        <f t="shared" ref="T41:T47" si="8">(P41-O41)*S41</f>
        <v>763</v>
      </c>
      <c r="U41" s="722">
        <v>2406</v>
      </c>
      <c r="V41" s="89" t="s">
        <v>776</v>
      </c>
      <c r="W41" s="14"/>
      <c r="X41" s="7"/>
      <c r="Y41" s="7"/>
      <c r="Z41" s="7"/>
      <c r="AA41" s="7"/>
      <c r="AB41" s="7"/>
      <c r="AC41" s="7"/>
    </row>
    <row r="42" spans="1:29" ht="24.75" customHeight="1">
      <c r="A42" s="19"/>
      <c r="B42" s="366" t="s">
        <v>71</v>
      </c>
      <c r="C42" s="28">
        <f>H42</f>
        <v>2270</v>
      </c>
      <c r="D42" s="77"/>
      <c r="E42" s="28">
        <f>F42+G42</f>
        <v>158.89999999999998</v>
      </c>
      <c r="F42" s="28">
        <f>0.04*H42</f>
        <v>90.8</v>
      </c>
      <c r="G42" s="28">
        <f>0.03*H42</f>
        <v>68.099999999999994</v>
      </c>
      <c r="H42" s="77">
        <f t="shared" si="7"/>
        <v>2270</v>
      </c>
      <c r="I42" s="365">
        <f>C42*0.4</f>
        <v>908</v>
      </c>
      <c r="J42" s="46"/>
      <c r="K42" s="46"/>
      <c r="L42" s="46"/>
      <c r="M42" s="46"/>
      <c r="N42" s="46"/>
      <c r="O42" s="77">
        <v>40985</v>
      </c>
      <c r="P42" s="77">
        <v>43255</v>
      </c>
      <c r="Q42" s="79"/>
      <c r="R42" s="80"/>
      <c r="S42" s="80">
        <v>1</v>
      </c>
      <c r="T42" s="77">
        <f t="shared" si="8"/>
        <v>2270</v>
      </c>
      <c r="U42" s="455">
        <v>6249</v>
      </c>
      <c r="V42" s="733" t="s">
        <v>72</v>
      </c>
      <c r="W42" s="14" t="s">
        <v>48</v>
      </c>
      <c r="X42" s="7"/>
      <c r="Y42" s="7"/>
      <c r="Z42" s="7"/>
      <c r="AA42" s="7"/>
      <c r="AB42" s="7"/>
      <c r="AC42" s="7"/>
    </row>
    <row r="43" spans="1:29" ht="33" customHeight="1">
      <c r="A43" s="19"/>
      <c r="B43" s="27" t="s">
        <v>73</v>
      </c>
      <c r="C43" s="28">
        <f>H43</f>
        <v>423</v>
      </c>
      <c r="D43" s="28"/>
      <c r="E43" s="28"/>
      <c r="F43" s="28"/>
      <c r="G43" s="77">
        <v>0</v>
      </c>
      <c r="H43" s="28">
        <f t="shared" si="7"/>
        <v>423</v>
      </c>
      <c r="I43" s="28">
        <f t="shared" si="6"/>
        <v>169.20000000000002</v>
      </c>
      <c r="J43" s="28">
        <f>0.55*D43</f>
        <v>0</v>
      </c>
      <c r="K43" s="28">
        <f>0.55*E43</f>
        <v>0</v>
      </c>
      <c r="L43" s="28">
        <f>0.55*F43</f>
        <v>0</v>
      </c>
      <c r="M43" s="28">
        <f>0.55*G43</f>
        <v>0</v>
      </c>
      <c r="N43" s="28">
        <f>0.55*H43</f>
        <v>232.65</v>
      </c>
      <c r="O43" s="28">
        <v>46896</v>
      </c>
      <c r="P43" s="28">
        <v>47319</v>
      </c>
      <c r="Q43" s="30"/>
      <c r="R43" s="351"/>
      <c r="S43" s="28">
        <v>1</v>
      </c>
      <c r="T43" s="28">
        <f t="shared" si="8"/>
        <v>423</v>
      </c>
      <c r="U43" s="455" t="s">
        <v>74</v>
      </c>
      <c r="V43" s="733" t="s">
        <v>75</v>
      </c>
      <c r="W43" s="47" t="s">
        <v>57</v>
      </c>
      <c r="X43" s="7"/>
      <c r="Y43" s="7"/>
      <c r="Z43" s="7"/>
      <c r="AA43" s="7"/>
      <c r="AB43" s="7"/>
      <c r="AC43" s="7"/>
    </row>
    <row r="44" spans="1:29" ht="27.75" customHeight="1">
      <c r="A44" s="19"/>
      <c r="B44" s="367" t="s">
        <v>76</v>
      </c>
      <c r="C44" s="72">
        <f>H44+E44</f>
        <v>18369.417599999804</v>
      </c>
      <c r="D44" s="72"/>
      <c r="E44" s="72">
        <f>F44+G44</f>
        <v>1201.7375999999872</v>
      </c>
      <c r="F44" s="72">
        <f>0.04*H44</f>
        <v>686.70719999999278</v>
      </c>
      <c r="G44" s="72">
        <f>0.03*H44</f>
        <v>515.03039999999453</v>
      </c>
      <c r="H44" s="72">
        <f t="shared" si="7"/>
        <v>17167.679999999818</v>
      </c>
      <c r="I44" s="72">
        <f>T492</f>
        <v>0</v>
      </c>
      <c r="J44" s="81"/>
      <c r="K44" s="81"/>
      <c r="L44" s="81"/>
      <c r="M44" s="81"/>
      <c r="N44" s="81"/>
      <c r="O44" s="28">
        <v>40418.26</v>
      </c>
      <c r="P44" s="28">
        <v>40561.324000000001</v>
      </c>
      <c r="Q44" s="29" t="s">
        <v>33</v>
      </c>
      <c r="R44" s="348"/>
      <c r="S44" s="54">
        <v>120</v>
      </c>
      <c r="T44" s="28">
        <f t="shared" si="8"/>
        <v>17167.679999999818</v>
      </c>
      <c r="U44" s="455">
        <v>42000</v>
      </c>
      <c r="V44" s="733" t="s">
        <v>77</v>
      </c>
      <c r="W44" s="82" t="s">
        <v>57</v>
      </c>
      <c r="X44" s="7"/>
      <c r="Y44" s="7"/>
      <c r="Z44" s="7"/>
      <c r="AA44" s="7"/>
      <c r="AB44" s="7"/>
      <c r="AC44" s="7"/>
    </row>
    <row r="45" spans="1:29" ht="27.75" customHeight="1">
      <c r="A45" s="19"/>
      <c r="B45" s="83" t="s">
        <v>78</v>
      </c>
      <c r="C45" s="84">
        <f>H45</f>
        <v>904</v>
      </c>
      <c r="D45" s="84"/>
      <c r="E45" s="84"/>
      <c r="F45" s="84"/>
      <c r="G45" s="85">
        <v>0</v>
      </c>
      <c r="H45" s="84">
        <f t="shared" si="7"/>
        <v>904</v>
      </c>
      <c r="I45" s="84">
        <f>0.4*C45</f>
        <v>361.6</v>
      </c>
      <c r="J45" s="84">
        <f>0.55*D45</f>
        <v>0</v>
      </c>
      <c r="K45" s="84">
        <f>0.55*E45</f>
        <v>0</v>
      </c>
      <c r="L45" s="84">
        <f>0.55*F45</f>
        <v>0</v>
      </c>
      <c r="M45" s="84">
        <f>0.55*G45</f>
        <v>0</v>
      </c>
      <c r="N45" s="84">
        <f>0.55*H45</f>
        <v>497.20000000000005</v>
      </c>
      <c r="O45" s="84">
        <v>290518</v>
      </c>
      <c r="P45" s="84">
        <v>291422</v>
      </c>
      <c r="Q45" s="86"/>
      <c r="R45" s="87"/>
      <c r="S45" s="84">
        <v>1</v>
      </c>
      <c r="T45" s="84">
        <f>(P45-O45)*S45</f>
        <v>904</v>
      </c>
      <c r="U45" s="722">
        <v>15695</v>
      </c>
      <c r="V45" s="89" t="s">
        <v>844</v>
      </c>
      <c r="W45" s="47" t="s">
        <v>48</v>
      </c>
      <c r="X45" s="7"/>
      <c r="Y45" s="7"/>
      <c r="Z45" s="7"/>
      <c r="AA45" s="7"/>
      <c r="AB45" s="7"/>
      <c r="AC45" s="7"/>
    </row>
    <row r="46" spans="1:29" ht="26.25" customHeight="1">
      <c r="A46" s="19"/>
      <c r="B46" s="368" t="s">
        <v>79</v>
      </c>
      <c r="C46" s="28">
        <f>H46</f>
        <v>57</v>
      </c>
      <c r="D46" s="77"/>
      <c r="E46" s="28">
        <f>F46+G46</f>
        <v>3.99</v>
      </c>
      <c r="F46" s="28">
        <f>0.04*H46</f>
        <v>2.2800000000000002</v>
      </c>
      <c r="G46" s="28">
        <f>0.03*H46</f>
        <v>1.71</v>
      </c>
      <c r="H46" s="77">
        <f t="shared" si="7"/>
        <v>57</v>
      </c>
      <c r="I46" s="365">
        <f>C46*0.4</f>
        <v>22.8</v>
      </c>
      <c r="J46" s="46"/>
      <c r="K46" s="46"/>
      <c r="L46" s="46"/>
      <c r="M46" s="46"/>
      <c r="N46" s="46"/>
      <c r="O46" s="77">
        <v>2532</v>
      </c>
      <c r="P46" s="77">
        <v>2589</v>
      </c>
      <c r="Q46" s="79"/>
      <c r="R46" s="80"/>
      <c r="S46" s="80">
        <v>1</v>
      </c>
      <c r="T46" s="77">
        <f t="shared" si="8"/>
        <v>57</v>
      </c>
      <c r="U46" s="455">
        <v>364814</v>
      </c>
      <c r="V46" s="733" t="s">
        <v>27</v>
      </c>
      <c r="W46" s="47" t="s">
        <v>27</v>
      </c>
      <c r="X46" s="7"/>
      <c r="Y46" s="7"/>
      <c r="Z46" s="7"/>
      <c r="AA46" s="7"/>
      <c r="AB46" s="7"/>
      <c r="AC46" s="7"/>
    </row>
    <row r="47" spans="1:29" ht="27.75" customHeight="1">
      <c r="A47" s="19"/>
      <c r="B47" s="366" t="s">
        <v>80</v>
      </c>
      <c r="C47" s="28">
        <f>H47</f>
        <v>6614</v>
      </c>
      <c r="D47" s="77"/>
      <c r="E47" s="28">
        <f>F47+G47</f>
        <v>462.98</v>
      </c>
      <c r="F47" s="28">
        <f>0.04*H47</f>
        <v>264.56</v>
      </c>
      <c r="G47" s="28">
        <f>0.03*H47</f>
        <v>198.42</v>
      </c>
      <c r="H47" s="77">
        <f t="shared" si="7"/>
        <v>6614</v>
      </c>
      <c r="I47" s="365">
        <f>C47*0.4</f>
        <v>2645.6000000000004</v>
      </c>
      <c r="J47" s="46"/>
      <c r="K47" s="46"/>
      <c r="L47" s="46"/>
      <c r="M47" s="46"/>
      <c r="N47" s="46"/>
      <c r="O47" s="77">
        <v>125093</v>
      </c>
      <c r="P47" s="77">
        <v>131707</v>
      </c>
      <c r="Q47" s="79"/>
      <c r="R47" s="80"/>
      <c r="S47" s="80">
        <v>1</v>
      </c>
      <c r="T47" s="77">
        <f t="shared" si="8"/>
        <v>6614</v>
      </c>
      <c r="U47" s="455">
        <v>9148</v>
      </c>
      <c r="V47" s="733" t="s">
        <v>81</v>
      </c>
      <c r="W47" s="47" t="s">
        <v>82</v>
      </c>
      <c r="X47" s="7"/>
      <c r="Y47" s="7"/>
      <c r="Z47" s="7"/>
      <c r="AA47" s="7"/>
      <c r="AB47" s="7"/>
      <c r="AC47" s="7"/>
    </row>
    <row r="48" spans="1:29" ht="27.75" customHeight="1">
      <c r="A48" s="19"/>
      <c r="B48" s="352" t="s">
        <v>882</v>
      </c>
      <c r="C48" s="28">
        <f t="shared" ref="C48" si="9">H48+E48</f>
        <v>7768</v>
      </c>
      <c r="D48" s="28"/>
      <c r="E48" s="28">
        <v>0</v>
      </c>
      <c r="F48" s="28">
        <v>0</v>
      </c>
      <c r="G48" s="28">
        <v>0</v>
      </c>
      <c r="H48" s="28">
        <f>T48</f>
        <v>7768</v>
      </c>
      <c r="I48" s="28">
        <f t="shared" ref="I48" si="10">0.4*C48</f>
        <v>3107.2000000000003</v>
      </c>
      <c r="J48" s="46"/>
      <c r="K48" s="46"/>
      <c r="L48" s="46"/>
      <c r="M48" s="29"/>
      <c r="N48" s="29"/>
      <c r="O48" s="28">
        <v>112744</v>
      </c>
      <c r="P48" s="28">
        <v>120512</v>
      </c>
      <c r="Q48" s="30"/>
      <c r="R48" s="361"/>
      <c r="S48" s="28">
        <v>1</v>
      </c>
      <c r="T48" s="28">
        <f>(P48-O48)*S48</f>
        <v>7768</v>
      </c>
      <c r="U48" s="736">
        <v>5732</v>
      </c>
      <c r="V48" s="44" t="s">
        <v>685</v>
      </c>
      <c r="W48" s="47"/>
      <c r="X48" s="7"/>
      <c r="Y48" s="7"/>
      <c r="Z48" s="7"/>
      <c r="AA48" s="7"/>
      <c r="AB48" s="7"/>
      <c r="AC48" s="7"/>
    </row>
    <row r="49" spans="1:29" ht="38.25" customHeight="1">
      <c r="A49" s="19"/>
      <c r="B49" s="366" t="s">
        <v>83</v>
      </c>
      <c r="C49" s="28">
        <f>H49</f>
        <v>2689</v>
      </c>
      <c r="D49" s="77"/>
      <c r="E49" s="28">
        <f>F49+G49</f>
        <v>188.23000000000002</v>
      </c>
      <c r="F49" s="28">
        <f>0.04*H49</f>
        <v>107.56</v>
      </c>
      <c r="G49" s="28">
        <f>0.03*H49</f>
        <v>80.67</v>
      </c>
      <c r="H49" s="77">
        <f t="shared" si="7"/>
        <v>2689</v>
      </c>
      <c r="I49" s="365">
        <f>C49*0.4</f>
        <v>1075.6000000000001</v>
      </c>
      <c r="J49" s="46"/>
      <c r="K49" s="46"/>
      <c r="L49" s="46"/>
      <c r="M49" s="46"/>
      <c r="N49" s="46"/>
      <c r="O49" s="77">
        <v>75030</v>
      </c>
      <c r="P49" s="77">
        <v>78839</v>
      </c>
      <c r="Q49" s="79"/>
      <c r="R49" s="80"/>
      <c r="S49" s="80">
        <v>1</v>
      </c>
      <c r="T49" s="77">
        <f>(P49-O49)*S49-T225-T223-T227-T226-T228</f>
        <v>2689</v>
      </c>
      <c r="U49" s="455">
        <v>6252</v>
      </c>
      <c r="V49" s="733" t="s">
        <v>72</v>
      </c>
      <c r="W49" s="47" t="s">
        <v>48</v>
      </c>
      <c r="X49" s="7"/>
      <c r="Y49" s="7"/>
      <c r="Z49" s="7"/>
      <c r="AA49" s="7"/>
      <c r="AB49" s="7"/>
      <c r="AC49" s="7"/>
    </row>
    <row r="50" spans="1:29" ht="33" hidden="1" customHeight="1">
      <c r="A50" s="19"/>
      <c r="B50" s="90"/>
      <c r="C50" s="91"/>
      <c r="D50" s="91"/>
      <c r="E50" s="91"/>
      <c r="F50" s="91"/>
      <c r="G50" s="92"/>
      <c r="H50" s="91"/>
      <c r="I50" s="91"/>
      <c r="J50" s="93"/>
      <c r="K50" s="93"/>
      <c r="L50" s="93"/>
      <c r="M50" s="93"/>
      <c r="N50" s="93"/>
      <c r="O50" s="91"/>
      <c r="P50" s="91"/>
      <c r="Q50" s="7"/>
      <c r="R50" s="94"/>
      <c r="S50" s="91"/>
      <c r="T50" s="91"/>
      <c r="U50" s="644"/>
      <c r="V50" s="710"/>
      <c r="W50" s="47"/>
      <c r="X50" s="7"/>
      <c r="Y50" s="7"/>
      <c r="Z50" s="7"/>
      <c r="AA50" s="7"/>
      <c r="AB50" s="7"/>
      <c r="AC50" s="7"/>
    </row>
    <row r="51" spans="1:29" ht="33" hidden="1" customHeight="1">
      <c r="A51" s="19"/>
      <c r="B51" s="90"/>
      <c r="C51" s="91"/>
      <c r="D51" s="91"/>
      <c r="E51" s="91"/>
      <c r="F51" s="91"/>
      <c r="G51" s="92"/>
      <c r="H51" s="91"/>
      <c r="I51" s="91"/>
      <c r="J51" s="93"/>
      <c r="K51" s="93"/>
      <c r="L51" s="93"/>
      <c r="M51" s="93"/>
      <c r="N51" s="93"/>
      <c r="O51" s="91"/>
      <c r="P51" s="91"/>
      <c r="Q51" s="7"/>
      <c r="R51" s="94"/>
      <c r="S51" s="91"/>
      <c r="T51" s="91"/>
      <c r="U51" s="644"/>
      <c r="V51" s="710"/>
      <c r="W51" s="47"/>
      <c r="X51" s="7"/>
      <c r="Y51" s="7"/>
      <c r="Z51" s="7"/>
      <c r="AA51" s="7"/>
      <c r="AB51" s="7"/>
      <c r="AC51" s="7"/>
    </row>
    <row r="52" spans="1:29" ht="33" hidden="1" customHeight="1">
      <c r="A52" s="19"/>
      <c r="B52" s="90"/>
      <c r="C52" s="91"/>
      <c r="D52" s="91"/>
      <c r="E52" s="91"/>
      <c r="F52" s="91"/>
      <c r="G52" s="92"/>
      <c r="H52" s="91"/>
      <c r="I52" s="91"/>
      <c r="J52" s="93"/>
      <c r="K52" s="93"/>
      <c r="L52" s="93"/>
      <c r="M52" s="93"/>
      <c r="N52" s="93"/>
      <c r="O52" s="91"/>
      <c r="P52" s="91"/>
      <c r="Q52" s="7"/>
      <c r="R52" s="94"/>
      <c r="S52" s="91"/>
      <c r="T52" s="91"/>
      <c r="U52" s="644"/>
      <c r="V52" s="710"/>
      <c r="W52" s="47"/>
      <c r="X52" s="7"/>
      <c r="Y52" s="7"/>
      <c r="Z52" s="7"/>
      <c r="AA52" s="7"/>
      <c r="AB52" s="7"/>
      <c r="AC52" s="7"/>
    </row>
    <row r="53" spans="1:29" ht="61.5" customHeight="1">
      <c r="A53" s="19"/>
      <c r="B53" s="485" t="s">
        <v>84</v>
      </c>
      <c r="C53" s="445">
        <f>H53+E53</f>
        <v>8046.4</v>
      </c>
      <c r="D53" s="445"/>
      <c r="E53" s="445">
        <f>F53+G53</f>
        <v>526.4</v>
      </c>
      <c r="F53" s="445">
        <f>0.04*H53</f>
        <v>300.8</v>
      </c>
      <c r="G53" s="445">
        <f>0.03*H53</f>
        <v>225.6</v>
      </c>
      <c r="H53" s="445">
        <f>T53</f>
        <v>7520</v>
      </c>
      <c r="I53" s="445">
        <f>0.6*C53</f>
        <v>4827.8399999999992</v>
      </c>
      <c r="J53" s="480"/>
      <c r="K53" s="480"/>
      <c r="L53" s="480"/>
      <c r="M53" s="480"/>
      <c r="N53" s="480"/>
      <c r="O53" s="445">
        <v>28296</v>
      </c>
      <c r="P53" s="445">
        <v>28484</v>
      </c>
      <c r="Q53" s="481"/>
      <c r="R53" s="482"/>
      <c r="S53" s="483">
        <v>40</v>
      </c>
      <c r="T53" s="445">
        <f>(P53-O53)*S53</f>
        <v>7520</v>
      </c>
      <c r="U53" s="455"/>
      <c r="V53" s="733" t="s">
        <v>85</v>
      </c>
      <c r="W53" s="47" t="s">
        <v>82</v>
      </c>
      <c r="X53" s="7"/>
      <c r="Y53" s="7"/>
      <c r="Z53" s="7"/>
      <c r="AA53" s="7"/>
      <c r="AB53" s="7"/>
      <c r="AC53" s="7"/>
    </row>
    <row r="54" spans="1:29" ht="30.75" customHeight="1">
      <c r="A54" s="19"/>
      <c r="B54" s="96" t="s">
        <v>86</v>
      </c>
      <c r="C54" s="97">
        <f>SUM(C8:C53)-C15</f>
        <v>247878.7250000005</v>
      </c>
      <c r="D54" s="91"/>
      <c r="E54" s="91"/>
      <c r="F54" s="91"/>
      <c r="G54" s="92"/>
      <c r="H54" s="91"/>
      <c r="I54" s="91"/>
      <c r="J54" s="93"/>
      <c r="K54" s="93"/>
      <c r="L54" s="93"/>
      <c r="M54" s="93"/>
      <c r="N54" s="93"/>
      <c r="O54" s="91"/>
      <c r="P54" s="91"/>
      <c r="Q54" s="7"/>
      <c r="R54" s="94"/>
      <c r="S54" s="91"/>
      <c r="T54" s="91"/>
      <c r="U54" s="644"/>
      <c r="V54" s="710"/>
      <c r="W54" s="47"/>
      <c r="X54" s="7"/>
      <c r="Y54" s="7"/>
      <c r="Z54" s="7"/>
      <c r="AA54" s="7"/>
      <c r="AB54" s="7"/>
      <c r="AC54" s="7"/>
    </row>
    <row r="55" spans="1:29" ht="26.25">
      <c r="A55" s="19"/>
      <c r="B55" s="26" t="s">
        <v>87</v>
      </c>
      <c r="C55" s="91"/>
      <c r="D55" s="91"/>
      <c r="E55" s="91"/>
      <c r="F55" s="91"/>
      <c r="G55" s="92"/>
      <c r="H55" s="91"/>
      <c r="I55" s="91"/>
      <c r="J55" s="98"/>
      <c r="K55" s="98"/>
      <c r="L55" s="98"/>
      <c r="M55" s="22"/>
      <c r="N55" s="22"/>
      <c r="O55" s="91"/>
      <c r="P55" s="91"/>
      <c r="Q55" s="7"/>
      <c r="R55" s="94"/>
      <c r="S55" s="91"/>
      <c r="T55" s="91"/>
      <c r="U55" s="644"/>
      <c r="V55" s="710"/>
      <c r="W55" s="47"/>
      <c r="X55" s="7"/>
      <c r="Y55" s="7"/>
      <c r="Z55" s="7"/>
      <c r="AA55" s="7"/>
      <c r="AB55" s="7"/>
      <c r="AC55" s="7"/>
    </row>
    <row r="56" spans="1:29" s="42" customFormat="1" ht="25.5">
      <c r="A56" s="99"/>
      <c r="B56" s="430"/>
      <c r="C56" s="34"/>
      <c r="D56" s="370"/>
      <c r="E56" s="34"/>
      <c r="F56" s="34"/>
      <c r="G56" s="34"/>
      <c r="H56" s="370"/>
      <c r="I56" s="431"/>
      <c r="J56" s="432"/>
      <c r="K56" s="432"/>
      <c r="L56" s="432"/>
      <c r="M56" s="432"/>
      <c r="N56" s="432"/>
      <c r="O56" s="370"/>
      <c r="P56" s="370"/>
      <c r="Q56" s="370"/>
      <c r="R56" s="370"/>
      <c r="S56" s="370"/>
      <c r="T56" s="34"/>
      <c r="U56" s="718"/>
      <c r="V56" s="39"/>
      <c r="W56" s="100"/>
      <c r="X56" s="41"/>
      <c r="Y56" s="41"/>
      <c r="Z56" s="41"/>
      <c r="AA56" s="41"/>
      <c r="AB56" s="41"/>
      <c r="AC56" s="41"/>
    </row>
    <row r="57" spans="1:29" ht="25.5">
      <c r="A57" s="101"/>
      <c r="B57" s="62" t="s">
        <v>88</v>
      </c>
      <c r="C57" s="28">
        <f>H57</f>
        <v>2692</v>
      </c>
      <c r="D57" s="77"/>
      <c r="E57" s="28">
        <f>F57+G57</f>
        <v>188.44</v>
      </c>
      <c r="F57" s="28">
        <f>0.04*H57</f>
        <v>107.68</v>
      </c>
      <c r="G57" s="28">
        <f>0.03*H57</f>
        <v>80.759999999999991</v>
      </c>
      <c r="H57" s="77">
        <f t="shared" ref="H57:H62" si="11">T57</f>
        <v>2692</v>
      </c>
      <c r="I57" s="365">
        <f>C57*0.4</f>
        <v>1076.8</v>
      </c>
      <c r="J57" s="46"/>
      <c r="K57" s="46"/>
      <c r="L57" s="46"/>
      <c r="M57" s="46"/>
      <c r="N57" s="46"/>
      <c r="O57" s="77">
        <v>388072</v>
      </c>
      <c r="P57" s="77">
        <v>390764</v>
      </c>
      <c r="Q57" s="79"/>
      <c r="R57" s="80"/>
      <c r="S57" s="80">
        <v>1</v>
      </c>
      <c r="T57" s="77">
        <f>(P57-O57)*S57</f>
        <v>2692</v>
      </c>
      <c r="U57" s="455">
        <v>4786</v>
      </c>
      <c r="V57" s="369" t="s">
        <v>89</v>
      </c>
      <c r="W57" s="47" t="s">
        <v>90</v>
      </c>
      <c r="X57" s="7"/>
      <c r="Y57" s="7"/>
      <c r="Z57" s="7"/>
      <c r="AA57" s="7"/>
      <c r="AB57" s="7"/>
      <c r="AC57" s="7"/>
    </row>
    <row r="58" spans="1:29" ht="25.5">
      <c r="A58" s="101"/>
      <c r="B58" s="62" t="s">
        <v>711</v>
      </c>
      <c r="C58" s="28">
        <f>H58</f>
        <v>13612.320000000065</v>
      </c>
      <c r="D58" s="77"/>
      <c r="E58" s="28"/>
      <c r="F58" s="28"/>
      <c r="G58" s="28"/>
      <c r="H58" s="77">
        <f t="shared" si="11"/>
        <v>13612.320000000065</v>
      </c>
      <c r="I58" s="77">
        <f>T59</f>
        <v>1230</v>
      </c>
      <c r="J58" s="46"/>
      <c r="K58" s="46"/>
      <c r="L58" s="46"/>
      <c r="M58" s="46"/>
      <c r="N58" s="46"/>
      <c r="O58" s="77">
        <v>21489.02</v>
      </c>
      <c r="P58" s="77">
        <v>21794.899000000001</v>
      </c>
      <c r="Q58" s="79"/>
      <c r="R58" s="80"/>
      <c r="S58" s="80">
        <v>80</v>
      </c>
      <c r="T58" s="77">
        <f>(P58-O58)*S58-T624</f>
        <v>13612.320000000065</v>
      </c>
      <c r="U58" s="455" t="s">
        <v>91</v>
      </c>
      <c r="V58" s="369" t="s">
        <v>92</v>
      </c>
      <c r="W58" s="47" t="s">
        <v>90</v>
      </c>
      <c r="X58" s="7"/>
      <c r="Y58" s="7"/>
      <c r="Z58" s="7"/>
      <c r="AA58" s="7"/>
      <c r="AB58" s="7"/>
      <c r="AC58" s="7"/>
    </row>
    <row r="59" spans="1:29" ht="25.5">
      <c r="A59" s="101"/>
      <c r="B59" s="62" t="s">
        <v>93</v>
      </c>
      <c r="C59" s="28">
        <f>H59</f>
        <v>1230</v>
      </c>
      <c r="D59" s="77"/>
      <c r="E59" s="28">
        <f>F59+G59</f>
        <v>86.1</v>
      </c>
      <c r="F59" s="28">
        <f>0.04*H59</f>
        <v>49.2</v>
      </c>
      <c r="G59" s="28">
        <f>0.03*H59</f>
        <v>36.9</v>
      </c>
      <c r="H59" s="77">
        <f t="shared" si="11"/>
        <v>1230</v>
      </c>
      <c r="I59" s="365">
        <f>C59*0.4</f>
        <v>492</v>
      </c>
      <c r="J59" s="46"/>
      <c r="K59" s="46"/>
      <c r="L59" s="46"/>
      <c r="M59" s="46"/>
      <c r="N59" s="46"/>
      <c r="O59" s="77">
        <v>14343</v>
      </c>
      <c r="P59" s="77">
        <v>15573</v>
      </c>
      <c r="Q59" s="79"/>
      <c r="R59" s="80"/>
      <c r="S59" s="80">
        <v>1</v>
      </c>
      <c r="T59" s="77">
        <f>(P59-O59)*S59</f>
        <v>1230</v>
      </c>
      <c r="U59" s="455">
        <v>6221</v>
      </c>
      <c r="V59" s="369" t="s">
        <v>94</v>
      </c>
      <c r="W59" s="47" t="s">
        <v>43</v>
      </c>
      <c r="X59" s="7"/>
      <c r="Y59" s="7"/>
      <c r="Z59" s="7"/>
      <c r="AA59" s="7"/>
      <c r="AB59" s="7"/>
      <c r="AC59" s="7"/>
    </row>
    <row r="60" spans="1:29" ht="76.5">
      <c r="A60" s="101"/>
      <c r="B60" s="27" t="s">
        <v>756</v>
      </c>
      <c r="C60" s="28">
        <f>T60</f>
        <v>2469.5999999999913</v>
      </c>
      <c r="D60" s="77"/>
      <c r="E60" s="28"/>
      <c r="F60" s="28"/>
      <c r="G60" s="28"/>
      <c r="H60" s="77">
        <f t="shared" si="11"/>
        <v>2469.5999999999913</v>
      </c>
      <c r="I60" s="77">
        <f>T61</f>
        <v>10164.999999999995</v>
      </c>
      <c r="J60" s="46"/>
      <c r="K60" s="46"/>
      <c r="L60" s="46"/>
      <c r="M60" s="46"/>
      <c r="N60" s="46"/>
      <c r="O60" s="77">
        <v>5811.49</v>
      </c>
      <c r="P60" s="77">
        <v>5852.65</v>
      </c>
      <c r="Q60" s="79"/>
      <c r="R60" s="80"/>
      <c r="S60" s="80">
        <v>60</v>
      </c>
      <c r="T60" s="77">
        <f>(P60-O60)*S60</f>
        <v>2469.5999999999913</v>
      </c>
      <c r="U60" s="455" t="s">
        <v>95</v>
      </c>
      <c r="V60" s="369" t="s">
        <v>96</v>
      </c>
      <c r="W60" s="103" t="s">
        <v>90</v>
      </c>
      <c r="X60" s="7"/>
      <c r="Y60" s="7"/>
      <c r="Z60" s="7"/>
      <c r="AA60" s="7"/>
      <c r="AB60" s="7"/>
      <c r="AC60" s="7"/>
    </row>
    <row r="61" spans="1:29" ht="52.5" customHeight="1">
      <c r="A61" s="101"/>
      <c r="B61" s="27" t="s">
        <v>757</v>
      </c>
      <c r="C61" s="28">
        <f>H61</f>
        <v>10164.999999999995</v>
      </c>
      <c r="D61" s="77"/>
      <c r="E61" s="28"/>
      <c r="F61" s="28"/>
      <c r="G61" s="28"/>
      <c r="H61" s="77">
        <f t="shared" si="11"/>
        <v>10164.999999999995</v>
      </c>
      <c r="I61" s="77">
        <f>T62</f>
        <v>1694</v>
      </c>
      <c r="J61" s="46"/>
      <c r="K61" s="46"/>
      <c r="L61" s="46"/>
      <c r="M61" s="46"/>
      <c r="N61" s="46"/>
      <c r="O61" s="77">
        <v>1154.4000000000001</v>
      </c>
      <c r="P61" s="77">
        <v>1280.2</v>
      </c>
      <c r="Q61" s="79"/>
      <c r="R61" s="80"/>
      <c r="S61" s="80">
        <v>120</v>
      </c>
      <c r="T61" s="77">
        <f>(P61-O61)*S61-T636-T59-T65-T62</f>
        <v>10164.999999999995</v>
      </c>
      <c r="U61" s="455"/>
      <c r="V61" s="821" t="s">
        <v>712</v>
      </c>
      <c r="W61" s="103"/>
      <c r="X61" s="7"/>
      <c r="Y61" s="7"/>
      <c r="Z61" s="7"/>
      <c r="AA61" s="7"/>
      <c r="AB61" s="7"/>
      <c r="AC61" s="7"/>
    </row>
    <row r="62" spans="1:29" s="42" customFormat="1" ht="30" customHeight="1">
      <c r="A62" s="99"/>
      <c r="B62" s="352" t="s">
        <v>758</v>
      </c>
      <c r="C62" s="28">
        <f>T62</f>
        <v>1694</v>
      </c>
      <c r="D62" s="77"/>
      <c r="E62" s="28"/>
      <c r="F62" s="28"/>
      <c r="G62" s="28"/>
      <c r="H62" s="77">
        <f t="shared" si="11"/>
        <v>1694</v>
      </c>
      <c r="I62" s="77">
        <f>T63</f>
        <v>0</v>
      </c>
      <c r="J62" s="46"/>
      <c r="K62" s="46"/>
      <c r="L62" s="46"/>
      <c r="M62" s="46"/>
      <c r="N62" s="46"/>
      <c r="O62" s="77">
        <v>19926</v>
      </c>
      <c r="P62" s="77">
        <v>21620</v>
      </c>
      <c r="Q62" s="79"/>
      <c r="R62" s="80"/>
      <c r="S62" s="80">
        <v>1</v>
      </c>
      <c r="T62" s="77">
        <f>(P62-O62)*S62</f>
        <v>1694</v>
      </c>
      <c r="U62" s="736"/>
      <c r="V62" s="821"/>
      <c r="W62" s="100"/>
      <c r="X62" s="41"/>
      <c r="Y62" s="41"/>
      <c r="Z62" s="41"/>
      <c r="AA62" s="41"/>
      <c r="AB62" s="41"/>
      <c r="AC62" s="41"/>
    </row>
    <row r="63" spans="1:29" s="42" customFormat="1" ht="25.5">
      <c r="A63" s="99"/>
      <c r="B63" s="352"/>
      <c r="C63" s="43"/>
      <c r="D63" s="270"/>
      <c r="E63" s="43"/>
      <c r="F63" s="43"/>
      <c r="G63" s="43"/>
      <c r="H63" s="270"/>
      <c r="I63" s="270"/>
      <c r="J63" s="355"/>
      <c r="K63" s="355"/>
      <c r="L63" s="355"/>
      <c r="M63" s="355"/>
      <c r="N63" s="355"/>
      <c r="O63" s="43"/>
      <c r="P63" s="43"/>
      <c r="Q63" s="531"/>
      <c r="R63" s="532"/>
      <c r="S63" s="477"/>
      <c r="T63" s="270"/>
      <c r="U63" s="736"/>
      <c r="V63" s="533"/>
      <c r="W63" s="100"/>
      <c r="X63" s="41"/>
      <c r="Y63" s="41"/>
      <c r="Z63" s="41"/>
      <c r="AA63" s="41"/>
      <c r="AB63" s="41"/>
      <c r="AC63" s="41"/>
    </row>
    <row r="64" spans="1:29" ht="25.5">
      <c r="A64" s="101"/>
      <c r="B64" s="375" t="s">
        <v>97</v>
      </c>
      <c r="C64" s="349">
        <f>H64</f>
        <v>613.99999999999636</v>
      </c>
      <c r="D64" s="376"/>
      <c r="E64" s="349"/>
      <c r="F64" s="349"/>
      <c r="G64" s="349"/>
      <c r="H64" s="376">
        <f>T64</f>
        <v>613.99999999999636</v>
      </c>
      <c r="I64" s="376">
        <f>T64*0.3</f>
        <v>184.19999999999891</v>
      </c>
      <c r="J64" s="46"/>
      <c r="K64" s="46"/>
      <c r="L64" s="46"/>
      <c r="M64" s="46"/>
      <c r="N64" s="46"/>
      <c r="O64" s="377">
        <v>3986.3</v>
      </c>
      <c r="P64" s="377">
        <v>4017</v>
      </c>
      <c r="Q64" s="79"/>
      <c r="R64" s="378"/>
      <c r="S64" s="379">
        <v>20</v>
      </c>
      <c r="T64" s="376">
        <f>(P64-O64)*S64</f>
        <v>613.99999999999636</v>
      </c>
      <c r="U64" s="455">
        <v>5621</v>
      </c>
      <c r="V64" s="369" t="s">
        <v>98</v>
      </c>
      <c r="W64" s="47" t="s">
        <v>90</v>
      </c>
      <c r="X64" s="7"/>
      <c r="Y64" s="7"/>
      <c r="Z64" s="7"/>
      <c r="AA64" s="7"/>
      <c r="AB64" s="7"/>
      <c r="AC64" s="7"/>
    </row>
    <row r="65" spans="1:29" ht="25.5">
      <c r="A65" s="101"/>
      <c r="B65" s="27" t="s">
        <v>99</v>
      </c>
      <c r="C65" s="349">
        <f>H65</f>
        <v>2007</v>
      </c>
      <c r="D65" s="77"/>
      <c r="E65" s="28"/>
      <c r="F65" s="28"/>
      <c r="G65" s="28"/>
      <c r="H65" s="77">
        <f>T65</f>
        <v>2007</v>
      </c>
      <c r="I65" s="77">
        <f>T65*0.3</f>
        <v>602.1</v>
      </c>
      <c r="J65" s="348"/>
      <c r="K65" s="348"/>
      <c r="L65" s="348"/>
      <c r="M65" s="348"/>
      <c r="N65" s="348"/>
      <c r="O65" s="28">
        <v>221842</v>
      </c>
      <c r="P65" s="28">
        <v>223849</v>
      </c>
      <c r="Q65" s="77"/>
      <c r="R65" s="77"/>
      <c r="S65" s="28">
        <v>1</v>
      </c>
      <c r="T65" s="77">
        <f>(P65-O65)*S65</f>
        <v>2007</v>
      </c>
      <c r="U65" s="455">
        <v>4785</v>
      </c>
      <c r="V65" s="369" t="s">
        <v>89</v>
      </c>
      <c r="W65" s="47" t="s">
        <v>43</v>
      </c>
      <c r="X65" s="7"/>
      <c r="Y65" s="7"/>
      <c r="Z65" s="7"/>
      <c r="AA65" s="7"/>
      <c r="AB65" s="7"/>
      <c r="AC65" s="7"/>
    </row>
    <row r="66" spans="1:29" ht="26.25">
      <c r="A66" s="108"/>
      <c r="B66" s="109" t="s">
        <v>100</v>
      </c>
      <c r="C66" s="110">
        <f>SUM(C56:C65)</f>
        <v>34483.920000000042</v>
      </c>
      <c r="D66" s="111"/>
      <c r="E66" s="112"/>
      <c r="F66" s="112"/>
      <c r="G66" s="112"/>
      <c r="H66" s="111"/>
      <c r="I66" s="113">
        <f>SUM(I56:I65)</f>
        <v>15444.099999999995</v>
      </c>
      <c r="J66" s="114"/>
      <c r="K66" s="114"/>
      <c r="L66" s="114"/>
      <c r="M66" s="114"/>
      <c r="N66" s="114"/>
      <c r="O66" s="115"/>
      <c r="P66" s="115"/>
      <c r="Q66" s="92"/>
      <c r="R66" s="92"/>
      <c r="S66" s="91"/>
      <c r="T66" s="92"/>
      <c r="U66" s="644"/>
      <c r="V66" s="107"/>
      <c r="W66" s="14"/>
      <c r="X66" s="7"/>
      <c r="Y66" s="7"/>
      <c r="Z66" s="7"/>
      <c r="AA66" s="7"/>
      <c r="AB66" s="7"/>
      <c r="AC66" s="7"/>
    </row>
    <row r="67" spans="1:29" ht="26.25">
      <c r="A67" s="707"/>
      <c r="B67" s="109" t="s">
        <v>101</v>
      </c>
      <c r="C67" s="117"/>
      <c r="D67" s="118"/>
      <c r="E67" s="113"/>
      <c r="F67" s="113"/>
      <c r="G67" s="113"/>
      <c r="H67" s="118"/>
      <c r="I67" s="118"/>
      <c r="J67" s="98"/>
      <c r="K67" s="98"/>
      <c r="L67" s="98"/>
      <c r="M67" s="98"/>
      <c r="N67" s="98"/>
      <c r="O67" s="91"/>
      <c r="P67" s="91"/>
      <c r="Q67" s="92"/>
      <c r="R67" s="92"/>
      <c r="S67" s="91"/>
      <c r="T67" s="92"/>
      <c r="U67" s="644"/>
      <c r="V67" s="107"/>
      <c r="W67" s="14"/>
      <c r="X67" s="7"/>
      <c r="Y67" s="7"/>
      <c r="Z67" s="7"/>
      <c r="AA67" s="7"/>
      <c r="AB67" s="7"/>
      <c r="AC67" s="7"/>
    </row>
    <row r="68" spans="1:29" ht="31.5" customHeight="1">
      <c r="A68" s="707"/>
      <c r="B68" s="380" t="s">
        <v>102</v>
      </c>
      <c r="C68" s="349">
        <v>1521</v>
      </c>
      <c r="D68" s="381"/>
      <c r="E68" s="382"/>
      <c r="F68" s="382"/>
      <c r="G68" s="382"/>
      <c r="H68" s="381"/>
      <c r="I68" s="381"/>
      <c r="J68" s="46"/>
      <c r="K68" s="46"/>
      <c r="L68" s="46"/>
      <c r="M68" s="46"/>
      <c r="N68" s="46"/>
      <c r="O68" s="28">
        <f>13025+32056.84</f>
        <v>45081.84</v>
      </c>
      <c r="P68" s="28">
        <f>13209.58+32369.93</f>
        <v>45579.51</v>
      </c>
      <c r="Q68" s="77"/>
      <c r="R68" s="77"/>
      <c r="S68" s="28">
        <v>80</v>
      </c>
      <c r="T68" s="77">
        <f>(P68-O68)*S68-T72-T73</f>
        <v>35543.600000000442</v>
      </c>
      <c r="U68" s="455" t="s">
        <v>103</v>
      </c>
      <c r="V68" s="369" t="s">
        <v>104</v>
      </c>
      <c r="W68" s="14" t="s">
        <v>48</v>
      </c>
      <c r="X68" s="48"/>
      <c r="Y68" s="7"/>
      <c r="Z68" s="7"/>
      <c r="AA68" s="7"/>
      <c r="AB68" s="7"/>
      <c r="AC68" s="7"/>
    </row>
    <row r="69" spans="1:29" ht="51.75" customHeight="1">
      <c r="A69" s="707"/>
      <c r="B69" s="383" t="s">
        <v>105</v>
      </c>
      <c r="C69" s="349">
        <f>T71</f>
        <v>6552.7999999999884</v>
      </c>
      <c r="D69" s="381"/>
      <c r="E69" s="382"/>
      <c r="F69" s="382"/>
      <c r="G69" s="382"/>
      <c r="H69" s="381"/>
      <c r="I69" s="381"/>
      <c r="J69" s="46"/>
      <c r="K69" s="46"/>
      <c r="L69" s="46"/>
      <c r="M69" s="46"/>
      <c r="N69" s="46"/>
      <c r="O69" s="28"/>
      <c r="P69" s="28"/>
      <c r="Q69" s="77"/>
      <c r="R69" s="77"/>
      <c r="S69" s="28"/>
      <c r="T69" s="77"/>
      <c r="U69" s="455"/>
      <c r="V69" s="369"/>
      <c r="W69" s="14" t="s">
        <v>48</v>
      </c>
      <c r="X69" s="48"/>
      <c r="Y69" s="7"/>
      <c r="Z69" s="7"/>
      <c r="AA69" s="7"/>
      <c r="AB69" s="7"/>
      <c r="AC69" s="7"/>
    </row>
    <row r="70" spans="1:29" ht="25.5">
      <c r="A70" s="707"/>
      <c r="B70" s="384" t="s">
        <v>106</v>
      </c>
      <c r="C70" s="28">
        <f>H70</f>
        <v>6518</v>
      </c>
      <c r="D70" s="28"/>
      <c r="E70" s="28">
        <f>F70+G70</f>
        <v>456.26</v>
      </c>
      <c r="F70" s="28">
        <f>0.04*H70</f>
        <v>260.72000000000003</v>
      </c>
      <c r="G70" s="28">
        <f>0.03*H70</f>
        <v>195.54</v>
      </c>
      <c r="H70" s="28">
        <f>T70</f>
        <v>6518</v>
      </c>
      <c r="I70" s="28">
        <f>0.6*C70</f>
        <v>3910.7999999999997</v>
      </c>
      <c r="J70" s="29"/>
      <c r="K70" s="29"/>
      <c r="L70" s="29"/>
      <c r="M70" s="29"/>
      <c r="N70" s="29"/>
      <c r="O70" s="28">
        <f>183300+15052</f>
        <v>198352</v>
      </c>
      <c r="P70" s="28">
        <f>188127+16743</f>
        <v>204870</v>
      </c>
      <c r="Q70" s="30"/>
      <c r="R70" s="351"/>
      <c r="S70" s="54">
        <v>1</v>
      </c>
      <c r="T70" s="28">
        <f>(P70-O70)*S70</f>
        <v>6518</v>
      </c>
      <c r="U70" s="455">
        <v>7584</v>
      </c>
      <c r="V70" s="733" t="s">
        <v>106</v>
      </c>
      <c r="W70" s="14" t="s">
        <v>48</v>
      </c>
      <c r="X70" s="48"/>
      <c r="Y70" s="7"/>
      <c r="Z70" s="7"/>
      <c r="AA70" s="7"/>
      <c r="AB70" s="7"/>
      <c r="AC70" s="7"/>
    </row>
    <row r="71" spans="1:29" ht="28.5" customHeight="1">
      <c r="A71" s="707"/>
      <c r="B71" s="380" t="s">
        <v>107</v>
      </c>
      <c r="C71" s="349">
        <f>T68-C706</f>
        <v>3487.4700000004377</v>
      </c>
      <c r="D71" s="381"/>
      <c r="E71" s="382"/>
      <c r="F71" s="382"/>
      <c r="G71" s="382"/>
      <c r="H71" s="381"/>
      <c r="I71" s="382">
        <f>T69-I707</f>
        <v>0</v>
      </c>
      <c r="J71" s="46"/>
      <c r="K71" s="46"/>
      <c r="L71" s="46"/>
      <c r="M71" s="46"/>
      <c r="N71" s="46"/>
      <c r="O71" s="28">
        <f>3863.53+4704.51</f>
        <v>8568.0400000000009</v>
      </c>
      <c r="P71" s="28">
        <f>3872.98+4776.97</f>
        <v>8649.9500000000007</v>
      </c>
      <c r="Q71" s="77"/>
      <c r="R71" s="77"/>
      <c r="S71" s="28">
        <v>80</v>
      </c>
      <c r="T71" s="77">
        <f>(P71-O71)*S71</f>
        <v>6552.7999999999884</v>
      </c>
      <c r="U71" s="455" t="s">
        <v>108</v>
      </c>
      <c r="V71" s="369" t="s">
        <v>109</v>
      </c>
      <c r="W71" s="14" t="s">
        <v>48</v>
      </c>
      <c r="X71" s="48"/>
      <c r="Y71" s="7"/>
      <c r="Z71" s="7"/>
      <c r="AA71" s="7"/>
      <c r="AB71" s="7"/>
      <c r="AC71" s="7"/>
    </row>
    <row r="72" spans="1:29" ht="28.5" customHeight="1">
      <c r="A72" s="707"/>
      <c r="B72" s="352" t="s">
        <v>684</v>
      </c>
      <c r="C72" s="28">
        <f t="shared" ref="C72" si="12">H72+E72</f>
        <v>3590</v>
      </c>
      <c r="D72" s="28"/>
      <c r="E72" s="28">
        <v>0</v>
      </c>
      <c r="F72" s="28">
        <v>0</v>
      </c>
      <c r="G72" s="28">
        <v>0</v>
      </c>
      <c r="H72" s="28">
        <f>T72</f>
        <v>3590</v>
      </c>
      <c r="I72" s="28">
        <f t="shared" ref="I72" si="13">0.4*C72</f>
        <v>1436</v>
      </c>
      <c r="J72" s="46"/>
      <c r="K72" s="46"/>
      <c r="L72" s="46"/>
      <c r="M72" s="29"/>
      <c r="N72" s="29"/>
      <c r="O72" s="28">
        <v>61046</v>
      </c>
      <c r="P72" s="28">
        <v>64636</v>
      </c>
      <c r="Q72" s="30"/>
      <c r="R72" s="361"/>
      <c r="S72" s="28">
        <v>1</v>
      </c>
      <c r="T72" s="28">
        <f>(P72-O72)*S72</f>
        <v>3590</v>
      </c>
      <c r="U72" s="736">
        <v>5837</v>
      </c>
      <c r="V72" s="44" t="s">
        <v>713</v>
      </c>
      <c r="W72" s="14"/>
      <c r="X72" s="48"/>
      <c r="Y72" s="7"/>
      <c r="Z72" s="7"/>
      <c r="AA72" s="7"/>
      <c r="AB72" s="7"/>
      <c r="AC72" s="7"/>
    </row>
    <row r="73" spans="1:29" ht="28.5" customHeight="1">
      <c r="A73" s="707"/>
      <c r="B73" s="380" t="s">
        <v>110</v>
      </c>
      <c r="C73" s="28">
        <f>H73+E73</f>
        <v>727.6</v>
      </c>
      <c r="D73" s="28"/>
      <c r="E73" s="28">
        <f>F73+G73</f>
        <v>47.599999999999994</v>
      </c>
      <c r="F73" s="28">
        <f>0.04*H73</f>
        <v>27.2</v>
      </c>
      <c r="G73" s="28">
        <f>0.03*H73</f>
        <v>20.399999999999999</v>
      </c>
      <c r="H73" s="28">
        <f>T73</f>
        <v>680</v>
      </c>
      <c r="I73" s="28">
        <f>0.6*C73</f>
        <v>436.56</v>
      </c>
      <c r="J73" s="46"/>
      <c r="K73" s="46"/>
      <c r="L73" s="46"/>
      <c r="M73" s="46"/>
      <c r="N73" s="46"/>
      <c r="O73" s="28">
        <v>17026</v>
      </c>
      <c r="P73" s="28">
        <v>17706</v>
      </c>
      <c r="Q73" s="77"/>
      <c r="R73" s="77"/>
      <c r="S73" s="28">
        <v>1</v>
      </c>
      <c r="T73" s="28">
        <f>(P73-O73)*S73</f>
        <v>680</v>
      </c>
      <c r="U73" s="455">
        <v>9868</v>
      </c>
      <c r="V73" s="369" t="s">
        <v>111</v>
      </c>
      <c r="W73" s="14" t="s">
        <v>48</v>
      </c>
      <c r="X73" s="48"/>
      <c r="Y73" s="7"/>
      <c r="Z73" s="7"/>
      <c r="AA73" s="7"/>
      <c r="AB73" s="7"/>
      <c r="AC73" s="7"/>
    </row>
    <row r="74" spans="1:29" ht="26.25">
      <c r="A74" s="108"/>
      <c r="B74" s="119" t="s">
        <v>112</v>
      </c>
      <c r="C74" s="97">
        <f>SUM(C68:C73)</f>
        <v>22396.870000000425</v>
      </c>
      <c r="D74" s="120"/>
      <c r="E74" s="121"/>
      <c r="F74" s="121"/>
      <c r="G74" s="121"/>
      <c r="H74" s="120"/>
      <c r="I74" s="121"/>
      <c r="J74" s="98"/>
      <c r="K74" s="98"/>
      <c r="L74" s="98"/>
      <c r="M74" s="98"/>
      <c r="N74" s="98"/>
      <c r="O74" s="91"/>
      <c r="P74" s="91"/>
      <c r="Q74" s="92"/>
      <c r="R74" s="92"/>
      <c r="S74" s="91"/>
      <c r="T74" s="92"/>
      <c r="U74" s="644"/>
      <c r="V74" s="107"/>
      <c r="W74" s="14" t="s">
        <v>48</v>
      </c>
      <c r="X74" s="48"/>
      <c r="Y74" s="122"/>
      <c r="Z74" s="122"/>
      <c r="AA74" s="122"/>
      <c r="AB74" s="122"/>
      <c r="AC74" s="122"/>
    </row>
    <row r="75" spans="1:29" ht="25.5">
      <c r="A75" s="707"/>
      <c r="B75" s="1"/>
      <c r="U75" s="719"/>
      <c r="V75" s="1"/>
      <c r="W75" s="14"/>
      <c r="X75" s="48"/>
      <c r="Y75" s="7"/>
      <c r="Z75" s="7"/>
      <c r="AA75" s="7"/>
      <c r="AB75" s="7"/>
      <c r="AC75" s="7"/>
    </row>
    <row r="76" spans="1:29" ht="26.25">
      <c r="A76" s="707"/>
      <c r="B76" s="123" t="s">
        <v>113</v>
      </c>
      <c r="C76" s="124"/>
      <c r="D76" s="125"/>
      <c r="E76" s="124"/>
      <c r="F76" s="124"/>
      <c r="G76" s="124"/>
      <c r="H76" s="124"/>
      <c r="I76" s="124"/>
      <c r="J76" s="126"/>
      <c r="K76" s="126"/>
      <c r="L76" s="126"/>
      <c r="M76" s="126"/>
      <c r="N76" s="126"/>
      <c r="O76" s="124"/>
      <c r="P76" s="124"/>
      <c r="Q76" s="125"/>
      <c r="R76" s="125"/>
      <c r="S76" s="124"/>
      <c r="T76" s="124"/>
      <c r="U76" s="717"/>
      <c r="V76" s="128"/>
      <c r="W76" s="14"/>
      <c r="X76" s="7"/>
      <c r="Y76" s="7"/>
      <c r="Z76" s="7"/>
      <c r="AA76" s="7"/>
      <c r="AB76" s="7"/>
      <c r="AC76" s="7"/>
    </row>
    <row r="77" spans="1:29" ht="25.5">
      <c r="A77" s="19"/>
      <c r="B77" s="129" t="s">
        <v>114</v>
      </c>
      <c r="C77" s="84">
        <f>(T77+T78)</f>
        <v>34996</v>
      </c>
      <c r="D77" s="84"/>
      <c r="E77" s="84">
        <f>F77+G77</f>
        <v>0</v>
      </c>
      <c r="F77" s="84">
        <v>0</v>
      </c>
      <c r="G77" s="84">
        <v>0</v>
      </c>
      <c r="H77" s="84">
        <f>T77</f>
        <v>0</v>
      </c>
      <c r="I77" s="84">
        <f>T79</f>
        <v>0</v>
      </c>
      <c r="J77" s="130"/>
      <c r="K77" s="131"/>
      <c r="L77" s="131"/>
      <c r="M77" s="130"/>
      <c r="N77" s="130"/>
      <c r="O77" s="84">
        <v>4067.02</v>
      </c>
      <c r="P77" s="84">
        <v>4067.02</v>
      </c>
      <c r="Q77" s="385" t="s">
        <v>37</v>
      </c>
      <c r="R77" s="385"/>
      <c r="S77" s="84">
        <v>40</v>
      </c>
      <c r="T77" s="84">
        <f>(P77-O77)*S77</f>
        <v>0</v>
      </c>
      <c r="U77" s="722">
        <v>7163</v>
      </c>
      <c r="V77" s="386" t="s">
        <v>115</v>
      </c>
      <c r="W77" s="14" t="s">
        <v>116</v>
      </c>
      <c r="X77" s="7"/>
      <c r="Y77" s="7"/>
      <c r="Z77" s="7"/>
      <c r="AA77" s="7"/>
      <c r="AB77" s="7"/>
      <c r="AC77" s="7"/>
    </row>
    <row r="78" spans="1:29" ht="26.25" customHeight="1">
      <c r="A78" s="19"/>
      <c r="B78" s="129"/>
      <c r="C78" s="84"/>
      <c r="D78" s="84"/>
      <c r="E78" s="84">
        <f>F78+G78</f>
        <v>0</v>
      </c>
      <c r="F78" s="84">
        <v>0</v>
      </c>
      <c r="G78" s="84">
        <v>0</v>
      </c>
      <c r="H78" s="84">
        <f>T78</f>
        <v>34996</v>
      </c>
      <c r="I78" s="84">
        <f>T81</f>
        <v>0</v>
      </c>
      <c r="J78" s="130"/>
      <c r="K78" s="131"/>
      <c r="L78" s="131"/>
      <c r="M78" s="130"/>
      <c r="N78" s="130"/>
      <c r="O78" s="84">
        <v>11231.88</v>
      </c>
      <c r="P78" s="84">
        <v>11931.8</v>
      </c>
      <c r="Q78" s="385" t="s">
        <v>37</v>
      </c>
      <c r="R78" s="385"/>
      <c r="S78" s="84">
        <v>50</v>
      </c>
      <c r="T78" s="84">
        <f>(P78-O78)*S78-T98</f>
        <v>34996</v>
      </c>
      <c r="U78" s="722">
        <v>7215</v>
      </c>
      <c r="V78" s="386" t="s">
        <v>117</v>
      </c>
      <c r="W78" s="14" t="s">
        <v>27</v>
      </c>
      <c r="X78" s="7"/>
      <c r="Y78" s="7"/>
      <c r="Z78" s="7"/>
      <c r="AA78" s="7"/>
      <c r="AB78" s="7"/>
      <c r="AC78" s="7"/>
    </row>
    <row r="79" spans="1:29" ht="25.5">
      <c r="A79" s="19"/>
      <c r="B79" s="129"/>
      <c r="C79" s="84"/>
      <c r="D79" s="84"/>
      <c r="E79" s="84"/>
      <c r="F79" s="84"/>
      <c r="G79" s="84"/>
      <c r="H79" s="84"/>
      <c r="I79" s="84"/>
      <c r="J79" s="131"/>
      <c r="K79" s="131"/>
      <c r="L79" s="131"/>
      <c r="M79" s="131"/>
      <c r="N79" s="131"/>
      <c r="O79" s="84"/>
      <c r="P79" s="84"/>
      <c r="Q79" s="85"/>
      <c r="R79" s="85"/>
      <c r="S79" s="84"/>
      <c r="T79" s="84"/>
      <c r="U79" s="722"/>
      <c r="V79" s="89"/>
      <c r="W79" s="134" t="s">
        <v>118</v>
      </c>
      <c r="X79" s="7"/>
      <c r="Y79" s="7"/>
      <c r="Z79" s="7"/>
      <c r="AA79" s="7"/>
      <c r="AB79" s="7"/>
      <c r="AC79" s="7"/>
    </row>
    <row r="80" spans="1:29" ht="25.5">
      <c r="A80" s="19"/>
      <c r="B80" s="129" t="s">
        <v>119</v>
      </c>
      <c r="C80" s="84">
        <f>H80+E80</f>
        <v>368.08</v>
      </c>
      <c r="D80" s="84"/>
      <c r="E80" s="84">
        <f>F80+G80</f>
        <v>24.08</v>
      </c>
      <c r="F80" s="84">
        <f>0.04*H80</f>
        <v>13.76</v>
      </c>
      <c r="G80" s="84">
        <f>0.03*H80</f>
        <v>10.32</v>
      </c>
      <c r="H80" s="84">
        <f>T80</f>
        <v>344</v>
      </c>
      <c r="I80" s="84">
        <f>0.6*C80</f>
        <v>220.84799999999998</v>
      </c>
      <c r="J80" s="131"/>
      <c r="K80" s="131"/>
      <c r="L80" s="131"/>
      <c r="M80" s="131"/>
      <c r="N80" s="131"/>
      <c r="O80" s="84">
        <v>4756</v>
      </c>
      <c r="P80" s="84">
        <v>5100</v>
      </c>
      <c r="Q80" s="85"/>
      <c r="R80" s="85"/>
      <c r="S80" s="84">
        <v>1</v>
      </c>
      <c r="T80" s="84">
        <f>(P80-O80)*S80</f>
        <v>344</v>
      </c>
      <c r="U80" s="722"/>
      <c r="V80" s="89" t="s">
        <v>120</v>
      </c>
      <c r="W80" s="134" t="s">
        <v>116</v>
      </c>
      <c r="X80" s="7"/>
      <c r="Y80" s="7"/>
      <c r="Z80" s="7"/>
      <c r="AA80" s="7"/>
      <c r="AB80" s="7"/>
      <c r="AC80" s="7"/>
    </row>
    <row r="81" spans="1:29" ht="26.25">
      <c r="A81" s="135"/>
      <c r="B81" s="136" t="s">
        <v>121</v>
      </c>
      <c r="C81" s="97">
        <f>C77+C79</f>
        <v>34996</v>
      </c>
      <c r="D81" s="137"/>
      <c r="E81" s="97"/>
      <c r="F81" s="97"/>
      <c r="G81" s="97"/>
      <c r="H81" s="97"/>
      <c r="I81" s="124">
        <f>I79+I77</f>
        <v>0</v>
      </c>
      <c r="J81" s="126"/>
      <c r="K81" s="126"/>
      <c r="L81" s="126"/>
      <c r="M81" s="126"/>
      <c r="N81" s="126"/>
      <c r="O81" s="124"/>
      <c r="P81" s="124"/>
      <c r="Q81" s="138"/>
      <c r="R81" s="139"/>
      <c r="S81" s="140"/>
      <c r="T81" s="124"/>
      <c r="U81" s="717"/>
      <c r="V81" s="128"/>
      <c r="W81" s="14"/>
      <c r="X81" s="7"/>
      <c r="Y81" s="7"/>
      <c r="Z81" s="7"/>
      <c r="AA81" s="7"/>
      <c r="AB81" s="7"/>
      <c r="AC81" s="7"/>
    </row>
    <row r="82" spans="1:29" ht="26.25">
      <c r="A82" s="135"/>
      <c r="B82" s="136" t="s">
        <v>122</v>
      </c>
      <c r="C82" s="97"/>
      <c r="D82" s="137"/>
      <c r="E82" s="97"/>
      <c r="F82" s="97"/>
      <c r="G82" s="97"/>
      <c r="H82" s="97"/>
      <c r="I82" s="124"/>
      <c r="J82" s="126"/>
      <c r="K82" s="126"/>
      <c r="L82" s="126"/>
      <c r="M82" s="126"/>
      <c r="N82" s="126"/>
      <c r="O82" s="124"/>
      <c r="P82" s="124"/>
      <c r="Q82" s="138"/>
      <c r="R82" s="139"/>
      <c r="S82" s="140"/>
      <c r="T82" s="124"/>
      <c r="U82" s="717"/>
      <c r="V82" s="128"/>
      <c r="W82" s="14"/>
      <c r="X82" s="7"/>
      <c r="Y82" s="7"/>
      <c r="Z82" s="7"/>
      <c r="AA82" s="7"/>
      <c r="AB82" s="7"/>
      <c r="AC82" s="7"/>
    </row>
    <row r="83" spans="1:29" ht="26.25">
      <c r="A83" s="19"/>
      <c r="B83" s="387" t="s">
        <v>123</v>
      </c>
      <c r="C83" s="84">
        <f>H83+E83</f>
        <v>2651.9999999999891</v>
      </c>
      <c r="D83" s="84"/>
      <c r="E83" s="84">
        <f>F83+G83</f>
        <v>0</v>
      </c>
      <c r="F83" s="84">
        <v>0</v>
      </c>
      <c r="G83" s="84">
        <v>0</v>
      </c>
      <c r="H83" s="84">
        <f>T83</f>
        <v>2651.9999999999891</v>
      </c>
      <c r="I83" s="84">
        <f>T86</f>
        <v>0</v>
      </c>
      <c r="J83" s="130"/>
      <c r="K83" s="131"/>
      <c r="L83" s="131"/>
      <c r="M83" s="130"/>
      <c r="N83" s="130"/>
      <c r="O83" s="84">
        <v>3891.8</v>
      </c>
      <c r="P83" s="84">
        <v>3958.1</v>
      </c>
      <c r="Q83" s="385" t="s">
        <v>37</v>
      </c>
      <c r="R83" s="385"/>
      <c r="S83" s="84">
        <v>40</v>
      </c>
      <c r="T83" s="84">
        <f>(P83-O83)*S83</f>
        <v>2651.9999999999891</v>
      </c>
      <c r="U83" s="722">
        <v>5669</v>
      </c>
      <c r="V83" s="89" t="s">
        <v>124</v>
      </c>
      <c r="W83" s="14" t="s">
        <v>19</v>
      </c>
      <c r="X83" s="7"/>
      <c r="Y83" s="7"/>
      <c r="Z83" s="7"/>
      <c r="AA83" s="7"/>
      <c r="AB83" s="7"/>
      <c r="AC83" s="7"/>
    </row>
    <row r="84" spans="1:29" ht="30.75" customHeight="1">
      <c r="A84" s="19"/>
      <c r="B84" s="83" t="s">
        <v>125</v>
      </c>
      <c r="C84" s="84">
        <f>H84+E84</f>
        <v>5488.0000000000109</v>
      </c>
      <c r="D84" s="84"/>
      <c r="E84" s="84">
        <f>F84+G84</f>
        <v>0</v>
      </c>
      <c r="F84" s="84">
        <v>0</v>
      </c>
      <c r="G84" s="84">
        <v>0</v>
      </c>
      <c r="H84" s="84">
        <f>T84</f>
        <v>5488.0000000000109</v>
      </c>
      <c r="I84" s="84">
        <f>T87</f>
        <v>0</v>
      </c>
      <c r="J84" s="130"/>
      <c r="K84" s="131"/>
      <c r="L84" s="131"/>
      <c r="M84" s="130"/>
      <c r="N84" s="130"/>
      <c r="O84" s="84">
        <v>3416</v>
      </c>
      <c r="P84" s="84">
        <v>3591</v>
      </c>
      <c r="Q84" s="385" t="s">
        <v>37</v>
      </c>
      <c r="R84" s="385"/>
      <c r="S84" s="84">
        <v>120</v>
      </c>
      <c r="T84" s="84">
        <f>(P84-O84)*S84-T377-T343-T83-T362-T376-T172</f>
        <v>5488.0000000000109</v>
      </c>
      <c r="U84" s="722">
        <v>1152</v>
      </c>
      <c r="V84" s="89" t="s">
        <v>124</v>
      </c>
      <c r="W84" s="14" t="s">
        <v>19</v>
      </c>
      <c r="X84" s="7"/>
      <c r="Y84" s="7"/>
      <c r="Z84" s="7"/>
      <c r="AA84" s="7"/>
      <c r="AB84" s="7"/>
      <c r="AC84" s="7"/>
    </row>
    <row r="85" spans="1:29" ht="27.75">
      <c r="A85" s="19"/>
      <c r="B85" s="141" t="s">
        <v>932</v>
      </c>
      <c r="C85" s="115">
        <f>SUM(C54+C74+C81+C66+C83+C84)</f>
        <v>347895.51500000095</v>
      </c>
      <c r="D85" s="91"/>
      <c r="E85" s="115"/>
      <c r="F85" s="91"/>
      <c r="G85" s="91"/>
      <c r="H85" s="115"/>
      <c r="I85" s="91">
        <f>SUM(I8:I43)+I74+I81+I66</f>
        <v>144528.92800000019</v>
      </c>
      <c r="J85" s="22"/>
      <c r="K85" s="22"/>
      <c r="L85" s="22"/>
      <c r="M85" s="22"/>
      <c r="N85" s="22"/>
      <c r="O85" s="91"/>
      <c r="P85" s="91"/>
      <c r="Q85" s="22"/>
      <c r="R85" s="142"/>
      <c r="S85" s="91"/>
      <c r="T85" s="91"/>
      <c r="U85" s="644"/>
      <c r="V85" s="710"/>
      <c r="W85" s="14"/>
      <c r="X85" s="7"/>
      <c r="Y85" s="7"/>
      <c r="Z85" s="7"/>
      <c r="AA85" s="7"/>
      <c r="AB85" s="7"/>
      <c r="AC85" s="7"/>
    </row>
    <row r="86" spans="1:29" ht="26.25">
      <c r="A86" s="19"/>
      <c r="B86" s="143"/>
      <c r="C86" s="115"/>
      <c r="D86" s="91"/>
      <c r="E86" s="115"/>
      <c r="F86" s="91"/>
      <c r="G86" s="91"/>
      <c r="H86" s="91"/>
      <c r="I86" s="91"/>
      <c r="J86" s="22"/>
      <c r="K86" s="22"/>
      <c r="L86" s="22"/>
      <c r="M86" s="22"/>
      <c r="N86" s="22"/>
      <c r="O86" s="91"/>
      <c r="P86" s="91"/>
      <c r="Q86" s="22"/>
      <c r="R86" s="142"/>
      <c r="S86" s="91"/>
      <c r="T86" s="91"/>
      <c r="U86" s="644"/>
      <c r="V86" s="710"/>
      <c r="W86" s="14"/>
      <c r="X86" s="7"/>
      <c r="Y86" s="7"/>
      <c r="Z86" s="7"/>
      <c r="AA86" s="7"/>
      <c r="AB86" s="7"/>
      <c r="AC86" s="7"/>
    </row>
    <row r="87" spans="1:29" ht="25.5">
      <c r="A87" s="822"/>
      <c r="B87" s="823"/>
      <c r="C87" s="91"/>
      <c r="D87" s="91"/>
      <c r="E87" s="92"/>
      <c r="F87" s="91"/>
      <c r="G87" s="91"/>
      <c r="H87" s="91"/>
      <c r="I87" s="91"/>
      <c r="J87" s="22"/>
      <c r="K87" s="22"/>
      <c r="L87" s="22"/>
      <c r="M87" s="22"/>
      <c r="N87" s="22"/>
      <c r="O87" s="91"/>
      <c r="P87" s="91"/>
      <c r="Q87" s="22"/>
      <c r="R87" s="142"/>
      <c r="S87" s="91"/>
      <c r="T87" s="91"/>
      <c r="U87" s="644"/>
      <c r="V87" s="710"/>
      <c r="W87" s="14"/>
      <c r="X87" s="7"/>
      <c r="Y87" s="7"/>
      <c r="Z87" s="7"/>
      <c r="AA87" s="7"/>
      <c r="AB87" s="7"/>
      <c r="AC87" s="7"/>
    </row>
    <row r="88" spans="1:29" ht="25.5">
      <c r="A88" s="19"/>
      <c r="B88" s="62" t="s">
        <v>127</v>
      </c>
      <c r="C88" s="28">
        <f>H88-C89-C90-C726-D720</f>
        <v>24760</v>
      </c>
      <c r="D88" s="28"/>
      <c r="E88" s="28"/>
      <c r="F88" s="28"/>
      <c r="G88" s="28"/>
      <c r="H88" s="28">
        <f>T88</f>
        <v>32800</v>
      </c>
      <c r="I88" s="28">
        <v>0</v>
      </c>
      <c r="J88" s="29"/>
      <c r="K88" s="29"/>
      <c r="L88" s="29"/>
      <c r="M88" s="29"/>
      <c r="N88" s="29"/>
      <c r="O88" s="28">
        <v>41087</v>
      </c>
      <c r="P88" s="28">
        <v>41907</v>
      </c>
      <c r="Q88" s="30"/>
      <c r="R88" s="351"/>
      <c r="S88" s="28">
        <v>40</v>
      </c>
      <c r="T88" s="28">
        <f>(P88-O88)*S88</f>
        <v>32800</v>
      </c>
      <c r="U88" s="455">
        <v>95964307</v>
      </c>
      <c r="V88" s="733" t="s">
        <v>128</v>
      </c>
      <c r="W88" s="14"/>
      <c r="X88" s="7"/>
      <c r="Y88" s="7"/>
      <c r="Z88" s="93"/>
      <c r="AA88" s="93"/>
      <c r="AB88" s="93"/>
      <c r="AC88" s="7"/>
    </row>
    <row r="89" spans="1:29" s="42" customFormat="1" ht="25.5">
      <c r="A89" s="32"/>
      <c r="B89" s="69" t="s">
        <v>129</v>
      </c>
      <c r="C89" s="49">
        <f>H89</f>
        <v>1200</v>
      </c>
      <c r="D89" s="49"/>
      <c r="E89" s="49"/>
      <c r="F89" s="49"/>
      <c r="G89" s="49"/>
      <c r="H89" s="49">
        <v>1200</v>
      </c>
      <c r="I89" s="49">
        <v>0</v>
      </c>
      <c r="J89" s="51"/>
      <c r="K89" s="51"/>
      <c r="L89" s="51"/>
      <c r="M89" s="51"/>
      <c r="N89" s="51"/>
      <c r="O89" s="49"/>
      <c r="P89" s="49"/>
      <c r="Q89" s="70"/>
      <c r="R89" s="76"/>
      <c r="S89" s="49"/>
      <c r="T89" s="49"/>
      <c r="U89" s="714" t="s">
        <v>29</v>
      </c>
      <c r="V89" s="64"/>
      <c r="W89" s="144"/>
      <c r="X89" s="41"/>
      <c r="Y89" s="41"/>
      <c r="Z89" s="145"/>
      <c r="AA89" s="145"/>
      <c r="AB89" s="145"/>
      <c r="AC89" s="41"/>
    </row>
    <row r="90" spans="1:29" ht="26.25">
      <c r="A90" s="19"/>
      <c r="B90" s="27" t="s">
        <v>130</v>
      </c>
      <c r="C90" s="72">
        <f>H90+E90</f>
        <v>4237</v>
      </c>
      <c r="D90" s="77"/>
      <c r="E90" s="28">
        <f>247</f>
        <v>247</v>
      </c>
      <c r="F90" s="28"/>
      <c r="G90" s="28"/>
      <c r="H90" s="28">
        <f>T90</f>
        <v>3990</v>
      </c>
      <c r="I90" s="28"/>
      <c r="J90" s="29"/>
      <c r="K90" s="29"/>
      <c r="L90" s="29"/>
      <c r="M90" s="29"/>
      <c r="N90" s="29"/>
      <c r="O90" s="28">
        <v>15440</v>
      </c>
      <c r="P90" s="28">
        <v>15573</v>
      </c>
      <c r="Q90" s="146"/>
      <c r="R90" s="147"/>
      <c r="S90" s="54">
        <v>30</v>
      </c>
      <c r="T90" s="28">
        <f>(P90-O90)*S90</f>
        <v>3990</v>
      </c>
      <c r="U90" s="455"/>
      <c r="V90" s="733" t="s">
        <v>131</v>
      </c>
      <c r="W90" s="14"/>
      <c r="X90" s="7"/>
      <c r="Y90" s="7"/>
      <c r="Z90" s="93"/>
      <c r="AA90" s="93"/>
      <c r="AB90" s="93"/>
      <c r="AC90" s="7"/>
    </row>
    <row r="91" spans="1:29" ht="25.5" customHeight="1">
      <c r="A91" s="19"/>
      <c r="B91" s="148"/>
      <c r="C91" s="115"/>
      <c r="D91" s="92"/>
      <c r="E91" s="91"/>
      <c r="F91" s="91"/>
      <c r="G91" s="91"/>
      <c r="H91" s="91"/>
      <c r="I91" s="91"/>
      <c r="J91" s="22"/>
      <c r="K91" s="22"/>
      <c r="L91" s="22"/>
      <c r="M91" s="22"/>
      <c r="N91" s="22"/>
      <c r="O91" s="91"/>
      <c r="P91" s="91"/>
      <c r="Q91" s="149"/>
      <c r="R91" s="150"/>
      <c r="S91" s="151"/>
      <c r="T91" s="91"/>
      <c r="U91" s="644"/>
      <c r="V91" s="710"/>
      <c r="W91" s="14"/>
      <c r="X91" s="7"/>
      <c r="Y91" s="7"/>
      <c r="Z91" s="7"/>
      <c r="AA91" s="7"/>
      <c r="AB91" s="7"/>
      <c r="AC91" s="7"/>
    </row>
    <row r="92" spans="1:29" ht="26.25">
      <c r="A92" s="19"/>
      <c r="B92" s="96" t="s">
        <v>86</v>
      </c>
      <c r="C92" s="115">
        <f>C88+C89+C90+C726+D726</f>
        <v>32800</v>
      </c>
      <c r="D92" s="28"/>
      <c r="E92" s="72"/>
      <c r="F92" s="28"/>
      <c r="G92" s="28"/>
      <c r="H92" s="72"/>
      <c r="I92" s="91">
        <v>0</v>
      </c>
      <c r="J92" s="22"/>
      <c r="K92" s="22"/>
      <c r="L92" s="22"/>
      <c r="M92" s="22"/>
      <c r="N92" s="22"/>
      <c r="O92" s="91"/>
      <c r="P92" s="91"/>
      <c r="Q92" s="22" t="s">
        <v>26</v>
      </c>
      <c r="R92" s="142"/>
      <c r="S92" s="91"/>
      <c r="T92" s="91">
        <v>0</v>
      </c>
      <c r="U92" s="455"/>
      <c r="V92" s="708"/>
      <c r="W92" s="14"/>
      <c r="X92" s="7"/>
      <c r="Y92" s="7"/>
      <c r="Z92" s="149"/>
      <c r="AA92" s="149"/>
      <c r="AB92" s="149"/>
      <c r="AC92" s="149"/>
    </row>
    <row r="93" spans="1:29" ht="26.25">
      <c r="A93" s="19"/>
      <c r="B93" s="143"/>
      <c r="C93" s="115"/>
      <c r="D93" s="91"/>
      <c r="E93" s="115"/>
      <c r="F93" s="91"/>
      <c r="G93" s="91"/>
      <c r="H93" s="91"/>
      <c r="I93" s="91"/>
      <c r="J93" s="22"/>
      <c r="K93" s="22"/>
      <c r="L93" s="22"/>
      <c r="M93" s="22"/>
      <c r="N93" s="22"/>
      <c r="O93" s="91"/>
      <c r="P93" s="91"/>
      <c r="Q93" s="22" t="s">
        <v>28</v>
      </c>
      <c r="R93" s="142"/>
      <c r="S93" s="91"/>
      <c r="T93" s="91"/>
      <c r="U93" s="644"/>
      <c r="V93" s="710"/>
      <c r="W93" s="14"/>
      <c r="X93" s="7"/>
      <c r="Y93" s="7"/>
      <c r="Z93" s="149"/>
      <c r="AA93" s="149"/>
      <c r="AB93" s="149"/>
      <c r="AC93" s="149"/>
    </row>
    <row r="94" spans="1:29" ht="25.5" customHeight="1">
      <c r="A94" s="808" t="s">
        <v>132</v>
      </c>
      <c r="B94" s="809"/>
      <c r="C94" s="91"/>
      <c r="D94" s="91"/>
      <c r="E94" s="92"/>
      <c r="F94" s="91"/>
      <c r="G94" s="91"/>
      <c r="H94" s="91"/>
      <c r="I94" s="91"/>
      <c r="J94" s="22"/>
      <c r="K94" s="22"/>
      <c r="L94" s="22"/>
      <c r="M94" s="22"/>
      <c r="N94" s="22"/>
      <c r="O94" s="91"/>
      <c r="P94" s="91"/>
      <c r="Q94" s="22" t="s">
        <v>33</v>
      </c>
      <c r="R94" s="142"/>
      <c r="S94" s="91"/>
      <c r="T94" s="91"/>
      <c r="U94" s="644"/>
      <c r="V94" s="710"/>
      <c r="W94" s="14"/>
      <c r="X94" s="7"/>
      <c r="Y94" s="7"/>
      <c r="Z94" s="149"/>
      <c r="AA94" s="149"/>
      <c r="AB94" s="149"/>
      <c r="AC94" s="149"/>
    </row>
    <row r="95" spans="1:29" s="42" customFormat="1" ht="25.5" customHeight="1">
      <c r="A95" s="152"/>
      <c r="B95" s="553"/>
      <c r="C95" s="554"/>
      <c r="D95" s="554"/>
      <c r="E95" s="554"/>
      <c r="F95" s="554"/>
      <c r="G95" s="554"/>
      <c r="H95" s="554"/>
      <c r="I95" s="554"/>
      <c r="J95" s="555"/>
      <c r="K95" s="555"/>
      <c r="L95" s="555"/>
      <c r="M95" s="555"/>
      <c r="N95" s="555"/>
      <c r="O95" s="554"/>
      <c r="P95" s="554"/>
      <c r="Q95" s="556"/>
      <c r="R95" s="556"/>
      <c r="S95" s="554"/>
      <c r="T95" s="554"/>
      <c r="U95" s="720"/>
      <c r="V95" s="558"/>
      <c r="W95" s="40"/>
      <c r="X95" s="41"/>
      <c r="Y95" s="41"/>
      <c r="Z95" s="153"/>
      <c r="AA95" s="153"/>
      <c r="AB95" s="153"/>
      <c r="AC95" s="153"/>
    </row>
    <row r="96" spans="1:29" ht="25.5" customHeight="1">
      <c r="A96" s="705"/>
      <c r="B96" s="387" t="s">
        <v>133</v>
      </c>
      <c r="C96" s="154">
        <f>H96+E96</f>
        <v>10309.279999999999</v>
      </c>
      <c r="D96" s="85"/>
      <c r="E96" s="84">
        <f>F96+G96</f>
        <v>0</v>
      </c>
      <c r="F96" s="84">
        <v>0</v>
      </c>
      <c r="G96" s="84">
        <v>0</v>
      </c>
      <c r="H96" s="84">
        <f>T96</f>
        <v>10309.279999999999</v>
      </c>
      <c r="I96" s="84">
        <f>0.5*C96</f>
        <v>5154.6399999999994</v>
      </c>
      <c r="J96" s="130"/>
      <c r="K96" s="130"/>
      <c r="L96" s="130"/>
      <c r="M96" s="130"/>
      <c r="N96" s="130"/>
      <c r="O96" s="155">
        <v>14239.63</v>
      </c>
      <c r="P96" s="155">
        <v>14497.361999999999</v>
      </c>
      <c r="Q96" s="86"/>
      <c r="R96" s="388"/>
      <c r="S96" s="156">
        <v>40</v>
      </c>
      <c r="T96" s="84">
        <f>(P96-O96)*S96</f>
        <v>10309.279999999999</v>
      </c>
      <c r="U96" s="722" t="s">
        <v>134</v>
      </c>
      <c r="V96" s="89" t="s">
        <v>135</v>
      </c>
      <c r="W96" s="14" t="s">
        <v>27</v>
      </c>
      <c r="X96" s="7"/>
      <c r="Y96" s="7"/>
      <c r="Z96" s="149"/>
      <c r="AA96" s="149"/>
      <c r="AB96" s="149"/>
      <c r="AC96" s="149"/>
    </row>
    <row r="97" spans="1:29" ht="25.5" customHeight="1">
      <c r="A97" s="705"/>
      <c r="B97" s="83"/>
      <c r="C97" s="84"/>
      <c r="D97" s="84"/>
      <c r="E97" s="84"/>
      <c r="F97" s="84"/>
      <c r="G97" s="84"/>
      <c r="H97" s="84"/>
      <c r="I97" s="84">
        <f>0.5*C97</f>
        <v>0</v>
      </c>
      <c r="J97" s="130"/>
      <c r="K97" s="130"/>
      <c r="L97" s="130"/>
      <c r="M97" s="130"/>
      <c r="N97" s="130"/>
      <c r="O97" s="84"/>
      <c r="P97" s="84"/>
      <c r="Q97" s="389"/>
      <c r="R97" s="390"/>
      <c r="S97" s="156"/>
      <c r="T97" s="84"/>
      <c r="U97" s="722"/>
      <c r="V97" s="89"/>
      <c r="W97" s="14"/>
      <c r="X97" s="7"/>
      <c r="Y97" s="7"/>
      <c r="Z97" s="149"/>
      <c r="AA97" s="149"/>
      <c r="AB97" s="149"/>
      <c r="AC97" s="149"/>
    </row>
    <row r="98" spans="1:29" ht="25.5" customHeight="1">
      <c r="A98" s="705"/>
      <c r="B98" s="798" t="s">
        <v>136</v>
      </c>
      <c r="C98" s="84">
        <f>H98+E98</f>
        <v>26208.000000000029</v>
      </c>
      <c r="D98" s="84"/>
      <c r="E98" s="84">
        <f>F98+G98</f>
        <v>0</v>
      </c>
      <c r="F98" s="84">
        <v>0</v>
      </c>
      <c r="G98" s="84">
        <v>0</v>
      </c>
      <c r="H98" s="84">
        <f>T98+T99</f>
        <v>26208.000000000029</v>
      </c>
      <c r="I98" s="84">
        <f>0.6*C98</f>
        <v>15724.800000000017</v>
      </c>
      <c r="J98" s="130"/>
      <c r="K98" s="130"/>
      <c r="L98" s="130"/>
      <c r="M98" s="130"/>
      <c r="N98" s="130"/>
      <c r="O98" s="84">
        <v>64090.84</v>
      </c>
      <c r="P98" s="84">
        <v>64090.84</v>
      </c>
      <c r="Q98" s="389"/>
      <c r="R98" s="390"/>
      <c r="S98" s="156">
        <v>80</v>
      </c>
      <c r="T98" s="84">
        <f>(P98-O98)*S98</f>
        <v>0</v>
      </c>
      <c r="U98" s="722"/>
      <c r="V98" s="89" t="s">
        <v>137</v>
      </c>
      <c r="W98" s="14" t="s">
        <v>27</v>
      </c>
      <c r="X98" s="7"/>
      <c r="Y98" s="7"/>
      <c r="Z98" s="149"/>
      <c r="AA98" s="149"/>
      <c r="AB98" s="149"/>
      <c r="AC98" s="149"/>
    </row>
    <row r="99" spans="1:29" ht="25.5">
      <c r="A99" s="19"/>
      <c r="B99" s="799"/>
      <c r="C99" s="84"/>
      <c r="D99" s="84"/>
      <c r="E99" s="84"/>
      <c r="F99" s="84"/>
      <c r="G99" s="84"/>
      <c r="H99" s="84"/>
      <c r="I99" s="84">
        <f>0.6*C99</f>
        <v>0</v>
      </c>
      <c r="J99" s="130"/>
      <c r="K99" s="130"/>
      <c r="L99" s="130"/>
      <c r="M99" s="130"/>
      <c r="N99" s="130"/>
      <c r="O99" s="84">
        <v>3155.6</v>
      </c>
      <c r="P99" s="84">
        <v>3319.4</v>
      </c>
      <c r="Q99" s="389"/>
      <c r="R99" s="390"/>
      <c r="S99" s="156">
        <v>80</v>
      </c>
      <c r="T99" s="84">
        <f>(P99-O99)*S99*2</f>
        <v>26208.000000000029</v>
      </c>
      <c r="U99" s="722"/>
      <c r="V99" s="89" t="s">
        <v>138</v>
      </c>
      <c r="W99" s="14" t="s">
        <v>27</v>
      </c>
      <c r="X99" s="93"/>
      <c r="Y99" s="93"/>
      <c r="Z99" s="149"/>
      <c r="AA99" s="149"/>
      <c r="AB99" s="149"/>
      <c r="AC99" s="149"/>
    </row>
    <row r="100" spans="1:29" ht="25.5">
      <c r="A100" s="157"/>
      <c r="B100" s="158"/>
      <c r="C100" s="124"/>
      <c r="D100" s="124"/>
      <c r="E100" s="125"/>
      <c r="F100" s="125"/>
      <c r="G100" s="125"/>
      <c r="H100" s="124"/>
      <c r="I100" s="125"/>
      <c r="J100" s="126"/>
      <c r="K100" s="126"/>
      <c r="L100" s="126"/>
      <c r="M100" s="126"/>
      <c r="N100" s="126"/>
      <c r="O100" s="124"/>
      <c r="P100" s="124"/>
      <c r="Q100" s="126"/>
      <c r="R100" s="159"/>
      <c r="S100" s="124"/>
      <c r="T100" s="124"/>
      <c r="U100" s="717"/>
      <c r="V100" s="128"/>
      <c r="W100" s="47"/>
      <c r="X100" s="93"/>
      <c r="Y100" s="93"/>
      <c r="Z100" s="149"/>
      <c r="AA100" s="149"/>
      <c r="AB100" s="149"/>
      <c r="AC100" s="149"/>
    </row>
    <row r="101" spans="1:29" ht="26.25">
      <c r="A101" s="157"/>
      <c r="B101" s="123" t="s">
        <v>710</v>
      </c>
      <c r="C101" s="97">
        <f>H101+E101</f>
        <v>12980</v>
      </c>
      <c r="D101" s="124"/>
      <c r="E101" s="124">
        <f>F101+G101</f>
        <v>0</v>
      </c>
      <c r="F101" s="124">
        <f>X101</f>
        <v>0</v>
      </c>
      <c r="G101" s="124">
        <f>Y101</f>
        <v>0</v>
      </c>
      <c r="H101" s="124">
        <f>T102+T105+T108</f>
        <v>12980</v>
      </c>
      <c r="I101" s="124">
        <f>T103+0.5*(T108+T105)</f>
        <v>2980</v>
      </c>
      <c r="J101" s="126"/>
      <c r="K101" s="126"/>
      <c r="L101" s="126"/>
      <c r="M101" s="126"/>
      <c r="N101" s="126" t="s">
        <v>139</v>
      </c>
      <c r="O101" s="124"/>
      <c r="P101" s="124"/>
      <c r="Q101" s="138"/>
      <c r="R101" s="159"/>
      <c r="S101" s="124">
        <v>1</v>
      </c>
      <c r="T101" s="124">
        <f t="shared" ref="T101:T108" si="14">(P101-O101)*S101</f>
        <v>0</v>
      </c>
      <c r="U101" s="717"/>
      <c r="V101" s="128"/>
      <c r="W101" s="47" t="s">
        <v>31</v>
      </c>
      <c r="X101" s="93"/>
      <c r="Y101" s="93"/>
      <c r="Z101" s="7"/>
      <c r="AA101" s="7"/>
      <c r="AB101" s="7"/>
      <c r="AC101" s="7"/>
    </row>
    <row r="102" spans="1:29" ht="25.5">
      <c r="A102" s="157"/>
      <c r="B102" s="83" t="s">
        <v>140</v>
      </c>
      <c r="C102" s="84"/>
      <c r="D102" s="84"/>
      <c r="E102" s="84"/>
      <c r="F102" s="84"/>
      <c r="G102" s="84"/>
      <c r="H102" s="84"/>
      <c r="I102" s="85"/>
      <c r="J102" s="130"/>
      <c r="K102" s="130"/>
      <c r="L102" s="130"/>
      <c r="M102" s="130"/>
      <c r="N102" s="130"/>
      <c r="O102" s="84">
        <v>29080</v>
      </c>
      <c r="P102" s="84">
        <v>29197</v>
      </c>
      <c r="Q102" s="389"/>
      <c r="R102" s="385"/>
      <c r="S102" s="84">
        <v>60</v>
      </c>
      <c r="T102" s="84">
        <f>(P102-O102)*S102</f>
        <v>7020</v>
      </c>
      <c r="U102" s="722">
        <v>36259</v>
      </c>
      <c r="V102" s="89" t="s">
        <v>141</v>
      </c>
      <c r="W102" s="14"/>
      <c r="X102" s="7"/>
      <c r="Y102" s="7"/>
      <c r="Z102" s="7"/>
      <c r="AA102" s="7"/>
      <c r="AB102" s="7"/>
      <c r="AC102" s="7"/>
    </row>
    <row r="103" spans="1:29" ht="25.5">
      <c r="A103" s="157"/>
      <c r="B103" s="83"/>
      <c r="C103" s="84"/>
      <c r="D103" s="84"/>
      <c r="E103" s="84"/>
      <c r="F103" s="84"/>
      <c r="G103" s="84"/>
      <c r="H103" s="84"/>
      <c r="I103" s="85"/>
      <c r="J103" s="130"/>
      <c r="K103" s="130"/>
      <c r="L103" s="130"/>
      <c r="M103" s="130"/>
      <c r="N103" s="130"/>
      <c r="O103" s="84"/>
      <c r="P103" s="84"/>
      <c r="Q103" s="389"/>
      <c r="R103" s="385"/>
      <c r="S103" s="84">
        <v>60</v>
      </c>
      <c r="T103" s="84">
        <f t="shared" si="14"/>
        <v>0</v>
      </c>
      <c r="U103" s="722"/>
      <c r="V103" s="89"/>
      <c r="W103" s="134"/>
      <c r="X103" s="149"/>
      <c r="Y103" s="149"/>
      <c r="Z103" s="7"/>
      <c r="AA103" s="7"/>
      <c r="AB103" s="7"/>
      <c r="AC103" s="7"/>
    </row>
    <row r="104" spans="1:29" ht="25.5">
      <c r="A104" s="157"/>
      <c r="B104" s="83"/>
      <c r="C104" s="84"/>
      <c r="D104" s="84"/>
      <c r="E104" s="84"/>
      <c r="F104" s="84"/>
      <c r="G104" s="84"/>
      <c r="H104" s="84"/>
      <c r="I104" s="85"/>
      <c r="J104" s="130"/>
      <c r="K104" s="130"/>
      <c r="L104" s="130"/>
      <c r="M104" s="130"/>
      <c r="N104" s="130"/>
      <c r="O104" s="84"/>
      <c r="P104" s="84"/>
      <c r="Q104" s="389"/>
      <c r="R104" s="385"/>
      <c r="S104" s="84">
        <v>60</v>
      </c>
      <c r="T104" s="84">
        <f t="shared" si="14"/>
        <v>0</v>
      </c>
      <c r="U104" s="722"/>
      <c r="V104" s="89"/>
      <c r="W104" s="134"/>
      <c r="X104" s="149"/>
      <c r="Y104" s="149"/>
      <c r="Z104" s="7"/>
      <c r="AA104" s="7"/>
      <c r="AB104" s="7"/>
      <c r="AC104" s="7"/>
    </row>
    <row r="105" spans="1:29" ht="25.5">
      <c r="A105" s="157"/>
      <c r="B105" s="83" t="s">
        <v>142</v>
      </c>
      <c r="C105" s="84"/>
      <c r="D105" s="84"/>
      <c r="E105" s="84"/>
      <c r="F105" s="84"/>
      <c r="G105" s="84"/>
      <c r="H105" s="84"/>
      <c r="I105" s="85"/>
      <c r="J105" s="130"/>
      <c r="K105" s="130"/>
      <c r="L105" s="130"/>
      <c r="M105" s="130"/>
      <c r="N105" s="130"/>
      <c r="O105" s="84">
        <v>6009</v>
      </c>
      <c r="P105" s="84">
        <v>6061</v>
      </c>
      <c r="Q105" s="389"/>
      <c r="R105" s="390"/>
      <c r="S105" s="84">
        <v>40</v>
      </c>
      <c r="T105" s="84">
        <f t="shared" si="14"/>
        <v>2080</v>
      </c>
      <c r="U105" s="722">
        <v>580023</v>
      </c>
      <c r="V105" s="89"/>
      <c r="W105" s="134"/>
      <c r="X105" s="149"/>
      <c r="Y105" s="149"/>
      <c r="Z105" s="7"/>
      <c r="AA105" s="7"/>
      <c r="AB105" s="7"/>
      <c r="AC105" s="7"/>
    </row>
    <row r="106" spans="1:29" ht="25.5">
      <c r="A106" s="157"/>
      <c r="B106" s="83"/>
      <c r="C106" s="84"/>
      <c r="D106" s="84"/>
      <c r="E106" s="84"/>
      <c r="F106" s="84"/>
      <c r="G106" s="84"/>
      <c r="H106" s="84"/>
      <c r="I106" s="85"/>
      <c r="J106" s="130"/>
      <c r="K106" s="130"/>
      <c r="L106" s="130"/>
      <c r="M106" s="130"/>
      <c r="N106" s="130"/>
      <c r="O106" s="84"/>
      <c r="P106" s="84"/>
      <c r="Q106" s="389"/>
      <c r="R106" s="385"/>
      <c r="S106" s="84">
        <v>20</v>
      </c>
      <c r="T106" s="84">
        <f t="shared" si="14"/>
        <v>0</v>
      </c>
      <c r="U106" s="722"/>
      <c r="V106" s="89"/>
      <c r="W106" s="134"/>
      <c r="X106" s="149"/>
      <c r="Y106" s="149"/>
      <c r="Z106" s="7"/>
      <c r="AA106" s="7"/>
      <c r="AB106" s="7"/>
      <c r="AC106" s="7"/>
    </row>
    <row r="107" spans="1:29" ht="25.5">
      <c r="A107" s="157"/>
      <c r="B107" s="83"/>
      <c r="C107" s="84"/>
      <c r="D107" s="84"/>
      <c r="E107" s="84"/>
      <c r="F107" s="84"/>
      <c r="G107" s="84"/>
      <c r="H107" s="84"/>
      <c r="I107" s="85"/>
      <c r="J107" s="130"/>
      <c r="K107" s="130"/>
      <c r="L107" s="130"/>
      <c r="M107" s="130"/>
      <c r="N107" s="130"/>
      <c r="O107" s="84"/>
      <c r="P107" s="84"/>
      <c r="Q107" s="389"/>
      <c r="R107" s="385"/>
      <c r="S107" s="84">
        <v>40</v>
      </c>
      <c r="T107" s="84">
        <f t="shared" si="14"/>
        <v>0</v>
      </c>
      <c r="U107" s="722"/>
      <c r="V107" s="89"/>
      <c r="W107" s="134"/>
      <c r="X107" s="149"/>
      <c r="Y107" s="149"/>
      <c r="Z107" s="7"/>
      <c r="AA107" s="7"/>
      <c r="AB107" s="7"/>
      <c r="AC107" s="7"/>
    </row>
    <row r="108" spans="1:29" ht="25.5">
      <c r="A108" s="157"/>
      <c r="B108" s="83" t="s">
        <v>143</v>
      </c>
      <c r="C108" s="84"/>
      <c r="D108" s="84"/>
      <c r="E108" s="84"/>
      <c r="F108" s="84"/>
      <c r="G108" s="84"/>
      <c r="H108" s="84"/>
      <c r="I108" s="85"/>
      <c r="J108" s="130"/>
      <c r="K108" s="130"/>
      <c r="L108" s="130"/>
      <c r="M108" s="130"/>
      <c r="N108" s="130"/>
      <c r="O108" s="84">
        <v>5234</v>
      </c>
      <c r="P108" s="84">
        <v>5331</v>
      </c>
      <c r="Q108" s="389"/>
      <c r="R108" s="385"/>
      <c r="S108" s="84">
        <v>40</v>
      </c>
      <c r="T108" s="84">
        <f t="shared" si="14"/>
        <v>3880</v>
      </c>
      <c r="U108" s="722">
        <v>951989</v>
      </c>
      <c r="V108" s="89"/>
      <c r="W108" s="14"/>
      <c r="X108" s="7"/>
      <c r="Y108" s="7"/>
      <c r="Z108" s="7"/>
      <c r="AA108" s="7"/>
      <c r="AB108" s="7"/>
      <c r="AC108" s="7"/>
    </row>
    <row r="109" spans="1:29" ht="27.75">
      <c r="A109" s="19"/>
      <c r="B109" s="141" t="s">
        <v>86</v>
      </c>
      <c r="C109" s="115">
        <f>C96+C101</f>
        <v>23289.279999999999</v>
      </c>
      <c r="D109" s="115"/>
      <c r="E109" s="115"/>
      <c r="F109" s="91"/>
      <c r="G109" s="91"/>
      <c r="H109" s="115">
        <f>SUM(H99:H108)</f>
        <v>12980</v>
      </c>
      <c r="I109" s="115">
        <f>I101+I99</f>
        <v>2980</v>
      </c>
      <c r="J109" s="160">
        <f>SUM(J99:J105)</f>
        <v>0</v>
      </c>
      <c r="K109" s="160">
        <f>SUM(K99:K105)</f>
        <v>0</v>
      </c>
      <c r="L109" s="160">
        <f>SUM(L99:L105)</f>
        <v>0</v>
      </c>
      <c r="M109" s="160">
        <f>SUM(M99:M105)</f>
        <v>0</v>
      </c>
      <c r="N109" s="22"/>
      <c r="O109" s="91"/>
      <c r="P109" s="91"/>
      <c r="Q109" s="149"/>
      <c r="R109" s="161"/>
      <c r="S109" s="91"/>
      <c r="T109" s="91"/>
      <c r="U109" s="644"/>
      <c r="V109" s="710"/>
      <c r="W109" s="14"/>
      <c r="X109" s="7"/>
      <c r="Y109" s="7"/>
      <c r="Z109" s="7"/>
      <c r="AA109" s="7"/>
      <c r="AB109" s="7"/>
      <c r="AC109" s="7"/>
    </row>
    <row r="110" spans="1:29" ht="26.25">
      <c r="A110" s="19"/>
      <c r="B110" s="143"/>
      <c r="C110" s="115"/>
      <c r="D110" s="115"/>
      <c r="E110" s="115"/>
      <c r="F110" s="91"/>
      <c r="G110" s="91"/>
      <c r="H110" s="91"/>
      <c r="I110" s="115"/>
      <c r="J110" s="162"/>
      <c r="K110" s="162"/>
      <c r="L110" s="162"/>
      <c r="M110" s="162"/>
      <c r="N110" s="22"/>
      <c r="O110" s="91"/>
      <c r="P110" s="91"/>
      <c r="Q110" s="149"/>
      <c r="R110" s="161"/>
      <c r="S110" s="91"/>
      <c r="T110" s="91"/>
      <c r="U110" s="644"/>
      <c r="V110" s="710"/>
      <c r="W110" s="14"/>
      <c r="X110" s="7"/>
      <c r="Y110" s="7"/>
      <c r="Z110" s="7"/>
      <c r="AA110" s="7"/>
      <c r="AB110" s="7"/>
      <c r="AC110" s="7"/>
    </row>
    <row r="111" spans="1:29" ht="26.25">
      <c r="A111" s="19"/>
      <c r="B111" s="163" t="s">
        <v>144</v>
      </c>
      <c r="C111" s="115"/>
      <c r="D111" s="115"/>
      <c r="E111" s="115"/>
      <c r="F111" s="91"/>
      <c r="G111" s="91"/>
      <c r="H111" s="91"/>
      <c r="I111" s="91"/>
      <c r="J111" s="162"/>
      <c r="K111" s="162"/>
      <c r="L111" s="162"/>
      <c r="M111" s="162"/>
      <c r="N111" s="22"/>
      <c r="O111" s="91"/>
      <c r="P111" s="91"/>
      <c r="Q111" s="22" t="s">
        <v>50</v>
      </c>
      <c r="R111" s="142"/>
      <c r="S111" s="91"/>
      <c r="T111" s="91"/>
      <c r="U111" s="644"/>
      <c r="V111" s="710"/>
      <c r="W111" s="14"/>
      <c r="X111" s="7"/>
      <c r="Y111" s="7"/>
      <c r="Z111" s="7"/>
      <c r="AA111" s="7"/>
      <c r="AB111" s="7"/>
      <c r="AC111" s="7"/>
    </row>
    <row r="112" spans="1:29" ht="26.25">
      <c r="A112" s="19"/>
      <c r="C112" s="91"/>
      <c r="D112" s="115"/>
      <c r="E112" s="115"/>
      <c r="F112" s="91"/>
      <c r="G112" s="91"/>
      <c r="H112" s="91"/>
      <c r="I112" s="91"/>
      <c r="J112" s="164"/>
      <c r="K112" s="164"/>
      <c r="L112" s="164"/>
      <c r="M112" s="164"/>
      <c r="N112" s="164"/>
      <c r="O112" s="91"/>
      <c r="P112" s="91"/>
      <c r="Q112" s="7"/>
      <c r="R112" s="94"/>
      <c r="S112" s="91"/>
      <c r="T112" s="91"/>
      <c r="U112" s="644"/>
      <c r="V112" s="710"/>
      <c r="W112" s="14"/>
      <c r="X112" s="7"/>
      <c r="Y112" s="7"/>
      <c r="Z112" s="7"/>
      <c r="AA112" s="7"/>
      <c r="AB112" s="7"/>
      <c r="AC112" s="7"/>
    </row>
    <row r="113" spans="1:29" ht="26.25">
      <c r="A113" s="19"/>
      <c r="B113" s="163" t="s">
        <v>145</v>
      </c>
      <c r="C113" s="91"/>
      <c r="D113" s="115"/>
      <c r="E113" s="115"/>
      <c r="F113" s="91"/>
      <c r="G113" s="91"/>
      <c r="H113" s="91"/>
      <c r="I113" s="91"/>
      <c r="J113" s="164"/>
      <c r="K113" s="164"/>
      <c r="L113" s="164"/>
      <c r="M113" s="164"/>
      <c r="N113" s="164"/>
      <c r="O113" s="91"/>
      <c r="P113" s="91"/>
      <c r="Q113" s="7"/>
      <c r="R113" s="94"/>
      <c r="S113" s="91"/>
      <c r="T113" s="91"/>
      <c r="U113" s="644"/>
      <c r="V113" s="710"/>
      <c r="W113" s="14"/>
      <c r="X113" s="7"/>
      <c r="Y113" s="7"/>
      <c r="Z113" s="7"/>
      <c r="AA113" s="7"/>
      <c r="AB113" s="7"/>
      <c r="AC113" s="7"/>
    </row>
    <row r="114" spans="1:29" ht="25.5">
      <c r="A114" s="19"/>
      <c r="B114" s="27" t="s">
        <v>787</v>
      </c>
      <c r="C114" s="28">
        <f>H114+E114</f>
        <v>0</v>
      </c>
      <c r="D114" s="28"/>
      <c r="E114" s="28"/>
      <c r="F114" s="28">
        <f t="shared" ref="F114:F124" si="15">0.04*H114</f>
        <v>0</v>
      </c>
      <c r="G114" s="28">
        <f t="shared" ref="G114:G124" si="16">0.03*H114</f>
        <v>0</v>
      </c>
      <c r="H114" s="28">
        <f>T114</f>
        <v>0</v>
      </c>
      <c r="I114" s="28">
        <f>0.6*C114</f>
        <v>0</v>
      </c>
      <c r="J114" s="29"/>
      <c r="K114" s="29"/>
      <c r="L114" s="29"/>
      <c r="M114" s="29"/>
      <c r="N114" s="29" t="s">
        <v>146</v>
      </c>
      <c r="O114" s="28">
        <v>196697</v>
      </c>
      <c r="P114" s="28">
        <v>196697</v>
      </c>
      <c r="Q114" s="30"/>
      <c r="R114" s="351"/>
      <c r="S114" s="54">
        <v>1</v>
      </c>
      <c r="T114" s="28">
        <f>(P114-O114)*S114</f>
        <v>0</v>
      </c>
      <c r="U114" s="455">
        <v>42221906</v>
      </c>
      <c r="V114" s="733" t="s">
        <v>147</v>
      </c>
      <c r="W114" s="47" t="s">
        <v>31</v>
      </c>
      <c r="X114" s="7"/>
      <c r="Y114" s="7"/>
      <c r="Z114" s="7"/>
      <c r="AA114" s="7"/>
      <c r="AB114" s="7"/>
      <c r="AC114" s="7"/>
    </row>
    <row r="115" spans="1:29" ht="25.5">
      <c r="A115" s="19"/>
      <c r="B115" s="27" t="s">
        <v>148</v>
      </c>
      <c r="C115" s="28">
        <f>H115+E115</f>
        <v>10169.279999999937</v>
      </c>
      <c r="D115" s="28"/>
      <c r="E115" s="28">
        <f t="shared" ref="E115:E130" si="17">F115+G115</f>
        <v>665.27999999999588</v>
      </c>
      <c r="F115" s="28">
        <f t="shared" si="15"/>
        <v>380.15999999999769</v>
      </c>
      <c r="G115" s="28">
        <f t="shared" si="16"/>
        <v>285.11999999999824</v>
      </c>
      <c r="H115" s="28">
        <f>T115</f>
        <v>9503.9999999999418</v>
      </c>
      <c r="I115" s="28">
        <f>0.6*C115</f>
        <v>6101.567999999962</v>
      </c>
      <c r="J115" s="29"/>
      <c r="K115" s="29"/>
      <c r="L115" s="29"/>
      <c r="M115" s="29"/>
      <c r="N115" s="29" t="s">
        <v>149</v>
      </c>
      <c r="O115" s="28">
        <v>9302.5</v>
      </c>
      <c r="P115" s="28">
        <v>9421.2999999999993</v>
      </c>
      <c r="Q115" s="146"/>
      <c r="R115" s="165"/>
      <c r="S115" s="54">
        <v>80</v>
      </c>
      <c r="T115" s="28">
        <f>(P115-O115)*S115</f>
        <v>9503.9999999999418</v>
      </c>
      <c r="U115" s="455">
        <v>440479</v>
      </c>
      <c r="V115" s="733" t="s">
        <v>150</v>
      </c>
      <c r="W115" s="47" t="s">
        <v>31</v>
      </c>
      <c r="X115" s="7"/>
      <c r="Y115" s="7"/>
      <c r="Z115" s="7"/>
      <c r="AA115" s="7"/>
      <c r="AB115" s="7"/>
      <c r="AC115" s="7"/>
    </row>
    <row r="116" spans="1:29" ht="25.5">
      <c r="A116" s="19"/>
      <c r="B116" s="166" t="s">
        <v>151</v>
      </c>
      <c r="C116" s="56">
        <f>H116+E116</f>
        <v>0</v>
      </c>
      <c r="D116" s="56"/>
      <c r="E116" s="56">
        <f t="shared" si="17"/>
        <v>0</v>
      </c>
      <c r="F116" s="56">
        <f t="shared" si="15"/>
        <v>0</v>
      </c>
      <c r="G116" s="56">
        <f t="shared" si="16"/>
        <v>0</v>
      </c>
      <c r="H116" s="56">
        <f>T116</f>
        <v>0</v>
      </c>
      <c r="I116" s="56">
        <f>0.5*C116</f>
        <v>0</v>
      </c>
      <c r="J116" s="57"/>
      <c r="K116" s="57"/>
      <c r="L116" s="57"/>
      <c r="M116" s="57"/>
      <c r="N116" s="57"/>
      <c r="O116" s="56">
        <v>162</v>
      </c>
      <c r="P116" s="56">
        <v>162</v>
      </c>
      <c r="Q116" s="167"/>
      <c r="R116" s="168"/>
      <c r="S116" s="56">
        <v>1</v>
      </c>
      <c r="T116" s="56">
        <f>(P116-O116)*S116</f>
        <v>0</v>
      </c>
      <c r="U116" s="721">
        <v>1605</v>
      </c>
      <c r="V116" s="60" t="s">
        <v>152</v>
      </c>
      <c r="W116" s="14"/>
      <c r="X116" s="7"/>
      <c r="Y116" s="7"/>
      <c r="Z116" s="7"/>
      <c r="AA116" s="7"/>
      <c r="AB116" s="7"/>
      <c r="AC116" s="7"/>
    </row>
    <row r="117" spans="1:29" ht="25.5">
      <c r="A117" s="19"/>
      <c r="B117" s="166" t="s">
        <v>153</v>
      </c>
      <c r="C117" s="56">
        <f t="shared" ref="C117:C130" si="18">H117+E117</f>
        <v>0</v>
      </c>
      <c r="D117" s="56"/>
      <c r="E117" s="56">
        <f t="shared" si="17"/>
        <v>0</v>
      </c>
      <c r="F117" s="56">
        <f t="shared" si="15"/>
        <v>0</v>
      </c>
      <c r="G117" s="56">
        <f t="shared" si="16"/>
        <v>0</v>
      </c>
      <c r="H117" s="56">
        <f t="shared" ref="H117:H130" si="19">T117</f>
        <v>0</v>
      </c>
      <c r="I117" s="56">
        <f>0.6*C117</f>
        <v>0</v>
      </c>
      <c r="J117" s="57"/>
      <c r="K117" s="57"/>
      <c r="L117" s="57"/>
      <c r="M117" s="57"/>
      <c r="N117" s="57" t="s">
        <v>154</v>
      </c>
      <c r="O117" s="56">
        <v>982</v>
      </c>
      <c r="P117" s="56">
        <v>982</v>
      </c>
      <c r="Q117" s="169"/>
      <c r="R117" s="170"/>
      <c r="S117" s="56">
        <v>1</v>
      </c>
      <c r="T117" s="56">
        <f t="shared" ref="T117:T130" si="20">(P117-O117)*S117</f>
        <v>0</v>
      </c>
      <c r="U117" s="721" t="s">
        <v>155</v>
      </c>
      <c r="V117" s="60" t="s">
        <v>156</v>
      </c>
      <c r="W117" s="14"/>
      <c r="X117" s="7"/>
      <c r="Y117" s="7"/>
      <c r="Z117" s="7"/>
      <c r="AA117" s="7"/>
      <c r="AB117" s="7"/>
      <c r="AC117" s="7"/>
    </row>
    <row r="118" spans="1:29" ht="26.25">
      <c r="A118" s="19"/>
      <c r="B118" s="367" t="s">
        <v>157</v>
      </c>
      <c r="C118" s="495">
        <f t="shared" si="18"/>
        <v>54056.4</v>
      </c>
      <c r="D118" s="72"/>
      <c r="E118" s="72">
        <f t="shared" si="17"/>
        <v>3536.3999999999996</v>
      </c>
      <c r="F118" s="72">
        <f t="shared" si="15"/>
        <v>2020.8</v>
      </c>
      <c r="G118" s="72">
        <f t="shared" si="16"/>
        <v>1515.6</v>
      </c>
      <c r="H118" s="72">
        <f t="shared" si="19"/>
        <v>50520</v>
      </c>
      <c r="I118" s="72">
        <v>11490</v>
      </c>
      <c r="J118" s="81"/>
      <c r="K118" s="81"/>
      <c r="L118" s="81"/>
      <c r="M118" s="81"/>
      <c r="N118" s="81"/>
      <c r="O118" s="72">
        <v>47075</v>
      </c>
      <c r="P118" s="72">
        <v>47496</v>
      </c>
      <c r="Q118" s="146"/>
      <c r="R118" s="391"/>
      <c r="S118" s="171">
        <v>120</v>
      </c>
      <c r="T118" s="28">
        <f t="shared" si="20"/>
        <v>50520</v>
      </c>
      <c r="U118" s="455"/>
      <c r="V118" s="750" t="s">
        <v>158</v>
      </c>
      <c r="W118" s="14" t="s">
        <v>48</v>
      </c>
      <c r="X118" s="7"/>
      <c r="Y118" s="7"/>
      <c r="Z118" s="7"/>
      <c r="AA118" s="7"/>
      <c r="AB118" s="7"/>
      <c r="AC118" s="7"/>
    </row>
    <row r="119" spans="1:29" ht="25.5">
      <c r="A119" s="19"/>
      <c r="B119" s="27" t="s">
        <v>159</v>
      </c>
      <c r="C119" s="28">
        <f t="shared" si="18"/>
        <v>40.659999999999997</v>
      </c>
      <c r="D119" s="28"/>
      <c r="E119" s="28">
        <f t="shared" si="17"/>
        <v>2.66</v>
      </c>
      <c r="F119" s="28">
        <f t="shared" si="15"/>
        <v>1.52</v>
      </c>
      <c r="G119" s="28">
        <f t="shared" si="16"/>
        <v>1.1399999999999999</v>
      </c>
      <c r="H119" s="28">
        <f t="shared" si="19"/>
        <v>38</v>
      </c>
      <c r="I119" s="28">
        <f>0.6*C119</f>
        <v>24.395999999999997</v>
      </c>
      <c r="J119" s="29"/>
      <c r="K119" s="29"/>
      <c r="L119" s="29"/>
      <c r="M119" s="29"/>
      <c r="N119" s="29"/>
      <c r="O119" s="28">
        <v>59587</v>
      </c>
      <c r="P119" s="28">
        <v>59625</v>
      </c>
      <c r="Q119" s="30"/>
      <c r="R119" s="351"/>
      <c r="S119" s="54">
        <v>1</v>
      </c>
      <c r="T119" s="28">
        <f t="shared" si="20"/>
        <v>38</v>
      </c>
      <c r="U119" s="455">
        <v>91423</v>
      </c>
      <c r="V119" s="733" t="s">
        <v>21</v>
      </c>
      <c r="W119" s="14" t="s">
        <v>22</v>
      </c>
      <c r="X119" s="7"/>
      <c r="Y119" s="7"/>
      <c r="Z119" s="7"/>
      <c r="AA119" s="7"/>
      <c r="AB119" s="7"/>
      <c r="AC119" s="7"/>
    </row>
    <row r="120" spans="1:29" ht="25.5">
      <c r="A120" s="19"/>
      <c r="B120" s="148"/>
      <c r="C120" s="91"/>
      <c r="D120" s="91"/>
      <c r="E120" s="91"/>
      <c r="F120" s="91"/>
      <c r="G120" s="91"/>
      <c r="H120" s="91"/>
      <c r="I120" s="91"/>
      <c r="J120" s="22"/>
      <c r="K120" s="22"/>
      <c r="L120" s="22"/>
      <c r="M120" s="22"/>
      <c r="N120" s="22"/>
      <c r="O120" s="91"/>
      <c r="P120" s="91"/>
      <c r="Q120" s="122"/>
      <c r="R120" s="173"/>
      <c r="S120" s="151"/>
      <c r="T120" s="91"/>
      <c r="U120" s="644"/>
      <c r="V120" s="710"/>
      <c r="W120" s="14"/>
      <c r="X120" s="7"/>
      <c r="Y120" s="7"/>
      <c r="Z120" s="7"/>
      <c r="AA120" s="7"/>
      <c r="AB120" s="7"/>
      <c r="AC120" s="7"/>
    </row>
    <row r="121" spans="1:29" ht="25.5">
      <c r="A121" s="19"/>
      <c r="B121" s="27" t="s">
        <v>148</v>
      </c>
      <c r="C121" s="28">
        <f t="shared" si="18"/>
        <v>422.65</v>
      </c>
      <c r="D121" s="28"/>
      <c r="E121" s="28">
        <f t="shared" si="17"/>
        <v>27.65</v>
      </c>
      <c r="F121" s="28">
        <f t="shared" si="15"/>
        <v>15.8</v>
      </c>
      <c r="G121" s="28">
        <f t="shared" si="16"/>
        <v>11.85</v>
      </c>
      <c r="H121" s="28">
        <f t="shared" si="19"/>
        <v>395</v>
      </c>
      <c r="I121" s="28">
        <f>0.6*C121</f>
        <v>253.58999999999997</v>
      </c>
      <c r="J121" s="29"/>
      <c r="K121" s="29"/>
      <c r="L121" s="29"/>
      <c r="M121" s="29"/>
      <c r="N121" s="29"/>
      <c r="O121" s="28">
        <v>6964</v>
      </c>
      <c r="P121" s="28">
        <v>7359</v>
      </c>
      <c r="Q121" s="30"/>
      <c r="R121" s="351"/>
      <c r="S121" s="54">
        <v>1</v>
      </c>
      <c r="T121" s="28">
        <f t="shared" si="20"/>
        <v>395</v>
      </c>
      <c r="U121" s="455">
        <v>9695</v>
      </c>
      <c r="V121" s="733" t="s">
        <v>160</v>
      </c>
      <c r="W121" s="134" t="s">
        <v>31</v>
      </c>
      <c r="X121" s="7"/>
      <c r="Y121" s="7"/>
      <c r="Z121" s="7"/>
      <c r="AA121" s="7"/>
      <c r="AB121" s="7"/>
      <c r="AC121" s="7"/>
    </row>
    <row r="122" spans="1:29" ht="25.5">
      <c r="A122" s="19"/>
      <c r="B122" s="27" t="s">
        <v>161</v>
      </c>
      <c r="C122" s="28">
        <f t="shared" si="18"/>
        <v>1003.66</v>
      </c>
      <c r="D122" s="28"/>
      <c r="E122" s="28">
        <f t="shared" si="17"/>
        <v>65.66</v>
      </c>
      <c r="F122" s="28">
        <f t="shared" si="15"/>
        <v>37.520000000000003</v>
      </c>
      <c r="G122" s="28">
        <f t="shared" si="16"/>
        <v>28.14</v>
      </c>
      <c r="H122" s="28">
        <f t="shared" si="19"/>
        <v>938</v>
      </c>
      <c r="I122" s="28">
        <f>0.6*C122</f>
        <v>602.19599999999991</v>
      </c>
      <c r="J122" s="29"/>
      <c r="K122" s="29"/>
      <c r="L122" s="29"/>
      <c r="M122" s="29"/>
      <c r="N122" s="29"/>
      <c r="O122" s="28">
        <f>58126+31015</f>
        <v>89141</v>
      </c>
      <c r="P122" s="28">
        <f>58479+31600</f>
        <v>90079</v>
      </c>
      <c r="Q122" s="30"/>
      <c r="R122" s="351"/>
      <c r="S122" s="54">
        <v>1</v>
      </c>
      <c r="T122" s="28">
        <f t="shared" si="20"/>
        <v>938</v>
      </c>
      <c r="U122" s="455">
        <v>18723</v>
      </c>
      <c r="V122" s="733" t="s">
        <v>162</v>
      </c>
      <c r="W122" s="14" t="s">
        <v>31</v>
      </c>
      <c r="X122" s="7"/>
      <c r="Y122" s="7"/>
      <c r="Z122" s="7"/>
      <c r="AA122" s="7"/>
      <c r="AB122" s="7"/>
      <c r="AC122" s="7"/>
    </row>
    <row r="123" spans="1:29" ht="25.5">
      <c r="A123" s="19"/>
      <c r="B123" s="27" t="s">
        <v>163</v>
      </c>
      <c r="C123" s="28">
        <f>H123+E123</f>
        <v>1994.48</v>
      </c>
      <c r="D123" s="28"/>
      <c r="E123" s="28">
        <f t="shared" si="17"/>
        <v>130.47999999999999</v>
      </c>
      <c r="F123" s="28">
        <f t="shared" si="15"/>
        <v>74.56</v>
      </c>
      <c r="G123" s="28">
        <f t="shared" si="16"/>
        <v>55.919999999999995</v>
      </c>
      <c r="H123" s="28">
        <f>T123</f>
        <v>1864</v>
      </c>
      <c r="I123" s="28">
        <f>0.6*C123</f>
        <v>1196.6879999999999</v>
      </c>
      <c r="J123" s="29"/>
      <c r="K123" s="29"/>
      <c r="L123" s="29"/>
      <c r="M123" s="29"/>
      <c r="N123" s="29" t="s">
        <v>146</v>
      </c>
      <c r="O123" s="28">
        <v>40097</v>
      </c>
      <c r="P123" s="28">
        <v>41961</v>
      </c>
      <c r="Q123" s="30"/>
      <c r="R123" s="351"/>
      <c r="S123" s="54">
        <v>1</v>
      </c>
      <c r="T123" s="28">
        <f>(P123-O123)*S123</f>
        <v>1864</v>
      </c>
      <c r="U123" s="455">
        <v>3275</v>
      </c>
      <c r="V123" s="733" t="s">
        <v>164</v>
      </c>
      <c r="W123" s="14" t="s">
        <v>82</v>
      </c>
      <c r="X123" s="7"/>
      <c r="Y123" s="7"/>
      <c r="Z123" s="7"/>
      <c r="AA123" s="7"/>
      <c r="AB123" s="7"/>
      <c r="AC123" s="7"/>
    </row>
    <row r="124" spans="1:29" ht="52.5">
      <c r="A124" s="19"/>
      <c r="B124" s="367" t="s">
        <v>708</v>
      </c>
      <c r="C124" s="496">
        <f t="shared" si="18"/>
        <v>5221.6000000000004</v>
      </c>
      <c r="D124" s="72"/>
      <c r="E124" s="72">
        <f t="shared" si="17"/>
        <v>341.6</v>
      </c>
      <c r="F124" s="72">
        <f t="shared" si="15"/>
        <v>195.20000000000002</v>
      </c>
      <c r="G124" s="72">
        <f t="shared" si="16"/>
        <v>146.4</v>
      </c>
      <c r="H124" s="72">
        <f t="shared" si="19"/>
        <v>4880</v>
      </c>
      <c r="I124" s="72">
        <f>T553</f>
        <v>0</v>
      </c>
      <c r="J124" s="392"/>
      <c r="K124" s="392"/>
      <c r="L124" s="392"/>
      <c r="M124" s="392"/>
      <c r="N124" s="392"/>
      <c r="O124" s="72">
        <v>12869</v>
      </c>
      <c r="P124" s="72">
        <v>12930</v>
      </c>
      <c r="Q124" s="81"/>
      <c r="R124" s="165"/>
      <c r="S124" s="171">
        <v>80</v>
      </c>
      <c r="T124" s="72">
        <f t="shared" si="20"/>
        <v>4880</v>
      </c>
      <c r="U124" s="455"/>
      <c r="V124" s="733" t="s">
        <v>165</v>
      </c>
      <c r="W124" s="14" t="s">
        <v>166</v>
      </c>
      <c r="X124" s="7"/>
      <c r="Y124" s="7"/>
      <c r="Z124" s="7"/>
      <c r="AA124" s="7"/>
      <c r="AB124" s="7"/>
      <c r="AC124" s="7"/>
    </row>
    <row r="125" spans="1:29" ht="25.5">
      <c r="A125" s="19"/>
      <c r="B125" s="172"/>
      <c r="C125" s="91"/>
      <c r="D125" s="91"/>
      <c r="E125" s="91"/>
      <c r="F125" s="91"/>
      <c r="G125" s="91"/>
      <c r="H125" s="91"/>
      <c r="I125" s="91"/>
      <c r="J125" s="22"/>
      <c r="K125" s="22"/>
      <c r="L125" s="22"/>
      <c r="M125" s="22"/>
      <c r="N125" s="22"/>
      <c r="O125" s="91"/>
      <c r="P125" s="91"/>
      <c r="Q125" s="122"/>
      <c r="R125" s="173"/>
      <c r="S125" s="151"/>
      <c r="T125" s="91"/>
      <c r="U125" s="644"/>
      <c r="V125" s="710"/>
      <c r="W125" s="14" t="s">
        <v>82</v>
      </c>
      <c r="X125" s="7"/>
      <c r="Y125" s="7"/>
      <c r="Z125" s="7"/>
      <c r="AA125" s="7"/>
      <c r="AB125" s="7"/>
      <c r="AC125" s="7"/>
    </row>
    <row r="126" spans="1:29" ht="25.5">
      <c r="A126" s="19"/>
      <c r="B126" s="27" t="s">
        <v>167</v>
      </c>
      <c r="C126" s="28">
        <f>H126+E126</f>
        <v>829.90000000000782</v>
      </c>
      <c r="D126" s="28"/>
      <c r="E126" s="28">
        <f t="shared" si="17"/>
        <v>57.900000000000546</v>
      </c>
      <c r="F126" s="28">
        <f>0.035*H126</f>
        <v>27.020000000000259</v>
      </c>
      <c r="G126" s="28">
        <f>H126*0.04</f>
        <v>30.88000000000029</v>
      </c>
      <c r="H126" s="28">
        <f t="shared" si="19"/>
        <v>772.00000000000728</v>
      </c>
      <c r="I126" s="28">
        <f t="shared" ref="I126:I130" si="21">0.6*C126</f>
        <v>497.94000000000466</v>
      </c>
      <c r="J126" s="29"/>
      <c r="K126" s="29"/>
      <c r="L126" s="29"/>
      <c r="M126" s="29"/>
      <c r="N126" s="29"/>
      <c r="O126" s="28">
        <v>8340.5</v>
      </c>
      <c r="P126" s="28">
        <v>8379.1</v>
      </c>
      <c r="Q126" s="30"/>
      <c r="R126" s="351"/>
      <c r="S126" s="54">
        <v>20</v>
      </c>
      <c r="T126" s="28">
        <f t="shared" si="20"/>
        <v>772.00000000000728</v>
      </c>
      <c r="U126" s="455">
        <v>33780</v>
      </c>
      <c r="V126" s="733" t="s">
        <v>168</v>
      </c>
      <c r="W126" s="14" t="s">
        <v>22</v>
      </c>
      <c r="X126" s="7"/>
      <c r="Y126" s="7"/>
      <c r="Z126" s="7"/>
      <c r="AA126" s="7"/>
      <c r="AB126" s="7"/>
      <c r="AC126" s="7"/>
    </row>
    <row r="127" spans="1:29" ht="25.5">
      <c r="A127" s="19"/>
      <c r="B127" s="166" t="s">
        <v>169</v>
      </c>
      <c r="C127" s="56">
        <f t="shared" si="18"/>
        <v>0</v>
      </c>
      <c r="D127" s="56"/>
      <c r="E127" s="56">
        <f t="shared" si="17"/>
        <v>0</v>
      </c>
      <c r="F127" s="56">
        <f>0.04*H127</f>
        <v>0</v>
      </c>
      <c r="G127" s="56">
        <f>0.03*H127</f>
        <v>0</v>
      </c>
      <c r="H127" s="56">
        <f t="shared" si="19"/>
        <v>0</v>
      </c>
      <c r="I127" s="56">
        <f t="shared" si="21"/>
        <v>0</v>
      </c>
      <c r="J127" s="57"/>
      <c r="K127" s="57"/>
      <c r="L127" s="57"/>
      <c r="M127" s="57"/>
      <c r="N127" s="57" t="s">
        <v>170</v>
      </c>
      <c r="O127" s="56">
        <v>16165</v>
      </c>
      <c r="P127" s="56">
        <v>16165</v>
      </c>
      <c r="Q127" s="169"/>
      <c r="R127" s="170"/>
      <c r="S127" s="56">
        <v>1</v>
      </c>
      <c r="T127" s="56">
        <f t="shared" si="20"/>
        <v>0</v>
      </c>
      <c r="U127" s="721">
        <v>24339</v>
      </c>
      <c r="V127" s="60" t="s">
        <v>171</v>
      </c>
      <c r="W127" s="14"/>
      <c r="X127" s="7"/>
      <c r="Y127" s="7"/>
      <c r="Z127" s="7"/>
      <c r="AA127" s="7"/>
      <c r="AB127" s="7"/>
      <c r="AC127" s="7"/>
    </row>
    <row r="128" spans="1:29" ht="25.5">
      <c r="A128" s="19"/>
      <c r="B128" s="104" t="s">
        <v>945</v>
      </c>
      <c r="C128" s="91">
        <f t="shared" si="18"/>
        <v>521.09</v>
      </c>
      <c r="D128" s="91"/>
      <c r="E128" s="91">
        <f t="shared" si="17"/>
        <v>34.090000000000003</v>
      </c>
      <c r="F128" s="91">
        <f>0.04*H128</f>
        <v>19.48</v>
      </c>
      <c r="G128" s="91">
        <f>0.03*H128</f>
        <v>14.61</v>
      </c>
      <c r="H128" s="91">
        <f t="shared" si="19"/>
        <v>487</v>
      </c>
      <c r="I128" s="91">
        <f t="shared" si="21"/>
        <v>312.654</v>
      </c>
      <c r="J128" s="22"/>
      <c r="K128" s="22"/>
      <c r="L128" s="22"/>
      <c r="M128" s="22"/>
      <c r="N128" s="22"/>
      <c r="O128" s="91">
        <v>3163</v>
      </c>
      <c r="P128" s="91">
        <v>3650</v>
      </c>
      <c r="Q128" s="122"/>
      <c r="R128" s="173"/>
      <c r="S128" s="151">
        <v>1</v>
      </c>
      <c r="T128" s="91">
        <f t="shared" si="20"/>
        <v>487</v>
      </c>
      <c r="U128" s="644">
        <v>2466</v>
      </c>
      <c r="V128" s="710" t="s">
        <v>173</v>
      </c>
      <c r="W128" s="14"/>
      <c r="X128" s="7"/>
      <c r="Y128" s="7"/>
      <c r="Z128" s="7"/>
      <c r="AA128" s="7"/>
      <c r="AB128" s="7"/>
      <c r="AC128" s="7"/>
    </row>
    <row r="129" spans="1:29" ht="26.25">
      <c r="A129" s="19"/>
      <c r="B129" s="174"/>
      <c r="C129" s="56">
        <f t="shared" si="18"/>
        <v>0</v>
      </c>
      <c r="D129" s="175"/>
      <c r="E129" s="56">
        <f t="shared" si="17"/>
        <v>0</v>
      </c>
      <c r="F129" s="56">
        <f>0.04*H129</f>
        <v>0</v>
      </c>
      <c r="G129" s="56">
        <f>0.03*H129</f>
        <v>0</v>
      </c>
      <c r="H129" s="56">
        <f t="shared" si="19"/>
        <v>0</v>
      </c>
      <c r="I129" s="176">
        <f t="shared" si="21"/>
        <v>0</v>
      </c>
      <c r="J129" s="58"/>
      <c r="K129" s="58"/>
      <c r="L129" s="58"/>
      <c r="M129" s="58"/>
      <c r="N129" s="58"/>
      <c r="O129" s="175">
        <v>16982</v>
      </c>
      <c r="P129" s="175">
        <v>16982</v>
      </c>
      <c r="Q129" s="177"/>
      <c r="R129" s="178"/>
      <c r="S129" s="175">
        <v>1</v>
      </c>
      <c r="T129" s="56">
        <f t="shared" si="20"/>
        <v>0</v>
      </c>
      <c r="U129" s="721">
        <v>2437131</v>
      </c>
      <c r="V129" s="60" t="s">
        <v>174</v>
      </c>
      <c r="W129" s="14"/>
      <c r="X129" s="7"/>
      <c r="Y129" s="7"/>
      <c r="Z129" s="7"/>
      <c r="AA129" s="7"/>
      <c r="AB129" s="7"/>
      <c r="AC129" s="7"/>
    </row>
    <row r="130" spans="1:29" ht="51">
      <c r="A130" s="19"/>
      <c r="B130" s="148" t="s">
        <v>175</v>
      </c>
      <c r="C130" s="91">
        <f t="shared" si="18"/>
        <v>0</v>
      </c>
      <c r="D130" s="92"/>
      <c r="E130" s="91">
        <f t="shared" si="17"/>
        <v>0</v>
      </c>
      <c r="F130" s="91">
        <f>0.04*H130</f>
        <v>0</v>
      </c>
      <c r="G130" s="91">
        <f>0.03*H130</f>
        <v>0</v>
      </c>
      <c r="H130" s="91">
        <f t="shared" si="19"/>
        <v>0</v>
      </c>
      <c r="I130" s="115">
        <f t="shared" si="21"/>
        <v>0</v>
      </c>
      <c r="J130" s="98"/>
      <c r="K130" s="98"/>
      <c r="L130" s="98"/>
      <c r="M130" s="98"/>
      <c r="N130" s="98"/>
      <c r="O130" s="92">
        <v>31237</v>
      </c>
      <c r="P130" s="92">
        <v>31237</v>
      </c>
      <c r="Q130" s="105"/>
      <c r="R130" s="106"/>
      <c r="S130" s="92">
        <v>1</v>
      </c>
      <c r="T130" s="91">
        <f t="shared" si="20"/>
        <v>0</v>
      </c>
      <c r="U130" s="644">
        <v>286946</v>
      </c>
      <c r="V130" s="710" t="s">
        <v>176</v>
      </c>
      <c r="W130" s="14" t="s">
        <v>22</v>
      </c>
      <c r="X130" s="7"/>
      <c r="Y130" s="7"/>
      <c r="Z130" s="7"/>
      <c r="AA130" s="7"/>
      <c r="AB130" s="7"/>
      <c r="AC130" s="7"/>
    </row>
    <row r="131" spans="1:29" ht="25.5">
      <c r="A131" s="19"/>
      <c r="B131" s="129"/>
      <c r="C131" s="84"/>
      <c r="D131" s="84"/>
      <c r="E131" s="84"/>
      <c r="F131" s="84"/>
      <c r="G131" s="84"/>
      <c r="H131" s="84"/>
      <c r="I131" s="84"/>
      <c r="J131" s="130"/>
      <c r="K131" s="130"/>
      <c r="L131" s="130"/>
      <c r="M131" s="130"/>
      <c r="N131" s="130"/>
      <c r="O131" s="84"/>
      <c r="P131" s="84"/>
      <c r="Q131" s="86"/>
      <c r="R131" s="179"/>
      <c r="S131" s="156"/>
      <c r="T131" s="84"/>
      <c r="U131" s="722"/>
      <c r="V131" s="89"/>
      <c r="W131" s="14"/>
      <c r="X131" s="7"/>
      <c r="Y131" s="7"/>
      <c r="Z131" s="7"/>
      <c r="AA131" s="7"/>
      <c r="AB131" s="7"/>
      <c r="AC131" s="7"/>
    </row>
    <row r="132" spans="1:29" ht="27.75">
      <c r="A132" s="19"/>
      <c r="B132" s="141" t="s">
        <v>86</v>
      </c>
      <c r="C132" s="97">
        <f>SUM(C114:C131)</f>
        <v>74259.719999999943</v>
      </c>
      <c r="D132" s="115"/>
      <c r="E132" s="115"/>
      <c r="F132" s="91"/>
      <c r="G132" s="91"/>
      <c r="H132" s="91"/>
      <c r="I132" s="124"/>
      <c r="J132" s="164"/>
      <c r="K132" s="164"/>
      <c r="L132" s="164"/>
      <c r="M132" s="164"/>
      <c r="N132" s="164"/>
      <c r="O132" s="91"/>
      <c r="P132" s="91"/>
      <c r="Q132" s="7"/>
      <c r="R132" s="94"/>
      <c r="S132" s="91"/>
      <c r="T132" s="91"/>
      <c r="U132" s="644"/>
      <c r="V132" s="710"/>
      <c r="W132" s="14"/>
      <c r="X132" s="7"/>
      <c r="Y132" s="7"/>
      <c r="Z132" s="7"/>
      <c r="AA132" s="7"/>
      <c r="AB132" s="7"/>
      <c r="AC132" s="7"/>
    </row>
    <row r="133" spans="1:29" ht="27.75">
      <c r="A133" s="19"/>
      <c r="B133" s="180" t="s">
        <v>177</v>
      </c>
      <c r="C133" s="91"/>
      <c r="D133" s="115"/>
      <c r="E133" s="115"/>
      <c r="F133" s="91"/>
      <c r="G133" s="91"/>
      <c r="H133" s="91"/>
      <c r="I133" s="124"/>
      <c r="J133" s="164"/>
      <c r="K133" s="164"/>
      <c r="L133" s="164"/>
      <c r="M133" s="164"/>
      <c r="N133" s="164"/>
      <c r="O133" s="91"/>
      <c r="P133" s="91"/>
      <c r="Q133" s="7"/>
      <c r="R133" s="94"/>
      <c r="S133" s="91"/>
      <c r="T133" s="91"/>
      <c r="U133" s="644"/>
      <c r="V133" s="710"/>
      <c r="W133" s="14"/>
      <c r="X133" s="7"/>
      <c r="Y133" s="7"/>
      <c r="Z133" s="7"/>
      <c r="AA133" s="7"/>
      <c r="AB133" s="7"/>
      <c r="AC133" s="7"/>
    </row>
    <row r="134" spans="1:29" ht="26.25">
      <c r="A134" s="19"/>
      <c r="B134" s="387" t="s">
        <v>178</v>
      </c>
      <c r="C134" s="154">
        <f>H134+E134</f>
        <v>2649.2185999999938</v>
      </c>
      <c r="D134" s="84">
        <f>D138+D139</f>
        <v>37845.979999999909</v>
      </c>
      <c r="E134" s="84">
        <f>F134+G134</f>
        <v>2649.2185999999938</v>
      </c>
      <c r="F134" s="84">
        <f>0.04*D134</f>
        <v>1513.8391999999965</v>
      </c>
      <c r="G134" s="84">
        <f>0.03*D134</f>
        <v>1135.3793999999973</v>
      </c>
      <c r="H134" s="84"/>
      <c r="I134" s="84">
        <v>0</v>
      </c>
      <c r="J134" s="130"/>
      <c r="K134" s="130"/>
      <c r="L134" s="130"/>
      <c r="M134" s="130"/>
      <c r="N134" s="130"/>
      <c r="O134" s="155">
        <v>2910.06</v>
      </c>
      <c r="P134" s="155">
        <v>3014.84</v>
      </c>
      <c r="Q134" s="389"/>
      <c r="R134" s="390"/>
      <c r="S134" s="84">
        <v>60</v>
      </c>
      <c r="T134" s="84">
        <f t="shared" ref="T134:T144" si="22">(P134-O134)*S134</f>
        <v>6286.800000000012</v>
      </c>
      <c r="U134" s="722">
        <v>1906</v>
      </c>
      <c r="V134" s="89" t="s">
        <v>179</v>
      </c>
      <c r="W134" s="14" t="s">
        <v>22</v>
      </c>
      <c r="X134" s="7"/>
      <c r="Y134" s="7"/>
      <c r="Z134" s="7"/>
      <c r="AA134" s="7"/>
      <c r="AB134" s="7"/>
      <c r="AC134" s="7"/>
    </row>
    <row r="135" spans="1:29" ht="26.25">
      <c r="A135" s="19"/>
      <c r="B135" s="158"/>
      <c r="C135" s="124"/>
      <c r="D135" s="124"/>
      <c r="E135" s="124"/>
      <c r="F135" s="124"/>
      <c r="G135" s="124"/>
      <c r="H135" s="124"/>
      <c r="I135" s="97"/>
      <c r="J135" s="126"/>
      <c r="K135" s="126"/>
      <c r="L135" s="126"/>
      <c r="M135" s="126"/>
      <c r="N135" s="126"/>
      <c r="O135" s="155">
        <v>1478.75</v>
      </c>
      <c r="P135" s="155">
        <v>1517.91</v>
      </c>
      <c r="Q135" s="389"/>
      <c r="R135" s="390"/>
      <c r="S135" s="84">
        <v>20</v>
      </c>
      <c r="T135" s="84">
        <f t="shared" si="22"/>
        <v>783.20000000000164</v>
      </c>
      <c r="U135" s="722">
        <v>1821</v>
      </c>
      <c r="V135" s="89" t="s">
        <v>180</v>
      </c>
      <c r="W135" s="14" t="s">
        <v>22</v>
      </c>
      <c r="X135" s="7"/>
      <c r="Y135" s="7"/>
      <c r="Z135" s="7"/>
      <c r="AA135" s="7"/>
      <c r="AB135" s="7"/>
      <c r="AC135" s="7"/>
    </row>
    <row r="136" spans="1:29" ht="25.5">
      <c r="A136" s="19"/>
      <c r="B136" s="158"/>
      <c r="C136" s="124"/>
      <c r="D136" s="124"/>
      <c r="E136" s="124"/>
      <c r="F136" s="124"/>
      <c r="G136" s="124"/>
      <c r="H136" s="124"/>
      <c r="I136" s="84"/>
      <c r="J136" s="130"/>
      <c r="K136" s="130"/>
      <c r="L136" s="130"/>
      <c r="M136" s="130"/>
      <c r="N136" s="130"/>
      <c r="O136" s="155">
        <v>702.09</v>
      </c>
      <c r="P136" s="155">
        <v>728.22</v>
      </c>
      <c r="Q136" s="389"/>
      <c r="R136" s="394"/>
      <c r="S136" s="84">
        <v>60</v>
      </c>
      <c r="T136" s="84">
        <f t="shared" si="22"/>
        <v>1567.7999999999997</v>
      </c>
      <c r="U136" s="722">
        <v>1903</v>
      </c>
      <c r="V136" s="89" t="s">
        <v>181</v>
      </c>
      <c r="W136" s="14" t="s">
        <v>22</v>
      </c>
      <c r="X136" s="7"/>
      <c r="Y136" s="7"/>
      <c r="Z136" s="7"/>
      <c r="AA136" s="7"/>
      <c r="AB136" s="7"/>
      <c r="AC136" s="7"/>
    </row>
    <row r="137" spans="1:29" ht="25.5">
      <c r="A137" s="19"/>
      <c r="B137" s="83" t="s">
        <v>182</v>
      </c>
      <c r="C137" s="84"/>
      <c r="D137" s="84"/>
      <c r="E137" s="84"/>
      <c r="F137" s="84"/>
      <c r="G137" s="84"/>
      <c r="H137" s="84"/>
      <c r="I137" s="84"/>
      <c r="J137" s="130"/>
      <c r="K137" s="130"/>
      <c r="L137" s="130"/>
      <c r="M137" s="130"/>
      <c r="N137" s="130"/>
      <c r="O137" s="155">
        <v>88972.53</v>
      </c>
      <c r="P137" s="155">
        <v>90890.67</v>
      </c>
      <c r="Q137" s="389"/>
      <c r="R137" s="395"/>
      <c r="S137" s="84">
        <v>1</v>
      </c>
      <c r="T137" s="84">
        <f t="shared" si="22"/>
        <v>1918.1399999999994</v>
      </c>
      <c r="U137" s="722">
        <v>9454</v>
      </c>
      <c r="V137" s="89" t="s">
        <v>957</v>
      </c>
      <c r="W137" s="14" t="s">
        <v>22</v>
      </c>
      <c r="X137" s="7"/>
      <c r="Y137" s="7"/>
      <c r="Z137" s="7"/>
      <c r="AA137" s="7"/>
      <c r="AB137" s="7"/>
      <c r="AC137" s="7"/>
    </row>
    <row r="138" spans="1:29" ht="25.5">
      <c r="A138" s="19"/>
      <c r="B138" s="83" t="s">
        <v>184</v>
      </c>
      <c r="C138" s="84"/>
      <c r="D138" s="84">
        <f>T134+T135+T136+T137+T138</f>
        <v>10605.980000000014</v>
      </c>
      <c r="E138" s="84"/>
      <c r="F138" s="84"/>
      <c r="G138" s="84"/>
      <c r="H138" s="84"/>
      <c r="I138" s="84"/>
      <c r="J138" s="130"/>
      <c r="K138" s="130"/>
      <c r="L138" s="130"/>
      <c r="M138" s="130"/>
      <c r="N138" s="130"/>
      <c r="O138" s="155">
        <v>2069.2199999999998</v>
      </c>
      <c r="P138" s="155">
        <v>2119.2600000000002</v>
      </c>
      <c r="Q138" s="389"/>
      <c r="R138" s="181"/>
      <c r="S138" s="84">
        <v>1</v>
      </c>
      <c r="T138" s="84">
        <f t="shared" si="22"/>
        <v>50.040000000000418</v>
      </c>
      <c r="U138" s="722">
        <v>9314</v>
      </c>
      <c r="V138" s="89" t="s">
        <v>180</v>
      </c>
      <c r="W138" s="14" t="s">
        <v>22</v>
      </c>
      <c r="X138" s="7"/>
      <c r="Y138" s="7"/>
      <c r="Z138" s="7"/>
      <c r="AA138" s="7"/>
      <c r="AB138" s="7"/>
      <c r="AC138" s="7"/>
    </row>
    <row r="139" spans="1:29" ht="25.5">
      <c r="A139" s="19"/>
      <c r="B139" s="83" t="s">
        <v>185</v>
      </c>
      <c r="C139" s="84"/>
      <c r="D139" s="84">
        <f>T139+T140</f>
        <v>27239.999999999891</v>
      </c>
      <c r="E139" s="84"/>
      <c r="F139" s="84"/>
      <c r="G139" s="84"/>
      <c r="H139" s="84"/>
      <c r="I139" s="84"/>
      <c r="J139" s="130"/>
      <c r="K139" s="130"/>
      <c r="L139" s="130"/>
      <c r="M139" s="130"/>
      <c r="N139" s="130"/>
      <c r="O139" s="155">
        <v>25112.22</v>
      </c>
      <c r="P139" s="155">
        <v>25727.759999999998</v>
      </c>
      <c r="Q139" s="389"/>
      <c r="R139" s="181"/>
      <c r="S139" s="84">
        <v>40</v>
      </c>
      <c r="T139" s="84">
        <f t="shared" si="22"/>
        <v>24621.599999999889</v>
      </c>
      <c r="U139" s="722">
        <v>1793</v>
      </c>
      <c r="V139" s="89" t="s">
        <v>186</v>
      </c>
      <c r="W139" s="14" t="s">
        <v>22</v>
      </c>
      <c r="X139" s="7"/>
      <c r="Y139" s="7"/>
      <c r="Z139" s="7"/>
      <c r="AA139" s="7"/>
      <c r="AB139" s="7"/>
      <c r="AC139" s="7"/>
    </row>
    <row r="140" spans="1:29" ht="26.25">
      <c r="A140" s="19"/>
      <c r="B140" s="331"/>
      <c r="C140" s="124"/>
      <c r="D140" s="97"/>
      <c r="E140" s="97"/>
      <c r="F140" s="124"/>
      <c r="G140" s="124"/>
      <c r="H140" s="124"/>
      <c r="I140" s="124"/>
      <c r="J140" s="332"/>
      <c r="K140" s="332"/>
      <c r="L140" s="332"/>
      <c r="M140" s="332"/>
      <c r="N140" s="332"/>
      <c r="O140" s="155">
        <v>3160.27</v>
      </c>
      <c r="P140" s="155">
        <v>3225.73</v>
      </c>
      <c r="Q140" s="86"/>
      <c r="R140" s="87"/>
      <c r="S140" s="84">
        <v>40</v>
      </c>
      <c r="T140" s="84">
        <f t="shared" si="22"/>
        <v>2618.4000000000015</v>
      </c>
      <c r="U140" s="722">
        <v>9996</v>
      </c>
      <c r="V140" s="89" t="s">
        <v>186</v>
      </c>
      <c r="W140" s="14" t="s">
        <v>22</v>
      </c>
      <c r="X140" s="7"/>
      <c r="Y140" s="7"/>
      <c r="Z140" s="7"/>
      <c r="AA140" s="7"/>
      <c r="AB140" s="7"/>
      <c r="AC140" s="7"/>
    </row>
    <row r="141" spans="1:29" ht="26.25">
      <c r="A141" s="19"/>
      <c r="B141" s="184"/>
      <c r="C141" s="84"/>
      <c r="D141" s="154"/>
      <c r="E141" s="185"/>
      <c r="F141" s="84"/>
      <c r="G141" s="84"/>
      <c r="H141" s="84"/>
      <c r="I141" s="84"/>
      <c r="J141" s="183"/>
      <c r="K141" s="183"/>
      <c r="L141" s="183"/>
      <c r="M141" s="183"/>
      <c r="N141" s="183"/>
      <c r="O141" s="155"/>
      <c r="P141" s="155"/>
      <c r="Q141" s="86"/>
      <c r="R141" s="87"/>
      <c r="S141" s="84"/>
      <c r="T141" s="84"/>
      <c r="U141" s="722"/>
      <c r="V141" s="89"/>
      <c r="W141" s="14"/>
      <c r="X141" s="7"/>
      <c r="Y141" s="7"/>
      <c r="Z141" s="7"/>
      <c r="AA141" s="7"/>
      <c r="AB141" s="7"/>
      <c r="AC141" s="7"/>
    </row>
    <row r="142" spans="1:29" ht="26.25">
      <c r="A142" s="19"/>
      <c r="B142" s="401" t="s">
        <v>709</v>
      </c>
      <c r="C142" s="497">
        <f>H142+E142+C144</f>
        <v>6368.6699999999937</v>
      </c>
      <c r="D142" s="396">
        <f>T142</f>
        <v>77380.999999999913</v>
      </c>
      <c r="E142" s="397">
        <f>F142+G142</f>
        <v>5416.6699999999937</v>
      </c>
      <c r="F142" s="396">
        <f>0.04*D142</f>
        <v>3095.2399999999966</v>
      </c>
      <c r="G142" s="396">
        <f>0.03*D142</f>
        <v>2321.4299999999971</v>
      </c>
      <c r="H142" s="396"/>
      <c r="I142" s="84">
        <f>T143</f>
        <v>0</v>
      </c>
      <c r="J142" s="398"/>
      <c r="K142" s="398"/>
      <c r="L142" s="398"/>
      <c r="M142" s="398"/>
      <c r="N142" s="398" t="s">
        <v>187</v>
      </c>
      <c r="O142" s="84">
        <v>47898.35</v>
      </c>
      <c r="P142" s="84">
        <v>49414.7</v>
      </c>
      <c r="Q142" s="399"/>
      <c r="R142" s="400"/>
      <c r="S142" s="396">
        <v>60</v>
      </c>
      <c r="T142" s="396">
        <f>(P142-O142)*S142-T144</f>
        <v>77380.999999999913</v>
      </c>
      <c r="U142" s="722">
        <v>14314</v>
      </c>
      <c r="V142" s="403" t="s">
        <v>188</v>
      </c>
      <c r="W142" s="14" t="s">
        <v>189</v>
      </c>
      <c r="X142" s="7"/>
      <c r="Y142" s="7"/>
      <c r="Z142" s="7"/>
      <c r="AA142" s="7"/>
      <c r="AB142" s="7"/>
      <c r="AC142" s="7"/>
    </row>
    <row r="143" spans="1:29" ht="26.25">
      <c r="A143" s="19"/>
      <c r="B143" s="186"/>
      <c r="C143" s="97"/>
      <c r="D143" s="124"/>
      <c r="E143" s="187"/>
      <c r="F143" s="124"/>
      <c r="G143" s="124"/>
      <c r="H143" s="124"/>
      <c r="I143" s="124"/>
      <c r="J143" s="126"/>
      <c r="K143" s="126"/>
      <c r="L143" s="126"/>
      <c r="M143" s="126"/>
      <c r="N143" s="126"/>
      <c r="O143" s="124"/>
      <c r="P143" s="124"/>
      <c r="Q143" s="7"/>
      <c r="R143" s="159"/>
      <c r="S143" s="124"/>
      <c r="T143" s="124"/>
      <c r="U143" s="717"/>
      <c r="V143" s="128"/>
      <c r="W143" s="14"/>
      <c r="X143" s="7"/>
      <c r="Y143" s="7"/>
      <c r="Z143" s="7"/>
      <c r="AA143" s="7"/>
      <c r="AB143" s="7"/>
      <c r="AC143" s="7"/>
    </row>
    <row r="144" spans="1:29" ht="26.25">
      <c r="A144" s="19"/>
      <c r="B144" s="182" t="s">
        <v>190</v>
      </c>
      <c r="C144" s="497">
        <f>H144+E144</f>
        <v>952</v>
      </c>
      <c r="D144" s="396">
        <f>T144</f>
        <v>13600</v>
      </c>
      <c r="E144" s="397">
        <f>F144+G144</f>
        <v>952</v>
      </c>
      <c r="F144" s="396">
        <f>0.04*D144</f>
        <v>544</v>
      </c>
      <c r="G144" s="396">
        <f>0.03*D144</f>
        <v>408</v>
      </c>
      <c r="H144" s="396"/>
      <c r="I144" s="84">
        <f>T145</f>
        <v>10840</v>
      </c>
      <c r="J144" s="398"/>
      <c r="K144" s="398"/>
      <c r="L144" s="398"/>
      <c r="M144" s="398"/>
      <c r="N144" s="398" t="s">
        <v>187</v>
      </c>
      <c r="O144" s="84">
        <v>6868</v>
      </c>
      <c r="P144" s="84">
        <v>7208</v>
      </c>
      <c r="Q144" s="399"/>
      <c r="R144" s="400"/>
      <c r="S144" s="396">
        <v>40</v>
      </c>
      <c r="T144" s="396">
        <f t="shared" si="22"/>
        <v>13600</v>
      </c>
      <c r="U144" s="722"/>
      <c r="V144" s="89" t="s">
        <v>191</v>
      </c>
      <c r="W144" s="14" t="s">
        <v>189</v>
      </c>
      <c r="X144" s="7"/>
      <c r="Y144" s="7"/>
      <c r="Z144" s="7"/>
      <c r="AA144" s="7"/>
      <c r="AB144" s="7"/>
      <c r="AC144" s="7"/>
    </row>
    <row r="145" spans="1:29" ht="26.25">
      <c r="A145" s="19"/>
      <c r="B145" s="182" t="s">
        <v>192</v>
      </c>
      <c r="C145" s="498">
        <f>E145+E146</f>
        <v>1087.26</v>
      </c>
      <c r="D145" s="84">
        <f>T145</f>
        <v>10840</v>
      </c>
      <c r="E145" s="84">
        <f>F145+G145</f>
        <v>1008.1199999999999</v>
      </c>
      <c r="F145" s="84">
        <f>0.05*D145</f>
        <v>542</v>
      </c>
      <c r="G145" s="84">
        <f>0.043*D145</f>
        <v>466.11999999999995</v>
      </c>
      <c r="H145" s="84"/>
      <c r="I145" s="84">
        <f>0.6*D145</f>
        <v>6504</v>
      </c>
      <c r="J145" s="130"/>
      <c r="K145" s="130"/>
      <c r="L145" s="130"/>
      <c r="M145" s="130"/>
      <c r="N145" s="130"/>
      <c r="O145" s="396">
        <v>17032</v>
      </c>
      <c r="P145" s="396">
        <v>17303</v>
      </c>
      <c r="Q145" s="130" t="s">
        <v>37</v>
      </c>
      <c r="R145" s="385"/>
      <c r="S145" s="156">
        <v>40</v>
      </c>
      <c r="T145" s="84">
        <f>(P145-O145)*S145</f>
        <v>10840</v>
      </c>
      <c r="U145" s="722">
        <v>1571</v>
      </c>
      <c r="V145" s="89" t="s">
        <v>193</v>
      </c>
      <c r="W145" s="14" t="s">
        <v>43</v>
      </c>
      <c r="X145" s="7"/>
      <c r="Y145" s="7"/>
      <c r="Z145" s="7"/>
      <c r="AA145" s="7"/>
      <c r="AB145" s="7"/>
      <c r="AC145" s="7"/>
    </row>
    <row r="146" spans="1:29" ht="26.25">
      <c r="A146" s="19"/>
      <c r="B146" s="83"/>
      <c r="C146" s="154"/>
      <c r="D146" s="84">
        <f>T146</f>
        <v>2638</v>
      </c>
      <c r="E146" s="84">
        <f>F146+G146</f>
        <v>79.14</v>
      </c>
      <c r="F146" s="84">
        <f>0.02*D146</f>
        <v>52.76</v>
      </c>
      <c r="G146" s="84">
        <f>0.01*D146</f>
        <v>26.38</v>
      </c>
      <c r="H146" s="84"/>
      <c r="I146" s="84">
        <f>0.6*D146</f>
        <v>1582.8</v>
      </c>
      <c r="J146" s="130"/>
      <c r="K146" s="130"/>
      <c r="L146" s="130"/>
      <c r="M146" s="130"/>
      <c r="N146" s="130"/>
      <c r="O146" s="396">
        <v>121484</v>
      </c>
      <c r="P146" s="396">
        <v>124122</v>
      </c>
      <c r="Q146" s="130"/>
      <c r="R146" s="385"/>
      <c r="S146" s="156">
        <v>1</v>
      </c>
      <c r="T146" s="84">
        <f>(P146-O146)*S146</f>
        <v>2638</v>
      </c>
      <c r="U146" s="722">
        <v>8673</v>
      </c>
      <c r="V146" s="89" t="s">
        <v>194</v>
      </c>
      <c r="W146" s="14" t="s">
        <v>43</v>
      </c>
      <c r="X146" s="7"/>
      <c r="Y146" s="7"/>
      <c r="Z146" s="7"/>
      <c r="AA146" s="7"/>
      <c r="AB146" s="7"/>
      <c r="AC146" s="7"/>
    </row>
    <row r="147" spans="1:29" ht="26.25">
      <c r="A147" s="19"/>
      <c r="B147" s="331"/>
      <c r="C147" s="97"/>
      <c r="D147" s="124"/>
      <c r="E147" s="124"/>
      <c r="F147" s="124"/>
      <c r="G147" s="124"/>
      <c r="H147" s="124"/>
      <c r="I147" s="124"/>
      <c r="J147" s="126"/>
      <c r="K147" s="126"/>
      <c r="L147" s="126"/>
      <c r="M147" s="126"/>
      <c r="N147" s="126"/>
      <c r="O147" s="124"/>
      <c r="P147" s="124"/>
      <c r="Q147" s="7"/>
      <c r="R147" s="94"/>
      <c r="S147" s="124"/>
      <c r="T147" s="124"/>
      <c r="U147" s="717"/>
      <c r="V147" s="128" t="s">
        <v>195</v>
      </c>
      <c r="W147" s="14"/>
      <c r="X147" s="7"/>
      <c r="Y147" s="7"/>
      <c r="Z147" s="7"/>
      <c r="AA147" s="7"/>
      <c r="AB147" s="7"/>
      <c r="AC147" s="7"/>
    </row>
    <row r="148" spans="1:29" ht="26.25">
      <c r="A148" s="19"/>
      <c r="B148" s="387" t="s">
        <v>196</v>
      </c>
      <c r="C148" s="498">
        <f>F148+G148</f>
        <v>2227.7051999999958</v>
      </c>
      <c r="D148" s="84">
        <f>T148</f>
        <v>31824.359999999942</v>
      </c>
      <c r="E148" s="84">
        <f>F148+G148</f>
        <v>2227.7051999999958</v>
      </c>
      <c r="F148" s="84">
        <f>0.04*H148</f>
        <v>1272.9743999999978</v>
      </c>
      <c r="G148" s="84">
        <f>0.03*H148</f>
        <v>954.73079999999823</v>
      </c>
      <c r="H148" s="84">
        <f>T148</f>
        <v>31824.359999999942</v>
      </c>
      <c r="I148" s="84">
        <f>Z525</f>
        <v>6780</v>
      </c>
      <c r="J148" s="130"/>
      <c r="K148" s="130"/>
      <c r="L148" s="130"/>
      <c r="M148" s="130"/>
      <c r="N148" s="130"/>
      <c r="O148" s="393" t="s">
        <v>941</v>
      </c>
      <c r="P148" s="393" t="s">
        <v>1085</v>
      </c>
      <c r="Q148" s="130" t="s">
        <v>50</v>
      </c>
      <c r="R148" s="385"/>
      <c r="S148" s="156">
        <v>60</v>
      </c>
      <c r="T148" s="84">
        <f>(P148-O148)*S148</f>
        <v>31824.359999999942</v>
      </c>
      <c r="U148" s="722">
        <v>27421830</v>
      </c>
      <c r="V148" s="89" t="s">
        <v>197</v>
      </c>
      <c r="W148" s="14" t="s">
        <v>198</v>
      </c>
      <c r="X148" s="7"/>
      <c r="Y148" s="7"/>
      <c r="Z148" s="7"/>
      <c r="AA148" s="7"/>
      <c r="AB148" s="7"/>
      <c r="AC148" s="7"/>
    </row>
    <row r="149" spans="1:29" ht="26.25">
      <c r="A149" s="19"/>
      <c r="B149" s="331"/>
      <c r="C149" s="97"/>
      <c r="D149" s="97"/>
      <c r="E149" s="97"/>
      <c r="F149" s="124"/>
      <c r="G149" s="124"/>
      <c r="H149" s="124"/>
      <c r="I149" s="124"/>
      <c r="J149" s="332"/>
      <c r="K149" s="332"/>
      <c r="L149" s="332"/>
      <c r="M149" s="332"/>
      <c r="N149" s="332"/>
      <c r="O149" s="124"/>
      <c r="P149" s="124"/>
      <c r="Q149" s="7"/>
      <c r="R149" s="94"/>
      <c r="S149" s="124"/>
      <c r="T149" s="124"/>
      <c r="U149" s="717"/>
      <c r="V149" s="128"/>
      <c r="W149" s="14"/>
      <c r="X149" s="7"/>
      <c r="Y149" s="7"/>
      <c r="Z149" s="7"/>
      <c r="AA149" s="7"/>
      <c r="AB149" s="7"/>
      <c r="AC149" s="7"/>
    </row>
    <row r="150" spans="1:29" ht="26.25">
      <c r="A150" s="19"/>
      <c r="B150" s="387" t="s">
        <v>199</v>
      </c>
      <c r="C150" s="154">
        <f>H150+E150</f>
        <v>0</v>
      </c>
      <c r="D150" s="84">
        <f>T150+T151</f>
        <v>0</v>
      </c>
      <c r="E150" s="84">
        <f>F150+G150</f>
        <v>0</v>
      </c>
      <c r="F150" s="84">
        <f>0.04*(H150+D150)</f>
        <v>0</v>
      </c>
      <c r="G150" s="84">
        <f>0.03*(H150+D150)</f>
        <v>0</v>
      </c>
      <c r="H150" s="84">
        <f>T152</f>
        <v>0</v>
      </c>
      <c r="I150" s="84">
        <f>0.4*C150</f>
        <v>0</v>
      </c>
      <c r="J150" s="130"/>
      <c r="K150" s="130"/>
      <c r="L150" s="130"/>
      <c r="M150" s="130"/>
      <c r="N150" s="130" t="s">
        <v>200</v>
      </c>
      <c r="O150" s="155">
        <v>1034.443</v>
      </c>
      <c r="P150" s="155">
        <v>1034.443</v>
      </c>
      <c r="Q150" s="86"/>
      <c r="R150" s="181"/>
      <c r="S150" s="156">
        <v>40</v>
      </c>
      <c r="T150" s="84">
        <f>(P150-O150)*S150</f>
        <v>0</v>
      </c>
      <c r="U150" s="722">
        <v>9834</v>
      </c>
      <c r="V150" s="89" t="s">
        <v>197</v>
      </c>
      <c r="W150" s="14" t="s">
        <v>116</v>
      </c>
      <c r="X150" s="7"/>
      <c r="Y150" s="7"/>
      <c r="Z150" s="7"/>
      <c r="AA150" s="7"/>
      <c r="AB150" s="7"/>
      <c r="AC150" s="7"/>
    </row>
    <row r="151" spans="1:29" ht="26.25">
      <c r="A151" s="19"/>
      <c r="B151" s="83"/>
      <c r="C151" s="154"/>
      <c r="D151" s="84"/>
      <c r="E151" s="84"/>
      <c r="F151" s="84"/>
      <c r="G151" s="84"/>
      <c r="H151" s="84"/>
      <c r="I151" s="84">
        <f>0.4*C151</f>
        <v>0</v>
      </c>
      <c r="J151" s="130"/>
      <c r="K151" s="130"/>
      <c r="L151" s="130"/>
      <c r="M151" s="130"/>
      <c r="N151" s="130"/>
      <c r="O151" s="155">
        <v>400.12200000000001</v>
      </c>
      <c r="P151" s="155">
        <v>400.12200000000001</v>
      </c>
      <c r="Q151" s="86"/>
      <c r="R151" s="385"/>
      <c r="S151" s="156">
        <v>30</v>
      </c>
      <c r="T151" s="84">
        <f>(P151-O151)*S151</f>
        <v>0</v>
      </c>
      <c r="U151" s="722">
        <v>9861</v>
      </c>
      <c r="V151" s="89"/>
      <c r="W151" s="14" t="s">
        <v>116</v>
      </c>
      <c r="X151" s="7"/>
      <c r="Y151" s="7"/>
      <c r="Z151" s="7"/>
      <c r="AA151" s="7"/>
      <c r="AB151" s="7"/>
      <c r="AC151" s="7"/>
    </row>
    <row r="152" spans="1:29" ht="26.25">
      <c r="A152" s="19"/>
      <c r="B152" s="83"/>
      <c r="C152" s="154"/>
      <c r="D152" s="84"/>
      <c r="E152" s="84"/>
      <c r="F152" s="84"/>
      <c r="G152" s="84"/>
      <c r="H152" s="84"/>
      <c r="I152" s="154"/>
      <c r="J152" s="130"/>
      <c r="K152" s="130"/>
      <c r="L152" s="130"/>
      <c r="M152" s="130"/>
      <c r="N152" s="130"/>
      <c r="O152" s="84"/>
      <c r="P152" s="84"/>
      <c r="Q152" s="86"/>
      <c r="R152" s="130"/>
      <c r="S152" s="85"/>
      <c r="T152" s="84"/>
      <c r="U152" s="722"/>
      <c r="V152" s="89"/>
      <c r="W152" s="14"/>
      <c r="X152" s="7"/>
      <c r="Y152" s="7"/>
      <c r="Z152" s="7"/>
      <c r="AA152" s="7"/>
      <c r="AB152" s="7"/>
      <c r="AC152" s="7"/>
    </row>
    <row r="153" spans="1:29" ht="26.25">
      <c r="A153" s="19"/>
      <c r="B153" s="158"/>
      <c r="C153" s="97"/>
      <c r="D153" s="124"/>
      <c r="E153" s="124"/>
      <c r="F153" s="124"/>
      <c r="G153" s="124"/>
      <c r="H153" s="124"/>
      <c r="I153" s="97"/>
      <c r="J153" s="126"/>
      <c r="K153" s="126"/>
      <c r="L153" s="126"/>
      <c r="M153" s="126"/>
      <c r="N153" s="126"/>
      <c r="O153" s="188"/>
      <c r="P153" s="188"/>
      <c r="Q153" s="7"/>
      <c r="R153" s="189"/>
      <c r="S153" s="140"/>
      <c r="T153" s="124"/>
      <c r="U153" s="717"/>
      <c r="V153" s="128"/>
      <c r="W153" s="14"/>
      <c r="X153" s="7"/>
      <c r="Y153" s="7"/>
      <c r="Z153" s="7"/>
      <c r="AA153" s="7"/>
      <c r="AB153" s="7"/>
      <c r="AC153" s="7"/>
    </row>
    <row r="154" spans="1:29" ht="26.25">
      <c r="A154" s="19"/>
      <c r="B154" s="387" t="s">
        <v>201</v>
      </c>
      <c r="C154" s="154">
        <f>H154+E154</f>
        <v>97.255199999999775</v>
      </c>
      <c r="D154" s="484">
        <f>T154+T156+T157+T159+T160+T161</f>
        <v>219359.75999999978</v>
      </c>
      <c r="E154" s="84">
        <f>G154+F154</f>
        <v>97.255199999999775</v>
      </c>
      <c r="F154" s="84">
        <f>0.04*(T160+T161)</f>
        <v>55.574399999999876</v>
      </c>
      <c r="G154" s="84">
        <f>0.03*(T160+T161)</f>
        <v>41.680799999999905</v>
      </c>
      <c r="H154" s="84"/>
      <c r="I154" s="84">
        <f>0.54*(T160+T161)*0</f>
        <v>0</v>
      </c>
      <c r="J154" s="130"/>
      <c r="K154" s="130"/>
      <c r="L154" s="130"/>
      <c r="M154" s="130"/>
      <c r="N154" s="130"/>
      <c r="O154" s="155"/>
      <c r="P154" s="155"/>
      <c r="Q154" s="86"/>
      <c r="R154" s="181"/>
      <c r="S154" s="156"/>
      <c r="T154" s="84"/>
      <c r="U154" s="722"/>
      <c r="V154" s="89" t="s">
        <v>197</v>
      </c>
      <c r="W154" s="14"/>
      <c r="X154" s="7"/>
      <c r="Y154" s="7"/>
      <c r="Z154" s="7"/>
      <c r="AA154" s="7"/>
      <c r="AB154" s="7"/>
      <c r="AC154" s="7"/>
    </row>
    <row r="155" spans="1:29" ht="25.5">
      <c r="A155" s="19"/>
      <c r="B155" s="83"/>
      <c r="C155" s="84"/>
      <c r="D155" s="84"/>
      <c r="E155" s="84"/>
      <c r="F155" s="84"/>
      <c r="G155" s="84"/>
      <c r="H155" s="84"/>
      <c r="I155" s="84">
        <f>0.54*C155</f>
        <v>0</v>
      </c>
      <c r="J155" s="130"/>
      <c r="K155" s="130"/>
      <c r="L155" s="130"/>
      <c r="M155" s="130"/>
      <c r="N155" s="130"/>
      <c r="O155" s="190"/>
      <c r="P155" s="190"/>
      <c r="Q155" s="86"/>
      <c r="R155" s="181"/>
      <c r="S155" s="156"/>
      <c r="T155" s="84"/>
      <c r="U155" s="722"/>
      <c r="V155" s="89"/>
      <c r="W155" s="14"/>
      <c r="X155" s="7"/>
      <c r="Y155" s="7"/>
      <c r="Z155" s="7"/>
      <c r="AA155" s="7"/>
      <c r="AB155" s="7"/>
      <c r="AC155" s="7"/>
    </row>
    <row r="156" spans="1:29" ht="25.5">
      <c r="A156" s="19"/>
      <c r="B156" s="83"/>
      <c r="C156" s="84"/>
      <c r="D156" s="84"/>
      <c r="E156" s="84"/>
      <c r="F156" s="84"/>
      <c r="G156" s="84"/>
      <c r="H156" s="84"/>
      <c r="I156" s="84">
        <f>0.54*C156</f>
        <v>0</v>
      </c>
      <c r="J156" s="130"/>
      <c r="K156" s="130"/>
      <c r="L156" s="130"/>
      <c r="M156" s="130"/>
      <c r="N156" s="130"/>
      <c r="O156" s="393" t="s">
        <v>955</v>
      </c>
      <c r="P156" s="393" t="s">
        <v>1102</v>
      </c>
      <c r="Q156" s="86"/>
      <c r="R156" s="181"/>
      <c r="S156" s="156">
        <v>300</v>
      </c>
      <c r="T156" s="84">
        <f>(P156-O156)*S156</f>
        <v>131401.20000000024</v>
      </c>
      <c r="U156" s="722">
        <v>257</v>
      </c>
      <c r="V156" s="89" t="s">
        <v>202</v>
      </c>
      <c r="W156" s="191" t="s">
        <v>203</v>
      </c>
      <c r="X156" s="7"/>
      <c r="Y156" s="7"/>
      <c r="Z156" s="7"/>
      <c r="AA156" s="7"/>
      <c r="AB156" s="7"/>
      <c r="AC156" s="7"/>
    </row>
    <row r="157" spans="1:29" ht="25.5">
      <c r="A157" s="19"/>
      <c r="B157" s="83"/>
      <c r="C157" s="84"/>
      <c r="D157" s="84"/>
      <c r="E157" s="84"/>
      <c r="F157" s="84"/>
      <c r="G157" s="84"/>
      <c r="H157" s="84"/>
      <c r="I157" s="84">
        <f>0.54*C157</f>
        <v>0</v>
      </c>
      <c r="J157" s="130"/>
      <c r="K157" s="130"/>
      <c r="L157" s="130"/>
      <c r="M157" s="130"/>
      <c r="N157" s="130"/>
      <c r="O157" s="393" t="s">
        <v>956</v>
      </c>
      <c r="P157" s="393" t="s">
        <v>1103</v>
      </c>
      <c r="Q157" s="86"/>
      <c r="R157" s="181"/>
      <c r="S157" s="156">
        <v>300</v>
      </c>
      <c r="T157" s="84">
        <f>(P157-O157)*S157</f>
        <v>86569.199999999546</v>
      </c>
      <c r="U157" s="722">
        <v>851</v>
      </c>
      <c r="V157" s="89" t="s">
        <v>202</v>
      </c>
      <c r="W157" s="14" t="s">
        <v>35</v>
      </c>
      <c r="X157" s="7"/>
      <c r="Y157" s="7"/>
      <c r="Z157" s="7"/>
      <c r="AA157" s="7"/>
      <c r="AB157" s="7"/>
      <c r="AC157" s="7"/>
    </row>
    <row r="158" spans="1:29" ht="25.5">
      <c r="A158" s="19"/>
      <c r="B158" s="83"/>
      <c r="C158" s="84"/>
      <c r="D158" s="84"/>
      <c r="E158" s="84"/>
      <c r="F158" s="84"/>
      <c r="G158" s="84"/>
      <c r="H158" s="84"/>
      <c r="I158" s="84"/>
      <c r="J158" s="130"/>
      <c r="K158" s="130"/>
      <c r="L158" s="130"/>
      <c r="M158" s="130"/>
      <c r="N158" s="130"/>
      <c r="O158" s="190"/>
      <c r="P158" s="190"/>
      <c r="Q158" s="86"/>
      <c r="R158" s="181"/>
      <c r="S158" s="156"/>
      <c r="T158" s="84"/>
      <c r="U158" s="722"/>
      <c r="V158" s="89"/>
      <c r="W158" s="14"/>
      <c r="X158" s="7"/>
      <c r="Y158" s="7"/>
      <c r="Z158" s="7"/>
      <c r="AA158" s="7"/>
      <c r="AB158" s="7"/>
      <c r="AC158" s="7"/>
    </row>
    <row r="159" spans="1:29" ht="25.5">
      <c r="A159" s="19"/>
      <c r="B159" s="83"/>
      <c r="C159" s="84"/>
      <c r="D159" s="84"/>
      <c r="E159" s="84"/>
      <c r="F159" s="84"/>
      <c r="G159" s="84"/>
      <c r="H159" s="84"/>
      <c r="I159" s="84"/>
      <c r="J159" s="130"/>
      <c r="K159" s="130"/>
      <c r="L159" s="130"/>
      <c r="M159" s="130"/>
      <c r="N159" s="130"/>
      <c r="O159" s="155"/>
      <c r="P159" s="155"/>
      <c r="Q159" s="86"/>
      <c r="R159" s="181"/>
      <c r="S159" s="156"/>
      <c r="T159" s="84"/>
      <c r="U159" s="722"/>
      <c r="V159" s="89"/>
      <c r="W159" s="14"/>
      <c r="X159" s="7"/>
      <c r="Y159" s="7"/>
      <c r="Z159" s="7"/>
      <c r="AA159" s="7"/>
      <c r="AB159" s="7"/>
      <c r="AC159" s="7"/>
    </row>
    <row r="160" spans="1:29" ht="25.5">
      <c r="A160" s="19"/>
      <c r="B160" s="83"/>
      <c r="C160" s="84"/>
      <c r="D160" s="84"/>
      <c r="E160" s="84"/>
      <c r="F160" s="84"/>
      <c r="G160" s="84"/>
      <c r="H160" s="84"/>
      <c r="I160" s="84">
        <f>0.54*C160</f>
        <v>0</v>
      </c>
      <c r="J160" s="130"/>
      <c r="K160" s="130"/>
      <c r="L160" s="130"/>
      <c r="M160" s="130"/>
      <c r="N160" s="130"/>
      <c r="O160" s="155">
        <v>2390.0619999999999</v>
      </c>
      <c r="P160" s="155">
        <v>2424.7959999999998</v>
      </c>
      <c r="Q160" s="86"/>
      <c r="R160" s="181"/>
      <c r="S160" s="156">
        <v>40</v>
      </c>
      <c r="T160" s="84">
        <f>(P160-O160)*S160</f>
        <v>1389.3599999999969</v>
      </c>
      <c r="U160" s="722">
        <v>6289</v>
      </c>
      <c r="V160" s="89" t="s">
        <v>204</v>
      </c>
      <c r="W160" s="14" t="s">
        <v>116</v>
      </c>
      <c r="X160" s="7"/>
      <c r="Y160" s="7"/>
      <c r="Z160" s="7"/>
      <c r="AA160" s="7"/>
      <c r="AB160" s="7"/>
      <c r="AC160" s="7"/>
    </row>
    <row r="161" spans="1:29" ht="25.5">
      <c r="A161" s="19"/>
      <c r="B161" s="83"/>
      <c r="C161" s="84"/>
      <c r="D161" s="84"/>
      <c r="E161" s="84"/>
      <c r="F161" s="84"/>
      <c r="G161" s="84"/>
      <c r="H161" s="84"/>
      <c r="I161" s="84">
        <f>0.54*C161</f>
        <v>0</v>
      </c>
      <c r="J161" s="130"/>
      <c r="K161" s="130"/>
      <c r="L161" s="130"/>
      <c r="M161" s="130"/>
      <c r="N161" s="130"/>
      <c r="O161" s="155">
        <v>2075.8890000000001</v>
      </c>
      <c r="P161" s="155">
        <v>2075.8890000000001</v>
      </c>
      <c r="Q161" s="86"/>
      <c r="R161" s="181"/>
      <c r="S161" s="156">
        <v>30</v>
      </c>
      <c r="T161" s="84">
        <f>(P161-O161)*S161</f>
        <v>0</v>
      </c>
      <c r="U161" s="722">
        <v>9845</v>
      </c>
      <c r="V161" s="89" t="s">
        <v>204</v>
      </c>
      <c r="W161" s="14" t="s">
        <v>116</v>
      </c>
      <c r="X161" s="7"/>
      <c r="Y161" s="7"/>
      <c r="Z161" s="7"/>
      <c r="AA161" s="7"/>
      <c r="AB161" s="7"/>
      <c r="AC161" s="7"/>
    </row>
    <row r="162" spans="1:29" ht="26.25">
      <c r="A162" s="19"/>
      <c r="B162" s="387" t="s">
        <v>205</v>
      </c>
      <c r="C162" s="498">
        <f>F162+G162</f>
        <v>355.14528000000109</v>
      </c>
      <c r="D162" s="84">
        <f>H162+E162</f>
        <v>5428.649280000016</v>
      </c>
      <c r="E162" s="84">
        <f>F162+G162</f>
        <v>355.14528000000109</v>
      </c>
      <c r="F162" s="84">
        <f>0.04*H162</f>
        <v>202.94016000000062</v>
      </c>
      <c r="G162" s="84">
        <f>0.03*H162</f>
        <v>152.20512000000045</v>
      </c>
      <c r="H162" s="84">
        <f>T162</f>
        <v>5073.5040000000154</v>
      </c>
      <c r="I162" s="84">
        <f>(X518-W518)*40</f>
        <v>856.400000000001</v>
      </c>
      <c r="J162" s="130"/>
      <c r="K162" s="130"/>
      <c r="L162" s="130"/>
      <c r="M162" s="130"/>
      <c r="N162" s="130"/>
      <c r="O162" s="155">
        <v>9282.7649999999994</v>
      </c>
      <c r="P162" s="155">
        <v>9494.1610000000001</v>
      </c>
      <c r="Q162" s="389"/>
      <c r="R162" s="390"/>
      <c r="S162" s="156">
        <v>24</v>
      </c>
      <c r="T162" s="84">
        <f>(P162-O162)*S162</f>
        <v>5073.5040000000154</v>
      </c>
      <c r="U162" s="722">
        <v>5667</v>
      </c>
      <c r="V162" s="89" t="s">
        <v>206</v>
      </c>
      <c r="W162" s="14" t="s">
        <v>116</v>
      </c>
      <c r="X162" s="7"/>
      <c r="Y162" s="7"/>
      <c r="Z162" s="7"/>
      <c r="AA162" s="7"/>
      <c r="AB162" s="7"/>
      <c r="AC162" s="7"/>
    </row>
    <row r="163" spans="1:29" ht="26.25">
      <c r="A163" s="19"/>
      <c r="B163" s="96" t="s">
        <v>207</v>
      </c>
      <c r="C163" s="192">
        <f>SUM(C134:C162)</f>
        <v>13737.254279999983</v>
      </c>
      <c r="D163" s="124">
        <f>SUM(D138:D162)</f>
        <v>398917.74927999952</v>
      </c>
      <c r="E163" s="115"/>
      <c r="F163" s="115"/>
      <c r="G163" s="115"/>
      <c r="H163" s="115"/>
      <c r="I163" s="115"/>
      <c r="J163" s="164"/>
      <c r="K163" s="164"/>
      <c r="L163" s="164"/>
      <c r="M163" s="164"/>
      <c r="N163" s="164"/>
      <c r="O163" s="91"/>
      <c r="P163" s="91"/>
      <c r="Q163" s="7"/>
      <c r="R163" s="94"/>
      <c r="S163" s="91"/>
      <c r="T163" s="91"/>
      <c r="U163" s="644"/>
      <c r="V163" s="710"/>
      <c r="W163" s="14"/>
      <c r="X163" s="7"/>
      <c r="Y163" s="7"/>
      <c r="Z163" s="7"/>
      <c r="AA163" s="7"/>
      <c r="AB163" s="7"/>
      <c r="AC163" s="7"/>
    </row>
    <row r="164" spans="1:29" ht="56.25" customHeight="1">
      <c r="A164" s="19"/>
      <c r="B164" s="499"/>
      <c r="C164" s="500"/>
      <c r="D164" s="501"/>
      <c r="E164" s="502"/>
      <c r="F164" s="500"/>
      <c r="G164" s="500"/>
      <c r="H164" s="500"/>
      <c r="I164" s="500"/>
      <c r="J164" s="503"/>
      <c r="K164" s="503"/>
      <c r="L164" s="503"/>
      <c r="M164" s="503"/>
      <c r="N164" s="503"/>
      <c r="O164" s="500"/>
      <c r="P164" s="500"/>
      <c r="Q164" s="504"/>
      <c r="R164" s="505"/>
      <c r="S164" s="500"/>
      <c r="T164" s="500"/>
      <c r="U164" s="723"/>
      <c r="V164" s="507"/>
      <c r="W164" s="14"/>
      <c r="X164" s="7"/>
      <c r="Y164" s="7"/>
      <c r="Z164" s="7"/>
      <c r="AA164" s="7"/>
      <c r="AB164" s="7"/>
      <c r="AC164" s="7"/>
    </row>
    <row r="165" spans="1:29" ht="26.25">
      <c r="A165" s="19"/>
      <c r="B165" s="193" t="s">
        <v>208</v>
      </c>
      <c r="C165" s="91"/>
      <c r="D165" s="115"/>
      <c r="E165" s="115"/>
      <c r="F165" s="91"/>
      <c r="G165" s="91"/>
      <c r="H165" s="91"/>
      <c r="I165" s="91"/>
      <c r="J165" s="164"/>
      <c r="K165" s="164"/>
      <c r="L165" s="164"/>
      <c r="M165" s="164"/>
      <c r="N165" s="164"/>
      <c r="O165" s="91"/>
      <c r="P165" s="91"/>
      <c r="Q165" s="7"/>
      <c r="R165" s="94"/>
      <c r="S165" s="91"/>
      <c r="T165" s="91"/>
      <c r="U165" s="644"/>
      <c r="V165" s="710"/>
      <c r="W165" s="14"/>
      <c r="X165" s="7"/>
      <c r="Y165" s="7"/>
      <c r="Z165" s="7"/>
      <c r="AA165" s="7"/>
      <c r="AB165" s="7"/>
      <c r="AC165" s="7"/>
    </row>
    <row r="166" spans="1:29" ht="25.5">
      <c r="A166" s="19"/>
      <c r="B166" s="129" t="s">
        <v>209</v>
      </c>
      <c r="C166" s="84">
        <f t="shared" ref="C166:C176" si="23">H166+E166</f>
        <v>1001.52</v>
      </c>
      <c r="D166" s="84"/>
      <c r="E166" s="84">
        <f t="shared" ref="E166:E174" si="24">F166+G166</f>
        <v>65.52</v>
      </c>
      <c r="F166" s="84">
        <f t="shared" ref="F166:F174" si="25">0.04*H166</f>
        <v>37.44</v>
      </c>
      <c r="G166" s="84">
        <f t="shared" ref="G166:G174" si="26">0.03*H166</f>
        <v>28.08</v>
      </c>
      <c r="H166" s="84">
        <f>T166</f>
        <v>936</v>
      </c>
      <c r="I166" s="84">
        <f t="shared" ref="I166:I173" si="27">0.6*C166</f>
        <v>600.91199999999992</v>
      </c>
      <c r="J166" s="130"/>
      <c r="K166" s="130"/>
      <c r="L166" s="130"/>
      <c r="M166" s="130"/>
      <c r="N166" s="130"/>
      <c r="O166" s="84">
        <v>26817</v>
      </c>
      <c r="P166" s="84">
        <v>27753</v>
      </c>
      <c r="Q166" s="86"/>
      <c r="R166" s="87"/>
      <c r="S166" s="84">
        <v>1</v>
      </c>
      <c r="T166" s="84">
        <f t="shared" ref="T166:T230" si="28">(P166-O166)*S166</f>
        <v>936</v>
      </c>
      <c r="U166" s="722" t="s">
        <v>959</v>
      </c>
      <c r="V166" s="89" t="s">
        <v>210</v>
      </c>
      <c r="W166" s="14" t="s">
        <v>82</v>
      </c>
      <c r="X166" s="7"/>
      <c r="Y166" s="7"/>
      <c r="Z166" s="7"/>
      <c r="AA166" s="7"/>
      <c r="AB166" s="7"/>
      <c r="AC166" s="7"/>
    </row>
    <row r="167" spans="1:29" ht="25.5">
      <c r="A167" s="19"/>
      <c r="B167" s="83" t="s">
        <v>897</v>
      </c>
      <c r="C167" s="84">
        <f t="shared" si="23"/>
        <v>102.72</v>
      </c>
      <c r="D167" s="84"/>
      <c r="E167" s="84">
        <f t="shared" si="24"/>
        <v>6.72</v>
      </c>
      <c r="F167" s="84">
        <f t="shared" si="25"/>
        <v>3.84</v>
      </c>
      <c r="G167" s="84">
        <f t="shared" si="26"/>
        <v>2.88</v>
      </c>
      <c r="H167" s="84">
        <f t="shared" ref="H167:H182" si="29">T167</f>
        <v>96</v>
      </c>
      <c r="I167" s="84">
        <f t="shared" si="27"/>
        <v>61.631999999999998</v>
      </c>
      <c r="J167" s="130"/>
      <c r="K167" s="130"/>
      <c r="L167" s="130"/>
      <c r="M167" s="130"/>
      <c r="N167" s="130"/>
      <c r="O167" s="84">
        <v>70790</v>
      </c>
      <c r="P167" s="84">
        <v>70886</v>
      </c>
      <c r="Q167" s="389"/>
      <c r="R167" s="390"/>
      <c r="S167" s="156">
        <v>1</v>
      </c>
      <c r="T167" s="84">
        <f>(P167-O167)*S167</f>
        <v>96</v>
      </c>
      <c r="U167" s="722" t="s">
        <v>960</v>
      </c>
      <c r="V167" s="89" t="s">
        <v>807</v>
      </c>
      <c r="W167" s="14" t="s">
        <v>212</v>
      </c>
      <c r="X167" s="7"/>
      <c r="Y167" s="7"/>
      <c r="Z167" s="7"/>
      <c r="AA167" s="7"/>
      <c r="AB167" s="7"/>
      <c r="AC167" s="7"/>
    </row>
    <row r="168" spans="1:29" ht="25.5">
      <c r="A168" s="19"/>
      <c r="B168" s="83" t="s">
        <v>213</v>
      </c>
      <c r="C168" s="84">
        <f t="shared" si="23"/>
        <v>136.96</v>
      </c>
      <c r="D168" s="84"/>
      <c r="E168" s="84">
        <f t="shared" si="24"/>
        <v>8.9600000000000009</v>
      </c>
      <c r="F168" s="84">
        <f t="shared" si="25"/>
        <v>5.12</v>
      </c>
      <c r="G168" s="84">
        <f t="shared" si="26"/>
        <v>3.84</v>
      </c>
      <c r="H168" s="84">
        <f t="shared" si="29"/>
        <v>128</v>
      </c>
      <c r="I168" s="84">
        <f t="shared" si="27"/>
        <v>82.176000000000002</v>
      </c>
      <c r="J168" s="130"/>
      <c r="K168" s="130"/>
      <c r="L168" s="130"/>
      <c r="M168" s="130"/>
      <c r="N168" s="130"/>
      <c r="O168" s="84">
        <v>9975</v>
      </c>
      <c r="P168" s="84">
        <v>10103</v>
      </c>
      <c r="Q168" s="130" t="s">
        <v>33</v>
      </c>
      <c r="R168" s="385"/>
      <c r="S168" s="156">
        <v>1</v>
      </c>
      <c r="T168" s="84">
        <f t="shared" si="28"/>
        <v>128</v>
      </c>
      <c r="U168" s="722" t="s">
        <v>961</v>
      </c>
      <c r="V168" s="89" t="s">
        <v>214</v>
      </c>
      <c r="W168" s="14" t="s">
        <v>212</v>
      </c>
      <c r="X168" s="7"/>
      <c r="Y168" s="7"/>
      <c r="Z168" s="7"/>
      <c r="AA168" s="7"/>
      <c r="AB168" s="7"/>
      <c r="AC168" s="7"/>
    </row>
    <row r="169" spans="1:29" ht="25.5">
      <c r="A169" s="19"/>
      <c r="B169" s="83" t="s">
        <v>215</v>
      </c>
      <c r="C169" s="404">
        <f t="shared" si="23"/>
        <v>642</v>
      </c>
      <c r="D169" s="404"/>
      <c r="E169" s="404">
        <f t="shared" si="24"/>
        <v>42</v>
      </c>
      <c r="F169" s="404">
        <f t="shared" si="25"/>
        <v>24</v>
      </c>
      <c r="G169" s="404">
        <f t="shared" si="26"/>
        <v>18</v>
      </c>
      <c r="H169" s="404">
        <f t="shared" si="29"/>
        <v>600</v>
      </c>
      <c r="I169" s="404">
        <f t="shared" si="27"/>
        <v>385.2</v>
      </c>
      <c r="J169" s="405"/>
      <c r="K169" s="405"/>
      <c r="L169" s="405"/>
      <c r="M169" s="405"/>
      <c r="N169" s="405"/>
      <c r="O169" s="404">
        <v>24150</v>
      </c>
      <c r="P169" s="404">
        <v>24750</v>
      </c>
      <c r="Q169" s="405" t="s">
        <v>33</v>
      </c>
      <c r="R169" s="394"/>
      <c r="S169" s="406">
        <v>1</v>
      </c>
      <c r="T169" s="404">
        <f t="shared" si="28"/>
        <v>600</v>
      </c>
      <c r="U169" s="722" t="s">
        <v>962</v>
      </c>
      <c r="V169" s="89" t="s">
        <v>216</v>
      </c>
      <c r="W169" s="14" t="s">
        <v>48</v>
      </c>
      <c r="X169" s="7"/>
      <c r="Y169" s="7"/>
      <c r="Z169" s="7"/>
      <c r="AA169" s="7"/>
      <c r="AB169" s="7"/>
      <c r="AC169" s="7"/>
    </row>
    <row r="170" spans="1:29" ht="25.5">
      <c r="A170" s="19"/>
      <c r="B170" s="83" t="s">
        <v>217</v>
      </c>
      <c r="C170" s="84">
        <f t="shared" si="23"/>
        <v>2035.1399999999999</v>
      </c>
      <c r="D170" s="84"/>
      <c r="E170" s="84">
        <f t="shared" si="24"/>
        <v>133.13999999999999</v>
      </c>
      <c r="F170" s="84">
        <f t="shared" si="25"/>
        <v>76.08</v>
      </c>
      <c r="G170" s="84">
        <f t="shared" si="26"/>
        <v>57.059999999999995</v>
      </c>
      <c r="H170" s="84">
        <f t="shared" si="29"/>
        <v>1902</v>
      </c>
      <c r="I170" s="84">
        <f t="shared" si="27"/>
        <v>1221.0839999999998</v>
      </c>
      <c r="J170" s="130"/>
      <c r="K170" s="130"/>
      <c r="L170" s="130"/>
      <c r="M170" s="130"/>
      <c r="N170" s="130"/>
      <c r="O170" s="84">
        <v>87026</v>
      </c>
      <c r="P170" s="84">
        <v>88928</v>
      </c>
      <c r="Q170" s="86"/>
      <c r="R170" s="87"/>
      <c r="S170" s="156">
        <v>1</v>
      </c>
      <c r="T170" s="84">
        <f t="shared" si="28"/>
        <v>1902</v>
      </c>
      <c r="U170" s="722" t="s">
        <v>963</v>
      </c>
      <c r="V170" s="89" t="s">
        <v>218</v>
      </c>
      <c r="W170" s="14" t="s">
        <v>212</v>
      </c>
      <c r="X170" s="7"/>
      <c r="Y170" s="7"/>
      <c r="Z170" s="7"/>
      <c r="AA170" s="7"/>
      <c r="AB170" s="7"/>
      <c r="AC170" s="7"/>
    </row>
    <row r="171" spans="1:29" ht="25.5">
      <c r="A171" s="19"/>
      <c r="B171" s="83" t="s">
        <v>219</v>
      </c>
      <c r="C171" s="84">
        <f t="shared" si="23"/>
        <v>5403.5</v>
      </c>
      <c r="D171" s="84"/>
      <c r="E171" s="84">
        <f t="shared" si="24"/>
        <v>353.5</v>
      </c>
      <c r="F171" s="84">
        <f t="shared" si="25"/>
        <v>202</v>
      </c>
      <c r="G171" s="84">
        <f t="shared" si="26"/>
        <v>151.5</v>
      </c>
      <c r="H171" s="84">
        <f t="shared" si="29"/>
        <v>5050</v>
      </c>
      <c r="I171" s="84">
        <f t="shared" si="27"/>
        <v>3242.1</v>
      </c>
      <c r="J171" s="130"/>
      <c r="K171" s="130"/>
      <c r="L171" s="130"/>
      <c r="M171" s="130"/>
      <c r="N171" s="130"/>
      <c r="O171" s="84">
        <v>213913</v>
      </c>
      <c r="P171" s="84">
        <v>218963</v>
      </c>
      <c r="Q171" s="130"/>
      <c r="R171" s="385"/>
      <c r="S171" s="156">
        <v>1</v>
      </c>
      <c r="T171" s="84">
        <f t="shared" si="28"/>
        <v>5050</v>
      </c>
      <c r="U171" s="722" t="s">
        <v>964</v>
      </c>
      <c r="V171" s="89" t="s">
        <v>220</v>
      </c>
      <c r="W171" s="14" t="s">
        <v>212</v>
      </c>
      <c r="X171" s="7"/>
      <c r="Y171" s="7"/>
      <c r="Z171" s="7"/>
      <c r="AA171" s="7"/>
      <c r="AB171" s="7"/>
      <c r="AC171" s="7"/>
    </row>
    <row r="172" spans="1:29" s="195" customFormat="1" ht="25.5">
      <c r="A172" s="194"/>
      <c r="B172" s="83" t="s">
        <v>221</v>
      </c>
      <c r="C172" s="84">
        <f t="shared" si="23"/>
        <v>725.46</v>
      </c>
      <c r="D172" s="84"/>
      <c r="E172" s="84">
        <f t="shared" si="24"/>
        <v>47.46</v>
      </c>
      <c r="F172" s="84">
        <f t="shared" si="25"/>
        <v>27.12</v>
      </c>
      <c r="G172" s="84">
        <f t="shared" si="26"/>
        <v>20.34</v>
      </c>
      <c r="H172" s="84">
        <f t="shared" si="29"/>
        <v>678</v>
      </c>
      <c r="I172" s="84">
        <f t="shared" si="27"/>
        <v>435.27600000000001</v>
      </c>
      <c r="J172" s="183"/>
      <c r="K172" s="183"/>
      <c r="L172" s="183"/>
      <c r="M172" s="183"/>
      <c r="N172" s="183"/>
      <c r="O172" s="84">
        <v>34742</v>
      </c>
      <c r="P172" s="84">
        <v>35420</v>
      </c>
      <c r="Q172" s="86"/>
      <c r="R172" s="385"/>
      <c r="S172" s="156">
        <v>1</v>
      </c>
      <c r="T172" s="84">
        <f t="shared" si="28"/>
        <v>678</v>
      </c>
      <c r="U172" s="722" t="s">
        <v>965</v>
      </c>
      <c r="V172" s="89" t="s">
        <v>222</v>
      </c>
      <c r="W172" s="14" t="s">
        <v>212</v>
      </c>
      <c r="X172" s="86"/>
      <c r="Y172" s="86"/>
      <c r="Z172" s="86"/>
      <c r="AA172" s="86"/>
      <c r="AB172" s="86"/>
      <c r="AC172" s="86"/>
    </row>
    <row r="173" spans="1:29" ht="25.5">
      <c r="A173" s="19"/>
      <c r="B173" s="129"/>
      <c r="C173" s="84">
        <f t="shared" si="23"/>
        <v>203.3</v>
      </c>
      <c r="D173" s="84"/>
      <c r="E173" s="84">
        <f t="shared" si="24"/>
        <v>13.3</v>
      </c>
      <c r="F173" s="84">
        <f t="shared" si="25"/>
        <v>7.6000000000000005</v>
      </c>
      <c r="G173" s="84">
        <f t="shared" si="26"/>
        <v>5.7</v>
      </c>
      <c r="H173" s="84">
        <f t="shared" si="29"/>
        <v>190</v>
      </c>
      <c r="I173" s="84">
        <f t="shared" si="27"/>
        <v>121.98</v>
      </c>
      <c r="J173" s="130"/>
      <c r="K173" s="130"/>
      <c r="L173" s="130"/>
      <c r="M173" s="130"/>
      <c r="N173" s="130"/>
      <c r="O173" s="84">
        <v>26640</v>
      </c>
      <c r="P173" s="84">
        <v>26830</v>
      </c>
      <c r="Q173" s="86"/>
      <c r="R173" s="87"/>
      <c r="S173" s="156">
        <v>1</v>
      </c>
      <c r="T173" s="84">
        <f t="shared" si="28"/>
        <v>190</v>
      </c>
      <c r="U173" s="722">
        <v>8383</v>
      </c>
      <c r="V173" s="89" t="s">
        <v>223</v>
      </c>
      <c r="W173" s="14" t="s">
        <v>212</v>
      </c>
      <c r="X173" s="7"/>
      <c r="Y173" s="7"/>
      <c r="Z173" s="7"/>
      <c r="AA173" s="7"/>
      <c r="AB173" s="7"/>
      <c r="AC173" s="7"/>
    </row>
    <row r="174" spans="1:29" ht="40.5" customHeight="1">
      <c r="A174" s="19"/>
      <c r="B174" s="387" t="s">
        <v>224</v>
      </c>
      <c r="C174" s="154">
        <f t="shared" si="23"/>
        <v>18158.755999999863</v>
      </c>
      <c r="D174" s="154"/>
      <c r="E174" s="154">
        <f t="shared" si="24"/>
        <v>1187.955999999991</v>
      </c>
      <c r="F174" s="154">
        <f t="shared" si="25"/>
        <v>678.83199999999488</v>
      </c>
      <c r="G174" s="154">
        <f t="shared" si="26"/>
        <v>509.12399999999616</v>
      </c>
      <c r="H174" s="154">
        <f t="shared" si="29"/>
        <v>16970.799999999872</v>
      </c>
      <c r="I174" s="154">
        <f>T175+250+750</f>
        <v>1973</v>
      </c>
      <c r="J174" s="183"/>
      <c r="K174" s="183"/>
      <c r="L174" s="183"/>
      <c r="M174" s="183"/>
      <c r="N174" s="183"/>
      <c r="O174" s="407">
        <v>64996.614000000001</v>
      </c>
      <c r="P174" s="407">
        <v>65420.883999999998</v>
      </c>
      <c r="Q174" s="389"/>
      <c r="R174" s="390"/>
      <c r="S174" s="154">
        <v>40</v>
      </c>
      <c r="T174" s="84">
        <f t="shared" si="28"/>
        <v>16970.799999999872</v>
      </c>
      <c r="U174" s="722" t="s">
        <v>966</v>
      </c>
      <c r="V174" s="89" t="s">
        <v>225</v>
      </c>
      <c r="W174" s="14" t="s">
        <v>48</v>
      </c>
      <c r="X174" s="7"/>
      <c r="Y174" s="7"/>
      <c r="Z174" s="7"/>
      <c r="AA174" s="7"/>
      <c r="AB174" s="7"/>
      <c r="AC174" s="7"/>
    </row>
    <row r="175" spans="1:29" ht="26.25">
      <c r="A175" s="19"/>
      <c r="B175" s="696" t="s">
        <v>953</v>
      </c>
      <c r="C175" s="84">
        <f t="shared" si="23"/>
        <v>1041.1099999999999</v>
      </c>
      <c r="D175" s="84"/>
      <c r="E175" s="84">
        <f>F175+G175</f>
        <v>68.11</v>
      </c>
      <c r="F175" s="84">
        <f>0.04*H175</f>
        <v>38.92</v>
      </c>
      <c r="G175" s="84">
        <f>0.03*H175</f>
        <v>29.189999999999998</v>
      </c>
      <c r="H175" s="84">
        <f t="shared" si="29"/>
        <v>973</v>
      </c>
      <c r="I175" s="84">
        <f>0.6*C175</f>
        <v>624.66599999999994</v>
      </c>
      <c r="J175" s="130"/>
      <c r="K175" s="130"/>
      <c r="L175" s="130"/>
      <c r="M175" s="130"/>
      <c r="N175" s="130"/>
      <c r="O175" s="84">
        <v>947</v>
      </c>
      <c r="P175" s="84">
        <v>1920</v>
      </c>
      <c r="Q175" s="86"/>
      <c r="R175" s="87"/>
      <c r="S175" s="156">
        <v>1</v>
      </c>
      <c r="T175" s="84">
        <f t="shared" si="28"/>
        <v>973</v>
      </c>
      <c r="U175" s="722" t="s">
        <v>967</v>
      </c>
      <c r="V175" s="89" t="s">
        <v>884</v>
      </c>
      <c r="W175" s="14"/>
      <c r="X175" s="7"/>
      <c r="Y175" s="7"/>
      <c r="Z175" s="7"/>
      <c r="AA175" s="7"/>
      <c r="AB175" s="7"/>
      <c r="AC175" s="7"/>
    </row>
    <row r="176" spans="1:29" ht="25.5">
      <c r="A176" s="19"/>
      <c r="B176" s="800" t="s">
        <v>226</v>
      </c>
      <c r="C176" s="84">
        <f t="shared" si="23"/>
        <v>494.34000000000003</v>
      </c>
      <c r="D176" s="84"/>
      <c r="E176" s="84">
        <f>F176+G176</f>
        <v>32.340000000000003</v>
      </c>
      <c r="F176" s="84">
        <f>0.04*H176</f>
        <v>18.48</v>
      </c>
      <c r="G176" s="84">
        <f>0.03*H176</f>
        <v>13.86</v>
      </c>
      <c r="H176" s="84">
        <f t="shared" si="29"/>
        <v>462</v>
      </c>
      <c r="I176" s="84">
        <f>0.6*C176</f>
        <v>296.60399999999998</v>
      </c>
      <c r="J176" s="130"/>
      <c r="K176" s="130"/>
      <c r="L176" s="130"/>
      <c r="M176" s="130"/>
      <c r="N176" s="130"/>
      <c r="O176" s="84">
        <v>33102</v>
      </c>
      <c r="P176" s="84">
        <v>33564</v>
      </c>
      <c r="Q176" s="86"/>
      <c r="R176" s="87"/>
      <c r="S176" s="156">
        <v>1</v>
      </c>
      <c r="T176" s="84">
        <f t="shared" si="28"/>
        <v>462</v>
      </c>
      <c r="U176" s="738" t="s">
        <v>968</v>
      </c>
      <c r="V176" s="733" t="s">
        <v>227</v>
      </c>
      <c r="W176" s="14" t="s">
        <v>212</v>
      </c>
      <c r="X176" s="7"/>
      <c r="Y176" s="7"/>
      <c r="Z176" s="7"/>
      <c r="AA176" s="7"/>
      <c r="AB176" s="7"/>
      <c r="AC176" s="7"/>
    </row>
    <row r="177" spans="1:29" ht="25.5">
      <c r="A177" s="19"/>
      <c r="B177" s="801"/>
      <c r="C177" s="382">
        <f>H177+E177</f>
        <v>12448.380000000094</v>
      </c>
      <c r="D177" s="382"/>
      <c r="E177" s="382">
        <f>F177+G177</f>
        <v>814.38000000000602</v>
      </c>
      <c r="F177" s="382">
        <f>0.04*H177</f>
        <v>465.36000000000348</v>
      </c>
      <c r="G177" s="382">
        <f>0.03*H177</f>
        <v>349.0200000000026</v>
      </c>
      <c r="H177" s="382">
        <f t="shared" si="29"/>
        <v>11634.000000000087</v>
      </c>
      <c r="I177" s="409">
        <f>0.6*C177</f>
        <v>7469.0280000000557</v>
      </c>
      <c r="J177" s="29"/>
      <c r="K177" s="29"/>
      <c r="L177" s="29"/>
      <c r="M177" s="29"/>
      <c r="N177" s="29"/>
      <c r="O177" s="410">
        <v>37544.6</v>
      </c>
      <c r="P177" s="410">
        <v>37738.5</v>
      </c>
      <c r="Q177" s="29" t="s">
        <v>33</v>
      </c>
      <c r="R177" s="411"/>
      <c r="S177" s="412">
        <v>60</v>
      </c>
      <c r="T177" s="382">
        <f t="shared" si="28"/>
        <v>11634.000000000087</v>
      </c>
      <c r="U177" s="455" t="s">
        <v>969</v>
      </c>
      <c r="V177" s="733" t="s">
        <v>228</v>
      </c>
      <c r="W177" s="14" t="s">
        <v>212</v>
      </c>
      <c r="X177" s="7"/>
      <c r="Y177" s="7"/>
      <c r="Z177" s="7"/>
      <c r="AA177" s="7"/>
      <c r="AB177" s="7"/>
      <c r="AC177" s="7"/>
    </row>
    <row r="178" spans="1:29" ht="25.5">
      <c r="A178" s="19"/>
      <c r="B178" s="413" t="s">
        <v>229</v>
      </c>
      <c r="C178" s="414">
        <f>H178+E178</f>
        <v>2589.4</v>
      </c>
      <c r="D178" s="414"/>
      <c r="E178" s="414">
        <f>G178+F178</f>
        <v>169.39999999999998</v>
      </c>
      <c r="F178" s="414">
        <f>0.04*H178</f>
        <v>96.8</v>
      </c>
      <c r="G178" s="414">
        <f>0.03*H178</f>
        <v>72.599999999999994</v>
      </c>
      <c r="H178" s="414">
        <f t="shared" si="29"/>
        <v>2420</v>
      </c>
      <c r="I178" s="414">
        <f>0.6*C178</f>
        <v>1553.64</v>
      </c>
      <c r="J178" s="415"/>
      <c r="K178" s="415"/>
      <c r="L178" s="415"/>
      <c r="M178" s="415"/>
      <c r="N178" s="415"/>
      <c r="O178" s="414">
        <v>513</v>
      </c>
      <c r="P178" s="414">
        <v>2933</v>
      </c>
      <c r="Q178" s="416"/>
      <c r="R178" s="417"/>
      <c r="S178" s="418">
        <v>1</v>
      </c>
      <c r="T178" s="414">
        <f t="shared" si="28"/>
        <v>2420</v>
      </c>
      <c r="U178" s="455" t="s">
        <v>970</v>
      </c>
      <c r="V178" s="733" t="s">
        <v>230</v>
      </c>
      <c r="W178" s="14" t="s">
        <v>212</v>
      </c>
      <c r="X178" s="7"/>
      <c r="Y178" s="7"/>
      <c r="Z178" s="7"/>
      <c r="AA178" s="7"/>
      <c r="AB178" s="7"/>
      <c r="AC178" s="7"/>
    </row>
    <row r="179" spans="1:29" s="195" customFormat="1" ht="25.5">
      <c r="A179" s="194"/>
      <c r="B179" s="27" t="s">
        <v>768</v>
      </c>
      <c r="C179" s="28">
        <f t="shared" ref="C179:C230" si="30">H179+E179</f>
        <v>642</v>
      </c>
      <c r="D179" s="28"/>
      <c r="E179" s="28">
        <f>F179+G179</f>
        <v>42</v>
      </c>
      <c r="F179" s="28">
        <f t="shared" ref="F179:F230" si="31">0.04*H179</f>
        <v>24</v>
      </c>
      <c r="G179" s="28">
        <f t="shared" ref="G179:G230" si="32">0.03*H179</f>
        <v>18</v>
      </c>
      <c r="H179" s="28">
        <f t="shared" si="29"/>
        <v>600</v>
      </c>
      <c r="I179" s="28">
        <f t="shared" ref="I179:I197" si="33">0.6*C179</f>
        <v>385.2</v>
      </c>
      <c r="J179" s="29"/>
      <c r="K179" s="29"/>
      <c r="L179" s="29"/>
      <c r="M179" s="29"/>
      <c r="N179" s="29"/>
      <c r="O179" s="28">
        <v>9005</v>
      </c>
      <c r="P179" s="28">
        <v>9605</v>
      </c>
      <c r="Q179" s="30"/>
      <c r="R179" s="351"/>
      <c r="S179" s="54">
        <v>1</v>
      </c>
      <c r="T179" s="28">
        <f t="shared" si="28"/>
        <v>600</v>
      </c>
      <c r="U179" s="455" t="s">
        <v>971</v>
      </c>
      <c r="V179" s="733" t="s">
        <v>686</v>
      </c>
      <c r="W179" s="191" t="s">
        <v>48</v>
      </c>
      <c r="X179" s="86"/>
      <c r="Y179" s="86"/>
      <c r="Z179" s="86"/>
      <c r="AA179" s="86"/>
      <c r="AB179" s="86"/>
      <c r="AC179" s="86"/>
    </row>
    <row r="180" spans="1:29" ht="34.5" customHeight="1">
      <c r="A180" s="19"/>
      <c r="B180" s="27" t="s">
        <v>714</v>
      </c>
      <c r="C180" s="28">
        <f t="shared" si="30"/>
        <v>629.16</v>
      </c>
      <c r="D180" s="28"/>
      <c r="E180" s="28">
        <f>F180+G180</f>
        <v>41.16</v>
      </c>
      <c r="F180" s="28">
        <f t="shared" si="31"/>
        <v>23.52</v>
      </c>
      <c r="G180" s="28">
        <f t="shared" si="32"/>
        <v>17.64</v>
      </c>
      <c r="H180" s="28">
        <f t="shared" si="29"/>
        <v>588</v>
      </c>
      <c r="I180" s="28">
        <f t="shared" si="33"/>
        <v>377.49599999999998</v>
      </c>
      <c r="J180" s="29"/>
      <c r="K180" s="29"/>
      <c r="L180" s="29"/>
      <c r="M180" s="29"/>
      <c r="N180" s="29"/>
      <c r="O180" s="28">
        <v>5126</v>
      </c>
      <c r="P180" s="28">
        <v>5714</v>
      </c>
      <c r="Q180" s="30"/>
      <c r="R180" s="351"/>
      <c r="S180" s="54">
        <v>1</v>
      </c>
      <c r="T180" s="28">
        <f t="shared" si="28"/>
        <v>588</v>
      </c>
      <c r="U180" s="455">
        <v>70373</v>
      </c>
      <c r="V180" s="733" t="s">
        <v>231</v>
      </c>
      <c r="W180" s="191" t="s">
        <v>48</v>
      </c>
      <c r="X180" s="7"/>
      <c r="Y180" s="7"/>
      <c r="Z180" s="7"/>
      <c r="AA180" s="7"/>
      <c r="AB180" s="7"/>
      <c r="AC180" s="7"/>
    </row>
    <row r="181" spans="1:29" s="198" customFormat="1" ht="33" customHeight="1">
      <c r="A181" s="196"/>
      <c r="B181" s="27" t="s">
        <v>715</v>
      </c>
      <c r="C181" s="28">
        <f t="shared" si="30"/>
        <v>818.55</v>
      </c>
      <c r="D181" s="28"/>
      <c r="E181" s="28">
        <f>F181+G181</f>
        <v>53.55</v>
      </c>
      <c r="F181" s="28">
        <f t="shared" si="31"/>
        <v>30.6</v>
      </c>
      <c r="G181" s="28">
        <f t="shared" si="32"/>
        <v>22.95</v>
      </c>
      <c r="H181" s="28">
        <f t="shared" si="29"/>
        <v>765</v>
      </c>
      <c r="I181" s="28">
        <f t="shared" si="33"/>
        <v>491.12999999999994</v>
      </c>
      <c r="J181" s="29"/>
      <c r="K181" s="29"/>
      <c r="L181" s="29"/>
      <c r="M181" s="29"/>
      <c r="N181" s="29"/>
      <c r="O181" s="28">
        <v>10490</v>
      </c>
      <c r="P181" s="28">
        <v>11255</v>
      </c>
      <c r="Q181" s="30"/>
      <c r="R181" s="351"/>
      <c r="S181" s="28">
        <v>1</v>
      </c>
      <c r="T181" s="28">
        <f t="shared" si="28"/>
        <v>765</v>
      </c>
      <c r="U181" s="455">
        <v>99648</v>
      </c>
      <c r="V181" s="733" t="s">
        <v>232</v>
      </c>
      <c r="W181" s="191" t="s">
        <v>48</v>
      </c>
      <c r="X181" s="197"/>
      <c r="Y181" s="197"/>
      <c r="Z181" s="197"/>
      <c r="AA181" s="197"/>
      <c r="AB181" s="197"/>
      <c r="AC181" s="197"/>
    </row>
    <row r="182" spans="1:29" ht="26.25">
      <c r="A182" s="19"/>
      <c r="B182" s="27" t="s">
        <v>716</v>
      </c>
      <c r="C182" s="28">
        <f t="shared" si="30"/>
        <v>700.85</v>
      </c>
      <c r="D182" s="28"/>
      <c r="E182" s="28">
        <f>F182+G182</f>
        <v>45.849999999999994</v>
      </c>
      <c r="F182" s="28">
        <f t="shared" si="31"/>
        <v>26.2</v>
      </c>
      <c r="G182" s="28">
        <f t="shared" si="32"/>
        <v>19.649999999999999</v>
      </c>
      <c r="H182" s="28">
        <f t="shared" si="29"/>
        <v>655</v>
      </c>
      <c r="I182" s="28">
        <f t="shared" si="33"/>
        <v>420.51</v>
      </c>
      <c r="J182" s="29"/>
      <c r="K182" s="29"/>
      <c r="L182" s="29"/>
      <c r="M182" s="29"/>
      <c r="N182" s="29" t="s">
        <v>233</v>
      </c>
      <c r="O182" s="28">
        <v>35969</v>
      </c>
      <c r="P182" s="28">
        <v>36624</v>
      </c>
      <c r="Q182" s="146"/>
      <c r="R182" s="61"/>
      <c r="S182" s="28">
        <v>1</v>
      </c>
      <c r="T182" s="28">
        <f t="shared" si="28"/>
        <v>655</v>
      </c>
      <c r="U182" s="455">
        <v>98600</v>
      </c>
      <c r="V182" s="733" t="s">
        <v>234</v>
      </c>
      <c r="W182" s="191" t="s">
        <v>48</v>
      </c>
      <c r="X182" s="7"/>
      <c r="Y182" s="7"/>
      <c r="Z182" s="7"/>
      <c r="AA182" s="7"/>
      <c r="AB182" s="7"/>
      <c r="AC182" s="7"/>
    </row>
    <row r="183" spans="1:29" ht="26.25">
      <c r="A183" s="19"/>
      <c r="B183" s="27" t="s">
        <v>923</v>
      </c>
      <c r="C183" s="28">
        <f t="shared" si="30"/>
        <v>439.77</v>
      </c>
      <c r="D183" s="28"/>
      <c r="E183" s="28">
        <f>F183+G183</f>
        <v>28.770000000000003</v>
      </c>
      <c r="F183" s="28">
        <f t="shared" si="31"/>
        <v>16.440000000000001</v>
      </c>
      <c r="G183" s="28">
        <f t="shared" si="32"/>
        <v>12.33</v>
      </c>
      <c r="H183" s="28">
        <f>T183</f>
        <v>411</v>
      </c>
      <c r="I183" s="28">
        <f t="shared" si="33"/>
        <v>263.86199999999997</v>
      </c>
      <c r="J183" s="29"/>
      <c r="K183" s="29"/>
      <c r="L183" s="29"/>
      <c r="M183" s="29"/>
      <c r="N183" s="29" t="s">
        <v>235</v>
      </c>
      <c r="O183" s="28">
        <v>87449</v>
      </c>
      <c r="P183" s="28">
        <v>87860</v>
      </c>
      <c r="Q183" s="30"/>
      <c r="R183" s="351"/>
      <c r="S183" s="28">
        <v>1</v>
      </c>
      <c r="T183" s="28">
        <f t="shared" si="28"/>
        <v>411</v>
      </c>
      <c r="U183" s="455">
        <v>98517</v>
      </c>
      <c r="V183" s="733" t="s">
        <v>846</v>
      </c>
      <c r="W183" s="191" t="s">
        <v>48</v>
      </c>
      <c r="X183" s="7"/>
      <c r="Y183" s="7"/>
      <c r="Z183" s="7"/>
      <c r="AA183" s="7"/>
      <c r="AB183" s="7"/>
      <c r="AC183" s="7"/>
    </row>
    <row r="184" spans="1:29" ht="26.25">
      <c r="A184" s="19"/>
      <c r="B184" s="27" t="s">
        <v>718</v>
      </c>
      <c r="C184" s="28">
        <f t="shared" si="30"/>
        <v>830.31999999999994</v>
      </c>
      <c r="D184" s="28"/>
      <c r="E184" s="28">
        <f>F184++G184</f>
        <v>54.319999999999993</v>
      </c>
      <c r="F184" s="28">
        <f t="shared" si="31"/>
        <v>31.04</v>
      </c>
      <c r="G184" s="28">
        <f t="shared" si="32"/>
        <v>23.279999999999998</v>
      </c>
      <c r="H184" s="28">
        <f t="shared" ref="H184:H199" si="34">T184</f>
        <v>776</v>
      </c>
      <c r="I184" s="28">
        <f t="shared" si="33"/>
        <v>498.19199999999995</v>
      </c>
      <c r="J184" s="29"/>
      <c r="K184" s="29"/>
      <c r="L184" s="29"/>
      <c r="M184" s="29"/>
      <c r="N184" s="29" t="s">
        <v>237</v>
      </c>
      <c r="O184" s="28">
        <v>47274</v>
      </c>
      <c r="P184" s="28">
        <v>48050</v>
      </c>
      <c r="Q184" s="29" t="s">
        <v>33</v>
      </c>
      <c r="R184" s="348"/>
      <c r="S184" s="54">
        <v>1</v>
      </c>
      <c r="T184" s="28">
        <f t="shared" si="28"/>
        <v>776</v>
      </c>
      <c r="U184" s="455">
        <v>98627</v>
      </c>
      <c r="V184" s="733" t="s">
        <v>238</v>
      </c>
      <c r="W184" s="191" t="s">
        <v>48</v>
      </c>
      <c r="X184" s="7"/>
      <c r="Y184" s="7"/>
      <c r="Z184" s="7"/>
      <c r="AA184" s="7"/>
      <c r="AB184" s="7"/>
      <c r="AC184" s="7"/>
    </row>
    <row r="185" spans="1:29" ht="26.25">
      <c r="A185" s="19"/>
      <c r="B185" s="367" t="s">
        <v>899</v>
      </c>
      <c r="C185" s="28">
        <f t="shared" si="30"/>
        <v>252.52</v>
      </c>
      <c r="D185" s="28"/>
      <c r="E185" s="28">
        <f>G185+F185</f>
        <v>16.52</v>
      </c>
      <c r="F185" s="28">
        <f t="shared" si="31"/>
        <v>9.44</v>
      </c>
      <c r="G185" s="28">
        <f t="shared" si="32"/>
        <v>7.08</v>
      </c>
      <c r="H185" s="28">
        <f t="shared" si="34"/>
        <v>236</v>
      </c>
      <c r="I185" s="28">
        <f t="shared" si="33"/>
        <v>151.512</v>
      </c>
      <c r="J185" s="29"/>
      <c r="K185" s="29"/>
      <c r="L185" s="29"/>
      <c r="M185" s="29"/>
      <c r="N185" s="29"/>
      <c r="O185" s="28">
        <v>74475</v>
      </c>
      <c r="P185" s="28">
        <v>74711</v>
      </c>
      <c r="Q185" s="146"/>
      <c r="R185" s="61"/>
      <c r="S185" s="54">
        <v>1</v>
      </c>
      <c r="T185" s="28">
        <f t="shared" si="28"/>
        <v>236</v>
      </c>
      <c r="U185" s="455">
        <v>98556</v>
      </c>
      <c r="V185" s="733" t="s">
        <v>240</v>
      </c>
      <c r="W185" s="191" t="s">
        <v>48</v>
      </c>
      <c r="X185" s="7"/>
      <c r="Y185" s="7"/>
      <c r="Z185" s="7"/>
      <c r="AA185" s="7"/>
      <c r="AB185" s="7"/>
      <c r="AC185" s="7"/>
    </row>
    <row r="186" spans="1:29" ht="26.25">
      <c r="A186" s="19"/>
      <c r="B186" s="27" t="s">
        <v>719</v>
      </c>
      <c r="C186" s="28">
        <f t="shared" si="30"/>
        <v>413.02</v>
      </c>
      <c r="D186" s="28"/>
      <c r="E186" s="28">
        <f t="shared" ref="E186:E193" si="35">F186+G186</f>
        <v>27.02</v>
      </c>
      <c r="F186" s="28">
        <f t="shared" si="31"/>
        <v>15.44</v>
      </c>
      <c r="G186" s="28">
        <f t="shared" si="32"/>
        <v>11.58</v>
      </c>
      <c r="H186" s="28">
        <f t="shared" si="34"/>
        <v>386</v>
      </c>
      <c r="I186" s="28">
        <f t="shared" si="33"/>
        <v>247.81199999999998</v>
      </c>
      <c r="J186" s="29"/>
      <c r="K186" s="29"/>
      <c r="L186" s="29"/>
      <c r="M186" s="29"/>
      <c r="N186" s="29"/>
      <c r="O186" s="28">
        <v>72188</v>
      </c>
      <c r="P186" s="28">
        <v>72574</v>
      </c>
      <c r="Q186" s="30"/>
      <c r="R186" s="351"/>
      <c r="S186" s="54">
        <v>1</v>
      </c>
      <c r="T186" s="28">
        <f t="shared" si="28"/>
        <v>386</v>
      </c>
      <c r="U186" s="455">
        <v>98503</v>
      </c>
      <c r="V186" s="733" t="s">
        <v>241</v>
      </c>
      <c r="W186" s="191" t="s">
        <v>48</v>
      </c>
      <c r="X186" s="7"/>
      <c r="Y186" s="7"/>
      <c r="Z186" s="7"/>
      <c r="AA186" s="7"/>
      <c r="AB186" s="7"/>
      <c r="AC186" s="7"/>
    </row>
    <row r="187" spans="1:29" ht="26.25" customHeight="1">
      <c r="A187" s="19"/>
      <c r="B187" s="802" t="s">
        <v>242</v>
      </c>
      <c r="C187" s="28">
        <f t="shared" si="30"/>
        <v>732.95</v>
      </c>
      <c r="D187" s="28"/>
      <c r="E187" s="28">
        <f t="shared" si="35"/>
        <v>47.95</v>
      </c>
      <c r="F187" s="28">
        <f t="shared" si="31"/>
        <v>27.400000000000002</v>
      </c>
      <c r="G187" s="28">
        <f t="shared" si="32"/>
        <v>20.55</v>
      </c>
      <c r="H187" s="28">
        <f t="shared" si="34"/>
        <v>685</v>
      </c>
      <c r="I187" s="28">
        <f t="shared" si="33"/>
        <v>439.77000000000004</v>
      </c>
      <c r="J187" s="29"/>
      <c r="K187" s="29"/>
      <c r="L187" s="29"/>
      <c r="M187" s="29"/>
      <c r="N187" s="29"/>
      <c r="O187" s="28">
        <v>84426</v>
      </c>
      <c r="P187" s="28">
        <v>85111</v>
      </c>
      <c r="Q187" s="146"/>
      <c r="R187" s="61"/>
      <c r="S187" s="54">
        <v>1</v>
      </c>
      <c r="T187" s="28">
        <f t="shared" si="28"/>
        <v>685</v>
      </c>
      <c r="U187" s="455">
        <v>98630</v>
      </c>
      <c r="V187" s="733" t="s">
        <v>243</v>
      </c>
      <c r="W187" s="191" t="s">
        <v>48</v>
      </c>
      <c r="X187" s="7"/>
      <c r="Y187" s="7"/>
      <c r="Z187" s="7"/>
      <c r="AA187" s="7"/>
      <c r="AB187" s="7"/>
      <c r="AC187" s="7"/>
    </row>
    <row r="188" spans="1:29" ht="30" customHeight="1">
      <c r="A188" s="19"/>
      <c r="B188" s="803"/>
      <c r="C188" s="419">
        <f t="shared" si="30"/>
        <v>646.28</v>
      </c>
      <c r="D188" s="28"/>
      <c r="E188" s="28">
        <f t="shared" si="35"/>
        <v>42.28</v>
      </c>
      <c r="F188" s="28">
        <f t="shared" si="31"/>
        <v>24.16</v>
      </c>
      <c r="G188" s="28">
        <f t="shared" si="32"/>
        <v>18.12</v>
      </c>
      <c r="H188" s="28">
        <f t="shared" si="34"/>
        <v>604</v>
      </c>
      <c r="I188" s="28">
        <f t="shared" si="33"/>
        <v>387.76799999999997</v>
      </c>
      <c r="J188" s="29"/>
      <c r="K188" s="29"/>
      <c r="L188" s="29"/>
      <c r="M188" s="29"/>
      <c r="N188" s="29"/>
      <c r="O188" s="28">
        <v>77026</v>
      </c>
      <c r="P188" s="28">
        <v>77630</v>
      </c>
      <c r="Q188" s="30"/>
      <c r="R188" s="71"/>
      <c r="S188" s="54">
        <v>1</v>
      </c>
      <c r="T188" s="28">
        <f t="shared" si="28"/>
        <v>604</v>
      </c>
      <c r="U188" s="455" t="s">
        <v>972</v>
      </c>
      <c r="V188" s="733" t="s">
        <v>244</v>
      </c>
      <c r="W188" s="191" t="s">
        <v>48</v>
      </c>
      <c r="X188" s="7"/>
      <c r="Y188" s="7"/>
      <c r="Z188" s="7"/>
      <c r="AA188" s="7"/>
      <c r="AB188" s="7"/>
      <c r="AC188" s="7"/>
    </row>
    <row r="189" spans="1:29" ht="25.5">
      <c r="A189" s="19"/>
      <c r="B189" s="27" t="s">
        <v>245</v>
      </c>
      <c r="C189" s="28">
        <f>H189+E189</f>
        <v>0</v>
      </c>
      <c r="D189" s="28"/>
      <c r="E189" s="28">
        <f>F189+G189</f>
        <v>0</v>
      </c>
      <c r="F189" s="28">
        <f>0.04*H189</f>
        <v>0</v>
      </c>
      <c r="G189" s="28">
        <f>0.03*H189</f>
        <v>0</v>
      </c>
      <c r="H189" s="28">
        <f>T189</f>
        <v>0</v>
      </c>
      <c r="I189" s="28">
        <f>0.6*C189</f>
        <v>0</v>
      </c>
      <c r="J189" s="29"/>
      <c r="K189" s="29"/>
      <c r="L189" s="29"/>
      <c r="M189" s="29"/>
      <c r="N189" s="29"/>
      <c r="O189" s="28">
        <v>19403</v>
      </c>
      <c r="P189" s="28">
        <v>19403</v>
      </c>
      <c r="Q189" s="30"/>
      <c r="R189" s="77"/>
      <c r="S189" s="28">
        <v>1</v>
      </c>
      <c r="T189" s="28">
        <f>(P189-O189)*S189</f>
        <v>0</v>
      </c>
      <c r="U189" s="455">
        <v>8726</v>
      </c>
      <c r="V189" s="733" t="s">
        <v>246</v>
      </c>
      <c r="W189" s="191" t="s">
        <v>48</v>
      </c>
      <c r="X189" s="7"/>
      <c r="Y189" s="7"/>
      <c r="Z189" s="7"/>
      <c r="AA189" s="7"/>
      <c r="AB189" s="7"/>
      <c r="AC189" s="7"/>
    </row>
    <row r="190" spans="1:29" ht="26.25">
      <c r="A190" s="19"/>
      <c r="B190" s="27" t="s">
        <v>924</v>
      </c>
      <c r="C190" s="28">
        <f t="shared" si="30"/>
        <v>1398.49</v>
      </c>
      <c r="D190" s="28"/>
      <c r="E190" s="28">
        <f t="shared" si="35"/>
        <v>91.490000000000009</v>
      </c>
      <c r="F190" s="28">
        <f t="shared" si="31"/>
        <v>52.28</v>
      </c>
      <c r="G190" s="28">
        <f t="shared" si="32"/>
        <v>39.21</v>
      </c>
      <c r="H190" s="28">
        <f t="shared" si="34"/>
        <v>1307</v>
      </c>
      <c r="I190" s="28">
        <f t="shared" si="33"/>
        <v>839.09399999999994</v>
      </c>
      <c r="J190" s="29"/>
      <c r="K190" s="29"/>
      <c r="L190" s="29"/>
      <c r="M190" s="29"/>
      <c r="N190" s="29"/>
      <c r="O190" s="28">
        <v>135161</v>
      </c>
      <c r="P190" s="28">
        <v>136468</v>
      </c>
      <c r="Q190" s="30"/>
      <c r="R190" s="351"/>
      <c r="S190" s="28">
        <v>1</v>
      </c>
      <c r="T190" s="28">
        <f t="shared" si="28"/>
        <v>1307</v>
      </c>
      <c r="U190" s="455">
        <v>542003</v>
      </c>
      <c r="V190" s="733" t="s">
        <v>247</v>
      </c>
      <c r="W190" s="191" t="s">
        <v>48</v>
      </c>
      <c r="X190" s="7"/>
      <c r="Y190" s="7"/>
      <c r="Z190" s="7"/>
      <c r="AA190" s="7"/>
      <c r="AB190" s="7"/>
      <c r="AC190" s="7"/>
    </row>
    <row r="191" spans="1:29" ht="26.25">
      <c r="A191" s="19"/>
      <c r="B191" s="27" t="s">
        <v>721</v>
      </c>
      <c r="C191" s="28">
        <f t="shared" si="30"/>
        <v>342.4</v>
      </c>
      <c r="D191" s="28"/>
      <c r="E191" s="28">
        <f t="shared" si="35"/>
        <v>22.4</v>
      </c>
      <c r="F191" s="28">
        <f t="shared" si="31"/>
        <v>12.8</v>
      </c>
      <c r="G191" s="28">
        <f t="shared" si="32"/>
        <v>9.6</v>
      </c>
      <c r="H191" s="28">
        <f t="shared" si="34"/>
        <v>320</v>
      </c>
      <c r="I191" s="28">
        <f t="shared" si="33"/>
        <v>205.43999999999997</v>
      </c>
      <c r="J191" s="29"/>
      <c r="K191" s="29"/>
      <c r="L191" s="29"/>
      <c r="M191" s="29"/>
      <c r="N191" s="29" t="s">
        <v>248</v>
      </c>
      <c r="O191" s="28">
        <v>44327</v>
      </c>
      <c r="P191" s="28">
        <v>44647</v>
      </c>
      <c r="Q191" s="29" t="s">
        <v>37</v>
      </c>
      <c r="R191" s="348"/>
      <c r="S191" s="28">
        <v>1</v>
      </c>
      <c r="T191" s="28">
        <f t="shared" si="28"/>
        <v>320</v>
      </c>
      <c r="U191" s="455">
        <v>100986</v>
      </c>
      <c r="V191" s="733" t="s">
        <v>273</v>
      </c>
      <c r="W191" s="191" t="s">
        <v>48</v>
      </c>
      <c r="X191" s="7"/>
      <c r="Y191" s="7"/>
      <c r="Z191" s="7"/>
      <c r="AA191" s="7"/>
      <c r="AB191" s="7"/>
      <c r="AC191" s="7"/>
    </row>
    <row r="192" spans="1:29" ht="26.25">
      <c r="A192" s="19"/>
      <c r="B192" s="27" t="s">
        <v>722</v>
      </c>
      <c r="C192" s="28">
        <f t="shared" si="30"/>
        <v>536.07000000000005</v>
      </c>
      <c r="D192" s="28"/>
      <c r="E192" s="28">
        <f t="shared" si="35"/>
        <v>35.07</v>
      </c>
      <c r="F192" s="28">
        <f t="shared" si="31"/>
        <v>20.04</v>
      </c>
      <c r="G192" s="28">
        <f t="shared" si="32"/>
        <v>15.03</v>
      </c>
      <c r="H192" s="28">
        <f t="shared" si="34"/>
        <v>501</v>
      </c>
      <c r="I192" s="28">
        <f t="shared" si="33"/>
        <v>321.642</v>
      </c>
      <c r="J192" s="29"/>
      <c r="K192" s="29"/>
      <c r="L192" s="29"/>
      <c r="M192" s="29"/>
      <c r="N192" s="29"/>
      <c r="O192" s="28">
        <v>97009</v>
      </c>
      <c r="P192" s="28">
        <v>97510</v>
      </c>
      <c r="Q192" s="29" t="s">
        <v>28</v>
      </c>
      <c r="R192" s="348"/>
      <c r="S192" s="28">
        <v>1</v>
      </c>
      <c r="T192" s="28">
        <f t="shared" si="28"/>
        <v>501</v>
      </c>
      <c r="U192" s="455">
        <v>70386</v>
      </c>
      <c r="V192" s="733" t="s">
        <v>250</v>
      </c>
      <c r="W192" s="191" t="s">
        <v>48</v>
      </c>
      <c r="X192" s="7"/>
      <c r="Y192" s="7"/>
      <c r="Z192" s="7"/>
      <c r="AA192" s="7"/>
      <c r="AB192" s="7"/>
      <c r="AC192" s="7"/>
    </row>
    <row r="193" spans="1:29" ht="26.25">
      <c r="A193" s="19"/>
      <c r="B193" s="27" t="s">
        <v>925</v>
      </c>
      <c r="C193" s="28">
        <f t="shared" si="30"/>
        <v>477.22</v>
      </c>
      <c r="D193" s="28"/>
      <c r="E193" s="28">
        <f t="shared" si="35"/>
        <v>31.22</v>
      </c>
      <c r="F193" s="28">
        <f t="shared" si="31"/>
        <v>17.84</v>
      </c>
      <c r="G193" s="28">
        <f t="shared" si="32"/>
        <v>13.379999999999999</v>
      </c>
      <c r="H193" s="28">
        <f t="shared" si="34"/>
        <v>446</v>
      </c>
      <c r="I193" s="28">
        <f t="shared" si="33"/>
        <v>286.33199999999999</v>
      </c>
      <c r="J193" s="29"/>
      <c r="K193" s="29"/>
      <c r="L193" s="29"/>
      <c r="M193" s="29"/>
      <c r="N193" s="29"/>
      <c r="O193" s="28">
        <v>57257</v>
      </c>
      <c r="P193" s="28">
        <v>57703</v>
      </c>
      <c r="Q193" s="29" t="s">
        <v>37</v>
      </c>
      <c r="R193" s="348"/>
      <c r="S193" s="28">
        <v>1</v>
      </c>
      <c r="T193" s="28">
        <f t="shared" si="28"/>
        <v>446</v>
      </c>
      <c r="U193" s="455">
        <v>64591</v>
      </c>
      <c r="V193" s="733" t="s">
        <v>251</v>
      </c>
      <c r="W193" s="191" t="s">
        <v>48</v>
      </c>
      <c r="X193" s="7"/>
      <c r="Y193" s="7"/>
      <c r="Z193" s="7"/>
      <c r="AA193" s="7"/>
      <c r="AB193" s="7"/>
      <c r="AC193" s="7"/>
    </row>
    <row r="194" spans="1:29" ht="26.25">
      <c r="A194" s="19"/>
      <c r="B194" s="62" t="s">
        <v>926</v>
      </c>
      <c r="C194" s="28">
        <f t="shared" si="30"/>
        <v>1940.98</v>
      </c>
      <c r="D194" s="28"/>
      <c r="E194" s="28">
        <f>G194+F194</f>
        <v>126.97999999999999</v>
      </c>
      <c r="F194" s="28">
        <f t="shared" si="31"/>
        <v>72.56</v>
      </c>
      <c r="G194" s="28">
        <f t="shared" si="32"/>
        <v>54.419999999999995</v>
      </c>
      <c r="H194" s="28">
        <f t="shared" si="34"/>
        <v>1814</v>
      </c>
      <c r="I194" s="28">
        <f t="shared" si="33"/>
        <v>1164.588</v>
      </c>
      <c r="J194" s="29"/>
      <c r="K194" s="29"/>
      <c r="L194" s="29"/>
      <c r="M194" s="29"/>
      <c r="N194" s="29"/>
      <c r="O194" s="28">
        <v>40362</v>
      </c>
      <c r="P194" s="28">
        <v>42176</v>
      </c>
      <c r="Q194" s="146"/>
      <c r="R194" s="61"/>
      <c r="S194" s="54">
        <v>1</v>
      </c>
      <c r="T194" s="28">
        <f t="shared" si="28"/>
        <v>1814</v>
      </c>
      <c r="U194" s="455">
        <v>87125</v>
      </c>
      <c r="V194" s="733" t="s">
        <v>808</v>
      </c>
      <c r="W194" s="191" t="s">
        <v>48</v>
      </c>
      <c r="X194" s="7"/>
      <c r="Y194" s="7"/>
      <c r="Z194" s="7"/>
      <c r="AA194" s="7"/>
      <c r="AB194" s="7"/>
      <c r="AC194" s="7"/>
    </row>
    <row r="195" spans="1:29" ht="26.25">
      <c r="A195" s="19"/>
      <c r="B195" s="27" t="s">
        <v>725</v>
      </c>
      <c r="C195" s="28">
        <f t="shared" si="30"/>
        <v>1018.64</v>
      </c>
      <c r="D195" s="28"/>
      <c r="E195" s="28">
        <f>G195+F195</f>
        <v>66.64</v>
      </c>
      <c r="F195" s="28">
        <f t="shared" si="31"/>
        <v>38.08</v>
      </c>
      <c r="G195" s="28">
        <f t="shared" si="32"/>
        <v>28.56</v>
      </c>
      <c r="H195" s="28">
        <f t="shared" si="34"/>
        <v>952</v>
      </c>
      <c r="I195" s="28">
        <f t="shared" si="33"/>
        <v>611.18399999999997</v>
      </c>
      <c r="J195" s="29"/>
      <c r="K195" s="29"/>
      <c r="L195" s="29"/>
      <c r="M195" s="29"/>
      <c r="N195" s="29"/>
      <c r="O195" s="28">
        <v>75932</v>
      </c>
      <c r="P195" s="28">
        <v>76884</v>
      </c>
      <c r="Q195" s="30"/>
      <c r="R195" s="71"/>
      <c r="S195" s="54">
        <v>1</v>
      </c>
      <c r="T195" s="28">
        <f t="shared" si="28"/>
        <v>952</v>
      </c>
      <c r="U195" s="455">
        <v>87202</v>
      </c>
      <c r="V195" s="733" t="s">
        <v>777</v>
      </c>
      <c r="W195" s="191" t="s">
        <v>48</v>
      </c>
      <c r="X195" s="7"/>
      <c r="Y195" s="7"/>
      <c r="Z195" s="7"/>
      <c r="AA195" s="7"/>
      <c r="AB195" s="7"/>
      <c r="AC195" s="7"/>
    </row>
    <row r="196" spans="1:29" ht="26.25">
      <c r="A196" s="19"/>
      <c r="B196" s="27" t="s">
        <v>726</v>
      </c>
      <c r="C196" s="28">
        <f t="shared" si="30"/>
        <v>266.43</v>
      </c>
      <c r="D196" s="28"/>
      <c r="E196" s="28">
        <f>F196+G196</f>
        <v>17.43</v>
      </c>
      <c r="F196" s="28">
        <f t="shared" si="31"/>
        <v>9.9600000000000009</v>
      </c>
      <c r="G196" s="28">
        <f t="shared" si="32"/>
        <v>7.47</v>
      </c>
      <c r="H196" s="28">
        <f t="shared" si="34"/>
        <v>249</v>
      </c>
      <c r="I196" s="28">
        <f t="shared" si="33"/>
        <v>159.858</v>
      </c>
      <c r="J196" s="29"/>
      <c r="K196" s="29"/>
      <c r="L196" s="29"/>
      <c r="M196" s="29"/>
      <c r="N196" s="29"/>
      <c r="O196" s="28">
        <v>33340</v>
      </c>
      <c r="P196" s="28">
        <v>33589</v>
      </c>
      <c r="Q196" s="30"/>
      <c r="R196" s="351"/>
      <c r="S196" s="54">
        <v>1</v>
      </c>
      <c r="T196" s="28">
        <f t="shared" si="28"/>
        <v>249</v>
      </c>
      <c r="U196" s="455">
        <v>99475</v>
      </c>
      <c r="V196" s="733" t="s">
        <v>252</v>
      </c>
      <c r="W196" s="191" t="s">
        <v>48</v>
      </c>
      <c r="X196" s="7"/>
      <c r="Y196" s="7"/>
      <c r="Z196" s="7"/>
      <c r="AA196" s="7"/>
      <c r="AB196" s="7"/>
      <c r="AC196" s="7"/>
    </row>
    <row r="197" spans="1:29" ht="26.25">
      <c r="A197" s="19"/>
      <c r="B197" s="27" t="s">
        <v>727</v>
      </c>
      <c r="C197" s="28">
        <f t="shared" si="30"/>
        <v>307.08999999999997</v>
      </c>
      <c r="D197" s="28"/>
      <c r="E197" s="28">
        <f>F197+G197</f>
        <v>20.09</v>
      </c>
      <c r="F197" s="28">
        <f t="shared" si="31"/>
        <v>11.48</v>
      </c>
      <c r="G197" s="28">
        <f t="shared" si="32"/>
        <v>8.61</v>
      </c>
      <c r="H197" s="28">
        <f t="shared" si="34"/>
        <v>287</v>
      </c>
      <c r="I197" s="28">
        <f t="shared" si="33"/>
        <v>184.25399999999999</v>
      </c>
      <c r="J197" s="29"/>
      <c r="K197" s="29"/>
      <c r="L197" s="29"/>
      <c r="M197" s="29"/>
      <c r="N197" s="29"/>
      <c r="O197" s="28">
        <v>57312</v>
      </c>
      <c r="P197" s="28">
        <v>57599</v>
      </c>
      <c r="Q197" s="29"/>
      <c r="R197" s="348"/>
      <c r="S197" s="28">
        <v>1</v>
      </c>
      <c r="T197" s="28">
        <f t="shared" si="28"/>
        <v>287</v>
      </c>
      <c r="U197" s="455">
        <v>100985</v>
      </c>
      <c r="V197" s="733" t="s">
        <v>253</v>
      </c>
      <c r="W197" s="191" t="s">
        <v>48</v>
      </c>
      <c r="X197" s="7"/>
      <c r="Y197" s="7"/>
      <c r="Z197" s="7"/>
      <c r="AA197" s="7"/>
      <c r="AB197" s="7"/>
      <c r="AC197" s="7"/>
    </row>
    <row r="198" spans="1:29" ht="26.25">
      <c r="A198" s="19"/>
      <c r="B198" s="27" t="s">
        <v>727</v>
      </c>
      <c r="C198" s="28">
        <f t="shared" si="30"/>
        <v>136.96</v>
      </c>
      <c r="D198" s="28"/>
      <c r="E198" s="28">
        <f>F198+G198</f>
        <v>8.9600000000000009</v>
      </c>
      <c r="F198" s="28">
        <f t="shared" si="31"/>
        <v>5.12</v>
      </c>
      <c r="G198" s="28">
        <f t="shared" si="32"/>
        <v>3.84</v>
      </c>
      <c r="H198" s="28">
        <f t="shared" si="34"/>
        <v>128</v>
      </c>
      <c r="I198" s="28">
        <f>0.5*C198</f>
        <v>68.48</v>
      </c>
      <c r="J198" s="29"/>
      <c r="K198" s="29"/>
      <c r="L198" s="29"/>
      <c r="M198" s="29"/>
      <c r="N198" s="29"/>
      <c r="O198" s="28">
        <v>32989</v>
      </c>
      <c r="P198" s="28">
        <v>33117</v>
      </c>
      <c r="Q198" s="146"/>
      <c r="R198" s="61"/>
      <c r="S198" s="54">
        <v>1</v>
      </c>
      <c r="T198" s="28">
        <f t="shared" si="28"/>
        <v>128</v>
      </c>
      <c r="U198" s="455">
        <v>100839</v>
      </c>
      <c r="V198" s="733" t="s">
        <v>253</v>
      </c>
      <c r="W198" s="191" t="s">
        <v>48</v>
      </c>
      <c r="X198" s="7"/>
      <c r="Y198" s="7"/>
      <c r="Z198" s="7"/>
      <c r="AA198" s="7"/>
      <c r="AB198" s="7"/>
      <c r="AC198" s="7"/>
    </row>
    <row r="199" spans="1:29" ht="26.25">
      <c r="A199" s="19"/>
      <c r="B199" s="27" t="s">
        <v>728</v>
      </c>
      <c r="C199" s="28">
        <f t="shared" si="30"/>
        <v>142.31</v>
      </c>
      <c r="D199" s="28"/>
      <c r="E199" s="28">
        <f>G199+F199</f>
        <v>9.31</v>
      </c>
      <c r="F199" s="28">
        <f t="shared" si="31"/>
        <v>5.32</v>
      </c>
      <c r="G199" s="28">
        <f t="shared" si="32"/>
        <v>3.9899999999999998</v>
      </c>
      <c r="H199" s="28">
        <f t="shared" si="34"/>
        <v>133</v>
      </c>
      <c r="I199" s="28">
        <f t="shared" ref="I199:I223" si="36">0.6*C199</f>
        <v>85.385999999999996</v>
      </c>
      <c r="J199" s="29"/>
      <c r="K199" s="29"/>
      <c r="L199" s="29"/>
      <c r="M199" s="29"/>
      <c r="N199" s="29"/>
      <c r="O199" s="28">
        <v>23586</v>
      </c>
      <c r="P199" s="28">
        <v>23719</v>
      </c>
      <c r="Q199" s="30"/>
      <c r="R199" s="71"/>
      <c r="S199" s="54">
        <v>1</v>
      </c>
      <c r="T199" s="28">
        <f t="shared" si="28"/>
        <v>133</v>
      </c>
      <c r="U199" s="455">
        <v>100976</v>
      </c>
      <c r="V199" s="733" t="s">
        <v>254</v>
      </c>
      <c r="W199" s="191" t="s">
        <v>48</v>
      </c>
      <c r="X199" s="7"/>
      <c r="Y199" s="7"/>
      <c r="Z199" s="7"/>
      <c r="AA199" s="7"/>
      <c r="AB199" s="7"/>
      <c r="AC199" s="7"/>
    </row>
    <row r="200" spans="1:29" ht="29.25" customHeight="1">
      <c r="A200" s="19"/>
      <c r="B200" s="27" t="s">
        <v>255</v>
      </c>
      <c r="C200" s="28">
        <f t="shared" si="30"/>
        <v>224.7</v>
      </c>
      <c r="D200" s="28"/>
      <c r="E200" s="28">
        <f t="shared" ref="E200:E207" si="37">F200+G200</f>
        <v>14.7</v>
      </c>
      <c r="F200" s="28">
        <f t="shared" si="31"/>
        <v>8.4</v>
      </c>
      <c r="G200" s="28">
        <f t="shared" si="32"/>
        <v>6.3</v>
      </c>
      <c r="H200" s="28">
        <f>T200</f>
        <v>210</v>
      </c>
      <c r="I200" s="28">
        <f t="shared" si="36"/>
        <v>134.82</v>
      </c>
      <c r="J200" s="29"/>
      <c r="K200" s="29"/>
      <c r="L200" s="29"/>
      <c r="M200" s="29"/>
      <c r="N200" s="29"/>
      <c r="O200" s="28">
        <v>41236</v>
      </c>
      <c r="P200" s="28">
        <v>41446</v>
      </c>
      <c r="Q200" s="30"/>
      <c r="R200" s="351"/>
      <c r="S200" s="28">
        <v>1</v>
      </c>
      <c r="T200" s="28">
        <f t="shared" si="28"/>
        <v>210</v>
      </c>
      <c r="U200" s="455">
        <v>99491</v>
      </c>
      <c r="V200" s="804" t="s">
        <v>256</v>
      </c>
      <c r="W200" s="191" t="s">
        <v>48</v>
      </c>
      <c r="X200" s="7"/>
      <c r="Y200" s="7"/>
      <c r="Z200" s="7"/>
      <c r="AA200" s="7"/>
      <c r="AB200" s="7"/>
      <c r="AC200" s="7"/>
    </row>
    <row r="201" spans="1:29" ht="25.5">
      <c r="A201" s="19"/>
      <c r="B201" s="27" t="s">
        <v>255</v>
      </c>
      <c r="C201" s="28">
        <f t="shared" si="30"/>
        <v>224.7</v>
      </c>
      <c r="D201" s="28"/>
      <c r="E201" s="28">
        <f t="shared" si="37"/>
        <v>14.7</v>
      </c>
      <c r="F201" s="28">
        <f t="shared" si="31"/>
        <v>8.4</v>
      </c>
      <c r="G201" s="28">
        <f t="shared" si="32"/>
        <v>6.3</v>
      </c>
      <c r="H201" s="28">
        <f t="shared" ref="H201:H211" si="38">T201</f>
        <v>210</v>
      </c>
      <c r="I201" s="28">
        <f t="shared" si="36"/>
        <v>134.82</v>
      </c>
      <c r="J201" s="46"/>
      <c r="K201" s="46"/>
      <c r="L201" s="46"/>
      <c r="M201" s="46"/>
      <c r="N201" s="46"/>
      <c r="O201" s="28">
        <v>33218</v>
      </c>
      <c r="P201" s="28">
        <v>33428</v>
      </c>
      <c r="Q201" s="146"/>
      <c r="R201" s="61"/>
      <c r="S201" s="54">
        <v>1</v>
      </c>
      <c r="T201" s="28">
        <f t="shared" si="28"/>
        <v>210</v>
      </c>
      <c r="U201" s="455">
        <v>99470</v>
      </c>
      <c r="V201" s="804"/>
      <c r="W201" s="191" t="s">
        <v>48</v>
      </c>
      <c r="X201" s="7"/>
      <c r="Y201" s="7"/>
      <c r="Z201" s="7"/>
      <c r="AA201" s="7"/>
      <c r="AB201" s="7"/>
      <c r="AC201" s="7"/>
    </row>
    <row r="202" spans="1:29" ht="26.25">
      <c r="A202" s="19"/>
      <c r="B202" s="27" t="s">
        <v>729</v>
      </c>
      <c r="C202" s="28">
        <f t="shared" si="30"/>
        <v>202.23</v>
      </c>
      <c r="D202" s="28"/>
      <c r="E202" s="28">
        <f t="shared" si="37"/>
        <v>13.23</v>
      </c>
      <c r="F202" s="28">
        <f t="shared" si="31"/>
        <v>7.5600000000000005</v>
      </c>
      <c r="G202" s="28">
        <f t="shared" si="32"/>
        <v>5.67</v>
      </c>
      <c r="H202" s="28">
        <f t="shared" si="38"/>
        <v>189</v>
      </c>
      <c r="I202" s="28">
        <f t="shared" si="36"/>
        <v>121.33799999999999</v>
      </c>
      <c r="J202" s="29"/>
      <c r="K202" s="29"/>
      <c r="L202" s="29"/>
      <c r="M202" s="29"/>
      <c r="N202" s="29"/>
      <c r="O202" s="28">
        <v>31380</v>
      </c>
      <c r="P202" s="28">
        <v>31569</v>
      </c>
      <c r="Q202" s="30"/>
      <c r="R202" s="351"/>
      <c r="S202" s="54">
        <v>1</v>
      </c>
      <c r="T202" s="28">
        <f t="shared" si="28"/>
        <v>189</v>
      </c>
      <c r="U202" s="455">
        <v>99541</v>
      </c>
      <c r="V202" s="733" t="s">
        <v>809</v>
      </c>
      <c r="W202" s="191" t="s">
        <v>48</v>
      </c>
      <c r="X202" s="7"/>
      <c r="Y202" s="7"/>
      <c r="Z202" s="7"/>
      <c r="AA202" s="7"/>
      <c r="AB202" s="7"/>
      <c r="AC202" s="7"/>
    </row>
    <row r="203" spans="1:29" ht="26.25">
      <c r="A203" s="19"/>
      <c r="B203" s="27" t="s">
        <v>927</v>
      </c>
      <c r="C203" s="28">
        <f>H203+E203</f>
        <v>153.01</v>
      </c>
      <c r="D203" s="28"/>
      <c r="E203" s="28">
        <f t="shared" si="37"/>
        <v>10.01</v>
      </c>
      <c r="F203" s="28">
        <f t="shared" si="31"/>
        <v>5.72</v>
      </c>
      <c r="G203" s="28">
        <f t="shared" si="32"/>
        <v>4.29</v>
      </c>
      <c r="H203" s="28">
        <f t="shared" si="38"/>
        <v>143</v>
      </c>
      <c r="I203" s="28">
        <f>0.6*C203</f>
        <v>91.805999999999997</v>
      </c>
      <c r="J203" s="29"/>
      <c r="K203" s="29"/>
      <c r="L203" s="29"/>
      <c r="M203" s="29"/>
      <c r="N203" s="29"/>
      <c r="O203" s="28">
        <v>30108</v>
      </c>
      <c r="P203" s="28">
        <v>30251</v>
      </c>
      <c r="Q203" s="146"/>
      <c r="R203" s="61"/>
      <c r="S203" s="54">
        <v>1</v>
      </c>
      <c r="T203" s="28">
        <f t="shared" si="28"/>
        <v>143</v>
      </c>
      <c r="U203" s="455">
        <v>99680</v>
      </c>
      <c r="V203" s="733" t="s">
        <v>810</v>
      </c>
      <c r="W203" s="191" t="s">
        <v>48</v>
      </c>
      <c r="X203" s="7"/>
      <c r="Y203" s="7"/>
      <c r="Z203" s="7"/>
      <c r="AA203" s="7"/>
      <c r="AB203" s="7"/>
      <c r="AC203" s="7"/>
    </row>
    <row r="204" spans="1:29" ht="25.5">
      <c r="A204" s="19"/>
      <c r="B204" s="27" t="s">
        <v>904</v>
      </c>
      <c r="C204" s="28">
        <f t="shared" si="30"/>
        <v>328.49</v>
      </c>
      <c r="D204" s="28"/>
      <c r="E204" s="28">
        <f t="shared" si="37"/>
        <v>21.490000000000002</v>
      </c>
      <c r="F204" s="28">
        <f t="shared" si="31"/>
        <v>12.280000000000001</v>
      </c>
      <c r="G204" s="28">
        <f t="shared" si="32"/>
        <v>9.2099999999999991</v>
      </c>
      <c r="H204" s="28">
        <f t="shared" si="38"/>
        <v>307</v>
      </c>
      <c r="I204" s="28">
        <f t="shared" si="36"/>
        <v>197.09399999999999</v>
      </c>
      <c r="J204" s="29"/>
      <c r="K204" s="29"/>
      <c r="L204" s="29"/>
      <c r="M204" s="29"/>
      <c r="N204" s="29"/>
      <c r="O204" s="28">
        <v>65527</v>
      </c>
      <c r="P204" s="28">
        <v>65834</v>
      </c>
      <c r="Q204" s="29" t="s">
        <v>26</v>
      </c>
      <c r="R204" s="348"/>
      <c r="S204" s="54">
        <v>1</v>
      </c>
      <c r="T204" s="28">
        <f t="shared" si="28"/>
        <v>307</v>
      </c>
      <c r="U204" s="455">
        <v>100829</v>
      </c>
      <c r="V204" s="733" t="s">
        <v>258</v>
      </c>
      <c r="W204" s="191" t="s">
        <v>48</v>
      </c>
      <c r="X204" s="7"/>
      <c r="Y204" s="7"/>
      <c r="Z204" s="7"/>
      <c r="AA204" s="7"/>
      <c r="AB204" s="7"/>
      <c r="AC204" s="7"/>
    </row>
    <row r="205" spans="1:29" ht="25.5">
      <c r="A205" s="19"/>
      <c r="B205" s="420" t="s">
        <v>905</v>
      </c>
      <c r="C205" s="28">
        <f t="shared" si="30"/>
        <v>710.48</v>
      </c>
      <c r="D205" s="28"/>
      <c r="E205" s="28">
        <f t="shared" si="37"/>
        <v>46.480000000000004</v>
      </c>
      <c r="F205" s="28">
        <f t="shared" si="31"/>
        <v>26.560000000000002</v>
      </c>
      <c r="G205" s="28">
        <f t="shared" si="32"/>
        <v>19.919999999999998</v>
      </c>
      <c r="H205" s="28">
        <f t="shared" si="38"/>
        <v>664</v>
      </c>
      <c r="I205" s="28">
        <f t="shared" si="36"/>
        <v>426.28800000000001</v>
      </c>
      <c r="J205" s="29"/>
      <c r="K205" s="29"/>
      <c r="L205" s="29"/>
      <c r="M205" s="29"/>
      <c r="N205" s="29" t="s">
        <v>260</v>
      </c>
      <c r="O205" s="28">
        <v>57899</v>
      </c>
      <c r="P205" s="28">
        <v>58563</v>
      </c>
      <c r="Q205" s="30"/>
      <c r="R205" s="351"/>
      <c r="S205" s="54">
        <v>1</v>
      </c>
      <c r="T205" s="28">
        <f t="shared" si="28"/>
        <v>664</v>
      </c>
      <c r="U205" s="455">
        <v>100980</v>
      </c>
      <c r="V205" s="733" t="s">
        <v>276</v>
      </c>
      <c r="W205" s="191" t="s">
        <v>48</v>
      </c>
      <c r="X205" s="7"/>
      <c r="Y205" s="7"/>
      <c r="Z205" s="7"/>
      <c r="AA205" s="7"/>
      <c r="AB205" s="7"/>
      <c r="AC205" s="7"/>
    </row>
    <row r="206" spans="1:29" ht="41.25">
      <c r="A206" s="19"/>
      <c r="B206" s="27" t="s">
        <v>731</v>
      </c>
      <c r="C206" s="28">
        <f t="shared" si="30"/>
        <v>500.76</v>
      </c>
      <c r="D206" s="28"/>
      <c r="E206" s="28">
        <f t="shared" si="37"/>
        <v>32.76</v>
      </c>
      <c r="F206" s="28">
        <f t="shared" si="31"/>
        <v>18.72</v>
      </c>
      <c r="G206" s="28">
        <f t="shared" si="32"/>
        <v>14.04</v>
      </c>
      <c r="H206" s="28">
        <f t="shared" si="38"/>
        <v>468</v>
      </c>
      <c r="I206" s="28">
        <f t="shared" si="36"/>
        <v>300.45599999999996</v>
      </c>
      <c r="J206" s="29"/>
      <c r="K206" s="29"/>
      <c r="L206" s="29"/>
      <c r="M206" s="29"/>
      <c r="N206" s="29"/>
      <c r="O206" s="28">
        <v>45345</v>
      </c>
      <c r="P206" s="28">
        <v>45813</v>
      </c>
      <c r="Q206" s="30"/>
      <c r="R206" s="351"/>
      <c r="S206" s="28">
        <v>1</v>
      </c>
      <c r="T206" s="28">
        <f t="shared" si="28"/>
        <v>468</v>
      </c>
      <c r="U206" s="455" t="s">
        <v>973</v>
      </c>
      <c r="V206" s="733" t="s">
        <v>261</v>
      </c>
      <c r="W206" s="191" t="s">
        <v>48</v>
      </c>
      <c r="X206" s="7"/>
      <c r="Y206" s="7"/>
      <c r="Z206" s="7"/>
      <c r="AA206" s="7"/>
      <c r="AB206" s="7"/>
      <c r="AC206" s="7"/>
    </row>
    <row r="207" spans="1:29" ht="25.5">
      <c r="A207" s="19"/>
      <c r="B207" s="421" t="s">
        <v>732</v>
      </c>
      <c r="C207" s="28">
        <f t="shared" si="30"/>
        <v>330.63</v>
      </c>
      <c r="D207" s="28"/>
      <c r="E207" s="28">
        <f t="shared" si="37"/>
        <v>21.63</v>
      </c>
      <c r="F207" s="28">
        <f t="shared" si="31"/>
        <v>12.36</v>
      </c>
      <c r="G207" s="28">
        <f t="shared" si="32"/>
        <v>9.27</v>
      </c>
      <c r="H207" s="28">
        <f t="shared" si="38"/>
        <v>309</v>
      </c>
      <c r="I207" s="28">
        <f t="shared" si="36"/>
        <v>198.37799999999999</v>
      </c>
      <c r="J207" s="29"/>
      <c r="K207" s="29"/>
      <c r="L207" s="29"/>
      <c r="M207" s="29"/>
      <c r="N207" s="29"/>
      <c r="O207" s="28">
        <v>7432</v>
      </c>
      <c r="P207" s="28">
        <v>7741</v>
      </c>
      <c r="Q207" s="30"/>
      <c r="R207" s="351"/>
      <c r="S207" s="54">
        <v>1</v>
      </c>
      <c r="T207" s="28">
        <f>(P207-O207)*S207</f>
        <v>309</v>
      </c>
      <c r="U207" s="455" t="s">
        <v>974</v>
      </c>
      <c r="V207" s="733" t="s">
        <v>262</v>
      </c>
      <c r="W207" s="191" t="s">
        <v>48</v>
      </c>
      <c r="X207" s="7"/>
      <c r="Y207" s="7"/>
      <c r="Z207" s="7"/>
      <c r="AA207" s="7"/>
      <c r="AB207" s="7"/>
      <c r="AC207" s="7"/>
    </row>
    <row r="208" spans="1:29" ht="29.25" customHeight="1">
      <c r="A208" s="19"/>
      <c r="B208" s="27" t="s">
        <v>733</v>
      </c>
      <c r="C208" s="28">
        <f t="shared" si="30"/>
        <v>0</v>
      </c>
      <c r="D208" s="28"/>
      <c r="E208" s="28">
        <f>G208+F208</f>
        <v>0</v>
      </c>
      <c r="F208" s="28">
        <f t="shared" si="31"/>
        <v>0</v>
      </c>
      <c r="G208" s="28">
        <f t="shared" si="32"/>
        <v>0</v>
      </c>
      <c r="H208" s="28">
        <f t="shared" si="38"/>
        <v>0</v>
      </c>
      <c r="I208" s="28">
        <f t="shared" si="36"/>
        <v>0</v>
      </c>
      <c r="J208" s="29"/>
      <c r="K208" s="29"/>
      <c r="L208" s="29"/>
      <c r="M208" s="29"/>
      <c r="N208" s="29"/>
      <c r="O208" s="28">
        <v>68493</v>
      </c>
      <c r="P208" s="28">
        <v>68493</v>
      </c>
      <c r="Q208" s="30"/>
      <c r="R208" s="71"/>
      <c r="S208" s="54">
        <v>1</v>
      </c>
      <c r="T208" s="28">
        <f t="shared" si="28"/>
        <v>0</v>
      </c>
      <c r="U208" s="455">
        <v>492735</v>
      </c>
      <c r="V208" s="733" t="s">
        <v>1086</v>
      </c>
      <c r="W208" s="191" t="s">
        <v>48</v>
      </c>
      <c r="X208" s="7"/>
      <c r="Y208" s="7"/>
      <c r="Z208" s="7"/>
      <c r="AA208" s="7"/>
      <c r="AB208" s="7"/>
      <c r="AC208" s="7"/>
    </row>
    <row r="209" spans="1:29" ht="30" customHeight="1">
      <c r="A209" s="19"/>
      <c r="B209" s="27" t="s">
        <v>734</v>
      </c>
      <c r="C209" s="28">
        <f t="shared" si="30"/>
        <v>310.3</v>
      </c>
      <c r="D209" s="28"/>
      <c r="E209" s="28">
        <f>F209++G209</f>
        <v>20.299999999999997</v>
      </c>
      <c r="F209" s="28">
        <f t="shared" si="31"/>
        <v>11.6</v>
      </c>
      <c r="G209" s="28">
        <f t="shared" si="32"/>
        <v>8.6999999999999993</v>
      </c>
      <c r="H209" s="28">
        <f t="shared" si="38"/>
        <v>290</v>
      </c>
      <c r="I209" s="28">
        <f t="shared" si="36"/>
        <v>186.18</v>
      </c>
      <c r="J209" s="29"/>
      <c r="K209" s="29"/>
      <c r="L209" s="29"/>
      <c r="M209" s="29"/>
      <c r="N209" s="29"/>
      <c r="O209" s="28">
        <v>2811</v>
      </c>
      <c r="P209" s="28">
        <v>3101</v>
      </c>
      <c r="Q209" s="29" t="s">
        <v>28</v>
      </c>
      <c r="R209" s="348"/>
      <c r="S209" s="54">
        <v>1</v>
      </c>
      <c r="T209" s="28">
        <f t="shared" si="28"/>
        <v>290</v>
      </c>
      <c r="U209" s="455">
        <v>77006572</v>
      </c>
      <c r="V209" s="733" t="s">
        <v>264</v>
      </c>
      <c r="W209" s="191" t="s">
        <v>48</v>
      </c>
      <c r="X209" s="7"/>
      <c r="Y209" s="7"/>
      <c r="Z209" s="7"/>
      <c r="AA209" s="7"/>
      <c r="AB209" s="7"/>
      <c r="AC209" s="7"/>
    </row>
    <row r="210" spans="1:29" ht="26.25">
      <c r="A210" s="19"/>
      <c r="B210" s="27" t="s">
        <v>735</v>
      </c>
      <c r="C210" s="28">
        <f t="shared" si="30"/>
        <v>455.82</v>
      </c>
      <c r="D210" s="28"/>
      <c r="E210" s="28">
        <f>F210+G210</f>
        <v>29.82</v>
      </c>
      <c r="F210" s="28">
        <f t="shared" si="31"/>
        <v>17.04</v>
      </c>
      <c r="G210" s="28">
        <f t="shared" si="32"/>
        <v>12.78</v>
      </c>
      <c r="H210" s="28">
        <f t="shared" si="38"/>
        <v>426</v>
      </c>
      <c r="I210" s="28">
        <f t="shared" si="36"/>
        <v>273.49199999999996</v>
      </c>
      <c r="J210" s="29"/>
      <c r="K210" s="29"/>
      <c r="L210" s="29"/>
      <c r="M210" s="29"/>
      <c r="N210" s="29"/>
      <c r="O210" s="28">
        <v>86959</v>
      </c>
      <c r="P210" s="28">
        <v>87385</v>
      </c>
      <c r="Q210" s="29"/>
      <c r="R210" s="348"/>
      <c r="S210" s="28">
        <v>1</v>
      </c>
      <c r="T210" s="28">
        <f t="shared" si="28"/>
        <v>426</v>
      </c>
      <c r="U210" s="455">
        <v>503440</v>
      </c>
      <c r="V210" s="733" t="s">
        <v>265</v>
      </c>
      <c r="W210" s="191" t="s">
        <v>48</v>
      </c>
      <c r="X210" s="7"/>
      <c r="Y210" s="7"/>
      <c r="Z210" s="7"/>
      <c r="AA210" s="7"/>
      <c r="AB210" s="7"/>
      <c r="AC210" s="7"/>
    </row>
    <row r="211" spans="1:29" ht="26.25">
      <c r="A211" s="19"/>
      <c r="B211" s="27" t="s">
        <v>736</v>
      </c>
      <c r="C211" s="28">
        <f t="shared" si="30"/>
        <v>201.16</v>
      </c>
      <c r="D211" s="28"/>
      <c r="E211" s="28">
        <f>F211+G211</f>
        <v>13.16</v>
      </c>
      <c r="F211" s="28">
        <f t="shared" si="31"/>
        <v>7.5200000000000005</v>
      </c>
      <c r="G211" s="28">
        <f t="shared" si="32"/>
        <v>5.64</v>
      </c>
      <c r="H211" s="28">
        <f t="shared" si="38"/>
        <v>188</v>
      </c>
      <c r="I211" s="28">
        <f t="shared" si="36"/>
        <v>120.696</v>
      </c>
      <c r="J211" s="46"/>
      <c r="K211" s="46"/>
      <c r="L211" s="46"/>
      <c r="M211" s="46"/>
      <c r="N211" s="46"/>
      <c r="O211" s="28">
        <v>54090</v>
      </c>
      <c r="P211" s="28">
        <v>54278</v>
      </c>
      <c r="Q211" s="146"/>
      <c r="R211" s="61"/>
      <c r="S211" s="54">
        <v>1</v>
      </c>
      <c r="T211" s="28">
        <f t="shared" si="28"/>
        <v>188</v>
      </c>
      <c r="U211" s="455">
        <v>492892</v>
      </c>
      <c r="V211" s="805" t="s">
        <v>266</v>
      </c>
      <c r="W211" s="191" t="s">
        <v>48</v>
      </c>
      <c r="X211" s="7"/>
      <c r="Y211" s="7"/>
      <c r="Z211" s="7"/>
      <c r="AA211" s="7"/>
      <c r="AB211" s="7"/>
      <c r="AC211" s="7"/>
    </row>
    <row r="212" spans="1:29" ht="30" customHeight="1">
      <c r="A212" s="19"/>
      <c r="B212" s="27" t="s">
        <v>737</v>
      </c>
      <c r="C212" s="28">
        <f t="shared" si="30"/>
        <v>180.82999999999998</v>
      </c>
      <c r="D212" s="28"/>
      <c r="E212" s="28">
        <f>F212+G212</f>
        <v>11.829999999999998</v>
      </c>
      <c r="F212" s="28">
        <f t="shared" si="31"/>
        <v>6.76</v>
      </c>
      <c r="G212" s="28">
        <f t="shared" si="32"/>
        <v>5.0699999999999994</v>
      </c>
      <c r="H212" s="28">
        <f>T212</f>
        <v>169</v>
      </c>
      <c r="I212" s="28">
        <f t="shared" si="36"/>
        <v>108.49799999999999</v>
      </c>
      <c r="J212" s="29"/>
      <c r="K212" s="29"/>
      <c r="L212" s="29"/>
      <c r="M212" s="29"/>
      <c r="N212" s="29"/>
      <c r="O212" s="28">
        <v>36141</v>
      </c>
      <c r="P212" s="28">
        <v>36310</v>
      </c>
      <c r="Q212" s="30"/>
      <c r="R212" s="351"/>
      <c r="S212" s="28">
        <v>1</v>
      </c>
      <c r="T212" s="28">
        <f t="shared" si="28"/>
        <v>169</v>
      </c>
      <c r="U212" s="455">
        <v>503014</v>
      </c>
      <c r="V212" s="805"/>
      <c r="W212" s="191" t="s">
        <v>48</v>
      </c>
      <c r="X212" s="7"/>
      <c r="Y212" s="7"/>
      <c r="Z212" s="7"/>
      <c r="AA212" s="7"/>
      <c r="AB212" s="7"/>
      <c r="AC212" s="7"/>
    </row>
    <row r="213" spans="1:29" ht="26.25">
      <c r="A213" s="19"/>
      <c r="B213" s="413" t="s">
        <v>738</v>
      </c>
      <c r="C213" s="414">
        <f t="shared" si="30"/>
        <v>347.75</v>
      </c>
      <c r="D213" s="414"/>
      <c r="E213" s="414">
        <f>G213+F213</f>
        <v>22.75</v>
      </c>
      <c r="F213" s="414">
        <f t="shared" si="31"/>
        <v>13</v>
      </c>
      <c r="G213" s="414">
        <f t="shared" si="32"/>
        <v>9.75</v>
      </c>
      <c r="H213" s="414">
        <f t="shared" ref="H213:H271" si="39">T213</f>
        <v>325</v>
      </c>
      <c r="I213" s="414">
        <f t="shared" si="36"/>
        <v>208.65</v>
      </c>
      <c r="J213" s="415"/>
      <c r="K213" s="415"/>
      <c r="L213" s="415"/>
      <c r="M213" s="415"/>
      <c r="N213" s="415"/>
      <c r="O213" s="414">
        <v>34985</v>
      </c>
      <c r="P213" s="414">
        <v>35310</v>
      </c>
      <c r="Q213" s="422"/>
      <c r="R213" s="423"/>
      <c r="S213" s="418">
        <v>1</v>
      </c>
      <c r="T213" s="414">
        <f t="shared" si="28"/>
        <v>325</v>
      </c>
      <c r="U213" s="455">
        <v>88031383</v>
      </c>
      <c r="V213" s="733" t="s">
        <v>267</v>
      </c>
      <c r="W213" s="191" t="s">
        <v>48</v>
      </c>
      <c r="X213" s="7"/>
      <c r="Y213" s="7"/>
      <c r="Z213" s="7"/>
      <c r="AA213" s="7"/>
      <c r="AB213" s="7"/>
      <c r="AC213" s="7"/>
    </row>
    <row r="214" spans="1:29" ht="25.5">
      <c r="A214" s="19"/>
      <c r="B214" s="27" t="s">
        <v>268</v>
      </c>
      <c r="C214" s="28">
        <f t="shared" si="30"/>
        <v>158.36000000000001</v>
      </c>
      <c r="D214" s="28"/>
      <c r="E214" s="28">
        <f>F214+G214</f>
        <v>10.36</v>
      </c>
      <c r="F214" s="28">
        <f t="shared" si="31"/>
        <v>5.92</v>
      </c>
      <c r="G214" s="28">
        <f t="shared" si="32"/>
        <v>4.4399999999999995</v>
      </c>
      <c r="H214" s="28">
        <f t="shared" si="39"/>
        <v>148</v>
      </c>
      <c r="I214" s="28">
        <f t="shared" si="36"/>
        <v>95.016000000000005</v>
      </c>
      <c r="J214" s="29"/>
      <c r="K214" s="29"/>
      <c r="L214" s="29"/>
      <c r="M214" s="29"/>
      <c r="N214" s="29"/>
      <c r="O214" s="28">
        <v>28762</v>
      </c>
      <c r="P214" s="28">
        <v>28910</v>
      </c>
      <c r="Q214" s="30"/>
      <c r="R214" s="351"/>
      <c r="S214" s="28">
        <v>1</v>
      </c>
      <c r="T214" s="28">
        <f t="shared" si="28"/>
        <v>148</v>
      </c>
      <c r="U214" s="455">
        <v>16596</v>
      </c>
      <c r="V214" s="733" t="s">
        <v>563</v>
      </c>
      <c r="W214" s="191" t="s">
        <v>48</v>
      </c>
      <c r="X214" s="7"/>
      <c r="Y214" s="7"/>
      <c r="Z214" s="7"/>
      <c r="AA214" s="7"/>
      <c r="AB214" s="7"/>
      <c r="AC214" s="7"/>
    </row>
    <row r="215" spans="1:29" ht="26.25">
      <c r="A215" s="19"/>
      <c r="B215" s="27" t="s">
        <v>739</v>
      </c>
      <c r="C215" s="28">
        <f t="shared" si="30"/>
        <v>207.57999999999998</v>
      </c>
      <c r="D215" s="28"/>
      <c r="E215" s="28">
        <f>F215+G215</f>
        <v>13.579999999999998</v>
      </c>
      <c r="F215" s="28">
        <f t="shared" si="31"/>
        <v>7.76</v>
      </c>
      <c r="G215" s="28">
        <f t="shared" si="32"/>
        <v>5.8199999999999994</v>
      </c>
      <c r="H215" s="28">
        <f t="shared" si="39"/>
        <v>194</v>
      </c>
      <c r="I215" s="28">
        <f t="shared" si="36"/>
        <v>124.54799999999999</v>
      </c>
      <c r="J215" s="29"/>
      <c r="K215" s="29"/>
      <c r="L215" s="29"/>
      <c r="M215" s="29"/>
      <c r="N215" s="29"/>
      <c r="O215" s="28">
        <v>41672</v>
      </c>
      <c r="P215" s="28">
        <v>41866</v>
      </c>
      <c r="Q215" s="29"/>
      <c r="R215" s="348"/>
      <c r="S215" s="28">
        <v>1</v>
      </c>
      <c r="T215" s="28">
        <f t="shared" si="28"/>
        <v>194</v>
      </c>
      <c r="U215" s="455">
        <v>88031436</v>
      </c>
      <c r="V215" s="733" t="s">
        <v>269</v>
      </c>
      <c r="W215" s="191" t="s">
        <v>48</v>
      </c>
      <c r="X215" s="7"/>
      <c r="Y215" s="7"/>
      <c r="Z215" s="7"/>
      <c r="AA215" s="7"/>
      <c r="AB215" s="7"/>
      <c r="AC215" s="7"/>
    </row>
    <row r="216" spans="1:29" ht="35.25" customHeight="1">
      <c r="A216" s="19"/>
      <c r="B216" s="27" t="s">
        <v>740</v>
      </c>
      <c r="C216" s="28">
        <f t="shared" si="30"/>
        <v>838.88</v>
      </c>
      <c r="D216" s="28"/>
      <c r="E216" s="28">
        <f>F216+G216</f>
        <v>54.879999999999995</v>
      </c>
      <c r="F216" s="28">
        <f t="shared" si="31"/>
        <v>31.36</v>
      </c>
      <c r="G216" s="28">
        <f t="shared" si="32"/>
        <v>23.52</v>
      </c>
      <c r="H216" s="28">
        <f t="shared" si="39"/>
        <v>784</v>
      </c>
      <c r="I216" s="28">
        <f t="shared" si="36"/>
        <v>503.32799999999997</v>
      </c>
      <c r="J216" s="29"/>
      <c r="K216" s="29"/>
      <c r="L216" s="29"/>
      <c r="M216" s="29"/>
      <c r="N216" s="29"/>
      <c r="O216" s="424">
        <v>59463</v>
      </c>
      <c r="P216" s="424">
        <v>60247</v>
      </c>
      <c r="Q216" s="30"/>
      <c r="R216" s="351"/>
      <c r="S216" s="28">
        <v>1</v>
      </c>
      <c r="T216" s="28">
        <f t="shared" si="28"/>
        <v>784</v>
      </c>
      <c r="U216" s="455">
        <v>88031413</v>
      </c>
      <c r="V216" s="733" t="s">
        <v>778</v>
      </c>
      <c r="W216" s="191" t="s">
        <v>48</v>
      </c>
      <c r="X216" s="7"/>
      <c r="Y216" s="7"/>
      <c r="Z216" s="7"/>
      <c r="AA216" s="7"/>
      <c r="AB216" s="7"/>
      <c r="AC216" s="7"/>
    </row>
    <row r="217" spans="1:29" ht="25.5">
      <c r="A217" s="19"/>
      <c r="B217" s="27" t="s">
        <v>270</v>
      </c>
      <c r="C217" s="349">
        <f t="shared" si="30"/>
        <v>1351.41</v>
      </c>
      <c r="D217" s="349"/>
      <c r="E217" s="349">
        <f>F217+G217</f>
        <v>88.41</v>
      </c>
      <c r="F217" s="349">
        <f t="shared" si="31"/>
        <v>50.52</v>
      </c>
      <c r="G217" s="349">
        <f t="shared" si="32"/>
        <v>37.89</v>
      </c>
      <c r="H217" s="349">
        <f t="shared" si="39"/>
        <v>1263</v>
      </c>
      <c r="I217" s="349"/>
      <c r="J217" s="29"/>
      <c r="K217" s="29"/>
      <c r="L217" s="29"/>
      <c r="M217" s="29"/>
      <c r="N217" s="29" t="s">
        <v>271</v>
      </c>
      <c r="O217" s="349">
        <v>32561</v>
      </c>
      <c r="P217" s="349">
        <v>33824</v>
      </c>
      <c r="Q217" s="146"/>
      <c r="R217" s="425"/>
      <c r="S217" s="349">
        <v>1</v>
      </c>
      <c r="T217" s="28">
        <f t="shared" si="28"/>
        <v>1263</v>
      </c>
      <c r="U217" s="738" t="s">
        <v>975</v>
      </c>
      <c r="V217" s="733" t="s">
        <v>272</v>
      </c>
      <c r="W217" s="14" t="s">
        <v>82</v>
      </c>
      <c r="X217" s="7"/>
      <c r="Y217" s="7"/>
      <c r="Z217" s="7"/>
      <c r="AA217" s="7"/>
      <c r="AB217" s="7"/>
      <c r="AC217" s="7"/>
    </row>
    <row r="218" spans="1:29" ht="33.75" customHeight="1">
      <c r="A218" s="19"/>
      <c r="B218" s="27" t="s">
        <v>741</v>
      </c>
      <c r="C218" s="28">
        <f t="shared" si="30"/>
        <v>0</v>
      </c>
      <c r="D218" s="28"/>
      <c r="E218" s="28">
        <f>G218+F218</f>
        <v>0</v>
      </c>
      <c r="F218" s="28">
        <f t="shared" si="31"/>
        <v>0</v>
      </c>
      <c r="G218" s="28">
        <f t="shared" si="32"/>
        <v>0</v>
      </c>
      <c r="H218" s="28">
        <f t="shared" si="39"/>
        <v>0</v>
      </c>
      <c r="I218" s="28">
        <f t="shared" si="36"/>
        <v>0</v>
      </c>
      <c r="J218" s="29"/>
      <c r="K218" s="29"/>
      <c r="L218" s="29"/>
      <c r="M218" s="29"/>
      <c r="N218" s="29"/>
      <c r="O218" s="28">
        <v>38589</v>
      </c>
      <c r="P218" s="28">
        <v>38589</v>
      </c>
      <c r="Q218" s="30"/>
      <c r="R218" s="71"/>
      <c r="S218" s="54">
        <v>1</v>
      </c>
      <c r="T218" s="28">
        <f t="shared" si="28"/>
        <v>0</v>
      </c>
      <c r="U218" s="455">
        <v>4369</v>
      </c>
      <c r="V218" s="733" t="s">
        <v>273</v>
      </c>
      <c r="W218" s="14" t="s">
        <v>48</v>
      </c>
      <c r="X218" s="7"/>
      <c r="Y218" s="7"/>
      <c r="Z218" s="7"/>
      <c r="AA218" s="7"/>
      <c r="AB218" s="7"/>
      <c r="AC218" s="7"/>
    </row>
    <row r="219" spans="1:29" s="198" customFormat="1" ht="24.75" customHeight="1">
      <c r="A219" s="196"/>
      <c r="B219" s="27" t="s">
        <v>755</v>
      </c>
      <c r="C219" s="419">
        <f t="shared" si="30"/>
        <v>0</v>
      </c>
      <c r="D219" s="28"/>
      <c r="E219" s="28">
        <f>F219+G219</f>
        <v>0</v>
      </c>
      <c r="F219" s="28">
        <f t="shared" si="31"/>
        <v>0</v>
      </c>
      <c r="G219" s="28">
        <f t="shared" si="32"/>
        <v>0</v>
      </c>
      <c r="H219" s="28">
        <f t="shared" si="39"/>
        <v>0</v>
      </c>
      <c r="I219" s="28">
        <f t="shared" si="36"/>
        <v>0</v>
      </c>
      <c r="J219" s="29"/>
      <c r="K219" s="29"/>
      <c r="L219" s="29"/>
      <c r="M219" s="29"/>
      <c r="N219" s="29"/>
      <c r="O219" s="28">
        <v>36462</v>
      </c>
      <c r="P219" s="28">
        <v>36462</v>
      </c>
      <c r="Q219" s="30"/>
      <c r="R219" s="71"/>
      <c r="S219" s="54">
        <v>1</v>
      </c>
      <c r="T219" s="28">
        <f t="shared" si="28"/>
        <v>0</v>
      </c>
      <c r="U219" s="455">
        <v>1400</v>
      </c>
      <c r="V219" s="733" t="s">
        <v>274</v>
      </c>
      <c r="W219" s="14" t="s">
        <v>48</v>
      </c>
      <c r="X219" s="197"/>
      <c r="Y219" s="197"/>
      <c r="Z219" s="197"/>
      <c r="AA219" s="197"/>
      <c r="AB219" s="197"/>
      <c r="AC219" s="197"/>
    </row>
    <row r="220" spans="1:29" ht="26.25">
      <c r="A220" s="19"/>
      <c r="B220" s="27" t="s">
        <v>742</v>
      </c>
      <c r="C220" s="28">
        <f t="shared" si="30"/>
        <v>0</v>
      </c>
      <c r="D220" s="28"/>
      <c r="E220" s="28">
        <f>G220+F220</f>
        <v>0</v>
      </c>
      <c r="F220" s="28">
        <f t="shared" si="31"/>
        <v>0</v>
      </c>
      <c r="G220" s="28">
        <f t="shared" si="32"/>
        <v>0</v>
      </c>
      <c r="H220" s="28">
        <f t="shared" si="39"/>
        <v>0</v>
      </c>
      <c r="I220" s="28">
        <f t="shared" si="36"/>
        <v>0</v>
      </c>
      <c r="J220" s="29"/>
      <c r="K220" s="29"/>
      <c r="L220" s="29"/>
      <c r="M220" s="29"/>
      <c r="N220" s="29"/>
      <c r="O220" s="28">
        <v>43342</v>
      </c>
      <c r="P220" s="28">
        <v>43342</v>
      </c>
      <c r="Q220" s="146"/>
      <c r="R220" s="61"/>
      <c r="S220" s="54">
        <v>1</v>
      </c>
      <c r="T220" s="28">
        <f t="shared" si="28"/>
        <v>0</v>
      </c>
      <c r="U220" s="455">
        <v>2328</v>
      </c>
      <c r="V220" s="733" t="s">
        <v>275</v>
      </c>
      <c r="W220" s="14" t="s">
        <v>48</v>
      </c>
      <c r="X220" s="7"/>
      <c r="Y220" s="7"/>
      <c r="Z220" s="7"/>
      <c r="AA220" s="7"/>
      <c r="AB220" s="7"/>
      <c r="AC220" s="7"/>
    </row>
    <row r="221" spans="1:29" ht="26.25">
      <c r="A221" s="19"/>
      <c r="B221" s="27" t="s">
        <v>743</v>
      </c>
      <c r="C221" s="419">
        <f t="shared" si="30"/>
        <v>0</v>
      </c>
      <c r="D221" s="28"/>
      <c r="E221" s="28">
        <f t="shared" ref="E221:E230" si="40">F221+G221</f>
        <v>0</v>
      </c>
      <c r="F221" s="28">
        <f t="shared" si="31"/>
        <v>0</v>
      </c>
      <c r="G221" s="28">
        <f t="shared" si="32"/>
        <v>0</v>
      </c>
      <c r="H221" s="28">
        <f t="shared" si="39"/>
        <v>0</v>
      </c>
      <c r="I221" s="28">
        <f t="shared" si="36"/>
        <v>0</v>
      </c>
      <c r="J221" s="29"/>
      <c r="K221" s="29"/>
      <c r="L221" s="29"/>
      <c r="M221" s="29"/>
      <c r="N221" s="29"/>
      <c r="O221" s="28">
        <v>77142</v>
      </c>
      <c r="P221" s="28">
        <v>77142</v>
      </c>
      <c r="Q221" s="30"/>
      <c r="R221" s="71"/>
      <c r="S221" s="54">
        <v>1</v>
      </c>
      <c r="T221" s="28">
        <f t="shared" si="28"/>
        <v>0</v>
      </c>
      <c r="U221" s="455">
        <v>6910</v>
      </c>
      <c r="V221" s="733" t="s">
        <v>276</v>
      </c>
      <c r="W221" s="14" t="s">
        <v>48</v>
      </c>
      <c r="X221" s="7"/>
      <c r="Y221" s="7"/>
      <c r="Z221" s="7"/>
      <c r="AA221" s="7"/>
      <c r="AB221" s="7"/>
      <c r="AC221" s="7"/>
    </row>
    <row r="222" spans="1:29" ht="25.5">
      <c r="A222" s="19"/>
      <c r="B222" s="420" t="s">
        <v>744</v>
      </c>
      <c r="C222" s="28">
        <f t="shared" si="30"/>
        <v>216.14</v>
      </c>
      <c r="D222" s="28"/>
      <c r="E222" s="28">
        <f t="shared" si="40"/>
        <v>14.14</v>
      </c>
      <c r="F222" s="28">
        <f t="shared" si="31"/>
        <v>8.08</v>
      </c>
      <c r="G222" s="28">
        <f t="shared" si="32"/>
        <v>6.06</v>
      </c>
      <c r="H222" s="28">
        <f t="shared" si="39"/>
        <v>202</v>
      </c>
      <c r="I222" s="28">
        <f t="shared" si="36"/>
        <v>129.684</v>
      </c>
      <c r="J222" s="29"/>
      <c r="K222" s="29"/>
      <c r="L222" s="29"/>
      <c r="M222" s="29"/>
      <c r="N222" s="29"/>
      <c r="O222" s="28">
        <v>8070</v>
      </c>
      <c r="P222" s="28">
        <v>8272</v>
      </c>
      <c r="Q222" s="30"/>
      <c r="R222" s="351"/>
      <c r="S222" s="54">
        <v>1</v>
      </c>
      <c r="T222" s="28">
        <f t="shared" si="28"/>
        <v>202</v>
      </c>
      <c r="U222" s="455" t="s">
        <v>976</v>
      </c>
      <c r="V222" s="733" t="s">
        <v>277</v>
      </c>
      <c r="W222" s="14" t="s">
        <v>48</v>
      </c>
      <c r="X222" s="7"/>
      <c r="Y222" s="7"/>
      <c r="Z222" s="7"/>
      <c r="AA222" s="7"/>
      <c r="AB222" s="7"/>
      <c r="AC222" s="7"/>
    </row>
    <row r="223" spans="1:29" ht="26.25">
      <c r="A223" s="19"/>
      <c r="B223" s="367" t="s">
        <v>278</v>
      </c>
      <c r="C223" s="28">
        <f t="shared" si="30"/>
        <v>499.69</v>
      </c>
      <c r="D223" s="28"/>
      <c r="E223" s="28">
        <f t="shared" si="40"/>
        <v>32.69</v>
      </c>
      <c r="F223" s="28">
        <f t="shared" si="31"/>
        <v>18.68</v>
      </c>
      <c r="G223" s="28">
        <f t="shared" si="32"/>
        <v>14.01</v>
      </c>
      <c r="H223" s="28">
        <f t="shared" si="39"/>
        <v>467</v>
      </c>
      <c r="I223" s="28">
        <f t="shared" si="36"/>
        <v>299.81399999999996</v>
      </c>
      <c r="J223" s="29"/>
      <c r="K223" s="29"/>
      <c r="L223" s="29"/>
      <c r="M223" s="29"/>
      <c r="N223" s="29"/>
      <c r="O223" s="28">
        <v>23784</v>
      </c>
      <c r="P223" s="28">
        <v>24251</v>
      </c>
      <c r="Q223" s="146"/>
      <c r="R223" s="61"/>
      <c r="S223" s="54">
        <v>1</v>
      </c>
      <c r="T223" s="28">
        <f t="shared" si="28"/>
        <v>467</v>
      </c>
      <c r="U223" s="455" t="s">
        <v>977</v>
      </c>
      <c r="V223" s="733" t="s">
        <v>279</v>
      </c>
      <c r="W223" s="14" t="s">
        <v>48</v>
      </c>
      <c r="X223" s="7"/>
      <c r="Y223" s="7"/>
      <c r="Z223" s="7"/>
      <c r="AA223" s="7"/>
      <c r="AB223" s="7"/>
      <c r="AC223" s="7"/>
    </row>
    <row r="224" spans="1:29" ht="26.25">
      <c r="A224" s="19"/>
      <c r="B224" s="27" t="s">
        <v>745</v>
      </c>
      <c r="C224" s="28">
        <f t="shared" si="30"/>
        <v>0</v>
      </c>
      <c r="D224" s="28"/>
      <c r="E224" s="28">
        <f t="shared" si="40"/>
        <v>0</v>
      </c>
      <c r="F224" s="28">
        <f t="shared" si="31"/>
        <v>0</v>
      </c>
      <c r="G224" s="28">
        <f t="shared" si="32"/>
        <v>0</v>
      </c>
      <c r="H224" s="28">
        <f t="shared" si="39"/>
        <v>0</v>
      </c>
      <c r="I224" s="28">
        <f>0.5*C224</f>
        <v>0</v>
      </c>
      <c r="J224" s="29"/>
      <c r="K224" s="29"/>
      <c r="L224" s="29"/>
      <c r="M224" s="29"/>
      <c r="N224" s="29"/>
      <c r="O224" s="28">
        <v>7086</v>
      </c>
      <c r="P224" s="28">
        <v>7086</v>
      </c>
      <c r="Q224" s="30"/>
      <c r="R224" s="351"/>
      <c r="S224" s="28">
        <v>1</v>
      </c>
      <c r="T224" s="28">
        <f t="shared" si="28"/>
        <v>0</v>
      </c>
      <c r="U224" s="455" t="s">
        <v>978</v>
      </c>
      <c r="V224" s="733" t="s">
        <v>280</v>
      </c>
      <c r="W224" s="14" t="s">
        <v>48</v>
      </c>
      <c r="X224" s="7"/>
      <c r="Y224" s="7"/>
      <c r="Z224" s="7"/>
      <c r="AA224" s="7"/>
      <c r="AB224" s="7"/>
      <c r="AC224" s="7"/>
    </row>
    <row r="225" spans="1:29" ht="25.5">
      <c r="A225" s="19"/>
      <c r="B225" s="27" t="s">
        <v>281</v>
      </c>
      <c r="C225" s="28">
        <f t="shared" si="30"/>
        <v>186.18</v>
      </c>
      <c r="D225" s="28"/>
      <c r="E225" s="28">
        <f t="shared" si="40"/>
        <v>12.18</v>
      </c>
      <c r="F225" s="28">
        <f t="shared" si="31"/>
        <v>6.96</v>
      </c>
      <c r="G225" s="28">
        <f t="shared" si="32"/>
        <v>5.22</v>
      </c>
      <c r="H225" s="28">
        <f t="shared" si="39"/>
        <v>174</v>
      </c>
      <c r="I225" s="28">
        <f>0.5*C225</f>
        <v>93.09</v>
      </c>
      <c r="J225" s="29"/>
      <c r="K225" s="29"/>
      <c r="L225" s="29"/>
      <c r="M225" s="29"/>
      <c r="N225" s="29"/>
      <c r="O225" s="28">
        <v>37867</v>
      </c>
      <c r="P225" s="28">
        <v>38041</v>
      </c>
      <c r="Q225" s="30"/>
      <c r="R225" s="351"/>
      <c r="S225" s="28">
        <v>1</v>
      </c>
      <c r="T225" s="28">
        <f t="shared" si="28"/>
        <v>174</v>
      </c>
      <c r="U225" s="455" t="s">
        <v>979</v>
      </c>
      <c r="V225" s="733" t="s">
        <v>282</v>
      </c>
      <c r="W225" s="14" t="s">
        <v>48</v>
      </c>
      <c r="X225" s="7"/>
      <c r="Y225" s="7"/>
      <c r="Z225" s="7"/>
      <c r="AA225" s="7"/>
      <c r="AB225" s="7"/>
      <c r="AC225" s="7"/>
    </row>
    <row r="226" spans="1:29" ht="26.25">
      <c r="A226" s="19"/>
      <c r="B226" s="27" t="s">
        <v>283</v>
      </c>
      <c r="C226" s="28">
        <f t="shared" si="30"/>
        <v>184.04</v>
      </c>
      <c r="D226" s="28"/>
      <c r="E226" s="28">
        <f t="shared" si="40"/>
        <v>12.04</v>
      </c>
      <c r="F226" s="28">
        <f t="shared" si="31"/>
        <v>6.88</v>
      </c>
      <c r="G226" s="28">
        <f t="shared" si="32"/>
        <v>5.16</v>
      </c>
      <c r="H226" s="28">
        <f t="shared" si="39"/>
        <v>172</v>
      </c>
      <c r="I226" s="72">
        <f>0.6*C226</f>
        <v>110.42399999999999</v>
      </c>
      <c r="J226" s="29"/>
      <c r="K226" s="29"/>
      <c r="L226" s="29"/>
      <c r="M226" s="29"/>
      <c r="N226" s="29"/>
      <c r="O226" s="28">
        <v>4306</v>
      </c>
      <c r="P226" s="28">
        <v>4478</v>
      </c>
      <c r="Q226" s="30"/>
      <c r="R226" s="351"/>
      <c r="S226" s="54">
        <v>1</v>
      </c>
      <c r="T226" s="28">
        <f t="shared" si="28"/>
        <v>172</v>
      </c>
      <c r="U226" s="455" t="s">
        <v>980</v>
      </c>
      <c r="V226" s="733" t="s">
        <v>284</v>
      </c>
      <c r="W226" s="14" t="s">
        <v>48</v>
      </c>
      <c r="X226" s="7"/>
      <c r="Y226" s="7"/>
      <c r="Z226" s="7"/>
      <c r="AA226" s="7"/>
      <c r="AB226" s="7"/>
      <c r="AC226" s="7"/>
    </row>
    <row r="227" spans="1:29" ht="26.25">
      <c r="A227" s="19"/>
      <c r="B227" s="27" t="s">
        <v>746</v>
      </c>
      <c r="C227" s="28">
        <f t="shared" si="30"/>
        <v>57.78</v>
      </c>
      <c r="D227" s="28"/>
      <c r="E227" s="28">
        <f t="shared" si="40"/>
        <v>3.7800000000000002</v>
      </c>
      <c r="F227" s="28">
        <f t="shared" si="31"/>
        <v>2.16</v>
      </c>
      <c r="G227" s="28">
        <f t="shared" si="32"/>
        <v>1.6199999999999999</v>
      </c>
      <c r="H227" s="28">
        <f t="shared" si="39"/>
        <v>54</v>
      </c>
      <c r="I227" s="72">
        <f>0.6*C227</f>
        <v>34.667999999999999</v>
      </c>
      <c r="J227" s="29"/>
      <c r="K227" s="29"/>
      <c r="L227" s="29"/>
      <c r="M227" s="29"/>
      <c r="N227" s="29"/>
      <c r="O227" s="28">
        <v>22245</v>
      </c>
      <c r="P227" s="28">
        <v>22299</v>
      </c>
      <c r="Q227" s="30"/>
      <c r="R227" s="351"/>
      <c r="S227" s="54">
        <v>1</v>
      </c>
      <c r="T227" s="28">
        <f t="shared" si="28"/>
        <v>54</v>
      </c>
      <c r="U227" s="455">
        <v>530958</v>
      </c>
      <c r="V227" s="733" t="s">
        <v>285</v>
      </c>
      <c r="W227" s="14" t="s">
        <v>48</v>
      </c>
      <c r="X227" s="7"/>
      <c r="Y227" s="7"/>
      <c r="Z227" s="7"/>
      <c r="AA227" s="7"/>
      <c r="AB227" s="7"/>
      <c r="AC227" s="7"/>
    </row>
    <row r="228" spans="1:29" ht="26.25">
      <c r="A228" s="19"/>
      <c r="B228" s="27" t="s">
        <v>747</v>
      </c>
      <c r="C228" s="28">
        <f t="shared" si="30"/>
        <v>270.70999999999998</v>
      </c>
      <c r="D228" s="28"/>
      <c r="E228" s="28">
        <f t="shared" si="40"/>
        <v>17.71</v>
      </c>
      <c r="F228" s="28">
        <f t="shared" si="31"/>
        <v>10.120000000000001</v>
      </c>
      <c r="G228" s="28">
        <f t="shared" si="32"/>
        <v>7.59</v>
      </c>
      <c r="H228" s="28">
        <f t="shared" si="39"/>
        <v>253</v>
      </c>
      <c r="I228" s="28">
        <f>0.6*C228</f>
        <v>162.42599999999999</v>
      </c>
      <c r="J228" s="29"/>
      <c r="K228" s="29"/>
      <c r="L228" s="29"/>
      <c r="M228" s="29"/>
      <c r="N228" s="29"/>
      <c r="O228" s="28">
        <v>18449</v>
      </c>
      <c r="P228" s="28">
        <v>18702</v>
      </c>
      <c r="Q228" s="30"/>
      <c r="R228" s="351"/>
      <c r="S228" s="28">
        <v>1</v>
      </c>
      <c r="T228" s="28">
        <f t="shared" si="28"/>
        <v>253</v>
      </c>
      <c r="U228" s="455">
        <v>607637</v>
      </c>
      <c r="V228" s="733" t="s">
        <v>286</v>
      </c>
      <c r="W228" s="14" t="s">
        <v>48</v>
      </c>
      <c r="X228" s="7"/>
      <c r="Y228" s="7"/>
      <c r="Z228" s="7"/>
      <c r="AA228" s="7"/>
      <c r="AB228" s="7"/>
      <c r="AC228" s="7"/>
    </row>
    <row r="229" spans="1:29" ht="26.25">
      <c r="A229" s="19"/>
      <c r="B229" s="27" t="s">
        <v>287</v>
      </c>
      <c r="C229" s="28">
        <f t="shared" si="30"/>
        <v>230.05</v>
      </c>
      <c r="D229" s="28"/>
      <c r="E229" s="28">
        <f t="shared" si="40"/>
        <v>15.05</v>
      </c>
      <c r="F229" s="28">
        <f t="shared" si="31"/>
        <v>8.6</v>
      </c>
      <c r="G229" s="28">
        <f t="shared" si="32"/>
        <v>6.45</v>
      </c>
      <c r="H229" s="28">
        <f t="shared" si="39"/>
        <v>215</v>
      </c>
      <c r="I229" s="72">
        <f>0.6*C229</f>
        <v>138.03</v>
      </c>
      <c r="J229" s="29"/>
      <c r="K229" s="29"/>
      <c r="L229" s="29"/>
      <c r="M229" s="29"/>
      <c r="N229" s="29"/>
      <c r="O229" s="28">
        <v>13784</v>
      </c>
      <c r="P229" s="28">
        <v>13999</v>
      </c>
      <c r="Q229" s="146"/>
      <c r="R229" s="391"/>
      <c r="S229" s="54">
        <v>1</v>
      </c>
      <c r="T229" s="28">
        <f t="shared" si="28"/>
        <v>215</v>
      </c>
      <c r="U229" s="455">
        <v>56067</v>
      </c>
      <c r="V229" s="733" t="s">
        <v>288</v>
      </c>
      <c r="W229" s="14" t="s">
        <v>48</v>
      </c>
      <c r="X229" s="7"/>
      <c r="Y229" s="7"/>
      <c r="Z229" s="7"/>
      <c r="AA229" s="7"/>
      <c r="AB229" s="7"/>
      <c r="AC229" s="7"/>
    </row>
    <row r="230" spans="1:29" ht="26.25">
      <c r="A230" s="19"/>
      <c r="B230" s="426" t="s">
        <v>766</v>
      </c>
      <c r="C230" s="72">
        <f t="shared" si="30"/>
        <v>6800.9200000000619</v>
      </c>
      <c r="D230" s="72"/>
      <c r="E230" s="72">
        <f t="shared" si="40"/>
        <v>444.92000000000405</v>
      </c>
      <c r="F230" s="72">
        <f t="shared" si="31"/>
        <v>254.24000000000234</v>
      </c>
      <c r="G230" s="72">
        <f t="shared" si="32"/>
        <v>190.68000000000174</v>
      </c>
      <c r="H230" s="72">
        <f t="shared" si="39"/>
        <v>6356.0000000000582</v>
      </c>
      <c r="I230" s="72"/>
      <c r="J230" s="29"/>
      <c r="K230" s="29"/>
      <c r="L230" s="29"/>
      <c r="M230" s="29"/>
      <c r="N230" s="29"/>
      <c r="O230" s="427">
        <v>35301.4</v>
      </c>
      <c r="P230" s="427">
        <v>35460.300000000003</v>
      </c>
      <c r="Q230" s="30"/>
      <c r="R230" s="348"/>
      <c r="S230" s="54">
        <v>40</v>
      </c>
      <c r="T230" s="28">
        <f t="shared" si="28"/>
        <v>6356.0000000000582</v>
      </c>
      <c r="U230" s="455">
        <v>1535390</v>
      </c>
      <c r="V230" s="733" t="s">
        <v>789</v>
      </c>
      <c r="W230" s="14" t="s">
        <v>53</v>
      </c>
      <c r="X230" s="7"/>
      <c r="Y230" s="7"/>
      <c r="Z230" s="7"/>
      <c r="AA230" s="7"/>
      <c r="AB230" s="7"/>
      <c r="AC230" s="7"/>
    </row>
    <row r="231" spans="1:29" ht="28.5" customHeight="1">
      <c r="A231" s="252"/>
      <c r="B231" s="62" t="s">
        <v>610</v>
      </c>
      <c r="C231" s="28">
        <f>H231+E231</f>
        <v>6992.4499999999962</v>
      </c>
      <c r="D231" s="77"/>
      <c r="E231" s="28">
        <f>F231+G231</f>
        <v>457.44999999999976</v>
      </c>
      <c r="F231" s="28">
        <f>0.04*T231</f>
        <v>261.39999999999986</v>
      </c>
      <c r="G231" s="28">
        <f>0.03*T231</f>
        <v>196.0499999999999</v>
      </c>
      <c r="H231" s="28">
        <f>T231</f>
        <v>6534.9999999999964</v>
      </c>
      <c r="I231" s="28">
        <f>H231*0.5</f>
        <v>3267.4999999999982</v>
      </c>
      <c r="J231" s="46"/>
      <c r="K231" s="46"/>
      <c r="L231" s="46"/>
      <c r="M231" s="46"/>
      <c r="N231" s="46"/>
      <c r="O231" s="77">
        <v>879.2</v>
      </c>
      <c r="P231" s="77">
        <v>1009.9</v>
      </c>
      <c r="Q231" s="79"/>
      <c r="R231" s="80"/>
      <c r="S231" s="77">
        <v>50</v>
      </c>
      <c r="T231" s="28">
        <f>(P231-O231)*S231</f>
        <v>6534.9999999999964</v>
      </c>
      <c r="U231" s="455" t="s">
        <v>981</v>
      </c>
      <c r="V231" s="733" t="s">
        <v>752</v>
      </c>
      <c r="W231" s="14" t="s">
        <v>48</v>
      </c>
      <c r="X231" s="7"/>
      <c r="Y231" s="7"/>
      <c r="Z231" s="7"/>
      <c r="AA231" s="7"/>
      <c r="AB231" s="7"/>
      <c r="AC231" s="7"/>
    </row>
    <row r="232" spans="1:29" ht="26.25">
      <c r="A232" s="19"/>
      <c r="B232" s="62" t="s">
        <v>906</v>
      </c>
      <c r="C232" s="28">
        <f t="shared" ref="C232" si="41">H232+E232</f>
        <v>1916.37</v>
      </c>
      <c r="D232" s="28"/>
      <c r="E232" s="28">
        <f>G232+F232</f>
        <v>125.37</v>
      </c>
      <c r="F232" s="28">
        <f>H232*0.04</f>
        <v>71.64</v>
      </c>
      <c r="G232" s="28">
        <f>H232*0.03</f>
        <v>53.73</v>
      </c>
      <c r="H232" s="28">
        <f t="shared" ref="H232" si="42">T232</f>
        <v>1791</v>
      </c>
      <c r="I232" s="28">
        <f>0.6*C232</f>
        <v>1149.8219999999999</v>
      </c>
      <c r="J232" s="29"/>
      <c r="K232" s="29"/>
      <c r="L232" s="29"/>
      <c r="M232" s="29"/>
      <c r="N232" s="29"/>
      <c r="O232" s="72">
        <v>818620</v>
      </c>
      <c r="P232" s="72">
        <v>820411</v>
      </c>
      <c r="Q232" s="30"/>
      <c r="R232" s="428"/>
      <c r="S232" s="54">
        <v>1</v>
      </c>
      <c r="T232" s="28">
        <f t="shared" ref="T232" si="43">(P232-O232)*S232</f>
        <v>1791</v>
      </c>
      <c r="U232" s="455">
        <v>399479</v>
      </c>
      <c r="V232" s="733" t="s">
        <v>788</v>
      </c>
      <c r="W232" s="14" t="s">
        <v>48</v>
      </c>
      <c r="X232" s="7"/>
      <c r="Y232" s="7"/>
      <c r="Z232" s="7"/>
      <c r="AA232" s="7"/>
      <c r="AB232" s="7"/>
      <c r="AC232" s="7"/>
    </row>
    <row r="233" spans="1:29" ht="25.5">
      <c r="A233" s="19"/>
      <c r="B233" s="429"/>
      <c r="C233" s="28"/>
      <c r="D233" s="28"/>
      <c r="E233" s="28"/>
      <c r="F233" s="28"/>
      <c r="G233" s="28"/>
      <c r="H233" s="28"/>
      <c r="I233" s="28"/>
      <c r="J233" s="29"/>
      <c r="K233" s="29"/>
      <c r="L233" s="29"/>
      <c r="M233" s="29"/>
      <c r="N233" s="29"/>
      <c r="O233" s="28"/>
      <c r="P233" s="28"/>
      <c r="Q233" s="30"/>
      <c r="R233" s="351"/>
      <c r="S233" s="28"/>
      <c r="T233" s="28"/>
      <c r="U233" s="455"/>
      <c r="V233" s="733"/>
      <c r="W233" s="14" t="s">
        <v>48</v>
      </c>
      <c r="X233" s="7"/>
      <c r="Y233" s="7"/>
      <c r="Z233" s="7"/>
      <c r="AA233" s="7"/>
      <c r="AB233" s="7"/>
      <c r="AC233" s="7"/>
    </row>
    <row r="234" spans="1:29" ht="26.25" hidden="1">
      <c r="A234" s="19"/>
      <c r="B234" s="739"/>
      <c r="C234" s="28"/>
      <c r="D234" s="28"/>
      <c r="E234" s="28"/>
      <c r="F234" s="28"/>
      <c r="G234" s="28"/>
      <c r="H234" s="28"/>
      <c r="I234" s="28"/>
      <c r="J234" s="29"/>
      <c r="K234" s="29"/>
      <c r="L234" s="29"/>
      <c r="M234" s="29"/>
      <c r="N234" s="29"/>
      <c r="O234" s="28"/>
      <c r="P234" s="28"/>
      <c r="Q234" s="30"/>
      <c r="R234" s="351"/>
      <c r="S234" s="28"/>
      <c r="T234" s="28"/>
      <c r="U234" s="455"/>
      <c r="V234" s="733"/>
      <c r="W234" s="14" t="s">
        <v>48</v>
      </c>
      <c r="X234" s="7"/>
      <c r="Y234" s="7"/>
      <c r="Z234" s="7"/>
      <c r="AA234" s="7"/>
      <c r="AB234" s="7"/>
      <c r="AC234" s="7"/>
    </row>
    <row r="235" spans="1:29" ht="25.5" hidden="1">
      <c r="A235" s="19"/>
      <c r="B235" s="27"/>
      <c r="C235" s="28"/>
      <c r="D235" s="28"/>
      <c r="E235" s="28"/>
      <c r="F235" s="28"/>
      <c r="G235" s="28"/>
      <c r="H235" s="28"/>
      <c r="I235" s="28"/>
      <c r="J235" s="29"/>
      <c r="K235" s="29"/>
      <c r="L235" s="29"/>
      <c r="M235" s="29"/>
      <c r="N235" s="29"/>
      <c r="O235" s="28"/>
      <c r="P235" s="28"/>
      <c r="Q235" s="30"/>
      <c r="R235" s="351"/>
      <c r="S235" s="28"/>
      <c r="T235" s="28"/>
      <c r="U235" s="455"/>
      <c r="V235" s="733"/>
      <c r="W235" s="14" t="s">
        <v>48</v>
      </c>
      <c r="X235" s="7"/>
      <c r="Y235" s="7"/>
      <c r="Z235" s="7"/>
      <c r="AA235" s="7"/>
      <c r="AB235" s="7"/>
      <c r="AC235" s="7"/>
    </row>
    <row r="236" spans="1:29" ht="25.5" hidden="1">
      <c r="A236" s="19"/>
      <c r="B236" s="27"/>
      <c r="C236" s="28"/>
      <c r="D236" s="28"/>
      <c r="E236" s="28"/>
      <c r="F236" s="28"/>
      <c r="G236" s="28"/>
      <c r="H236" s="28"/>
      <c r="I236" s="28"/>
      <c r="J236" s="29"/>
      <c r="K236" s="29"/>
      <c r="L236" s="29"/>
      <c r="M236" s="29"/>
      <c r="N236" s="29"/>
      <c r="O236" s="28"/>
      <c r="P236" s="28"/>
      <c r="Q236" s="30"/>
      <c r="R236" s="351"/>
      <c r="S236" s="28"/>
      <c r="T236" s="28"/>
      <c r="U236" s="455"/>
      <c r="V236" s="733"/>
      <c r="W236" s="14" t="s">
        <v>48</v>
      </c>
      <c r="X236" s="7"/>
      <c r="Y236" s="7"/>
      <c r="Z236" s="7"/>
      <c r="AA236" s="7"/>
      <c r="AB236" s="7"/>
      <c r="AC236" s="7"/>
    </row>
    <row r="237" spans="1:29" ht="25.5" hidden="1">
      <c r="A237" s="19"/>
      <c r="B237" s="27"/>
      <c r="C237" s="28"/>
      <c r="D237" s="28"/>
      <c r="E237" s="28"/>
      <c r="F237" s="28"/>
      <c r="G237" s="28"/>
      <c r="H237" s="28"/>
      <c r="I237" s="28"/>
      <c r="J237" s="29"/>
      <c r="K237" s="29"/>
      <c r="L237" s="29"/>
      <c r="M237" s="29"/>
      <c r="N237" s="29"/>
      <c r="O237" s="28"/>
      <c r="P237" s="28"/>
      <c r="Q237" s="146"/>
      <c r="R237" s="348"/>
      <c r="S237" s="28"/>
      <c r="T237" s="28"/>
      <c r="U237" s="455"/>
      <c r="V237" s="733"/>
      <c r="W237" s="14" t="s">
        <v>48</v>
      </c>
      <c r="X237" s="7"/>
      <c r="Y237" s="7"/>
      <c r="Z237" s="7"/>
      <c r="AA237" s="7"/>
      <c r="AB237" s="7"/>
      <c r="AC237" s="7"/>
    </row>
    <row r="238" spans="1:29" ht="25.5" hidden="1">
      <c r="A238" s="19"/>
      <c r="B238" s="27"/>
      <c r="C238" s="28"/>
      <c r="D238" s="28"/>
      <c r="E238" s="28"/>
      <c r="F238" s="28"/>
      <c r="G238" s="28"/>
      <c r="H238" s="28"/>
      <c r="I238" s="28"/>
      <c r="J238" s="29"/>
      <c r="K238" s="29"/>
      <c r="L238" s="29"/>
      <c r="M238" s="29"/>
      <c r="N238" s="29"/>
      <c r="O238" s="28"/>
      <c r="P238" s="28"/>
      <c r="Q238" s="30"/>
      <c r="R238" s="71"/>
      <c r="S238" s="54"/>
      <c r="T238" s="28"/>
      <c r="U238" s="455"/>
      <c r="V238" s="733"/>
      <c r="W238" s="14" t="s">
        <v>48</v>
      </c>
      <c r="X238" s="7"/>
      <c r="Y238" s="7"/>
      <c r="Z238" s="7"/>
      <c r="AA238" s="7"/>
      <c r="AB238" s="7"/>
      <c r="AC238" s="7"/>
    </row>
    <row r="239" spans="1:29" ht="25.5" hidden="1">
      <c r="A239" s="19"/>
      <c r="B239" s="27"/>
      <c r="C239" s="28"/>
      <c r="D239" s="28"/>
      <c r="E239" s="28"/>
      <c r="F239" s="28"/>
      <c r="G239" s="28"/>
      <c r="H239" s="28"/>
      <c r="I239" s="28"/>
      <c r="J239" s="29"/>
      <c r="K239" s="29"/>
      <c r="L239" s="29"/>
      <c r="M239" s="29"/>
      <c r="N239" s="29"/>
      <c r="O239" s="28"/>
      <c r="P239" s="28"/>
      <c r="Q239" s="30"/>
      <c r="R239" s="71"/>
      <c r="S239" s="54"/>
      <c r="T239" s="28"/>
      <c r="U239" s="455"/>
      <c r="V239" s="733"/>
      <c r="W239" s="14" t="s">
        <v>48</v>
      </c>
      <c r="X239" s="7"/>
      <c r="Y239" s="7"/>
      <c r="Z239" s="7"/>
      <c r="AA239" s="7"/>
      <c r="AB239" s="7"/>
      <c r="AC239" s="7"/>
    </row>
    <row r="240" spans="1:29" ht="25.5" hidden="1">
      <c r="A240" s="19"/>
      <c r="B240" s="27"/>
      <c r="C240" s="28"/>
      <c r="D240" s="28"/>
      <c r="E240" s="28"/>
      <c r="F240" s="28"/>
      <c r="G240" s="28"/>
      <c r="H240" s="28"/>
      <c r="I240" s="28"/>
      <c r="J240" s="29"/>
      <c r="K240" s="29"/>
      <c r="L240" s="29"/>
      <c r="M240" s="29"/>
      <c r="N240" s="29"/>
      <c r="O240" s="349"/>
      <c r="P240" s="349"/>
      <c r="Q240" s="30"/>
      <c r="R240" s="740"/>
      <c r="S240" s="379"/>
      <c r="T240" s="349"/>
      <c r="U240" s="455"/>
      <c r="V240" s="733"/>
      <c r="W240" s="14" t="s">
        <v>48</v>
      </c>
      <c r="X240" s="7"/>
      <c r="Y240" s="7"/>
      <c r="Z240" s="7"/>
      <c r="AA240" s="7"/>
      <c r="AB240" s="7"/>
      <c r="AC240" s="7"/>
    </row>
    <row r="241" spans="1:29" ht="25.5" hidden="1">
      <c r="A241" s="19"/>
      <c r="B241" s="27"/>
      <c r="C241" s="28"/>
      <c r="D241" s="28"/>
      <c r="E241" s="28"/>
      <c r="F241" s="28"/>
      <c r="G241" s="28"/>
      <c r="H241" s="28"/>
      <c r="I241" s="28"/>
      <c r="J241" s="29"/>
      <c r="K241" s="29"/>
      <c r="L241" s="29"/>
      <c r="M241" s="29"/>
      <c r="N241" s="29"/>
      <c r="O241" s="349"/>
      <c r="P241" s="349"/>
      <c r="Q241" s="30"/>
      <c r="R241" s="740"/>
      <c r="S241" s="379"/>
      <c r="T241" s="349"/>
      <c r="U241" s="455"/>
      <c r="V241" s="733"/>
      <c r="W241" s="14" t="s">
        <v>48</v>
      </c>
      <c r="X241" s="7"/>
      <c r="Y241" s="7"/>
      <c r="Z241" s="7"/>
      <c r="AA241" s="7"/>
      <c r="AB241" s="7"/>
      <c r="AC241" s="7"/>
    </row>
    <row r="242" spans="1:29" ht="25.5" hidden="1">
      <c r="A242" s="19"/>
      <c r="B242" s="375"/>
      <c r="C242" s="349"/>
      <c r="D242" s="349"/>
      <c r="E242" s="349"/>
      <c r="F242" s="349"/>
      <c r="G242" s="349"/>
      <c r="H242" s="349"/>
      <c r="I242" s="349"/>
      <c r="J242" s="29"/>
      <c r="K242" s="29"/>
      <c r="L242" s="29"/>
      <c r="M242" s="29"/>
      <c r="N242" s="29"/>
      <c r="O242" s="28"/>
      <c r="P242" s="28"/>
      <c r="Q242" s="351"/>
      <c r="R242" s="71"/>
      <c r="S242" s="28"/>
      <c r="T242" s="28"/>
      <c r="U242" s="455"/>
      <c r="V242" s="733"/>
      <c r="W242" s="14" t="s">
        <v>48</v>
      </c>
      <c r="X242" s="7"/>
      <c r="Y242" s="7"/>
      <c r="Z242" s="7"/>
      <c r="AA242" s="7"/>
      <c r="AB242" s="7"/>
      <c r="AC242" s="7"/>
    </row>
    <row r="243" spans="1:29" ht="25.5">
      <c r="A243" s="19"/>
      <c r="B243" s="27" t="s">
        <v>290</v>
      </c>
      <c r="C243" s="28">
        <f t="shared" ref="C243:C268" si="44">H243+E243</f>
        <v>520.02</v>
      </c>
      <c r="D243" s="28"/>
      <c r="E243" s="28">
        <f t="shared" ref="E243:E273" si="45">F243+G243</f>
        <v>34.020000000000003</v>
      </c>
      <c r="F243" s="28">
        <f t="shared" ref="F243:F273" si="46">0.04*H243</f>
        <v>19.440000000000001</v>
      </c>
      <c r="G243" s="28">
        <f t="shared" ref="G243:G273" si="47">0.03*H243</f>
        <v>14.58</v>
      </c>
      <c r="H243" s="28">
        <f t="shared" si="39"/>
        <v>486</v>
      </c>
      <c r="I243" s="28"/>
      <c r="J243" s="348"/>
      <c r="K243" s="348"/>
      <c r="L243" s="348"/>
      <c r="M243" s="348"/>
      <c r="N243" s="348"/>
      <c r="O243" s="382">
        <v>51649</v>
      </c>
      <c r="P243" s="382">
        <v>52135</v>
      </c>
      <c r="Q243" s="146"/>
      <c r="R243" s="438"/>
      <c r="S243" s="382">
        <v>1</v>
      </c>
      <c r="T243" s="382">
        <f>P243-O243</f>
        <v>486</v>
      </c>
      <c r="U243" s="455" t="s">
        <v>982</v>
      </c>
      <c r="V243" s="733" t="s">
        <v>291</v>
      </c>
      <c r="W243" s="14" t="s">
        <v>48</v>
      </c>
      <c r="X243" s="7"/>
      <c r="Y243" s="7"/>
      <c r="Z243" s="7"/>
      <c r="AA243" s="7"/>
      <c r="AB243" s="7"/>
      <c r="AC243" s="7"/>
    </row>
    <row r="244" spans="1:29" ht="25.5">
      <c r="A244" s="19"/>
      <c r="B244" s="380" t="s">
        <v>292</v>
      </c>
      <c r="C244" s="382">
        <f t="shared" si="44"/>
        <v>1076.42</v>
      </c>
      <c r="D244" s="382"/>
      <c r="E244" s="382">
        <f t="shared" si="45"/>
        <v>70.42</v>
      </c>
      <c r="F244" s="382">
        <f t="shared" si="46"/>
        <v>40.24</v>
      </c>
      <c r="G244" s="382">
        <f t="shared" si="47"/>
        <v>30.18</v>
      </c>
      <c r="H244" s="382">
        <f t="shared" si="39"/>
        <v>1006</v>
      </c>
      <c r="I244" s="382"/>
      <c r="J244" s="29"/>
      <c r="K244" s="29"/>
      <c r="L244" s="29"/>
      <c r="M244" s="29"/>
      <c r="N244" s="29"/>
      <c r="O244" s="28">
        <v>71879</v>
      </c>
      <c r="P244" s="28">
        <v>72885</v>
      </c>
      <c r="Q244" s="146"/>
      <c r="R244" s="439"/>
      <c r="S244" s="28">
        <v>1</v>
      </c>
      <c r="T244" s="28">
        <f>P244-O244</f>
        <v>1006</v>
      </c>
      <c r="U244" s="455" t="s">
        <v>983</v>
      </c>
      <c r="V244" s="733" t="s">
        <v>293</v>
      </c>
      <c r="W244" s="14" t="s">
        <v>48</v>
      </c>
      <c r="X244" s="7"/>
      <c r="Y244" s="7"/>
      <c r="Z244" s="7"/>
      <c r="AA244" s="7"/>
      <c r="AB244" s="7"/>
      <c r="AC244" s="7"/>
    </row>
    <row r="245" spans="1:29" ht="25.5">
      <c r="A245" s="19"/>
      <c r="B245" s="27" t="s">
        <v>294</v>
      </c>
      <c r="C245" s="28">
        <f t="shared" si="44"/>
        <v>289.97000000000003</v>
      </c>
      <c r="D245" s="28"/>
      <c r="E245" s="28">
        <f t="shared" si="45"/>
        <v>18.97</v>
      </c>
      <c r="F245" s="28">
        <f t="shared" si="46"/>
        <v>10.84</v>
      </c>
      <c r="G245" s="28">
        <f t="shared" si="47"/>
        <v>8.129999999999999</v>
      </c>
      <c r="H245" s="28">
        <f t="shared" si="39"/>
        <v>271</v>
      </c>
      <c r="I245" s="28"/>
      <c r="J245" s="29"/>
      <c r="K245" s="29"/>
      <c r="L245" s="29"/>
      <c r="M245" s="29"/>
      <c r="N245" s="29"/>
      <c r="O245" s="28">
        <v>24007</v>
      </c>
      <c r="P245" s="28">
        <v>24278</v>
      </c>
      <c r="Q245" s="146"/>
      <c r="R245" s="439"/>
      <c r="S245" s="28">
        <v>1</v>
      </c>
      <c r="T245" s="28">
        <f>P245-O245</f>
        <v>271</v>
      </c>
      <c r="U245" s="455" t="s">
        <v>984</v>
      </c>
      <c r="V245" s="733" t="s">
        <v>296</v>
      </c>
      <c r="W245" s="14" t="s">
        <v>48</v>
      </c>
      <c r="X245" s="7"/>
      <c r="Y245" s="7"/>
      <c r="Z245" s="7"/>
      <c r="AA245" s="7"/>
      <c r="AB245" s="7"/>
      <c r="AC245" s="7"/>
    </row>
    <row r="246" spans="1:29" ht="25.5">
      <c r="A246" s="19"/>
      <c r="B246" s="27" t="s">
        <v>748</v>
      </c>
      <c r="C246" s="28">
        <f t="shared" si="44"/>
        <v>1443.43</v>
      </c>
      <c r="D246" s="28"/>
      <c r="E246" s="28">
        <f t="shared" si="45"/>
        <v>94.43</v>
      </c>
      <c r="F246" s="28">
        <f t="shared" si="46"/>
        <v>53.96</v>
      </c>
      <c r="G246" s="28">
        <f t="shared" si="47"/>
        <v>40.47</v>
      </c>
      <c r="H246" s="28">
        <f t="shared" si="39"/>
        <v>1349</v>
      </c>
      <c r="I246" s="28"/>
      <c r="J246" s="29"/>
      <c r="K246" s="29"/>
      <c r="L246" s="29"/>
      <c r="M246" s="29"/>
      <c r="N246" s="29"/>
      <c r="O246" s="28">
        <v>445</v>
      </c>
      <c r="P246" s="28">
        <v>1794</v>
      </c>
      <c r="Q246" s="146"/>
      <c r="R246" s="439"/>
      <c r="S246" s="28">
        <v>1</v>
      </c>
      <c r="T246" s="28">
        <f>P246-O246</f>
        <v>1349</v>
      </c>
      <c r="U246" s="455" t="s">
        <v>985</v>
      </c>
      <c r="V246" s="733" t="s">
        <v>1087</v>
      </c>
      <c r="W246" s="14" t="s">
        <v>48</v>
      </c>
      <c r="X246" s="7"/>
      <c r="Y246" s="7"/>
      <c r="Z246" s="7"/>
      <c r="AA246" s="7"/>
      <c r="AB246" s="7"/>
      <c r="AC246" s="7"/>
    </row>
    <row r="247" spans="1:29" ht="26.25">
      <c r="A247" s="19"/>
      <c r="B247" s="806" t="s">
        <v>298</v>
      </c>
      <c r="C247" s="72">
        <f t="shared" si="44"/>
        <v>11472.540000000046</v>
      </c>
      <c r="D247" s="28"/>
      <c r="E247" s="28">
        <f t="shared" si="45"/>
        <v>750.54000000000303</v>
      </c>
      <c r="F247" s="28">
        <f t="shared" si="46"/>
        <v>428.88000000000176</v>
      </c>
      <c r="G247" s="28">
        <f t="shared" si="47"/>
        <v>321.66000000000128</v>
      </c>
      <c r="H247" s="28">
        <f t="shared" si="39"/>
        <v>10722.000000000044</v>
      </c>
      <c r="I247" s="28"/>
      <c r="J247" s="29"/>
      <c r="K247" s="29"/>
      <c r="L247" s="29"/>
      <c r="M247" s="29"/>
      <c r="N247" s="29"/>
      <c r="O247" s="365">
        <v>26350.6</v>
      </c>
      <c r="P247" s="365">
        <v>26708</v>
      </c>
      <c r="Q247" s="146"/>
      <c r="R247" s="439"/>
      <c r="S247" s="28">
        <v>30</v>
      </c>
      <c r="T247" s="28">
        <f>(P247-O247)*S247</f>
        <v>10722.000000000044</v>
      </c>
      <c r="U247" s="455" t="s">
        <v>986</v>
      </c>
      <c r="V247" s="804" t="s">
        <v>300</v>
      </c>
      <c r="W247" s="14" t="s">
        <v>48</v>
      </c>
      <c r="X247" s="7"/>
      <c r="Y247" s="7"/>
      <c r="Z247" s="7"/>
      <c r="AA247" s="7"/>
      <c r="AB247" s="7"/>
      <c r="AC247" s="7"/>
    </row>
    <row r="248" spans="1:29" ht="26.25">
      <c r="A248" s="19"/>
      <c r="B248" s="807"/>
      <c r="C248" s="72">
        <f t="shared" si="44"/>
        <v>4151.6000000000004</v>
      </c>
      <c r="D248" s="28"/>
      <c r="E248" s="28">
        <f t="shared" si="45"/>
        <v>271.60000000000002</v>
      </c>
      <c r="F248" s="28">
        <f t="shared" si="46"/>
        <v>155.20000000000002</v>
      </c>
      <c r="G248" s="28">
        <f t="shared" si="47"/>
        <v>116.39999999999999</v>
      </c>
      <c r="H248" s="28">
        <f t="shared" si="39"/>
        <v>3880</v>
      </c>
      <c r="I248" s="28"/>
      <c r="J248" s="29"/>
      <c r="K248" s="29"/>
      <c r="L248" s="29"/>
      <c r="M248" s="29"/>
      <c r="N248" s="29"/>
      <c r="O248" s="28">
        <v>88795</v>
      </c>
      <c r="P248" s="28">
        <v>92675</v>
      </c>
      <c r="Q248" s="146"/>
      <c r="R248" s="439"/>
      <c r="S248" s="28">
        <v>1</v>
      </c>
      <c r="T248" s="28">
        <f t="shared" ref="T248:T254" si="48">P248-O248</f>
        <v>3880</v>
      </c>
      <c r="U248" s="455" t="s">
        <v>987</v>
      </c>
      <c r="V248" s="804"/>
      <c r="W248" s="14" t="s">
        <v>48</v>
      </c>
      <c r="X248" s="7"/>
      <c r="Y248" s="7"/>
      <c r="Z248" s="7"/>
      <c r="AA248" s="7"/>
      <c r="AB248" s="7"/>
      <c r="AC248" s="7"/>
    </row>
    <row r="249" spans="1:29" ht="25.5">
      <c r="A249" s="19"/>
      <c r="B249" s="27" t="s">
        <v>907</v>
      </c>
      <c r="C249" s="28">
        <f t="shared" si="44"/>
        <v>1592.16</v>
      </c>
      <c r="D249" s="28"/>
      <c r="E249" s="28">
        <f t="shared" si="45"/>
        <v>104.16</v>
      </c>
      <c r="F249" s="28">
        <f t="shared" si="46"/>
        <v>59.52</v>
      </c>
      <c r="G249" s="28">
        <f t="shared" si="47"/>
        <v>44.64</v>
      </c>
      <c r="H249" s="28">
        <f t="shared" si="39"/>
        <v>1488</v>
      </c>
      <c r="I249" s="28"/>
      <c r="J249" s="29"/>
      <c r="K249" s="29"/>
      <c r="L249" s="29"/>
      <c r="M249" s="29"/>
      <c r="N249" s="29"/>
      <c r="O249" s="28">
        <v>84068</v>
      </c>
      <c r="P249" s="28">
        <v>85556</v>
      </c>
      <c r="Q249" s="146"/>
      <c r="R249" s="439"/>
      <c r="S249" s="28">
        <v>1</v>
      </c>
      <c r="T249" s="28">
        <f t="shared" si="48"/>
        <v>1488</v>
      </c>
      <c r="U249" s="455" t="s">
        <v>988</v>
      </c>
      <c r="V249" s="733" t="s">
        <v>779</v>
      </c>
      <c r="W249" s="14" t="s">
        <v>48</v>
      </c>
      <c r="X249" s="7"/>
      <c r="Y249" s="7"/>
      <c r="Z249" s="7"/>
      <c r="AA249" s="7"/>
      <c r="AB249" s="7"/>
      <c r="AC249" s="7"/>
    </row>
    <row r="250" spans="1:29" ht="30.75" customHeight="1">
      <c r="A250" s="19"/>
      <c r="B250" s="27" t="s">
        <v>303</v>
      </c>
      <c r="C250" s="28">
        <f t="shared" si="44"/>
        <v>2648.25</v>
      </c>
      <c r="D250" s="28"/>
      <c r="E250" s="28">
        <f t="shared" si="45"/>
        <v>173.25</v>
      </c>
      <c r="F250" s="28">
        <f t="shared" si="46"/>
        <v>99</v>
      </c>
      <c r="G250" s="28">
        <f t="shared" si="47"/>
        <v>74.25</v>
      </c>
      <c r="H250" s="28">
        <f t="shared" si="39"/>
        <v>2475</v>
      </c>
      <c r="I250" s="28"/>
      <c r="J250" s="29"/>
      <c r="K250" s="29"/>
      <c r="L250" s="29"/>
      <c r="M250" s="29"/>
      <c r="N250" s="29"/>
      <c r="O250" s="28">
        <v>92373</v>
      </c>
      <c r="P250" s="28">
        <v>94848</v>
      </c>
      <c r="Q250" s="146"/>
      <c r="R250" s="439"/>
      <c r="S250" s="28">
        <v>1</v>
      </c>
      <c r="T250" s="28">
        <f t="shared" si="48"/>
        <v>2475</v>
      </c>
      <c r="U250" s="455" t="s">
        <v>989</v>
      </c>
      <c r="V250" s="733" t="s">
        <v>304</v>
      </c>
      <c r="W250" s="14" t="s">
        <v>48</v>
      </c>
      <c r="X250" s="7"/>
      <c r="Y250" s="7"/>
      <c r="Z250" s="7"/>
      <c r="AA250" s="7"/>
      <c r="AB250" s="7"/>
      <c r="AC250" s="7"/>
    </row>
    <row r="251" spans="1:29" ht="26.25">
      <c r="A251" s="19"/>
      <c r="B251" s="440"/>
      <c r="C251" s="419">
        <f t="shared" si="44"/>
        <v>0</v>
      </c>
      <c r="D251" s="419"/>
      <c r="E251" s="419">
        <f t="shared" si="45"/>
        <v>0</v>
      </c>
      <c r="F251" s="419">
        <f t="shared" si="46"/>
        <v>0</v>
      </c>
      <c r="G251" s="419">
        <f t="shared" si="47"/>
        <v>0</v>
      </c>
      <c r="H251" s="419">
        <f t="shared" si="39"/>
        <v>0</v>
      </c>
      <c r="I251" s="419"/>
      <c r="J251" s="684"/>
      <c r="K251" s="684"/>
      <c r="L251" s="684"/>
      <c r="M251" s="684"/>
      <c r="N251" s="684"/>
      <c r="O251" s="419">
        <v>0</v>
      </c>
      <c r="P251" s="419">
        <v>0</v>
      </c>
      <c r="Q251" s="685"/>
      <c r="R251" s="686"/>
      <c r="S251" s="419">
        <v>1</v>
      </c>
      <c r="T251" s="419">
        <f t="shared" si="48"/>
        <v>0</v>
      </c>
      <c r="U251" s="455"/>
      <c r="V251" s="733"/>
      <c r="W251" s="14" t="s">
        <v>48</v>
      </c>
      <c r="X251" s="7"/>
      <c r="Y251" s="7"/>
      <c r="Z251" s="7"/>
      <c r="AA251" s="7"/>
      <c r="AB251" s="7"/>
      <c r="AC251" s="7"/>
    </row>
    <row r="252" spans="1:29" ht="27.75" customHeight="1">
      <c r="A252" s="19"/>
      <c r="B252" s="375" t="s">
        <v>305</v>
      </c>
      <c r="C252" s="349">
        <f t="shared" si="44"/>
        <v>341.33</v>
      </c>
      <c r="D252" s="349"/>
      <c r="E252" s="349">
        <f t="shared" si="45"/>
        <v>22.33</v>
      </c>
      <c r="F252" s="349">
        <f t="shared" si="46"/>
        <v>12.76</v>
      </c>
      <c r="G252" s="349">
        <f t="shared" si="47"/>
        <v>9.57</v>
      </c>
      <c r="H252" s="349">
        <f t="shared" si="39"/>
        <v>319</v>
      </c>
      <c r="I252" s="349"/>
      <c r="J252" s="29"/>
      <c r="K252" s="29"/>
      <c r="L252" s="29"/>
      <c r="M252" s="29"/>
      <c r="N252" s="29" t="s">
        <v>271</v>
      </c>
      <c r="O252" s="349">
        <v>22795</v>
      </c>
      <c r="P252" s="349">
        <v>23114</v>
      </c>
      <c r="Q252" s="146"/>
      <c r="R252" s="425"/>
      <c r="S252" s="349">
        <v>1</v>
      </c>
      <c r="T252" s="349">
        <f t="shared" si="48"/>
        <v>319</v>
      </c>
      <c r="U252" s="455" t="s">
        <v>990</v>
      </c>
      <c r="V252" s="733" t="s">
        <v>307</v>
      </c>
      <c r="W252" s="14" t="s">
        <v>48</v>
      </c>
      <c r="X252" s="7"/>
      <c r="Y252" s="7"/>
      <c r="Z252" s="7"/>
      <c r="AA252" s="7"/>
      <c r="AB252" s="7"/>
      <c r="AC252" s="7"/>
    </row>
    <row r="253" spans="1:29" ht="27.75" customHeight="1">
      <c r="A253" s="19"/>
      <c r="B253" s="375" t="s">
        <v>308</v>
      </c>
      <c r="C253" s="349">
        <f t="shared" si="44"/>
        <v>231.12</v>
      </c>
      <c r="D253" s="349"/>
      <c r="E253" s="349">
        <f t="shared" si="45"/>
        <v>15.120000000000001</v>
      </c>
      <c r="F253" s="349">
        <f t="shared" si="46"/>
        <v>8.64</v>
      </c>
      <c r="G253" s="349">
        <f t="shared" si="47"/>
        <v>6.4799999999999995</v>
      </c>
      <c r="H253" s="349">
        <f t="shared" si="39"/>
        <v>216</v>
      </c>
      <c r="I253" s="349"/>
      <c r="J253" s="29"/>
      <c r="K253" s="29"/>
      <c r="L253" s="29"/>
      <c r="M253" s="29"/>
      <c r="N253" s="29" t="s">
        <v>271</v>
      </c>
      <c r="O253" s="349">
        <v>5362</v>
      </c>
      <c r="P253" s="349">
        <v>5578</v>
      </c>
      <c r="Q253" s="146"/>
      <c r="R253" s="425"/>
      <c r="S253" s="349">
        <v>1</v>
      </c>
      <c r="T253" s="349">
        <f t="shared" si="48"/>
        <v>216</v>
      </c>
      <c r="U253" s="455" t="s">
        <v>991</v>
      </c>
      <c r="V253" s="733" t="s">
        <v>309</v>
      </c>
      <c r="W253" s="14" t="s">
        <v>82</v>
      </c>
      <c r="X253" s="7"/>
      <c r="Y253" s="7"/>
      <c r="Z253" s="7"/>
      <c r="AA253" s="7"/>
      <c r="AB253" s="7"/>
      <c r="AC253" s="7"/>
    </row>
    <row r="254" spans="1:29" ht="27">
      <c r="A254" s="19"/>
      <c r="B254" s="441" t="s">
        <v>310</v>
      </c>
      <c r="C254" s="349">
        <f t="shared" si="44"/>
        <v>301.74</v>
      </c>
      <c r="D254" s="349"/>
      <c r="E254" s="349">
        <f t="shared" si="45"/>
        <v>19.739999999999998</v>
      </c>
      <c r="F254" s="349">
        <f t="shared" si="46"/>
        <v>11.28</v>
      </c>
      <c r="G254" s="349">
        <f t="shared" si="47"/>
        <v>8.4599999999999991</v>
      </c>
      <c r="H254" s="349">
        <f t="shared" si="39"/>
        <v>282</v>
      </c>
      <c r="I254" s="349"/>
      <c r="J254" s="29"/>
      <c r="K254" s="29"/>
      <c r="L254" s="29"/>
      <c r="M254" s="29"/>
      <c r="N254" s="29" t="s">
        <v>271</v>
      </c>
      <c r="O254" s="349">
        <v>13606</v>
      </c>
      <c r="P254" s="349">
        <v>13888</v>
      </c>
      <c r="Q254" s="146"/>
      <c r="R254" s="425"/>
      <c r="S254" s="349">
        <v>1</v>
      </c>
      <c r="T254" s="349">
        <f t="shared" si="48"/>
        <v>282</v>
      </c>
      <c r="U254" s="741" t="s">
        <v>992</v>
      </c>
      <c r="V254" s="733" t="s">
        <v>311</v>
      </c>
      <c r="W254" s="14" t="s">
        <v>82</v>
      </c>
      <c r="X254" s="7"/>
      <c r="Y254" s="7"/>
      <c r="Z254" s="7"/>
      <c r="AA254" s="7"/>
      <c r="AB254" s="7"/>
      <c r="AC254" s="7"/>
    </row>
    <row r="255" spans="1:29" ht="25.5">
      <c r="A255" s="19"/>
      <c r="B255" s="443" t="s">
        <v>312</v>
      </c>
      <c r="C255" s="28">
        <f t="shared" si="44"/>
        <v>1158.81</v>
      </c>
      <c r="D255" s="28"/>
      <c r="E255" s="28">
        <f t="shared" si="45"/>
        <v>75.81</v>
      </c>
      <c r="F255" s="28">
        <f t="shared" si="46"/>
        <v>43.32</v>
      </c>
      <c r="G255" s="28">
        <f t="shared" si="47"/>
        <v>32.49</v>
      </c>
      <c r="H255" s="28">
        <f t="shared" si="39"/>
        <v>1083</v>
      </c>
      <c r="I255" s="28"/>
      <c r="J255" s="348"/>
      <c r="K255" s="348"/>
      <c r="L255" s="348"/>
      <c r="M255" s="348"/>
      <c r="N255" s="348"/>
      <c r="O255" s="28">
        <v>78421</v>
      </c>
      <c r="P255" s="28">
        <v>79504</v>
      </c>
      <c r="Q255" s="61"/>
      <c r="R255" s="71"/>
      <c r="S255" s="28">
        <v>1</v>
      </c>
      <c r="T255" s="28">
        <f>P255-O255</f>
        <v>1083</v>
      </c>
      <c r="U255" s="455" t="s">
        <v>993</v>
      </c>
      <c r="V255" s="733" t="s">
        <v>313</v>
      </c>
      <c r="W255" s="14" t="s">
        <v>48</v>
      </c>
      <c r="X255" s="7"/>
      <c r="Y255" s="7"/>
      <c r="Z255" s="7"/>
      <c r="AA255" s="7"/>
      <c r="AB255" s="7"/>
      <c r="AC255" s="7"/>
    </row>
    <row r="256" spans="1:29" ht="25.5">
      <c r="A256" s="19"/>
      <c r="B256" s="27" t="s">
        <v>314</v>
      </c>
      <c r="C256" s="382">
        <f t="shared" si="44"/>
        <v>998.31</v>
      </c>
      <c r="D256" s="382"/>
      <c r="E256" s="382">
        <f t="shared" si="45"/>
        <v>65.31</v>
      </c>
      <c r="F256" s="382">
        <f t="shared" si="46"/>
        <v>37.32</v>
      </c>
      <c r="G256" s="382">
        <f t="shared" si="47"/>
        <v>27.99</v>
      </c>
      <c r="H256" s="382">
        <f t="shared" si="39"/>
        <v>933</v>
      </c>
      <c r="I256" s="382"/>
      <c r="J256" s="29"/>
      <c r="K256" s="29"/>
      <c r="L256" s="29"/>
      <c r="M256" s="29"/>
      <c r="N256" s="29"/>
      <c r="O256" s="382">
        <v>57355</v>
      </c>
      <c r="P256" s="382">
        <v>58288</v>
      </c>
      <c r="Q256" s="146"/>
      <c r="R256" s="444"/>
      <c r="S256" s="382">
        <v>1</v>
      </c>
      <c r="T256" s="382">
        <f>P256-O256</f>
        <v>933</v>
      </c>
      <c r="U256" s="455" t="s">
        <v>994</v>
      </c>
      <c r="V256" s="733" t="s">
        <v>315</v>
      </c>
      <c r="W256" s="14" t="s">
        <v>48</v>
      </c>
      <c r="X256" s="7"/>
      <c r="Y256" s="7"/>
      <c r="Z256" s="7"/>
      <c r="AA256" s="7"/>
      <c r="AB256" s="7"/>
      <c r="AC256" s="7"/>
    </row>
    <row r="257" spans="1:29" ht="25.5">
      <c r="A257" s="19"/>
      <c r="B257" s="27" t="s">
        <v>316</v>
      </c>
      <c r="C257" s="28">
        <f t="shared" si="44"/>
        <v>178.69</v>
      </c>
      <c r="D257" s="28"/>
      <c r="E257" s="28">
        <f>F257+G257</f>
        <v>11.69</v>
      </c>
      <c r="F257" s="28">
        <f t="shared" si="46"/>
        <v>6.68</v>
      </c>
      <c r="G257" s="28">
        <f>0.03*H257</f>
        <v>5.01</v>
      </c>
      <c r="H257" s="28">
        <f>T257</f>
        <v>167</v>
      </c>
      <c r="I257" s="28"/>
      <c r="J257" s="29"/>
      <c r="K257" s="29"/>
      <c r="L257" s="29"/>
      <c r="M257" s="29"/>
      <c r="N257" s="29"/>
      <c r="O257" s="28">
        <v>27653</v>
      </c>
      <c r="P257" s="28">
        <v>27820</v>
      </c>
      <c r="Q257" s="146"/>
      <c r="R257" s="71"/>
      <c r="S257" s="28">
        <v>1</v>
      </c>
      <c r="T257" s="28">
        <f>P257-O257</f>
        <v>167</v>
      </c>
      <c r="U257" s="455" t="s">
        <v>995</v>
      </c>
      <c r="V257" s="733" t="s">
        <v>317</v>
      </c>
      <c r="W257" s="14" t="s">
        <v>48</v>
      </c>
      <c r="X257" s="7"/>
      <c r="Y257" s="7"/>
      <c r="Z257" s="7"/>
      <c r="AA257" s="7"/>
      <c r="AB257" s="7"/>
      <c r="AC257" s="7"/>
    </row>
    <row r="258" spans="1:29" ht="25.5">
      <c r="A258" s="19"/>
      <c r="B258" s="27" t="s">
        <v>318</v>
      </c>
      <c r="C258" s="28">
        <f t="shared" si="44"/>
        <v>1048.5999999999999</v>
      </c>
      <c r="D258" s="28"/>
      <c r="E258" s="28">
        <f>F258+G258</f>
        <v>68.599999999999994</v>
      </c>
      <c r="F258" s="28">
        <f>0.04*H258</f>
        <v>39.200000000000003</v>
      </c>
      <c r="G258" s="28">
        <f>0.03*H258</f>
        <v>29.4</v>
      </c>
      <c r="H258" s="28">
        <f>T258</f>
        <v>980</v>
      </c>
      <c r="I258" s="28"/>
      <c r="J258" s="29"/>
      <c r="K258" s="29"/>
      <c r="L258" s="29"/>
      <c r="M258" s="29"/>
      <c r="N258" s="29"/>
      <c r="O258" s="28">
        <v>82107</v>
      </c>
      <c r="P258" s="28">
        <v>83087</v>
      </c>
      <c r="Q258" s="146"/>
      <c r="R258" s="71"/>
      <c r="S258" s="28">
        <v>1</v>
      </c>
      <c r="T258" s="28">
        <f>P258-O258</f>
        <v>980</v>
      </c>
      <c r="U258" s="455" t="s">
        <v>996</v>
      </c>
      <c r="V258" s="733" t="s">
        <v>317</v>
      </c>
      <c r="W258" s="14" t="s">
        <v>48</v>
      </c>
      <c r="X258" s="7"/>
      <c r="Y258" s="7"/>
      <c r="Z258" s="7"/>
      <c r="AA258" s="7"/>
      <c r="AB258" s="7"/>
      <c r="AC258" s="7"/>
    </row>
    <row r="259" spans="1:29" ht="25.5">
      <c r="A259" s="19"/>
      <c r="B259" s="27" t="s">
        <v>319</v>
      </c>
      <c r="C259" s="28">
        <f t="shared" si="44"/>
        <v>1206.96</v>
      </c>
      <c r="D259" s="28"/>
      <c r="E259" s="28">
        <f>F259+G259</f>
        <v>78.959999999999994</v>
      </c>
      <c r="F259" s="28">
        <f t="shared" si="46"/>
        <v>45.12</v>
      </c>
      <c r="G259" s="28">
        <f t="shared" si="47"/>
        <v>33.839999999999996</v>
      </c>
      <c r="H259" s="28">
        <f t="shared" si="39"/>
        <v>1128</v>
      </c>
      <c r="I259" s="28"/>
      <c r="J259" s="29"/>
      <c r="K259" s="29"/>
      <c r="L259" s="29"/>
      <c r="M259" s="29"/>
      <c r="N259" s="29"/>
      <c r="O259" s="28">
        <v>113290</v>
      </c>
      <c r="P259" s="28">
        <v>114418</v>
      </c>
      <c r="Q259" s="146"/>
      <c r="R259" s="71"/>
      <c r="S259" s="28">
        <v>1</v>
      </c>
      <c r="T259" s="28">
        <f>P259-O259</f>
        <v>1128</v>
      </c>
      <c r="U259" s="455" t="s">
        <v>997</v>
      </c>
      <c r="V259" s="733" t="s">
        <v>320</v>
      </c>
      <c r="W259" s="14" t="s">
        <v>82</v>
      </c>
      <c r="X259" s="7"/>
      <c r="Y259" s="7"/>
      <c r="Z259" s="7"/>
      <c r="AA259" s="7"/>
      <c r="AB259" s="7"/>
      <c r="AC259" s="7"/>
    </row>
    <row r="260" spans="1:29" ht="51">
      <c r="A260" s="19"/>
      <c r="B260" s="27" t="s">
        <v>321</v>
      </c>
      <c r="C260" s="28">
        <f t="shared" si="44"/>
        <v>1106.3800000000001</v>
      </c>
      <c r="D260" s="28"/>
      <c r="E260" s="28">
        <f t="shared" si="45"/>
        <v>72.38</v>
      </c>
      <c r="F260" s="28">
        <f t="shared" si="46"/>
        <v>41.36</v>
      </c>
      <c r="G260" s="28">
        <f t="shared" si="47"/>
        <v>31.02</v>
      </c>
      <c r="H260" s="28">
        <f t="shared" si="39"/>
        <v>1034</v>
      </c>
      <c r="I260" s="28">
        <f t="shared" ref="I260:I273" si="49">0.6*C260</f>
        <v>663.82800000000009</v>
      </c>
      <c r="J260" s="29"/>
      <c r="K260" s="29"/>
      <c r="L260" s="29"/>
      <c r="M260" s="29"/>
      <c r="N260" s="29"/>
      <c r="O260" s="445">
        <v>20240</v>
      </c>
      <c r="P260" s="445">
        <v>21274</v>
      </c>
      <c r="Q260" s="29"/>
      <c r="R260" s="348"/>
      <c r="S260" s="54">
        <v>1</v>
      </c>
      <c r="T260" s="28">
        <f t="shared" ref="T260:T273" si="50">(P260-O260)*S260</f>
        <v>1034</v>
      </c>
      <c r="U260" s="455">
        <v>34431</v>
      </c>
      <c r="V260" s="733" t="s">
        <v>322</v>
      </c>
      <c r="W260" s="14" t="s">
        <v>82</v>
      </c>
      <c r="X260" s="7"/>
      <c r="Y260" s="7"/>
      <c r="Z260" s="7"/>
      <c r="AA260" s="7"/>
      <c r="AB260" s="7"/>
      <c r="AC260" s="7"/>
    </row>
    <row r="261" spans="1:29" ht="25.5">
      <c r="A261" s="19"/>
      <c r="B261" s="446" t="s">
        <v>323</v>
      </c>
      <c r="C261" s="28">
        <f t="shared" si="44"/>
        <v>1274.3699999999999</v>
      </c>
      <c r="D261" s="28"/>
      <c r="E261" s="28">
        <f t="shared" si="45"/>
        <v>83.37</v>
      </c>
      <c r="F261" s="28">
        <f t="shared" si="46"/>
        <v>47.64</v>
      </c>
      <c r="G261" s="28">
        <f t="shared" si="47"/>
        <v>35.729999999999997</v>
      </c>
      <c r="H261" s="28">
        <f t="shared" si="39"/>
        <v>1191</v>
      </c>
      <c r="I261" s="28">
        <f t="shared" si="49"/>
        <v>764.62199999999996</v>
      </c>
      <c r="J261" s="29"/>
      <c r="K261" s="29"/>
      <c r="L261" s="29"/>
      <c r="M261" s="29"/>
      <c r="N261" s="29"/>
      <c r="O261" s="445">
        <v>67120</v>
      </c>
      <c r="P261" s="445">
        <v>68311</v>
      </c>
      <c r="Q261" s="29"/>
      <c r="R261" s="348"/>
      <c r="S261" s="54">
        <v>1</v>
      </c>
      <c r="T261" s="28">
        <f>(P261-O261)*S261</f>
        <v>1191</v>
      </c>
      <c r="U261" s="455" t="s">
        <v>998</v>
      </c>
      <c r="V261" s="733" t="s">
        <v>324</v>
      </c>
      <c r="W261" s="14" t="s">
        <v>82</v>
      </c>
      <c r="X261" s="7"/>
      <c r="Y261" s="7"/>
      <c r="Z261" s="7"/>
      <c r="AA261" s="7"/>
      <c r="AB261" s="7"/>
      <c r="AC261" s="7"/>
    </row>
    <row r="262" spans="1:29" ht="54.75" customHeight="1">
      <c r="A262" s="19"/>
      <c r="B262" s="27" t="s">
        <v>292</v>
      </c>
      <c r="C262" s="28">
        <f t="shared" si="44"/>
        <v>659.12</v>
      </c>
      <c r="D262" s="28"/>
      <c r="E262" s="28">
        <f t="shared" si="45"/>
        <v>43.120000000000005</v>
      </c>
      <c r="F262" s="28">
        <f t="shared" si="46"/>
        <v>24.64</v>
      </c>
      <c r="G262" s="28">
        <f t="shared" si="47"/>
        <v>18.48</v>
      </c>
      <c r="H262" s="28">
        <f t="shared" si="39"/>
        <v>616</v>
      </c>
      <c r="I262" s="28">
        <f t="shared" si="49"/>
        <v>395.47199999999998</v>
      </c>
      <c r="J262" s="29"/>
      <c r="K262" s="29"/>
      <c r="L262" s="29"/>
      <c r="M262" s="29"/>
      <c r="N262" s="29"/>
      <c r="O262" s="445">
        <v>32953</v>
      </c>
      <c r="P262" s="445">
        <v>33569</v>
      </c>
      <c r="Q262" s="29"/>
      <c r="R262" s="348"/>
      <c r="S262" s="54">
        <v>1</v>
      </c>
      <c r="T262" s="28">
        <f>(P262-O262)*S262</f>
        <v>616</v>
      </c>
      <c r="U262" s="738" t="s">
        <v>999</v>
      </c>
      <c r="V262" s="733" t="s">
        <v>325</v>
      </c>
      <c r="W262" s="14" t="s">
        <v>82</v>
      </c>
      <c r="X262" s="7"/>
      <c r="Y262" s="7"/>
      <c r="Z262" s="7"/>
      <c r="AA262" s="7"/>
      <c r="AB262" s="7"/>
      <c r="AC262" s="7"/>
    </row>
    <row r="263" spans="1:29" ht="25.5">
      <c r="A263" s="19"/>
      <c r="B263" s="83" t="s">
        <v>749</v>
      </c>
      <c r="C263" s="28">
        <f t="shared" si="44"/>
        <v>844.23</v>
      </c>
      <c r="D263" s="28"/>
      <c r="E263" s="28">
        <f t="shared" si="45"/>
        <v>55.230000000000004</v>
      </c>
      <c r="F263" s="28">
        <f t="shared" si="46"/>
        <v>31.560000000000002</v>
      </c>
      <c r="G263" s="28">
        <f t="shared" si="47"/>
        <v>23.669999999999998</v>
      </c>
      <c r="H263" s="28">
        <f t="shared" si="39"/>
        <v>789</v>
      </c>
      <c r="I263" s="28">
        <f t="shared" si="49"/>
        <v>506.53800000000001</v>
      </c>
      <c r="J263" s="29"/>
      <c r="K263" s="29"/>
      <c r="L263" s="29"/>
      <c r="M263" s="29"/>
      <c r="N263" s="29"/>
      <c r="O263" s="445">
        <v>38431</v>
      </c>
      <c r="P263" s="445">
        <v>39220</v>
      </c>
      <c r="Q263" s="29"/>
      <c r="R263" s="348"/>
      <c r="S263" s="54">
        <v>1</v>
      </c>
      <c r="T263" s="28">
        <f t="shared" si="50"/>
        <v>789</v>
      </c>
      <c r="U263" s="455" t="s">
        <v>1000</v>
      </c>
      <c r="V263" s="733" t="s">
        <v>326</v>
      </c>
      <c r="W263" s="14" t="s">
        <v>82</v>
      </c>
      <c r="X263" s="7"/>
      <c r="Y263" s="7"/>
      <c r="Z263" s="7"/>
      <c r="AA263" s="7"/>
      <c r="AB263" s="7"/>
      <c r="AC263" s="7"/>
    </row>
    <row r="264" spans="1:29" ht="25.5">
      <c r="A264" s="19"/>
      <c r="B264" s="446" t="s">
        <v>693</v>
      </c>
      <c r="C264" s="84">
        <f t="shared" si="44"/>
        <v>1063.58</v>
      </c>
      <c r="D264" s="84"/>
      <c r="E264" s="84">
        <f t="shared" si="45"/>
        <v>69.58</v>
      </c>
      <c r="F264" s="84">
        <f t="shared" si="46"/>
        <v>39.76</v>
      </c>
      <c r="G264" s="84">
        <f t="shared" si="47"/>
        <v>29.82</v>
      </c>
      <c r="H264" s="84">
        <f t="shared" si="39"/>
        <v>994</v>
      </c>
      <c r="I264" s="84">
        <f t="shared" si="49"/>
        <v>638.14799999999991</v>
      </c>
      <c r="J264" s="130"/>
      <c r="K264" s="130"/>
      <c r="L264" s="130"/>
      <c r="M264" s="130"/>
      <c r="N264" s="130"/>
      <c r="O264" s="84">
        <v>63387</v>
      </c>
      <c r="P264" s="84">
        <v>64381</v>
      </c>
      <c r="Q264" s="130"/>
      <c r="R264" s="385"/>
      <c r="S264" s="156">
        <v>1</v>
      </c>
      <c r="T264" s="84">
        <f t="shared" si="50"/>
        <v>994</v>
      </c>
      <c r="U264" s="722" t="s">
        <v>1001</v>
      </c>
      <c r="V264" s="89" t="s">
        <v>327</v>
      </c>
      <c r="W264" s="14" t="s">
        <v>82</v>
      </c>
      <c r="X264" s="7"/>
      <c r="Y264" s="7"/>
      <c r="Z264" s="7"/>
      <c r="AA264" s="7"/>
      <c r="AB264" s="7"/>
      <c r="AC264" s="7"/>
    </row>
    <row r="265" spans="1:29" ht="25.5">
      <c r="A265" s="194"/>
      <c r="B265" s="363" t="s">
        <v>908</v>
      </c>
      <c r="C265" s="28">
        <f t="shared" si="44"/>
        <v>1454.13</v>
      </c>
      <c r="D265" s="28"/>
      <c r="E265" s="28">
        <f t="shared" si="45"/>
        <v>95.13</v>
      </c>
      <c r="F265" s="28">
        <f t="shared" si="46"/>
        <v>54.36</v>
      </c>
      <c r="G265" s="28">
        <f t="shared" si="47"/>
        <v>40.769999999999996</v>
      </c>
      <c r="H265" s="28">
        <f t="shared" si="39"/>
        <v>1359</v>
      </c>
      <c r="I265" s="28">
        <f t="shared" si="49"/>
        <v>872.47800000000007</v>
      </c>
      <c r="J265" s="29"/>
      <c r="K265" s="29"/>
      <c r="L265" s="29"/>
      <c r="M265" s="29"/>
      <c r="N265" s="29"/>
      <c r="O265" s="445">
        <v>76463</v>
      </c>
      <c r="P265" s="445">
        <v>77822</v>
      </c>
      <c r="Q265" s="29"/>
      <c r="R265" s="348"/>
      <c r="S265" s="54">
        <v>1</v>
      </c>
      <c r="T265" s="28">
        <f t="shared" si="50"/>
        <v>1359</v>
      </c>
      <c r="U265" s="455" t="s">
        <v>1002</v>
      </c>
      <c r="V265" s="733" t="s">
        <v>811</v>
      </c>
      <c r="W265" s="14" t="s">
        <v>82</v>
      </c>
      <c r="X265" s="7"/>
      <c r="Y265" s="7"/>
      <c r="Z265" s="7"/>
      <c r="AA265" s="7"/>
      <c r="AB265" s="7"/>
      <c r="AC265" s="7"/>
    </row>
    <row r="266" spans="1:29" ht="25.5">
      <c r="A266" s="19"/>
      <c r="B266" s="27" t="s">
        <v>909</v>
      </c>
      <c r="C266" s="28">
        <f t="shared" si="44"/>
        <v>842.09</v>
      </c>
      <c r="D266" s="28"/>
      <c r="E266" s="28">
        <f>F266+G266</f>
        <v>55.09</v>
      </c>
      <c r="F266" s="28">
        <f>0.04*H266</f>
        <v>31.48</v>
      </c>
      <c r="G266" s="28">
        <f>0.03*H266</f>
        <v>23.61</v>
      </c>
      <c r="H266" s="28">
        <f>T266</f>
        <v>787</v>
      </c>
      <c r="I266" s="28">
        <f>0.5*C266</f>
        <v>421.04500000000002</v>
      </c>
      <c r="J266" s="29"/>
      <c r="K266" s="29"/>
      <c r="L266" s="29"/>
      <c r="M266" s="29"/>
      <c r="N266" s="29"/>
      <c r="O266" s="414">
        <v>18339</v>
      </c>
      <c r="P266" s="414">
        <v>19126</v>
      </c>
      <c r="Q266" s="146"/>
      <c r="R266" s="147"/>
      <c r="S266" s="54">
        <v>1</v>
      </c>
      <c r="T266" s="28">
        <f>(P266-O266)*S266</f>
        <v>787</v>
      </c>
      <c r="U266" s="455" t="s">
        <v>1003</v>
      </c>
      <c r="V266" s="733" t="s">
        <v>381</v>
      </c>
      <c r="W266" s="14" t="s">
        <v>82</v>
      </c>
      <c r="X266" s="7"/>
      <c r="Y266" s="7"/>
      <c r="Z266" s="7"/>
      <c r="AA266" s="7"/>
      <c r="AB266" s="7"/>
      <c r="AC266" s="7"/>
    </row>
    <row r="267" spans="1:29" ht="25.5">
      <c r="A267" s="19"/>
      <c r="B267" s="27" t="s">
        <v>329</v>
      </c>
      <c r="C267" s="28">
        <f t="shared" si="44"/>
        <v>1084.98</v>
      </c>
      <c r="D267" s="28"/>
      <c r="E267" s="28">
        <f t="shared" si="45"/>
        <v>70.98</v>
      </c>
      <c r="F267" s="28">
        <f t="shared" si="46"/>
        <v>40.56</v>
      </c>
      <c r="G267" s="28">
        <f t="shared" si="47"/>
        <v>30.419999999999998</v>
      </c>
      <c r="H267" s="28">
        <f t="shared" si="39"/>
        <v>1014</v>
      </c>
      <c r="I267" s="28">
        <f t="shared" si="49"/>
        <v>650.98799999999994</v>
      </c>
      <c r="J267" s="29"/>
      <c r="K267" s="29"/>
      <c r="L267" s="29"/>
      <c r="M267" s="29"/>
      <c r="N267" s="29"/>
      <c r="O267" s="445">
        <v>65855</v>
      </c>
      <c r="P267" s="445">
        <v>66869</v>
      </c>
      <c r="Q267" s="29"/>
      <c r="R267" s="348"/>
      <c r="S267" s="54">
        <v>1</v>
      </c>
      <c r="T267" s="28">
        <f t="shared" si="50"/>
        <v>1014</v>
      </c>
      <c r="U267" s="455" t="s">
        <v>1004</v>
      </c>
      <c r="V267" s="733" t="s">
        <v>330</v>
      </c>
      <c r="W267" s="14" t="s">
        <v>82</v>
      </c>
      <c r="X267" s="7"/>
      <c r="Y267" s="7"/>
      <c r="Z267" s="7"/>
      <c r="AA267" s="7"/>
      <c r="AB267" s="7"/>
      <c r="AC267" s="7"/>
    </row>
    <row r="268" spans="1:29" ht="25.5">
      <c r="A268" s="19"/>
      <c r="B268" s="27" t="s">
        <v>331</v>
      </c>
      <c r="C268" s="28">
        <f t="shared" si="44"/>
        <v>783.24</v>
      </c>
      <c r="D268" s="28"/>
      <c r="E268" s="28">
        <f t="shared" si="45"/>
        <v>51.24</v>
      </c>
      <c r="F268" s="28">
        <f t="shared" si="46"/>
        <v>29.28</v>
      </c>
      <c r="G268" s="28">
        <f t="shared" si="47"/>
        <v>21.96</v>
      </c>
      <c r="H268" s="28">
        <f t="shared" si="39"/>
        <v>732</v>
      </c>
      <c r="I268" s="28">
        <f t="shared" si="49"/>
        <v>469.94399999999996</v>
      </c>
      <c r="J268" s="29"/>
      <c r="K268" s="29"/>
      <c r="L268" s="29"/>
      <c r="M268" s="29"/>
      <c r="N268" s="29"/>
      <c r="O268" s="445">
        <v>39164</v>
      </c>
      <c r="P268" s="445">
        <v>39896</v>
      </c>
      <c r="Q268" s="29"/>
      <c r="R268" s="348"/>
      <c r="S268" s="54">
        <v>1</v>
      </c>
      <c r="T268" s="28">
        <f t="shared" si="50"/>
        <v>732</v>
      </c>
      <c r="U268" s="455" t="s">
        <v>1005</v>
      </c>
      <c r="V268" s="733" t="s">
        <v>332</v>
      </c>
      <c r="W268" s="14" t="s">
        <v>82</v>
      </c>
      <c r="X268" s="7"/>
      <c r="Y268" s="7"/>
      <c r="Z268" s="7"/>
      <c r="AA268" s="7"/>
      <c r="AB268" s="7"/>
      <c r="AC268" s="7"/>
    </row>
    <row r="269" spans="1:29" ht="25.5">
      <c r="A269" s="19"/>
      <c r="B269" s="27"/>
      <c r="C269" s="28"/>
      <c r="D269" s="28"/>
      <c r="E269" s="28"/>
      <c r="F269" s="28"/>
      <c r="G269" s="28"/>
      <c r="H269" s="28"/>
      <c r="I269" s="28"/>
      <c r="J269" s="29"/>
      <c r="K269" s="29"/>
      <c r="L269" s="29"/>
      <c r="M269" s="29"/>
      <c r="N269" s="29"/>
      <c r="O269" s="28"/>
      <c r="P269" s="28"/>
      <c r="Q269" s="29"/>
      <c r="R269" s="348"/>
      <c r="S269" s="54"/>
      <c r="T269" s="28"/>
      <c r="U269" s="455"/>
      <c r="V269" s="733"/>
      <c r="W269" s="14"/>
      <c r="X269" s="7"/>
      <c r="Y269" s="7"/>
      <c r="Z269" s="7"/>
      <c r="AA269" s="7"/>
      <c r="AB269" s="7"/>
      <c r="AC269" s="7"/>
    </row>
    <row r="270" spans="1:29" ht="25.5">
      <c r="A270" s="19"/>
      <c r="B270" s="363" t="s">
        <v>910</v>
      </c>
      <c r="C270" s="28">
        <f>H270+E270</f>
        <v>28.89</v>
      </c>
      <c r="D270" s="28"/>
      <c r="E270" s="28">
        <f t="shared" si="45"/>
        <v>1.8900000000000001</v>
      </c>
      <c r="F270" s="28">
        <f t="shared" si="46"/>
        <v>1.08</v>
      </c>
      <c r="G270" s="28">
        <f t="shared" si="47"/>
        <v>0.80999999999999994</v>
      </c>
      <c r="H270" s="28">
        <f t="shared" si="39"/>
        <v>27</v>
      </c>
      <c r="I270" s="28">
        <f t="shared" si="49"/>
        <v>17.334</v>
      </c>
      <c r="J270" s="29"/>
      <c r="K270" s="29"/>
      <c r="L270" s="29"/>
      <c r="M270" s="29"/>
      <c r="N270" s="29"/>
      <c r="O270" s="28">
        <v>376817</v>
      </c>
      <c r="P270" s="28">
        <v>376844</v>
      </c>
      <c r="Q270" s="29" t="s">
        <v>33</v>
      </c>
      <c r="R270" s="348"/>
      <c r="S270" s="28">
        <v>1</v>
      </c>
      <c r="T270" s="28">
        <f t="shared" si="50"/>
        <v>27</v>
      </c>
      <c r="U270" s="455" t="s">
        <v>1079</v>
      </c>
      <c r="V270" s="733" t="s">
        <v>812</v>
      </c>
      <c r="W270" s="14" t="s">
        <v>57</v>
      </c>
      <c r="X270" s="7"/>
      <c r="Y270" s="7"/>
      <c r="Z270" s="7"/>
      <c r="AA270" s="7"/>
      <c r="AB270" s="7"/>
      <c r="AC270" s="7"/>
    </row>
    <row r="271" spans="1:29" ht="25.5">
      <c r="A271" s="19"/>
      <c r="B271" s="448" t="s">
        <v>399</v>
      </c>
      <c r="C271" s="84">
        <f t="shared" ref="C271" si="51">H271+E271</f>
        <v>0</v>
      </c>
      <c r="D271" s="84"/>
      <c r="E271" s="84">
        <f t="shared" si="45"/>
        <v>0</v>
      </c>
      <c r="F271" s="84">
        <f t="shared" si="46"/>
        <v>0</v>
      </c>
      <c r="G271" s="84">
        <f t="shared" si="47"/>
        <v>0</v>
      </c>
      <c r="H271" s="84">
        <f t="shared" si="39"/>
        <v>0</v>
      </c>
      <c r="I271" s="84">
        <f t="shared" si="49"/>
        <v>0</v>
      </c>
      <c r="J271" s="130"/>
      <c r="K271" s="130"/>
      <c r="L271" s="130"/>
      <c r="M271" s="130"/>
      <c r="N271" s="130"/>
      <c r="O271" s="84">
        <v>38296</v>
      </c>
      <c r="P271" s="84">
        <v>38296</v>
      </c>
      <c r="Q271" s="389"/>
      <c r="R271" s="390"/>
      <c r="S271" s="156">
        <v>1</v>
      </c>
      <c r="T271" s="84">
        <f>(P271-O271)*S271</f>
        <v>0</v>
      </c>
      <c r="U271" s="722"/>
      <c r="V271" s="89" t="s">
        <v>400</v>
      </c>
      <c r="W271" s="14"/>
      <c r="X271" s="7"/>
      <c r="Y271" s="7"/>
      <c r="Z271" s="7"/>
      <c r="AA271" s="7"/>
      <c r="AB271" s="7"/>
      <c r="AC271" s="7"/>
    </row>
    <row r="272" spans="1:29" ht="27.75" customHeight="1">
      <c r="A272" s="19"/>
      <c r="B272" s="148"/>
      <c r="C272" s="91"/>
      <c r="D272" s="91"/>
      <c r="E272" s="91"/>
      <c r="F272" s="91"/>
      <c r="G272" s="91"/>
      <c r="H272" s="91"/>
      <c r="I272" s="91"/>
      <c r="J272" s="22"/>
      <c r="K272" s="22"/>
      <c r="L272" s="22"/>
      <c r="M272" s="22"/>
      <c r="N272" s="22"/>
      <c r="O272" s="91"/>
      <c r="P272" s="91"/>
      <c r="Q272" s="122"/>
      <c r="R272" s="173"/>
      <c r="S272" s="91"/>
      <c r="T272" s="91"/>
      <c r="U272" s="644"/>
      <c r="V272" s="710"/>
      <c r="W272" s="14" t="s">
        <v>57</v>
      </c>
      <c r="X272" s="7"/>
      <c r="Y272" s="7"/>
      <c r="Z272" s="7"/>
      <c r="AA272" s="7"/>
      <c r="AB272" s="7"/>
      <c r="AC272" s="7"/>
    </row>
    <row r="273" spans="1:29" ht="51" customHeight="1">
      <c r="A273" s="19"/>
      <c r="B273" s="494" t="s">
        <v>911</v>
      </c>
      <c r="C273" s="219">
        <v>50</v>
      </c>
      <c r="D273" s="219"/>
      <c r="E273" s="219">
        <f t="shared" si="45"/>
        <v>0</v>
      </c>
      <c r="F273" s="219">
        <f t="shared" si="46"/>
        <v>0</v>
      </c>
      <c r="G273" s="219">
        <f t="shared" si="47"/>
        <v>0</v>
      </c>
      <c r="H273" s="219">
        <v>0</v>
      </c>
      <c r="I273" s="219">
        <f t="shared" si="49"/>
        <v>30</v>
      </c>
      <c r="J273" s="220"/>
      <c r="K273" s="220"/>
      <c r="L273" s="220"/>
      <c r="M273" s="220"/>
      <c r="N273" s="220"/>
      <c r="O273" s="514"/>
      <c r="P273" s="514"/>
      <c r="Q273" s="515"/>
      <c r="R273" s="516"/>
      <c r="S273" s="514"/>
      <c r="T273" s="219">
        <f t="shared" si="50"/>
        <v>0</v>
      </c>
      <c r="U273" s="727" t="s">
        <v>336</v>
      </c>
      <c r="V273" s="222" t="s">
        <v>337</v>
      </c>
      <c r="W273" s="14"/>
      <c r="X273" s="7"/>
      <c r="Y273" s="7"/>
      <c r="Z273" s="7"/>
      <c r="AA273" s="7"/>
      <c r="AB273" s="7"/>
      <c r="AC273" s="7"/>
    </row>
    <row r="274" spans="1:29" ht="26.25">
      <c r="A274" s="19"/>
      <c r="B274" s="201"/>
      <c r="C274" s="202"/>
      <c r="D274" s="202"/>
      <c r="E274" s="202"/>
      <c r="F274" s="202"/>
      <c r="G274" s="202"/>
      <c r="H274" s="202"/>
      <c r="I274" s="202"/>
      <c r="J274" s="203"/>
      <c r="K274" s="203"/>
      <c r="L274" s="203"/>
      <c r="M274" s="203"/>
      <c r="N274" s="203"/>
      <c r="O274" s="204"/>
      <c r="P274" s="204"/>
      <c r="Q274" s="203"/>
      <c r="R274" s="205"/>
      <c r="S274" s="202"/>
      <c r="T274" s="206"/>
      <c r="U274" s="644"/>
      <c r="V274" s="710"/>
      <c r="W274" s="14"/>
      <c r="X274" s="7"/>
      <c r="Y274" s="7"/>
      <c r="Z274" s="7"/>
      <c r="AA274" s="7"/>
      <c r="AB274" s="7"/>
      <c r="AC274" s="7"/>
    </row>
    <row r="275" spans="1:29" ht="26.25">
      <c r="A275" s="19"/>
      <c r="B275" s="207"/>
      <c r="C275" s="202"/>
      <c r="D275" s="202"/>
      <c r="E275" s="208"/>
      <c r="F275" s="202"/>
      <c r="G275" s="202"/>
      <c r="H275" s="202"/>
      <c r="I275" s="202"/>
      <c r="J275" s="203"/>
      <c r="K275" s="203"/>
      <c r="L275" s="203"/>
      <c r="M275" s="203"/>
      <c r="N275" s="203"/>
      <c r="O275" s="204"/>
      <c r="P275" s="204"/>
      <c r="Q275" s="203"/>
      <c r="R275" s="205"/>
      <c r="S275" s="202"/>
      <c r="T275" s="206"/>
      <c r="U275" s="644"/>
      <c r="V275" s="710"/>
      <c r="W275" s="14"/>
      <c r="X275" s="7"/>
      <c r="Y275" s="7"/>
      <c r="Z275" s="7"/>
      <c r="AA275" s="7"/>
      <c r="AB275" s="7"/>
      <c r="AC275" s="7"/>
    </row>
    <row r="276" spans="1:29" ht="26.25">
      <c r="A276" s="19"/>
      <c r="B276" s="209"/>
      <c r="C276" s="115"/>
      <c r="D276" s="115"/>
      <c r="E276" s="112"/>
      <c r="F276" s="115"/>
      <c r="G276" s="115"/>
      <c r="H276" s="115"/>
      <c r="I276" s="115"/>
      <c r="J276" s="164"/>
      <c r="K276" s="164"/>
      <c r="L276" s="164"/>
      <c r="M276" s="164"/>
      <c r="N276" s="164"/>
      <c r="O276" s="210"/>
      <c r="P276" s="210"/>
      <c r="Q276" s="149"/>
      <c r="R276" s="211"/>
      <c r="S276" s="115"/>
      <c r="T276" s="91"/>
      <c r="U276" s="644"/>
      <c r="V276" s="710"/>
      <c r="W276" s="14"/>
      <c r="X276" s="7"/>
      <c r="Y276" s="7"/>
      <c r="Z276" s="7"/>
      <c r="AA276" s="7"/>
      <c r="AB276" s="7"/>
      <c r="AC276" s="7"/>
    </row>
    <row r="277" spans="1:29" ht="26.25">
      <c r="A277" s="19"/>
      <c r="B277" s="680" t="s">
        <v>338</v>
      </c>
      <c r="C277" s="681">
        <f>'Яблоко и ТП-7апрель'!B73</f>
        <v>69064.979999997769</v>
      </c>
      <c r="D277" s="72"/>
      <c r="E277" s="682"/>
      <c r="F277" s="72"/>
      <c r="G277" s="72"/>
      <c r="H277" s="72"/>
      <c r="I277" s="72"/>
      <c r="J277" s="81"/>
      <c r="K277" s="81"/>
      <c r="L277" s="81"/>
      <c r="M277" s="81"/>
      <c r="N277" s="81"/>
      <c r="O277" s="683"/>
      <c r="P277" s="683"/>
      <c r="Q277" s="146"/>
      <c r="R277" s="165"/>
      <c r="S277" s="171"/>
      <c r="T277" s="28"/>
      <c r="U277" s="455"/>
      <c r="V277" s="733"/>
      <c r="W277" s="14" t="s">
        <v>82</v>
      </c>
      <c r="X277" s="7"/>
      <c r="Y277" s="7"/>
      <c r="Z277" s="7"/>
      <c r="AA277" s="7"/>
      <c r="AB277" s="7"/>
      <c r="AC277" s="7"/>
    </row>
    <row r="278" spans="1:29" ht="26.25">
      <c r="A278" s="19"/>
      <c r="B278" s="367" t="s">
        <v>339</v>
      </c>
      <c r="C278" s="681">
        <f>'Яблоко и ТП-7апрель'!B62</f>
        <v>144579.29999999999</v>
      </c>
      <c r="D278" s="28"/>
      <c r="E278" s="28"/>
      <c r="F278" s="28"/>
      <c r="G278" s="28"/>
      <c r="H278" s="28"/>
      <c r="I278" s="28"/>
      <c r="J278" s="29"/>
      <c r="K278" s="29"/>
      <c r="L278" s="29"/>
      <c r="M278" s="29"/>
      <c r="N278" s="29"/>
      <c r="O278" s="28"/>
      <c r="P278" s="28"/>
      <c r="Q278" s="30"/>
      <c r="R278" s="71"/>
      <c r="S278" s="54"/>
      <c r="T278" s="28"/>
      <c r="U278" s="455"/>
      <c r="V278" s="733" t="s">
        <v>82</v>
      </c>
      <c r="W278" s="14" t="s">
        <v>82</v>
      </c>
      <c r="X278" s="7"/>
      <c r="Y278" s="7"/>
      <c r="Z278" s="7"/>
      <c r="AA278" s="7"/>
      <c r="AB278" s="7"/>
      <c r="AC278" s="7"/>
    </row>
    <row r="279" spans="1:29" ht="46.5">
      <c r="A279" s="19"/>
      <c r="B279" s="363" t="s">
        <v>340</v>
      </c>
      <c r="C279" s="28">
        <f t="shared" ref="C279:C284" si="52">H279+E279</f>
        <v>358.45</v>
      </c>
      <c r="D279" s="28"/>
      <c r="E279" s="28">
        <f>G279+F279</f>
        <v>23.45</v>
      </c>
      <c r="F279" s="28">
        <f t="shared" ref="F279:F284" si="53">0.04*H279</f>
        <v>13.4</v>
      </c>
      <c r="G279" s="28">
        <f t="shared" ref="G279:G284" si="54">0.03*H279</f>
        <v>10.049999999999999</v>
      </c>
      <c r="H279" s="28">
        <f t="shared" ref="H279:H284" si="55">T279</f>
        <v>335</v>
      </c>
      <c r="I279" s="28">
        <f t="shared" ref="I279:I284" si="56">0.6*C279</f>
        <v>215.07</v>
      </c>
      <c r="J279" s="29"/>
      <c r="K279" s="29"/>
      <c r="L279" s="29"/>
      <c r="M279" s="29"/>
      <c r="N279" s="29"/>
      <c r="O279" s="28">
        <v>51143</v>
      </c>
      <c r="P279" s="28">
        <v>51478</v>
      </c>
      <c r="Q279" s="30"/>
      <c r="R279" s="71"/>
      <c r="S279" s="54">
        <v>1</v>
      </c>
      <c r="T279" s="28">
        <f>(P279-O279)*S279</f>
        <v>335</v>
      </c>
      <c r="U279" s="455" t="s">
        <v>1006</v>
      </c>
      <c r="V279" s="733" t="s">
        <v>342</v>
      </c>
      <c r="W279" s="14" t="s">
        <v>57</v>
      </c>
      <c r="X279" s="7"/>
      <c r="Y279" s="7"/>
      <c r="Z279" s="7"/>
      <c r="AA279" s="7"/>
      <c r="AB279" s="7"/>
      <c r="AC279" s="7"/>
    </row>
    <row r="280" spans="1:29" ht="25.5">
      <c r="A280" s="19"/>
      <c r="B280" s="27" t="s">
        <v>343</v>
      </c>
      <c r="C280" s="28">
        <f t="shared" si="52"/>
        <v>0</v>
      </c>
      <c r="D280" s="28"/>
      <c r="E280" s="28">
        <f t="shared" ref="E280:E326" si="57">F280+G280</f>
        <v>0</v>
      </c>
      <c r="F280" s="28">
        <f t="shared" si="53"/>
        <v>0</v>
      </c>
      <c r="G280" s="28">
        <f t="shared" si="54"/>
        <v>0</v>
      </c>
      <c r="H280" s="28">
        <f t="shared" si="55"/>
        <v>0</v>
      </c>
      <c r="I280" s="28">
        <f t="shared" si="56"/>
        <v>0</v>
      </c>
      <c r="J280" s="29"/>
      <c r="K280" s="29"/>
      <c r="L280" s="29"/>
      <c r="M280" s="29"/>
      <c r="N280" s="29"/>
      <c r="O280" s="28">
        <v>19323</v>
      </c>
      <c r="P280" s="28">
        <v>19323</v>
      </c>
      <c r="Q280" s="146"/>
      <c r="R280" s="61"/>
      <c r="S280" s="54">
        <v>1</v>
      </c>
      <c r="T280" s="28">
        <f>(P280-O280)*S280</f>
        <v>0</v>
      </c>
      <c r="U280" s="455">
        <v>282335</v>
      </c>
      <c r="V280" s="733" t="s">
        <v>344</v>
      </c>
      <c r="W280" s="14" t="s">
        <v>57</v>
      </c>
      <c r="X280" s="7"/>
      <c r="Y280" s="7"/>
      <c r="Z280" s="7"/>
      <c r="AA280" s="7"/>
      <c r="AB280" s="7"/>
      <c r="AC280" s="7"/>
    </row>
    <row r="281" spans="1:29" ht="24.75" customHeight="1">
      <c r="A281" s="19"/>
      <c r="B281" s="380"/>
      <c r="C281" s="28"/>
      <c r="D281" s="28"/>
      <c r="E281" s="28"/>
      <c r="F281" s="28"/>
      <c r="G281" s="28"/>
      <c r="H281" s="28"/>
      <c r="I281" s="28"/>
      <c r="J281" s="29"/>
      <c r="K281" s="29"/>
      <c r="L281" s="29"/>
      <c r="M281" s="29"/>
      <c r="N281" s="29"/>
      <c r="O281" s="28"/>
      <c r="P281" s="28"/>
      <c r="Q281" s="146"/>
      <c r="R281" s="61"/>
      <c r="S281" s="54"/>
      <c r="T281" s="28"/>
      <c r="U281" s="455"/>
      <c r="V281" s="733"/>
      <c r="W281" s="14"/>
      <c r="X281" s="7"/>
      <c r="Y281" s="7"/>
      <c r="Z281" s="7"/>
      <c r="AA281" s="7"/>
      <c r="AB281" s="7"/>
      <c r="AC281" s="7"/>
    </row>
    <row r="282" spans="1:29" ht="25.5">
      <c r="A282" s="19"/>
      <c r="B282" s="380"/>
      <c r="C282" s="28"/>
      <c r="D282" s="28"/>
      <c r="E282" s="28"/>
      <c r="F282" s="28"/>
      <c r="G282" s="28"/>
      <c r="H282" s="28"/>
      <c r="I282" s="28"/>
      <c r="J282" s="29"/>
      <c r="K282" s="29"/>
      <c r="L282" s="29"/>
      <c r="M282" s="29"/>
      <c r="N282" s="29"/>
      <c r="O282" s="28"/>
      <c r="P282" s="28"/>
      <c r="Q282" s="146"/>
      <c r="R282" s="61"/>
      <c r="S282" s="54"/>
      <c r="T282" s="28"/>
      <c r="U282" s="455"/>
      <c r="V282" s="733"/>
      <c r="W282" s="14" t="s">
        <v>48</v>
      </c>
      <c r="X282" s="7"/>
      <c r="Y282" s="7"/>
      <c r="Z282" s="7"/>
      <c r="AA282" s="7"/>
      <c r="AB282" s="7"/>
      <c r="AC282" s="7"/>
    </row>
    <row r="283" spans="1:29" ht="25.5">
      <c r="A283" s="19"/>
      <c r="B283" s="380"/>
      <c r="C283" s="28">
        <f t="shared" ref="C283" si="58">H283+E283</f>
        <v>0</v>
      </c>
      <c r="D283" s="28"/>
      <c r="E283" s="28">
        <f t="shared" ref="E283" si="59">F283+G283</f>
        <v>0</v>
      </c>
      <c r="F283" s="28">
        <f t="shared" ref="F283" si="60">0.04*H283</f>
        <v>0</v>
      </c>
      <c r="G283" s="28">
        <f t="shared" ref="G283" si="61">0.03*H283</f>
        <v>0</v>
      </c>
      <c r="H283" s="28">
        <f t="shared" ref="H283" si="62">T283</f>
        <v>0</v>
      </c>
      <c r="I283" s="28">
        <f t="shared" ref="I283" si="63">0.6*C283</f>
        <v>0</v>
      </c>
      <c r="J283" s="29"/>
      <c r="K283" s="29"/>
      <c r="L283" s="29"/>
      <c r="M283" s="29"/>
      <c r="N283" s="29"/>
      <c r="O283" s="28">
        <v>0</v>
      </c>
      <c r="P283" s="28">
        <v>0</v>
      </c>
      <c r="Q283" s="146"/>
      <c r="R283" s="61"/>
      <c r="S283" s="54">
        <v>1</v>
      </c>
      <c r="T283" s="28">
        <f>(P283-O283)*S283</f>
        <v>0</v>
      </c>
      <c r="U283" s="455" t="s">
        <v>1104</v>
      </c>
      <c r="V283" s="851" t="s">
        <v>345</v>
      </c>
      <c r="W283" s="14"/>
      <c r="X283" s="7"/>
      <c r="Y283" s="7"/>
      <c r="Z283" s="7"/>
      <c r="AA283" s="7"/>
      <c r="AB283" s="7"/>
      <c r="AC283" s="7"/>
    </row>
    <row r="284" spans="1:29" ht="25.5">
      <c r="A284" s="19"/>
      <c r="B284" s="380" t="s">
        <v>696</v>
      </c>
      <c r="C284" s="28">
        <f t="shared" si="52"/>
        <v>58.85</v>
      </c>
      <c r="D284" s="28"/>
      <c r="E284" s="28">
        <f t="shared" si="57"/>
        <v>3.85</v>
      </c>
      <c r="F284" s="28">
        <f t="shared" si="53"/>
        <v>2.2000000000000002</v>
      </c>
      <c r="G284" s="28">
        <f t="shared" si="54"/>
        <v>1.65</v>
      </c>
      <c r="H284" s="28">
        <f t="shared" si="55"/>
        <v>55</v>
      </c>
      <c r="I284" s="28">
        <f t="shared" si="56"/>
        <v>35.31</v>
      </c>
      <c r="J284" s="29"/>
      <c r="K284" s="29"/>
      <c r="L284" s="29"/>
      <c r="M284" s="29"/>
      <c r="N284" s="29"/>
      <c r="O284" s="28">
        <v>14040</v>
      </c>
      <c r="P284" s="28">
        <v>14095</v>
      </c>
      <c r="Q284" s="146"/>
      <c r="R284" s="61"/>
      <c r="S284" s="54">
        <v>1</v>
      </c>
      <c r="T284" s="28">
        <f>(P284-O284)*S284</f>
        <v>55</v>
      </c>
      <c r="U284" s="455" t="s">
        <v>1007</v>
      </c>
      <c r="V284" s="851"/>
      <c r="W284" s="14" t="s">
        <v>57</v>
      </c>
      <c r="X284" s="7"/>
      <c r="Y284" s="7"/>
      <c r="Z284" s="7"/>
      <c r="AA284" s="7"/>
      <c r="AB284" s="7"/>
      <c r="AC284" s="7"/>
    </row>
    <row r="285" spans="1:29" ht="26.25">
      <c r="A285" s="19"/>
      <c r="B285" s="214" t="s">
        <v>346</v>
      </c>
      <c r="C285" s="124"/>
      <c r="D285" s="124"/>
      <c r="E285" s="124"/>
      <c r="F285" s="124"/>
      <c r="G285" s="124"/>
      <c r="H285" s="124"/>
      <c r="I285" s="97"/>
      <c r="J285" s="126"/>
      <c r="K285" s="126"/>
      <c r="L285" s="126"/>
      <c r="M285" s="126"/>
      <c r="N285" s="126"/>
      <c r="O285" s="124"/>
      <c r="P285" s="124"/>
      <c r="Q285" s="138"/>
      <c r="R285" s="215"/>
      <c r="S285" s="140"/>
      <c r="T285" s="124"/>
      <c r="U285" s="717"/>
      <c r="V285" s="128"/>
      <c r="W285" s="14"/>
      <c r="X285" s="7"/>
      <c r="Y285" s="7"/>
      <c r="Z285" s="7"/>
      <c r="AA285" s="7"/>
      <c r="AB285" s="7"/>
      <c r="AC285" s="7"/>
    </row>
    <row r="286" spans="1:29" ht="26.25">
      <c r="A286" s="19"/>
      <c r="B286" s="463"/>
      <c r="C286" s="84">
        <f>H286+E286</f>
        <v>1831.84</v>
      </c>
      <c r="D286" s="84"/>
      <c r="E286" s="84">
        <f>F286+G286</f>
        <v>119.84</v>
      </c>
      <c r="F286" s="84">
        <f>0.04*H286</f>
        <v>68.48</v>
      </c>
      <c r="G286" s="84">
        <f>0.03*H286</f>
        <v>51.36</v>
      </c>
      <c r="H286" s="84">
        <f>T286</f>
        <v>1712</v>
      </c>
      <c r="I286" s="84">
        <f>0.6*C286</f>
        <v>1099.1039999999998</v>
      </c>
      <c r="J286" s="130"/>
      <c r="K286" s="130"/>
      <c r="L286" s="130"/>
      <c r="M286" s="130"/>
      <c r="N286" s="130"/>
      <c r="O286" s="84">
        <v>98213</v>
      </c>
      <c r="P286" s="84">
        <v>99925</v>
      </c>
      <c r="Q286" s="389"/>
      <c r="R286" s="390"/>
      <c r="S286" s="156">
        <v>1</v>
      </c>
      <c r="T286" s="84">
        <f t="shared" ref="T286:T322" si="64">(P286-O286)*S286</f>
        <v>1712</v>
      </c>
      <c r="U286" s="722" t="s">
        <v>1008</v>
      </c>
      <c r="V286" s="89" t="s">
        <v>347</v>
      </c>
      <c r="W286" s="14" t="s">
        <v>82</v>
      </c>
      <c r="X286" s="7"/>
      <c r="Y286" s="7"/>
      <c r="Z286" s="7"/>
      <c r="AA286" s="7"/>
      <c r="AB286" s="7"/>
      <c r="AC286" s="7"/>
    </row>
    <row r="287" spans="1:29" ht="25.5">
      <c r="A287" s="19"/>
      <c r="B287" s="464" t="s">
        <v>348</v>
      </c>
      <c r="C287" s="84">
        <f>H287+E287</f>
        <v>880.61</v>
      </c>
      <c r="D287" s="84"/>
      <c r="E287" s="84">
        <f>F287+G287</f>
        <v>57.61</v>
      </c>
      <c r="F287" s="84">
        <f>0.04*H287</f>
        <v>32.92</v>
      </c>
      <c r="G287" s="84">
        <f>0.03*H287</f>
        <v>24.689999999999998</v>
      </c>
      <c r="H287" s="84">
        <f>T287</f>
        <v>823</v>
      </c>
      <c r="I287" s="84">
        <f>0.6*C287</f>
        <v>528.36599999999999</v>
      </c>
      <c r="J287" s="130"/>
      <c r="K287" s="130"/>
      <c r="L287" s="130"/>
      <c r="M287" s="130"/>
      <c r="N287" s="130"/>
      <c r="O287" s="84">
        <v>322064</v>
      </c>
      <c r="P287" s="84">
        <v>322887</v>
      </c>
      <c r="Q287" s="389"/>
      <c r="R287" s="390"/>
      <c r="S287" s="156">
        <v>1</v>
      </c>
      <c r="T287" s="84">
        <f t="shared" si="64"/>
        <v>823</v>
      </c>
      <c r="U287" s="722" t="s">
        <v>1009</v>
      </c>
      <c r="V287" s="465" t="s">
        <v>349</v>
      </c>
      <c r="W287" s="14" t="s">
        <v>82</v>
      </c>
      <c r="X287" s="7"/>
      <c r="Y287" s="7"/>
      <c r="Z287" s="7"/>
      <c r="AA287" s="7"/>
      <c r="AB287" s="7"/>
      <c r="AC287" s="7"/>
    </row>
    <row r="288" spans="1:29" ht="25.5">
      <c r="A288" s="19"/>
      <c r="B288" s="466" t="s">
        <v>350</v>
      </c>
      <c r="C288" s="84">
        <f>H288+E288</f>
        <v>7249.25</v>
      </c>
      <c r="D288" s="84"/>
      <c r="E288" s="84">
        <f t="shared" si="57"/>
        <v>474.25</v>
      </c>
      <c r="F288" s="84">
        <f>0.04*H288</f>
        <v>271</v>
      </c>
      <c r="G288" s="84">
        <f>0.03*H288</f>
        <v>203.25</v>
      </c>
      <c r="H288" s="84">
        <f>T288</f>
        <v>6775</v>
      </c>
      <c r="I288" s="84">
        <f>0.6*C288</f>
        <v>4349.55</v>
      </c>
      <c r="J288" s="130"/>
      <c r="K288" s="130"/>
      <c r="L288" s="130"/>
      <c r="M288" s="130"/>
      <c r="N288" s="130"/>
      <c r="O288" s="84">
        <v>364707</v>
      </c>
      <c r="P288" s="84">
        <v>371482</v>
      </c>
      <c r="Q288" s="389"/>
      <c r="R288" s="390"/>
      <c r="S288" s="156">
        <v>1</v>
      </c>
      <c r="T288" s="84">
        <f t="shared" si="64"/>
        <v>6775</v>
      </c>
      <c r="U288" s="722" t="s">
        <v>1010</v>
      </c>
      <c r="V288" s="465" t="s">
        <v>351</v>
      </c>
      <c r="W288" s="14" t="s">
        <v>82</v>
      </c>
      <c r="X288" s="7"/>
      <c r="Y288" s="7"/>
      <c r="Z288" s="7"/>
      <c r="AA288" s="7"/>
      <c r="AB288" s="7"/>
      <c r="AC288" s="7"/>
    </row>
    <row r="289" spans="1:29" ht="25.5">
      <c r="A289" s="19"/>
      <c r="B289" s="464" t="s">
        <v>352</v>
      </c>
      <c r="C289" s="84">
        <f t="shared" ref="C289:C326" si="65">H289+E289</f>
        <v>15677.64</v>
      </c>
      <c r="D289" s="84"/>
      <c r="E289" s="84">
        <f t="shared" si="57"/>
        <v>1025.6400000000001</v>
      </c>
      <c r="F289" s="84">
        <f t="shared" ref="F289:F326" si="66">0.04*H289</f>
        <v>586.08000000000004</v>
      </c>
      <c r="G289" s="84">
        <f t="shared" ref="G289:G326" si="67">0.03*H289</f>
        <v>439.56</v>
      </c>
      <c r="H289" s="84">
        <f t="shared" ref="H289:H326" si="68">T289</f>
        <v>14652</v>
      </c>
      <c r="I289" s="84">
        <f t="shared" ref="I289:I328" si="69">0.6*C289</f>
        <v>9406.5839999999989</v>
      </c>
      <c r="J289" s="130"/>
      <c r="K289" s="130"/>
      <c r="L289" s="130"/>
      <c r="M289" s="130"/>
      <c r="N289" s="130"/>
      <c r="O289" s="84">
        <v>13039</v>
      </c>
      <c r="P289" s="84">
        <v>13282</v>
      </c>
      <c r="Q289" s="389"/>
      <c r="R289" s="390"/>
      <c r="S289" s="156">
        <v>60</v>
      </c>
      <c r="T289" s="84">
        <f>(P289-O289)*S289+72</f>
        <v>14652</v>
      </c>
      <c r="U289" s="722" t="s">
        <v>1011</v>
      </c>
      <c r="V289" s="465" t="s">
        <v>353</v>
      </c>
      <c r="W289" s="14" t="s">
        <v>82</v>
      </c>
      <c r="X289" s="7"/>
      <c r="Y289" s="7"/>
      <c r="Z289" s="7"/>
      <c r="AA289" s="7"/>
      <c r="AB289" s="7"/>
      <c r="AC289" s="7"/>
    </row>
    <row r="290" spans="1:29" ht="25.5">
      <c r="A290" s="19"/>
      <c r="B290" s="464" t="s">
        <v>354</v>
      </c>
      <c r="C290" s="84">
        <f t="shared" si="65"/>
        <v>267.5</v>
      </c>
      <c r="D290" s="84"/>
      <c r="E290" s="84">
        <f t="shared" si="57"/>
        <v>17.5</v>
      </c>
      <c r="F290" s="84">
        <f t="shared" si="66"/>
        <v>10</v>
      </c>
      <c r="G290" s="84">
        <f t="shared" si="67"/>
        <v>7.5</v>
      </c>
      <c r="H290" s="84">
        <f t="shared" si="68"/>
        <v>250</v>
      </c>
      <c r="I290" s="84">
        <f t="shared" si="69"/>
        <v>160.5</v>
      </c>
      <c r="J290" s="130"/>
      <c r="K290" s="130"/>
      <c r="L290" s="130"/>
      <c r="M290" s="130"/>
      <c r="N290" s="130"/>
      <c r="O290" s="84">
        <v>124910</v>
      </c>
      <c r="P290" s="84">
        <v>125160</v>
      </c>
      <c r="Q290" s="389"/>
      <c r="R290" s="390"/>
      <c r="S290" s="156">
        <v>1</v>
      </c>
      <c r="T290" s="84">
        <f t="shared" si="64"/>
        <v>250</v>
      </c>
      <c r="U290" s="722" t="s">
        <v>1012</v>
      </c>
      <c r="V290" s="734" t="s">
        <v>355</v>
      </c>
      <c r="W290" s="14" t="s">
        <v>82</v>
      </c>
      <c r="X290" s="7"/>
      <c r="Y290" s="7"/>
      <c r="Z290" s="7"/>
      <c r="AA290" s="7"/>
      <c r="AB290" s="7"/>
      <c r="AC290" s="7"/>
    </row>
    <row r="291" spans="1:29" ht="25.5">
      <c r="A291" s="19"/>
      <c r="B291" s="464" t="s">
        <v>356</v>
      </c>
      <c r="C291" s="84">
        <f t="shared" si="65"/>
        <v>568.16999999999996</v>
      </c>
      <c r="D291" s="84"/>
      <c r="E291" s="84">
        <f t="shared" si="57"/>
        <v>37.17</v>
      </c>
      <c r="F291" s="84">
        <f t="shared" si="66"/>
        <v>21.240000000000002</v>
      </c>
      <c r="G291" s="84">
        <f t="shared" si="67"/>
        <v>15.93</v>
      </c>
      <c r="H291" s="84">
        <f t="shared" si="68"/>
        <v>531</v>
      </c>
      <c r="I291" s="84">
        <f t="shared" si="69"/>
        <v>340.90199999999999</v>
      </c>
      <c r="J291" s="130"/>
      <c r="K291" s="130"/>
      <c r="L291" s="130"/>
      <c r="M291" s="130"/>
      <c r="N291" s="130"/>
      <c r="O291" s="84">
        <v>42892</v>
      </c>
      <c r="P291" s="84">
        <v>43423</v>
      </c>
      <c r="Q291" s="389"/>
      <c r="R291" s="390"/>
      <c r="S291" s="156">
        <v>1</v>
      </c>
      <c r="T291" s="84">
        <f t="shared" si="64"/>
        <v>531</v>
      </c>
      <c r="U291" s="722" t="s">
        <v>1013</v>
      </c>
      <c r="V291" s="465" t="s">
        <v>357</v>
      </c>
      <c r="W291" s="14" t="s">
        <v>82</v>
      </c>
      <c r="X291" s="7"/>
      <c r="Y291" s="7"/>
      <c r="Z291" s="7"/>
      <c r="AA291" s="7"/>
      <c r="AB291" s="7"/>
      <c r="AC291" s="7"/>
    </row>
    <row r="292" spans="1:29" ht="28.5" customHeight="1">
      <c r="A292" s="19"/>
      <c r="B292" s="467" t="s">
        <v>358</v>
      </c>
      <c r="C292" s="84">
        <f t="shared" si="65"/>
        <v>0</v>
      </c>
      <c r="D292" s="84"/>
      <c r="E292" s="84">
        <f t="shared" si="57"/>
        <v>0</v>
      </c>
      <c r="F292" s="84">
        <f t="shared" si="66"/>
        <v>0</v>
      </c>
      <c r="G292" s="84">
        <f t="shared" si="67"/>
        <v>0</v>
      </c>
      <c r="H292" s="84">
        <f t="shared" si="68"/>
        <v>0</v>
      </c>
      <c r="I292" s="84">
        <f t="shared" si="69"/>
        <v>0</v>
      </c>
      <c r="J292" s="130"/>
      <c r="K292" s="130"/>
      <c r="L292" s="130"/>
      <c r="M292" s="130"/>
      <c r="N292" s="130"/>
      <c r="O292" s="84">
        <v>153727</v>
      </c>
      <c r="P292" s="84">
        <v>153727</v>
      </c>
      <c r="Q292" s="389"/>
      <c r="R292" s="390"/>
      <c r="S292" s="156">
        <v>1</v>
      </c>
      <c r="T292" s="84">
        <f t="shared" si="64"/>
        <v>0</v>
      </c>
      <c r="U292" s="722">
        <v>5006</v>
      </c>
      <c r="V292" s="465" t="s">
        <v>928</v>
      </c>
      <c r="W292" s="14" t="s">
        <v>82</v>
      </c>
      <c r="X292" s="7"/>
      <c r="Y292" s="7"/>
      <c r="Z292" s="7"/>
      <c r="AA292" s="7"/>
      <c r="AB292" s="7"/>
      <c r="AC292" s="7"/>
    </row>
    <row r="293" spans="1:29" ht="25.5">
      <c r="A293" s="19"/>
      <c r="B293" s="464"/>
      <c r="C293" s="84">
        <f t="shared" ref="C293" si="70">H293+E293</f>
        <v>107</v>
      </c>
      <c r="D293" s="84"/>
      <c r="E293" s="84">
        <f t="shared" ref="E293" si="71">F293+G293</f>
        <v>7</v>
      </c>
      <c r="F293" s="84">
        <f t="shared" ref="F293" si="72">0.04*H293</f>
        <v>4</v>
      </c>
      <c r="G293" s="84">
        <f t="shared" ref="G293" si="73">0.03*H293</f>
        <v>3</v>
      </c>
      <c r="H293" s="84">
        <f t="shared" ref="H293" si="74">T293</f>
        <v>100</v>
      </c>
      <c r="I293" s="84">
        <f t="shared" ref="I293" si="75">0.6*C293</f>
        <v>64.2</v>
      </c>
      <c r="J293" s="130"/>
      <c r="K293" s="130"/>
      <c r="L293" s="130"/>
      <c r="M293" s="130"/>
      <c r="N293" s="130"/>
      <c r="O293" s="84">
        <v>258640</v>
      </c>
      <c r="P293" s="84">
        <v>258740</v>
      </c>
      <c r="Q293" s="389"/>
      <c r="R293" s="390"/>
      <c r="S293" s="156">
        <v>1</v>
      </c>
      <c r="T293" s="84">
        <f t="shared" ref="T293" si="76">(P293-O293)*S293</f>
        <v>100</v>
      </c>
      <c r="U293" s="722" t="s">
        <v>1027</v>
      </c>
      <c r="V293" s="465" t="s">
        <v>1101</v>
      </c>
      <c r="W293" s="14" t="s">
        <v>82</v>
      </c>
      <c r="X293" s="7"/>
      <c r="Y293" s="7"/>
      <c r="Z293" s="7"/>
      <c r="AA293" s="7"/>
      <c r="AB293" s="7"/>
      <c r="AC293" s="7"/>
    </row>
    <row r="294" spans="1:29" ht="24.75" customHeight="1">
      <c r="A294" s="19"/>
      <c r="B294" s="464" t="s">
        <v>912</v>
      </c>
      <c r="C294" s="84">
        <f t="shared" si="65"/>
        <v>341.33</v>
      </c>
      <c r="D294" s="84"/>
      <c r="E294" s="84">
        <f t="shared" si="57"/>
        <v>22.33</v>
      </c>
      <c r="F294" s="84">
        <f t="shared" si="66"/>
        <v>12.76</v>
      </c>
      <c r="G294" s="84">
        <f t="shared" si="67"/>
        <v>9.57</v>
      </c>
      <c r="H294" s="84">
        <f t="shared" si="68"/>
        <v>319</v>
      </c>
      <c r="I294" s="84">
        <f t="shared" si="69"/>
        <v>204.79799999999997</v>
      </c>
      <c r="J294" s="130"/>
      <c r="K294" s="130"/>
      <c r="L294" s="130"/>
      <c r="M294" s="130"/>
      <c r="N294" s="130"/>
      <c r="O294" s="84">
        <v>3310</v>
      </c>
      <c r="P294" s="84">
        <v>3629</v>
      </c>
      <c r="Q294" s="389"/>
      <c r="R294" s="390"/>
      <c r="S294" s="156">
        <v>1</v>
      </c>
      <c r="T294" s="84">
        <f t="shared" si="64"/>
        <v>319</v>
      </c>
      <c r="U294" s="722" t="s">
        <v>1014</v>
      </c>
      <c r="V294" s="465" t="s">
        <v>802</v>
      </c>
      <c r="W294" s="14" t="s">
        <v>82</v>
      </c>
      <c r="X294" s="7"/>
      <c r="Y294" s="7"/>
      <c r="Z294" s="7"/>
      <c r="AA294" s="7"/>
      <c r="AB294" s="7"/>
      <c r="AC294" s="7"/>
    </row>
    <row r="295" spans="1:29" ht="25.5">
      <c r="A295" s="19"/>
      <c r="B295" s="464" t="s">
        <v>361</v>
      </c>
      <c r="C295" s="84">
        <f t="shared" si="65"/>
        <v>2900.77</v>
      </c>
      <c r="D295" s="84"/>
      <c r="E295" s="84">
        <f t="shared" si="57"/>
        <v>189.76999999999998</v>
      </c>
      <c r="F295" s="84">
        <f t="shared" si="66"/>
        <v>108.44</v>
      </c>
      <c r="G295" s="84">
        <f t="shared" si="67"/>
        <v>81.33</v>
      </c>
      <c r="H295" s="84">
        <f t="shared" si="68"/>
        <v>2711</v>
      </c>
      <c r="I295" s="84">
        <f t="shared" si="69"/>
        <v>1740.462</v>
      </c>
      <c r="J295" s="130"/>
      <c r="K295" s="130"/>
      <c r="L295" s="130"/>
      <c r="M295" s="130"/>
      <c r="N295" s="130"/>
      <c r="O295" s="84">
        <v>456842</v>
      </c>
      <c r="P295" s="84">
        <v>459553</v>
      </c>
      <c r="Q295" s="389"/>
      <c r="R295" s="390"/>
      <c r="S295" s="156">
        <v>1</v>
      </c>
      <c r="T295" s="84">
        <f t="shared" si="64"/>
        <v>2711</v>
      </c>
      <c r="U295" s="722" t="s">
        <v>1015</v>
      </c>
      <c r="V295" s="465" t="s">
        <v>362</v>
      </c>
      <c r="W295" s="14" t="s">
        <v>82</v>
      </c>
      <c r="X295" s="7"/>
      <c r="Y295" s="7"/>
      <c r="Z295" s="7"/>
      <c r="AA295" s="7"/>
      <c r="AB295" s="7"/>
      <c r="AC295" s="7"/>
    </row>
    <row r="296" spans="1:29" ht="25.5">
      <c r="A296" s="19"/>
      <c r="B296" s="464" t="s">
        <v>363</v>
      </c>
      <c r="C296" s="84">
        <f t="shared" si="65"/>
        <v>6324.77</v>
      </c>
      <c r="D296" s="84"/>
      <c r="E296" s="84">
        <f t="shared" si="57"/>
        <v>413.77</v>
      </c>
      <c r="F296" s="84">
        <f t="shared" si="66"/>
        <v>236.44</v>
      </c>
      <c r="G296" s="84">
        <f t="shared" si="67"/>
        <v>177.32999999999998</v>
      </c>
      <c r="H296" s="84">
        <f t="shared" si="68"/>
        <v>5911</v>
      </c>
      <c r="I296" s="84">
        <f t="shared" si="69"/>
        <v>3794.8620000000001</v>
      </c>
      <c r="J296" s="130"/>
      <c r="K296" s="130"/>
      <c r="L296" s="130"/>
      <c r="M296" s="130"/>
      <c r="N296" s="130"/>
      <c r="O296" s="84">
        <v>535273</v>
      </c>
      <c r="P296" s="84">
        <v>541184</v>
      </c>
      <c r="Q296" s="389"/>
      <c r="R296" s="390"/>
      <c r="S296" s="156">
        <v>1</v>
      </c>
      <c r="T296" s="84">
        <f t="shared" si="64"/>
        <v>5911</v>
      </c>
      <c r="U296" s="722" t="s">
        <v>1016</v>
      </c>
      <c r="V296" s="465" t="s">
        <v>364</v>
      </c>
      <c r="W296" s="14" t="s">
        <v>82</v>
      </c>
      <c r="X296" s="7"/>
      <c r="Y296" s="7"/>
      <c r="Z296" s="7"/>
      <c r="AA296" s="7"/>
      <c r="AB296" s="7"/>
      <c r="AC296" s="7"/>
    </row>
    <row r="297" spans="1:29" ht="25.5">
      <c r="A297" s="19"/>
      <c r="B297" s="848" t="s">
        <v>913</v>
      </c>
      <c r="C297" s="742">
        <f t="shared" si="65"/>
        <v>5169.17</v>
      </c>
      <c r="D297" s="743"/>
      <c r="E297" s="743">
        <f t="shared" si="57"/>
        <v>338.17</v>
      </c>
      <c r="F297" s="743">
        <f t="shared" si="66"/>
        <v>193.24</v>
      </c>
      <c r="G297" s="743">
        <f t="shared" si="67"/>
        <v>144.93</v>
      </c>
      <c r="H297" s="743">
        <f t="shared" si="68"/>
        <v>4831</v>
      </c>
      <c r="I297" s="743">
        <f t="shared" si="69"/>
        <v>3101.502</v>
      </c>
      <c r="J297" s="130"/>
      <c r="K297" s="130"/>
      <c r="L297" s="130"/>
      <c r="M297" s="130"/>
      <c r="N297" s="130"/>
      <c r="O297" s="743">
        <v>39931</v>
      </c>
      <c r="P297" s="743">
        <v>44762</v>
      </c>
      <c r="Q297" s="389"/>
      <c r="R297" s="744"/>
      <c r="S297" s="745">
        <v>1</v>
      </c>
      <c r="T297" s="743">
        <f t="shared" si="64"/>
        <v>4831</v>
      </c>
      <c r="U297" s="722" t="s">
        <v>1088</v>
      </c>
      <c r="V297" s="465" t="s">
        <v>1090</v>
      </c>
      <c r="W297" s="14" t="s">
        <v>82</v>
      </c>
      <c r="X297" s="7"/>
      <c r="Y297" s="7"/>
      <c r="Z297" s="7"/>
      <c r="AA297" s="7"/>
      <c r="AB297" s="7"/>
      <c r="AC297" s="7"/>
    </row>
    <row r="298" spans="1:29" ht="25.5">
      <c r="A298" s="19"/>
      <c r="B298" s="849"/>
      <c r="C298" s="469">
        <f t="shared" ref="C298" si="77">H298+E298</f>
        <v>532.86</v>
      </c>
      <c r="D298" s="84"/>
      <c r="E298" s="84">
        <f t="shared" ref="E298" si="78">F298+G298</f>
        <v>34.86</v>
      </c>
      <c r="F298" s="84">
        <f t="shared" ref="F298" si="79">0.04*H298</f>
        <v>19.920000000000002</v>
      </c>
      <c r="G298" s="84">
        <f t="shared" ref="G298" si="80">0.03*H298</f>
        <v>14.94</v>
      </c>
      <c r="H298" s="84">
        <f t="shared" ref="H298" si="81">T298</f>
        <v>498</v>
      </c>
      <c r="I298" s="84">
        <f t="shared" ref="I298" si="82">0.6*C298</f>
        <v>319.71600000000001</v>
      </c>
      <c r="J298" s="385"/>
      <c r="K298" s="385"/>
      <c r="L298" s="385"/>
      <c r="M298" s="385"/>
      <c r="N298" s="385"/>
      <c r="O298" s="84">
        <v>2662</v>
      </c>
      <c r="P298" s="84">
        <v>3160</v>
      </c>
      <c r="Q298" s="390"/>
      <c r="R298" s="390"/>
      <c r="S298" s="84">
        <v>1</v>
      </c>
      <c r="T298" s="84">
        <f t="shared" ref="T298" si="83">(P298-O298)*S298</f>
        <v>498</v>
      </c>
      <c r="U298" s="447">
        <v>27372</v>
      </c>
      <c r="V298" s="734" t="s">
        <v>1089</v>
      </c>
      <c r="W298" s="14" t="s">
        <v>82</v>
      </c>
      <c r="X298" s="7"/>
      <c r="Y298" s="7"/>
      <c r="Z298" s="7"/>
      <c r="AA298" s="7"/>
      <c r="AB298" s="7"/>
      <c r="AC298" s="7"/>
    </row>
    <row r="299" spans="1:29" ht="25.5">
      <c r="A299" s="19"/>
      <c r="B299" s="746" t="s">
        <v>695</v>
      </c>
      <c r="C299" s="409">
        <f t="shared" si="65"/>
        <v>1362.11</v>
      </c>
      <c r="D299" s="409"/>
      <c r="E299" s="409">
        <f t="shared" si="57"/>
        <v>89.11</v>
      </c>
      <c r="F299" s="409">
        <f t="shared" si="66"/>
        <v>50.92</v>
      </c>
      <c r="G299" s="409">
        <f t="shared" si="67"/>
        <v>38.19</v>
      </c>
      <c r="H299" s="409">
        <f t="shared" si="68"/>
        <v>1273</v>
      </c>
      <c r="I299" s="409">
        <f t="shared" si="69"/>
        <v>817.26599999999996</v>
      </c>
      <c r="J299" s="130"/>
      <c r="K299" s="130"/>
      <c r="L299" s="130"/>
      <c r="M299" s="130"/>
      <c r="N299" s="130"/>
      <c r="O299" s="409">
        <v>89835</v>
      </c>
      <c r="P299" s="409">
        <v>91108</v>
      </c>
      <c r="Q299" s="389"/>
      <c r="R299" s="747"/>
      <c r="S299" s="748">
        <v>1</v>
      </c>
      <c r="T299" s="409">
        <f t="shared" si="64"/>
        <v>1273</v>
      </c>
      <c r="U299" s="722" t="s">
        <v>1018</v>
      </c>
      <c r="V299" s="465" t="s">
        <v>367</v>
      </c>
      <c r="W299" s="14" t="s">
        <v>82</v>
      </c>
      <c r="X299" s="7"/>
      <c r="Y299" s="7"/>
      <c r="Z299" s="7"/>
      <c r="AA299" s="7"/>
      <c r="AB299" s="7"/>
      <c r="AC299" s="7"/>
    </row>
    <row r="300" spans="1:29" ht="25.5">
      <c r="A300" s="19"/>
      <c r="B300" s="464" t="s">
        <v>368</v>
      </c>
      <c r="C300" s="84">
        <f t="shared" si="65"/>
        <v>752.21</v>
      </c>
      <c r="D300" s="84"/>
      <c r="E300" s="84">
        <f t="shared" si="57"/>
        <v>49.21</v>
      </c>
      <c r="F300" s="84">
        <f t="shared" si="66"/>
        <v>28.12</v>
      </c>
      <c r="G300" s="84">
        <f t="shared" si="67"/>
        <v>21.09</v>
      </c>
      <c r="H300" s="84">
        <f t="shared" si="68"/>
        <v>703</v>
      </c>
      <c r="I300" s="84">
        <f t="shared" si="69"/>
        <v>451.32600000000002</v>
      </c>
      <c r="J300" s="130"/>
      <c r="K300" s="130"/>
      <c r="L300" s="130"/>
      <c r="M300" s="130"/>
      <c r="N300" s="130"/>
      <c r="O300" s="84">
        <v>38449</v>
      </c>
      <c r="P300" s="84">
        <v>39152</v>
      </c>
      <c r="Q300" s="389"/>
      <c r="R300" s="390"/>
      <c r="S300" s="156">
        <v>1</v>
      </c>
      <c r="T300" s="84">
        <f t="shared" si="64"/>
        <v>703</v>
      </c>
      <c r="U300" s="722">
        <v>101522115</v>
      </c>
      <c r="V300" s="465" t="s">
        <v>369</v>
      </c>
      <c r="W300" s="14" t="s">
        <v>82</v>
      </c>
      <c r="X300" s="7"/>
      <c r="Y300" s="7"/>
      <c r="Z300" s="7"/>
      <c r="AA300" s="7"/>
      <c r="AB300" s="7"/>
      <c r="AC300" s="7"/>
    </row>
    <row r="301" spans="1:29" ht="25.5">
      <c r="A301" s="19"/>
      <c r="B301" s="464" t="s">
        <v>697</v>
      </c>
      <c r="C301" s="84">
        <f t="shared" si="65"/>
        <v>340.26</v>
      </c>
      <c r="D301" s="84"/>
      <c r="E301" s="84">
        <f t="shared" si="57"/>
        <v>22.259999999999998</v>
      </c>
      <c r="F301" s="84">
        <f t="shared" si="66"/>
        <v>12.72</v>
      </c>
      <c r="G301" s="84">
        <f t="shared" si="67"/>
        <v>9.5399999999999991</v>
      </c>
      <c r="H301" s="84">
        <f t="shared" si="68"/>
        <v>318</v>
      </c>
      <c r="I301" s="84">
        <f t="shared" si="69"/>
        <v>204.15599999999998</v>
      </c>
      <c r="J301" s="130"/>
      <c r="K301" s="130"/>
      <c r="L301" s="130"/>
      <c r="M301" s="130"/>
      <c r="N301" s="130"/>
      <c r="O301" s="84">
        <v>19088</v>
      </c>
      <c r="P301" s="84">
        <v>19406</v>
      </c>
      <c r="Q301" s="389"/>
      <c r="R301" s="390"/>
      <c r="S301" s="156">
        <v>1</v>
      </c>
      <c r="T301" s="84">
        <f t="shared" si="64"/>
        <v>318</v>
      </c>
      <c r="U301" s="722" t="s">
        <v>1019</v>
      </c>
      <c r="V301" s="465" t="s">
        <v>370</v>
      </c>
      <c r="W301" s="14" t="s">
        <v>82</v>
      </c>
      <c r="X301" s="7"/>
      <c r="Y301" s="7"/>
      <c r="Z301" s="7"/>
      <c r="AA301" s="7"/>
      <c r="AB301" s="7"/>
      <c r="AC301" s="7"/>
    </row>
    <row r="302" spans="1:29" ht="25.5">
      <c r="A302" s="19"/>
      <c r="B302" s="464" t="s">
        <v>371</v>
      </c>
      <c r="C302" s="84">
        <f t="shared" si="65"/>
        <v>311.37</v>
      </c>
      <c r="D302" s="84"/>
      <c r="E302" s="84">
        <f t="shared" si="57"/>
        <v>20.37</v>
      </c>
      <c r="F302" s="84">
        <f t="shared" si="66"/>
        <v>11.64</v>
      </c>
      <c r="G302" s="84">
        <f t="shared" si="67"/>
        <v>8.73</v>
      </c>
      <c r="H302" s="84">
        <f t="shared" si="68"/>
        <v>291</v>
      </c>
      <c r="I302" s="84">
        <f t="shared" si="69"/>
        <v>186.822</v>
      </c>
      <c r="J302" s="130"/>
      <c r="K302" s="130"/>
      <c r="L302" s="130"/>
      <c r="M302" s="130"/>
      <c r="N302" s="130"/>
      <c r="O302" s="84">
        <v>26533</v>
      </c>
      <c r="P302" s="84">
        <v>26824</v>
      </c>
      <c r="Q302" s="389"/>
      <c r="R302" s="390"/>
      <c r="S302" s="156">
        <v>1</v>
      </c>
      <c r="T302" s="84">
        <f t="shared" si="64"/>
        <v>291</v>
      </c>
      <c r="U302" s="722" t="s">
        <v>1020</v>
      </c>
      <c r="V302" s="465" t="s">
        <v>771</v>
      </c>
      <c r="W302" s="14" t="s">
        <v>82</v>
      </c>
      <c r="X302" s="7"/>
      <c r="Y302" s="7"/>
      <c r="Z302" s="7"/>
      <c r="AA302" s="7"/>
      <c r="AB302" s="7"/>
      <c r="AC302" s="7"/>
    </row>
    <row r="303" spans="1:29" ht="25.5">
      <c r="A303" s="19"/>
      <c r="B303" s="464" t="s">
        <v>372</v>
      </c>
      <c r="C303" s="84">
        <f t="shared" si="65"/>
        <v>1273.3</v>
      </c>
      <c r="D303" s="84"/>
      <c r="E303" s="84">
        <f t="shared" si="57"/>
        <v>83.3</v>
      </c>
      <c r="F303" s="84">
        <f t="shared" si="66"/>
        <v>47.6</v>
      </c>
      <c r="G303" s="84">
        <f t="shared" si="67"/>
        <v>35.699999999999996</v>
      </c>
      <c r="H303" s="84">
        <f t="shared" si="68"/>
        <v>1190</v>
      </c>
      <c r="I303" s="84">
        <f t="shared" si="69"/>
        <v>763.9799999999999</v>
      </c>
      <c r="J303" s="130"/>
      <c r="K303" s="130"/>
      <c r="L303" s="130"/>
      <c r="M303" s="130"/>
      <c r="N303" s="130"/>
      <c r="O303" s="84">
        <v>247035</v>
      </c>
      <c r="P303" s="84">
        <v>248225</v>
      </c>
      <c r="Q303" s="389"/>
      <c r="R303" s="390"/>
      <c r="S303" s="156">
        <v>1</v>
      </c>
      <c r="T303" s="84">
        <f t="shared" si="64"/>
        <v>1190</v>
      </c>
      <c r="U303" s="722" t="s">
        <v>1021</v>
      </c>
      <c r="V303" s="465" t="s">
        <v>373</v>
      </c>
      <c r="W303" s="14" t="s">
        <v>82</v>
      </c>
      <c r="X303" s="7"/>
      <c r="Y303" s="7"/>
      <c r="Z303" s="7"/>
      <c r="AA303" s="7"/>
      <c r="AB303" s="7"/>
      <c r="AC303" s="7"/>
    </row>
    <row r="304" spans="1:29" ht="25.5">
      <c r="A304" s="19"/>
      <c r="B304" s="464" t="s">
        <v>374</v>
      </c>
      <c r="C304" s="84">
        <f t="shared" si="65"/>
        <v>3453.96</v>
      </c>
      <c r="D304" s="84"/>
      <c r="E304" s="84">
        <f t="shared" si="57"/>
        <v>225.96</v>
      </c>
      <c r="F304" s="84">
        <f t="shared" si="66"/>
        <v>129.12</v>
      </c>
      <c r="G304" s="84">
        <f t="shared" si="67"/>
        <v>96.84</v>
      </c>
      <c r="H304" s="84">
        <f t="shared" si="68"/>
        <v>3228</v>
      </c>
      <c r="I304" s="84">
        <f t="shared" si="69"/>
        <v>2072.3759999999997</v>
      </c>
      <c r="J304" s="130"/>
      <c r="K304" s="130"/>
      <c r="L304" s="130"/>
      <c r="M304" s="130"/>
      <c r="N304" s="130"/>
      <c r="O304" s="84">
        <v>396766</v>
      </c>
      <c r="P304" s="84">
        <v>399994</v>
      </c>
      <c r="Q304" s="389"/>
      <c r="R304" s="390"/>
      <c r="S304" s="156">
        <v>1</v>
      </c>
      <c r="T304" s="84">
        <f t="shared" si="64"/>
        <v>3228</v>
      </c>
      <c r="U304" s="722" t="s">
        <v>1081</v>
      </c>
      <c r="V304" s="465" t="s">
        <v>375</v>
      </c>
      <c r="W304" s="14" t="s">
        <v>82</v>
      </c>
      <c r="X304" s="7"/>
      <c r="Y304" s="7"/>
      <c r="Z304" s="7"/>
      <c r="AA304" s="7"/>
      <c r="AB304" s="7"/>
      <c r="AC304" s="7"/>
    </row>
    <row r="305" spans="1:29" ht="25.5">
      <c r="A305" s="19"/>
      <c r="B305" s="464" t="s">
        <v>914</v>
      </c>
      <c r="C305" s="84">
        <f t="shared" si="65"/>
        <v>188.32</v>
      </c>
      <c r="D305" s="84"/>
      <c r="E305" s="84">
        <f t="shared" si="57"/>
        <v>12.32</v>
      </c>
      <c r="F305" s="84">
        <f t="shared" si="66"/>
        <v>7.04</v>
      </c>
      <c r="G305" s="84">
        <f t="shared" si="67"/>
        <v>5.2799999999999994</v>
      </c>
      <c r="H305" s="84">
        <f t="shared" si="68"/>
        <v>176</v>
      </c>
      <c r="I305" s="84">
        <f t="shared" si="69"/>
        <v>112.99199999999999</v>
      </c>
      <c r="J305" s="130"/>
      <c r="K305" s="130"/>
      <c r="L305" s="130"/>
      <c r="M305" s="130"/>
      <c r="N305" s="130"/>
      <c r="O305" s="84">
        <v>80388</v>
      </c>
      <c r="P305" s="84">
        <v>80564</v>
      </c>
      <c r="Q305" s="389"/>
      <c r="R305" s="390"/>
      <c r="S305" s="156">
        <v>1</v>
      </c>
      <c r="T305" s="84">
        <f t="shared" si="64"/>
        <v>176</v>
      </c>
      <c r="U305" s="722" t="s">
        <v>1022</v>
      </c>
      <c r="V305" s="465" t="s">
        <v>804</v>
      </c>
      <c r="W305" s="14" t="s">
        <v>82</v>
      </c>
      <c r="X305" s="7"/>
      <c r="Y305" s="7"/>
      <c r="Z305" s="7"/>
      <c r="AA305" s="7"/>
      <c r="AB305" s="7"/>
      <c r="AC305" s="7"/>
    </row>
    <row r="306" spans="1:29" ht="25.5">
      <c r="A306" s="19"/>
      <c r="B306" s="464" t="s">
        <v>376</v>
      </c>
      <c r="C306" s="84">
        <f t="shared" si="65"/>
        <v>470.8</v>
      </c>
      <c r="D306" s="84"/>
      <c r="E306" s="84">
        <f t="shared" si="57"/>
        <v>30.8</v>
      </c>
      <c r="F306" s="84">
        <f t="shared" si="66"/>
        <v>17.600000000000001</v>
      </c>
      <c r="G306" s="84">
        <f t="shared" si="67"/>
        <v>13.2</v>
      </c>
      <c r="H306" s="84">
        <f t="shared" si="68"/>
        <v>440</v>
      </c>
      <c r="I306" s="84">
        <f t="shared" si="69"/>
        <v>282.48</v>
      </c>
      <c r="J306" s="130"/>
      <c r="K306" s="130"/>
      <c r="L306" s="130"/>
      <c r="M306" s="130"/>
      <c r="N306" s="130"/>
      <c r="O306" s="84">
        <v>199969</v>
      </c>
      <c r="P306" s="84">
        <v>200409</v>
      </c>
      <c r="Q306" s="389"/>
      <c r="R306" s="390"/>
      <c r="S306" s="156">
        <v>1</v>
      </c>
      <c r="T306" s="84">
        <f t="shared" si="64"/>
        <v>440</v>
      </c>
      <c r="U306" s="722" t="s">
        <v>1023</v>
      </c>
      <c r="V306" s="465" t="s">
        <v>377</v>
      </c>
      <c r="W306" s="14" t="s">
        <v>82</v>
      </c>
      <c r="X306" s="7"/>
      <c r="Y306" s="7"/>
      <c r="Z306" s="7"/>
      <c r="AA306" s="7"/>
      <c r="AB306" s="7"/>
      <c r="AC306" s="7"/>
    </row>
    <row r="307" spans="1:29" ht="25.5">
      <c r="A307" s="19"/>
      <c r="B307" s="464" t="s">
        <v>378</v>
      </c>
      <c r="C307" s="84">
        <f t="shared" si="65"/>
        <v>841.02</v>
      </c>
      <c r="D307" s="84"/>
      <c r="E307" s="84">
        <f t="shared" si="57"/>
        <v>55.019999999999996</v>
      </c>
      <c r="F307" s="84">
        <f t="shared" si="66"/>
        <v>31.44</v>
      </c>
      <c r="G307" s="84">
        <f t="shared" si="67"/>
        <v>23.58</v>
      </c>
      <c r="H307" s="84">
        <f t="shared" si="68"/>
        <v>786</v>
      </c>
      <c r="I307" s="84">
        <f t="shared" si="69"/>
        <v>504.61199999999997</v>
      </c>
      <c r="J307" s="130"/>
      <c r="K307" s="130"/>
      <c r="L307" s="130"/>
      <c r="M307" s="130"/>
      <c r="N307" s="130"/>
      <c r="O307" s="84">
        <v>345708</v>
      </c>
      <c r="P307" s="84">
        <v>346494</v>
      </c>
      <c r="Q307" s="389"/>
      <c r="R307" s="390"/>
      <c r="S307" s="156">
        <v>1</v>
      </c>
      <c r="T307" s="84">
        <f t="shared" si="64"/>
        <v>786</v>
      </c>
      <c r="U307" s="722" t="s">
        <v>1024</v>
      </c>
      <c r="V307" s="465" t="s">
        <v>379</v>
      </c>
      <c r="W307" s="14" t="s">
        <v>82</v>
      </c>
      <c r="X307" s="7"/>
      <c r="Y307" s="7"/>
      <c r="Z307" s="7"/>
      <c r="AA307" s="7"/>
      <c r="AB307" s="7"/>
      <c r="AC307" s="7"/>
    </row>
    <row r="308" spans="1:29" ht="25.5">
      <c r="A308" s="19"/>
      <c r="B308" s="464" t="s">
        <v>365</v>
      </c>
      <c r="C308" s="84">
        <f>H308+E308</f>
        <v>1751.59</v>
      </c>
      <c r="D308" s="84"/>
      <c r="E308" s="84">
        <f>F308+G308</f>
        <v>114.59</v>
      </c>
      <c r="F308" s="84">
        <f>0.04*H308</f>
        <v>65.48</v>
      </c>
      <c r="G308" s="84">
        <f>0.03*H308</f>
        <v>49.11</v>
      </c>
      <c r="H308" s="84">
        <f>T308</f>
        <v>1637</v>
      </c>
      <c r="I308" s="84">
        <f>0.6*C308</f>
        <v>1050.954</v>
      </c>
      <c r="J308" s="130"/>
      <c r="K308" s="130"/>
      <c r="L308" s="130"/>
      <c r="M308" s="130"/>
      <c r="N308" s="130"/>
      <c r="O308" s="84">
        <v>284329</v>
      </c>
      <c r="P308" s="84">
        <v>285966</v>
      </c>
      <c r="Q308" s="389"/>
      <c r="R308" s="390"/>
      <c r="S308" s="156">
        <v>1</v>
      </c>
      <c r="T308" s="84">
        <f>(P308-O308)*S308</f>
        <v>1637</v>
      </c>
      <c r="U308" s="722" t="s">
        <v>1017</v>
      </c>
      <c r="V308" s="465" t="s">
        <v>366</v>
      </c>
      <c r="W308" s="14" t="s">
        <v>82</v>
      </c>
      <c r="X308" s="7"/>
      <c r="Y308" s="7"/>
      <c r="Z308" s="7"/>
      <c r="AA308" s="7"/>
      <c r="AB308" s="7"/>
      <c r="AC308" s="7"/>
    </row>
    <row r="309" spans="1:29" ht="25.5">
      <c r="A309" s="19"/>
      <c r="B309" s="464" t="s">
        <v>380</v>
      </c>
      <c r="C309" s="84">
        <f t="shared" si="65"/>
        <v>0</v>
      </c>
      <c r="D309" s="84"/>
      <c r="E309" s="84">
        <f t="shared" si="57"/>
        <v>0</v>
      </c>
      <c r="F309" s="84">
        <f t="shared" si="66"/>
        <v>0</v>
      </c>
      <c r="G309" s="84">
        <f t="shared" si="67"/>
        <v>0</v>
      </c>
      <c r="H309" s="84">
        <f t="shared" si="68"/>
        <v>0</v>
      </c>
      <c r="I309" s="84">
        <f t="shared" si="69"/>
        <v>0</v>
      </c>
      <c r="J309" s="130"/>
      <c r="K309" s="130"/>
      <c r="L309" s="130"/>
      <c r="M309" s="130"/>
      <c r="N309" s="130"/>
      <c r="O309" s="84">
        <v>392079</v>
      </c>
      <c r="P309" s="84">
        <v>392079</v>
      </c>
      <c r="Q309" s="389"/>
      <c r="R309" s="390"/>
      <c r="S309" s="156">
        <v>1</v>
      </c>
      <c r="T309" s="84">
        <f t="shared" si="64"/>
        <v>0</v>
      </c>
      <c r="U309" s="722">
        <v>806</v>
      </c>
      <c r="V309" s="465" t="s">
        <v>929</v>
      </c>
      <c r="W309" s="14" t="s">
        <v>82</v>
      </c>
      <c r="X309" s="7"/>
      <c r="Y309" s="7"/>
      <c r="Z309" s="7"/>
      <c r="AA309" s="7"/>
      <c r="AB309" s="7"/>
      <c r="AC309" s="7"/>
    </row>
    <row r="310" spans="1:29" ht="26.25" customHeight="1">
      <c r="A310" s="19"/>
      <c r="B310" s="464" t="s">
        <v>382</v>
      </c>
      <c r="C310" s="84">
        <f t="shared" si="65"/>
        <v>2433.1799999999998</v>
      </c>
      <c r="D310" s="84"/>
      <c r="E310" s="84">
        <f t="shared" si="57"/>
        <v>159.18</v>
      </c>
      <c r="F310" s="84">
        <f t="shared" si="66"/>
        <v>90.960000000000008</v>
      </c>
      <c r="G310" s="84">
        <f t="shared" si="67"/>
        <v>68.22</v>
      </c>
      <c r="H310" s="84">
        <f t="shared" si="68"/>
        <v>2274</v>
      </c>
      <c r="I310" s="84">
        <f t="shared" si="69"/>
        <v>1459.9079999999999</v>
      </c>
      <c r="J310" s="130"/>
      <c r="K310" s="130"/>
      <c r="L310" s="130"/>
      <c r="M310" s="130"/>
      <c r="N310" s="130"/>
      <c r="O310" s="84">
        <v>126313</v>
      </c>
      <c r="P310" s="84">
        <v>128587</v>
      </c>
      <c r="Q310" s="389"/>
      <c r="R310" s="390"/>
      <c r="S310" s="156">
        <v>1</v>
      </c>
      <c r="T310" s="84">
        <f t="shared" si="64"/>
        <v>2274</v>
      </c>
      <c r="U310" s="722" t="s">
        <v>1025</v>
      </c>
      <c r="V310" s="465" t="s">
        <v>383</v>
      </c>
      <c r="W310" s="14" t="s">
        <v>82</v>
      </c>
      <c r="X310" s="7"/>
      <c r="Y310" s="7"/>
      <c r="Z310" s="7"/>
      <c r="AA310" s="7"/>
      <c r="AB310" s="7"/>
      <c r="AC310" s="7"/>
    </row>
    <row r="311" spans="1:29" ht="25.5">
      <c r="A311" s="19"/>
      <c r="B311" s="464" t="s">
        <v>384</v>
      </c>
      <c r="C311" s="84">
        <f t="shared" si="65"/>
        <v>0</v>
      </c>
      <c r="D311" s="84"/>
      <c r="E311" s="84">
        <f t="shared" si="57"/>
        <v>0</v>
      </c>
      <c r="F311" s="84">
        <f t="shared" si="66"/>
        <v>0</v>
      </c>
      <c r="G311" s="84">
        <f t="shared" si="67"/>
        <v>0</v>
      </c>
      <c r="H311" s="84">
        <f t="shared" si="68"/>
        <v>0</v>
      </c>
      <c r="I311" s="84">
        <f t="shared" si="69"/>
        <v>0</v>
      </c>
      <c r="J311" s="130"/>
      <c r="K311" s="130"/>
      <c r="L311" s="130"/>
      <c r="M311" s="130"/>
      <c r="N311" s="130"/>
      <c r="O311" s="84">
        <v>29110</v>
      </c>
      <c r="P311" s="84">
        <v>29110</v>
      </c>
      <c r="Q311" s="389"/>
      <c r="R311" s="390"/>
      <c r="S311" s="156">
        <v>1</v>
      </c>
      <c r="T311" s="84">
        <f t="shared" si="64"/>
        <v>0</v>
      </c>
      <c r="U311" s="722">
        <v>2125</v>
      </c>
      <c r="V311" s="465" t="s">
        <v>772</v>
      </c>
      <c r="W311" s="14" t="s">
        <v>82</v>
      </c>
      <c r="X311" s="7"/>
      <c r="Y311" s="7"/>
      <c r="Z311" s="7"/>
      <c r="AA311" s="7"/>
      <c r="AB311" s="7"/>
      <c r="AC311" s="7"/>
    </row>
    <row r="312" spans="1:29" ht="25.5">
      <c r="A312" s="19"/>
      <c r="B312" s="464"/>
      <c r="C312" s="469"/>
      <c r="D312" s="84"/>
      <c r="E312" s="84"/>
      <c r="F312" s="84"/>
      <c r="G312" s="84"/>
      <c r="H312" s="84"/>
      <c r="I312" s="84"/>
      <c r="J312" s="130"/>
      <c r="K312" s="130"/>
      <c r="L312" s="130"/>
      <c r="M312" s="130"/>
      <c r="N312" s="130"/>
      <c r="O312" s="84"/>
      <c r="P312" s="84"/>
      <c r="Q312" s="389"/>
      <c r="R312" s="390"/>
      <c r="S312" s="156"/>
      <c r="T312" s="84"/>
      <c r="U312" s="722"/>
      <c r="V312" s="465"/>
      <c r="W312" s="14" t="s">
        <v>82</v>
      </c>
      <c r="X312" s="7"/>
      <c r="Y312" s="7"/>
      <c r="Z312" s="7"/>
      <c r="AA312" s="7"/>
      <c r="AB312" s="7"/>
      <c r="AC312" s="7"/>
    </row>
    <row r="313" spans="1:29" ht="25.5">
      <c r="A313" s="19"/>
      <c r="B313" s="468" t="s">
        <v>915</v>
      </c>
      <c r="C313" s="84">
        <f t="shared" si="65"/>
        <v>178.69</v>
      </c>
      <c r="D313" s="84"/>
      <c r="E313" s="84">
        <f t="shared" si="57"/>
        <v>11.69</v>
      </c>
      <c r="F313" s="84">
        <f t="shared" si="66"/>
        <v>6.68</v>
      </c>
      <c r="G313" s="84">
        <f t="shared" si="67"/>
        <v>5.01</v>
      </c>
      <c r="H313" s="84">
        <f t="shared" si="68"/>
        <v>167</v>
      </c>
      <c r="I313" s="84">
        <f t="shared" si="69"/>
        <v>107.214</v>
      </c>
      <c r="J313" s="130"/>
      <c r="K313" s="130"/>
      <c r="L313" s="130"/>
      <c r="M313" s="130"/>
      <c r="N313" s="130"/>
      <c r="O313" s="84">
        <v>86065</v>
      </c>
      <c r="P313" s="84">
        <v>86232</v>
      </c>
      <c r="Q313" s="389"/>
      <c r="R313" s="390"/>
      <c r="S313" s="156">
        <v>1</v>
      </c>
      <c r="T313" s="84">
        <f t="shared" si="64"/>
        <v>167</v>
      </c>
      <c r="U313" s="722" t="s">
        <v>1028</v>
      </c>
      <c r="V313" s="465" t="s">
        <v>805</v>
      </c>
      <c r="W313" s="14" t="s">
        <v>82</v>
      </c>
      <c r="X313" s="7"/>
      <c r="Y313" s="7"/>
      <c r="Z313" s="7"/>
      <c r="AA313" s="7"/>
      <c r="AB313" s="7"/>
      <c r="AC313" s="7"/>
    </row>
    <row r="314" spans="1:29" ht="25.5">
      <c r="A314" s="19"/>
      <c r="B314" s="464" t="s">
        <v>699</v>
      </c>
      <c r="C314" s="84">
        <f t="shared" si="65"/>
        <v>813.2</v>
      </c>
      <c r="D314" s="84"/>
      <c r="E314" s="84">
        <f t="shared" si="57"/>
        <v>53.2</v>
      </c>
      <c r="F314" s="84">
        <f t="shared" si="66"/>
        <v>30.400000000000002</v>
      </c>
      <c r="G314" s="84">
        <f t="shared" si="67"/>
        <v>22.8</v>
      </c>
      <c r="H314" s="84">
        <f t="shared" si="68"/>
        <v>760</v>
      </c>
      <c r="I314" s="84">
        <f t="shared" si="69"/>
        <v>487.92</v>
      </c>
      <c r="J314" s="130"/>
      <c r="K314" s="130"/>
      <c r="L314" s="130"/>
      <c r="M314" s="130"/>
      <c r="N314" s="130"/>
      <c r="O314" s="84">
        <v>291731</v>
      </c>
      <c r="P314" s="84">
        <v>292491</v>
      </c>
      <c r="Q314" s="389"/>
      <c r="R314" s="390"/>
      <c r="S314" s="156">
        <v>1</v>
      </c>
      <c r="T314" s="84">
        <f t="shared" si="64"/>
        <v>760</v>
      </c>
      <c r="U314" s="722" t="s">
        <v>1029</v>
      </c>
      <c r="V314" s="465" t="s">
        <v>387</v>
      </c>
      <c r="W314" s="14" t="s">
        <v>82</v>
      </c>
      <c r="X314" s="7"/>
      <c r="Y314" s="7"/>
      <c r="Z314" s="7"/>
      <c r="AA314" s="7"/>
      <c r="AB314" s="7"/>
      <c r="AC314" s="7"/>
    </row>
    <row r="315" spans="1:29" ht="25.5">
      <c r="A315" s="19"/>
      <c r="B315" s="464"/>
      <c r="C315" s="84"/>
      <c r="D315" s="84"/>
      <c r="E315" s="84"/>
      <c r="F315" s="84"/>
      <c r="G315" s="84"/>
      <c r="H315" s="84"/>
      <c r="I315" s="84"/>
      <c r="J315" s="130"/>
      <c r="K315" s="130"/>
      <c r="L315" s="130"/>
      <c r="M315" s="130"/>
      <c r="N315" s="130"/>
      <c r="O315" s="84"/>
      <c r="P315" s="84"/>
      <c r="Q315" s="389"/>
      <c r="R315" s="390"/>
      <c r="S315" s="156"/>
      <c r="T315" s="84"/>
      <c r="U315" s="722"/>
      <c r="V315" s="465"/>
      <c r="W315" s="14" t="s">
        <v>82</v>
      </c>
      <c r="X315" s="7"/>
      <c r="Y315" s="7"/>
      <c r="Z315" s="7"/>
      <c r="AA315" s="7"/>
      <c r="AB315" s="7"/>
      <c r="AC315" s="7"/>
    </row>
    <row r="316" spans="1:29" ht="25.5">
      <c r="A316" s="19"/>
      <c r="B316" s="464" t="s">
        <v>388</v>
      </c>
      <c r="C316" s="84">
        <f t="shared" si="65"/>
        <v>12647.4</v>
      </c>
      <c r="D316" s="84"/>
      <c r="E316" s="84">
        <f t="shared" si="57"/>
        <v>827.4</v>
      </c>
      <c r="F316" s="84">
        <f t="shared" si="66"/>
        <v>472.8</v>
      </c>
      <c r="G316" s="84">
        <f t="shared" si="67"/>
        <v>354.59999999999997</v>
      </c>
      <c r="H316" s="84">
        <f t="shared" si="68"/>
        <v>11820</v>
      </c>
      <c r="I316" s="84">
        <f t="shared" si="69"/>
        <v>7588.44</v>
      </c>
      <c r="J316" s="130"/>
      <c r="K316" s="130"/>
      <c r="L316" s="130"/>
      <c r="M316" s="130"/>
      <c r="N316" s="130"/>
      <c r="O316" s="84">
        <v>20606</v>
      </c>
      <c r="P316" s="84">
        <v>21197</v>
      </c>
      <c r="Q316" s="389"/>
      <c r="R316" s="390"/>
      <c r="S316" s="156">
        <v>20</v>
      </c>
      <c r="T316" s="84">
        <f t="shared" si="64"/>
        <v>11820</v>
      </c>
      <c r="U316" s="722" t="s">
        <v>1030</v>
      </c>
      <c r="V316" s="465" t="s">
        <v>389</v>
      </c>
      <c r="W316" s="14" t="s">
        <v>82</v>
      </c>
      <c r="X316" s="7"/>
      <c r="Y316" s="7"/>
      <c r="Z316" s="7"/>
      <c r="AA316" s="7"/>
      <c r="AB316" s="7"/>
      <c r="AC316" s="7"/>
    </row>
    <row r="317" spans="1:29" ht="25.5">
      <c r="A317" s="19"/>
      <c r="B317" s="464" t="s">
        <v>390</v>
      </c>
      <c r="C317" s="84">
        <f>H317+E317</f>
        <v>7737.17</v>
      </c>
      <c r="D317" s="84"/>
      <c r="E317" s="84">
        <f t="shared" si="57"/>
        <v>506.16999999999996</v>
      </c>
      <c r="F317" s="84">
        <f t="shared" si="66"/>
        <v>289.24</v>
      </c>
      <c r="G317" s="84">
        <f t="shared" si="67"/>
        <v>216.92999999999998</v>
      </c>
      <c r="H317" s="84">
        <f t="shared" si="68"/>
        <v>7231</v>
      </c>
      <c r="I317" s="84">
        <f t="shared" si="69"/>
        <v>4642.3019999999997</v>
      </c>
      <c r="J317" s="130"/>
      <c r="K317" s="130"/>
      <c r="L317" s="130"/>
      <c r="M317" s="130"/>
      <c r="N317" s="130"/>
      <c r="O317" s="84">
        <v>248509</v>
      </c>
      <c r="P317" s="84">
        <v>255740</v>
      </c>
      <c r="Q317" s="389"/>
      <c r="R317" s="390"/>
      <c r="S317" s="156">
        <v>1</v>
      </c>
      <c r="T317" s="84">
        <f t="shared" si="64"/>
        <v>7231</v>
      </c>
      <c r="U317" s="722" t="s">
        <v>1031</v>
      </c>
      <c r="V317" s="465" t="s">
        <v>391</v>
      </c>
      <c r="W317" s="14" t="s">
        <v>82</v>
      </c>
      <c r="X317" s="7"/>
      <c r="Y317" s="7"/>
      <c r="Z317" s="7"/>
      <c r="AA317" s="7"/>
      <c r="AB317" s="7"/>
      <c r="AC317" s="7"/>
    </row>
    <row r="318" spans="1:29" ht="25.5">
      <c r="A318" s="19"/>
      <c r="B318" s="466" t="s">
        <v>916</v>
      </c>
      <c r="C318" s="84">
        <f t="shared" si="65"/>
        <v>3177.9</v>
      </c>
      <c r="D318" s="84"/>
      <c r="E318" s="84">
        <f t="shared" si="57"/>
        <v>207.89999999999998</v>
      </c>
      <c r="F318" s="84">
        <f t="shared" si="66"/>
        <v>118.8</v>
      </c>
      <c r="G318" s="84">
        <f t="shared" si="67"/>
        <v>89.1</v>
      </c>
      <c r="H318" s="84">
        <f t="shared" si="68"/>
        <v>2970</v>
      </c>
      <c r="I318" s="84">
        <f t="shared" si="69"/>
        <v>1906.74</v>
      </c>
      <c r="J318" s="130"/>
      <c r="K318" s="130"/>
      <c r="L318" s="130"/>
      <c r="M318" s="130"/>
      <c r="N318" s="130"/>
      <c r="O318" s="84">
        <v>567290</v>
      </c>
      <c r="P318" s="84">
        <v>570260</v>
      </c>
      <c r="Q318" s="389"/>
      <c r="R318" s="390"/>
      <c r="S318" s="156">
        <v>1</v>
      </c>
      <c r="T318" s="84">
        <f t="shared" si="64"/>
        <v>2970</v>
      </c>
      <c r="U318" s="722">
        <v>35821</v>
      </c>
      <c r="V318" s="89" t="s">
        <v>759</v>
      </c>
      <c r="W318" s="14" t="s">
        <v>82</v>
      </c>
      <c r="X318" s="7"/>
      <c r="Y318" s="7"/>
      <c r="Z318" s="7"/>
      <c r="AA318" s="7"/>
      <c r="AB318" s="7"/>
      <c r="AC318" s="7"/>
    </row>
    <row r="319" spans="1:29" ht="25.5">
      <c r="A319" s="19"/>
      <c r="B319" s="83" t="s">
        <v>314</v>
      </c>
      <c r="C319" s="84">
        <f t="shared" si="65"/>
        <v>789.66</v>
      </c>
      <c r="D319" s="84"/>
      <c r="E319" s="84">
        <f t="shared" si="57"/>
        <v>51.66</v>
      </c>
      <c r="F319" s="84">
        <f t="shared" si="66"/>
        <v>29.52</v>
      </c>
      <c r="G319" s="84">
        <f t="shared" si="67"/>
        <v>22.14</v>
      </c>
      <c r="H319" s="84">
        <f t="shared" si="68"/>
        <v>738</v>
      </c>
      <c r="I319" s="84">
        <f t="shared" si="69"/>
        <v>473.79599999999994</v>
      </c>
      <c r="J319" s="130"/>
      <c r="K319" s="130"/>
      <c r="L319" s="130"/>
      <c r="M319" s="130"/>
      <c r="N319" s="130"/>
      <c r="O319" s="84">
        <v>28622</v>
      </c>
      <c r="P319" s="84">
        <v>29360</v>
      </c>
      <c r="Q319" s="389"/>
      <c r="R319" s="390"/>
      <c r="S319" s="156">
        <v>1</v>
      </c>
      <c r="T319" s="84">
        <f t="shared" si="64"/>
        <v>738</v>
      </c>
      <c r="U319" s="722">
        <v>103473542</v>
      </c>
      <c r="V319" s="89" t="s">
        <v>393</v>
      </c>
      <c r="W319" s="14" t="s">
        <v>82</v>
      </c>
      <c r="X319" s="7"/>
      <c r="Y319" s="7"/>
      <c r="Z319" s="7"/>
      <c r="AA319" s="7"/>
      <c r="AB319" s="7"/>
      <c r="AC319" s="7"/>
    </row>
    <row r="320" spans="1:29" ht="25.5">
      <c r="A320" s="19"/>
      <c r="B320" s="466" t="s">
        <v>365</v>
      </c>
      <c r="C320" s="84">
        <f t="shared" si="65"/>
        <v>619.53</v>
      </c>
      <c r="D320" s="84"/>
      <c r="E320" s="84">
        <f t="shared" si="57"/>
        <v>40.53</v>
      </c>
      <c r="F320" s="84">
        <f t="shared" si="66"/>
        <v>23.16</v>
      </c>
      <c r="G320" s="84">
        <f t="shared" si="67"/>
        <v>17.37</v>
      </c>
      <c r="H320" s="84">
        <f t="shared" si="68"/>
        <v>579</v>
      </c>
      <c r="I320" s="84">
        <f t="shared" si="69"/>
        <v>371.71799999999996</v>
      </c>
      <c r="J320" s="130"/>
      <c r="K320" s="130"/>
      <c r="L320" s="130"/>
      <c r="M320" s="130"/>
      <c r="N320" s="130"/>
      <c r="O320" s="84">
        <v>24750</v>
      </c>
      <c r="P320" s="84">
        <v>25329</v>
      </c>
      <c r="Q320" s="389"/>
      <c r="R320" s="390"/>
      <c r="S320" s="156">
        <v>1</v>
      </c>
      <c r="T320" s="84">
        <f t="shared" si="64"/>
        <v>579</v>
      </c>
      <c r="U320" s="722">
        <v>103095559</v>
      </c>
      <c r="V320" s="89" t="s">
        <v>394</v>
      </c>
      <c r="W320" s="14" t="s">
        <v>82</v>
      </c>
      <c r="X320" s="7"/>
      <c r="Y320" s="7"/>
      <c r="Z320" s="7"/>
      <c r="AA320" s="7"/>
      <c r="AB320" s="7"/>
      <c r="AC320" s="7"/>
    </row>
    <row r="321" spans="1:29" ht="25.5">
      <c r="A321" s="19"/>
      <c r="B321" s="466" t="s">
        <v>831</v>
      </c>
      <c r="C321" s="84">
        <f t="shared" si="65"/>
        <v>883.81999999999994</v>
      </c>
      <c r="D321" s="84"/>
      <c r="E321" s="84">
        <f t="shared" si="57"/>
        <v>57.819999999999993</v>
      </c>
      <c r="F321" s="84">
        <f t="shared" si="66"/>
        <v>33.04</v>
      </c>
      <c r="G321" s="84">
        <f t="shared" si="67"/>
        <v>24.779999999999998</v>
      </c>
      <c r="H321" s="84">
        <f t="shared" si="68"/>
        <v>826</v>
      </c>
      <c r="I321" s="84">
        <f t="shared" si="69"/>
        <v>530.29199999999992</v>
      </c>
      <c r="J321" s="130"/>
      <c r="K321" s="130"/>
      <c r="L321" s="130"/>
      <c r="M321" s="130"/>
      <c r="N321" s="130"/>
      <c r="O321" s="84">
        <v>43073</v>
      </c>
      <c r="P321" s="84">
        <v>43899</v>
      </c>
      <c r="Q321" s="389"/>
      <c r="R321" s="390"/>
      <c r="S321" s="156">
        <v>1</v>
      </c>
      <c r="T321" s="84">
        <f t="shared" si="64"/>
        <v>826</v>
      </c>
      <c r="U321" s="722" t="s">
        <v>1032</v>
      </c>
      <c r="V321" s="89" t="s">
        <v>395</v>
      </c>
      <c r="W321" s="14" t="s">
        <v>82</v>
      </c>
      <c r="X321" s="7"/>
      <c r="Y321" s="7"/>
      <c r="Z321" s="7"/>
      <c r="AA321" s="7"/>
      <c r="AB321" s="7"/>
      <c r="AC321" s="7"/>
    </row>
    <row r="322" spans="1:29" ht="25.5">
      <c r="A322" s="19"/>
      <c r="B322" s="448" t="s">
        <v>396</v>
      </c>
      <c r="C322" s="84">
        <f t="shared" si="65"/>
        <v>386.27</v>
      </c>
      <c r="D322" s="84"/>
      <c r="E322" s="84">
        <f t="shared" si="57"/>
        <v>25.27</v>
      </c>
      <c r="F322" s="84">
        <f t="shared" si="66"/>
        <v>14.44</v>
      </c>
      <c r="G322" s="84">
        <f t="shared" si="67"/>
        <v>10.83</v>
      </c>
      <c r="H322" s="84">
        <f t="shared" si="68"/>
        <v>361</v>
      </c>
      <c r="I322" s="84">
        <f t="shared" si="69"/>
        <v>231.76199999999997</v>
      </c>
      <c r="J322" s="130"/>
      <c r="K322" s="130"/>
      <c r="L322" s="130"/>
      <c r="M322" s="130"/>
      <c r="N322" s="130"/>
      <c r="O322" s="84">
        <v>59063</v>
      </c>
      <c r="P322" s="84">
        <v>59424</v>
      </c>
      <c r="Q322" s="389"/>
      <c r="R322" s="390"/>
      <c r="S322" s="156">
        <v>1</v>
      </c>
      <c r="T322" s="84">
        <f t="shared" si="64"/>
        <v>361</v>
      </c>
      <c r="U322" s="722">
        <v>4616</v>
      </c>
      <c r="V322" s="89" t="s">
        <v>397</v>
      </c>
      <c r="W322" s="14" t="s">
        <v>82</v>
      </c>
      <c r="X322" s="7"/>
      <c r="Y322" s="7"/>
      <c r="Z322" s="7"/>
      <c r="AA322" s="7"/>
      <c r="AB322" s="7"/>
      <c r="AC322" s="7"/>
    </row>
    <row r="323" spans="1:29" ht="25.5">
      <c r="A323" s="19"/>
      <c r="B323" s="448" t="s">
        <v>806</v>
      </c>
      <c r="C323" s="84">
        <f>H323+E323</f>
        <v>8912.0300000000007</v>
      </c>
      <c r="D323" s="84"/>
      <c r="E323" s="84">
        <f t="shared" si="57"/>
        <v>583.03</v>
      </c>
      <c r="F323" s="84">
        <f t="shared" si="66"/>
        <v>333.16</v>
      </c>
      <c r="G323" s="84">
        <f t="shared" si="67"/>
        <v>249.87</v>
      </c>
      <c r="H323" s="84">
        <f t="shared" si="68"/>
        <v>8329</v>
      </c>
      <c r="I323" s="84">
        <f t="shared" si="69"/>
        <v>5347.2179999999998</v>
      </c>
      <c r="J323" s="130"/>
      <c r="K323" s="130"/>
      <c r="L323" s="130"/>
      <c r="M323" s="130"/>
      <c r="N323" s="130"/>
      <c r="O323" s="84">
        <v>65819</v>
      </c>
      <c r="P323" s="84">
        <v>67625</v>
      </c>
      <c r="Q323" s="389"/>
      <c r="R323" s="390"/>
      <c r="S323" s="156">
        <v>20</v>
      </c>
      <c r="T323" s="84">
        <f>(P323-O323)*S323-T326-C327-T286-T317-T324-T325-T167-T168-T173</f>
        <v>8329</v>
      </c>
      <c r="U323" s="722" t="s">
        <v>1033</v>
      </c>
      <c r="V323" s="89" t="s">
        <v>806</v>
      </c>
      <c r="W323" s="14" t="s">
        <v>82</v>
      </c>
      <c r="X323" s="7"/>
      <c r="Y323" s="7"/>
      <c r="Z323" s="7"/>
      <c r="AA323" s="7"/>
      <c r="AB323" s="7"/>
      <c r="AC323" s="7"/>
    </row>
    <row r="324" spans="1:29" ht="25.5">
      <c r="A324" s="19"/>
      <c r="B324" s="448" t="s">
        <v>763</v>
      </c>
      <c r="C324" s="84">
        <f>H324+E324</f>
        <v>5153.12</v>
      </c>
      <c r="D324" s="84"/>
      <c r="E324" s="84">
        <f t="shared" si="57"/>
        <v>337.12</v>
      </c>
      <c r="F324" s="84">
        <f t="shared" si="66"/>
        <v>192.64000000000001</v>
      </c>
      <c r="G324" s="84">
        <f t="shared" si="67"/>
        <v>144.47999999999999</v>
      </c>
      <c r="H324" s="84">
        <f t="shared" si="68"/>
        <v>4816</v>
      </c>
      <c r="I324" s="84">
        <f t="shared" si="69"/>
        <v>3091.8719999999998</v>
      </c>
      <c r="J324" s="130"/>
      <c r="K324" s="130"/>
      <c r="L324" s="130"/>
      <c r="M324" s="130"/>
      <c r="N324" s="130"/>
      <c r="O324" s="84">
        <v>56518</v>
      </c>
      <c r="P324" s="84">
        <v>61334</v>
      </c>
      <c r="Q324" s="389"/>
      <c r="R324" s="390"/>
      <c r="S324" s="156">
        <v>1</v>
      </c>
      <c r="T324" s="84">
        <f>(P324-O324)*S324</f>
        <v>4816</v>
      </c>
      <c r="U324" s="722" t="s">
        <v>1034</v>
      </c>
      <c r="V324" s="89" t="s">
        <v>769</v>
      </c>
      <c r="W324" s="14" t="s">
        <v>82</v>
      </c>
      <c r="X324" s="7"/>
      <c r="Y324" s="7"/>
      <c r="Z324" s="7"/>
      <c r="AA324" s="7"/>
      <c r="AB324" s="7"/>
      <c r="AC324" s="7"/>
    </row>
    <row r="325" spans="1:29" ht="25.5">
      <c r="A325" s="19"/>
      <c r="B325" s="448"/>
      <c r="C325" s="84">
        <f>H325+E325</f>
        <v>680.52</v>
      </c>
      <c r="D325" s="84"/>
      <c r="E325" s="84">
        <f t="shared" si="57"/>
        <v>44.519999999999996</v>
      </c>
      <c r="F325" s="84">
        <f t="shared" si="66"/>
        <v>25.44</v>
      </c>
      <c r="G325" s="84">
        <f t="shared" si="67"/>
        <v>19.079999999999998</v>
      </c>
      <c r="H325" s="84">
        <f t="shared" si="68"/>
        <v>636</v>
      </c>
      <c r="I325" s="84">
        <f t="shared" si="69"/>
        <v>408.31199999999995</v>
      </c>
      <c r="J325" s="130"/>
      <c r="K325" s="130"/>
      <c r="L325" s="130"/>
      <c r="M325" s="130"/>
      <c r="N325" s="130"/>
      <c r="O325" s="84">
        <v>15936</v>
      </c>
      <c r="P325" s="84">
        <v>16572</v>
      </c>
      <c r="Q325" s="389"/>
      <c r="R325" s="390"/>
      <c r="S325" s="156">
        <v>1</v>
      </c>
      <c r="T325" s="84">
        <f>(P325-O325)*S325</f>
        <v>636</v>
      </c>
      <c r="U325" s="722" t="s">
        <v>1035</v>
      </c>
      <c r="V325" s="89" t="s">
        <v>398</v>
      </c>
      <c r="W325" s="14" t="s">
        <v>82</v>
      </c>
      <c r="X325" s="7"/>
      <c r="Y325" s="7"/>
      <c r="Z325" s="7"/>
      <c r="AA325" s="7"/>
      <c r="AB325" s="7"/>
      <c r="AC325" s="7"/>
    </row>
    <row r="326" spans="1:29" ht="25.5">
      <c r="A326" s="19"/>
      <c r="B326" s="448" t="s">
        <v>763</v>
      </c>
      <c r="C326" s="84">
        <f t="shared" si="65"/>
        <v>1050.74</v>
      </c>
      <c r="D326" s="84"/>
      <c r="E326" s="84">
        <f t="shared" si="57"/>
        <v>68.739999999999995</v>
      </c>
      <c r="F326" s="84">
        <f t="shared" si="66"/>
        <v>39.28</v>
      </c>
      <c r="G326" s="84">
        <f t="shared" si="67"/>
        <v>29.459999999999997</v>
      </c>
      <c r="H326" s="84">
        <f t="shared" si="68"/>
        <v>982</v>
      </c>
      <c r="I326" s="84">
        <f t="shared" si="69"/>
        <v>630.44399999999996</v>
      </c>
      <c r="J326" s="130"/>
      <c r="K326" s="130"/>
      <c r="L326" s="130"/>
      <c r="M326" s="130"/>
      <c r="N326" s="130"/>
      <c r="O326" s="84">
        <v>11012</v>
      </c>
      <c r="P326" s="84">
        <v>11994</v>
      </c>
      <c r="Q326" s="389"/>
      <c r="R326" s="390"/>
      <c r="S326" s="156">
        <v>1</v>
      </c>
      <c r="T326" s="84">
        <f>(P326-O326)*S326</f>
        <v>982</v>
      </c>
      <c r="U326" s="722" t="s">
        <v>1036</v>
      </c>
      <c r="V326" s="89" t="s">
        <v>770</v>
      </c>
      <c r="W326" s="14" t="s">
        <v>82</v>
      </c>
      <c r="X326" s="7"/>
      <c r="Y326" s="7"/>
      <c r="Z326" s="7"/>
      <c r="AA326" s="7"/>
      <c r="AB326" s="7"/>
      <c r="AC326" s="7"/>
    </row>
    <row r="327" spans="1:29" ht="25.5">
      <c r="A327" s="19"/>
      <c r="B327" s="466"/>
      <c r="C327" s="84">
        <v>12000</v>
      </c>
      <c r="D327" s="84"/>
      <c r="E327" s="84"/>
      <c r="F327" s="84"/>
      <c r="G327" s="84"/>
      <c r="H327" s="84"/>
      <c r="I327" s="84"/>
      <c r="J327" s="130"/>
      <c r="K327" s="130"/>
      <c r="L327" s="130"/>
      <c r="M327" s="130"/>
      <c r="N327" s="130"/>
      <c r="O327" s="84"/>
      <c r="P327" s="84"/>
      <c r="Q327" s="389"/>
      <c r="R327" s="390"/>
      <c r="S327" s="156"/>
      <c r="T327" s="84">
        <v>0</v>
      </c>
      <c r="U327" s="722"/>
      <c r="V327" s="89" t="s">
        <v>401</v>
      </c>
      <c r="W327" s="14" t="s">
        <v>82</v>
      </c>
      <c r="X327" s="7"/>
      <c r="Y327" s="7"/>
      <c r="Z327" s="7"/>
      <c r="AA327" s="7"/>
      <c r="AB327" s="7"/>
      <c r="AC327" s="7"/>
    </row>
    <row r="328" spans="1:29" ht="26.25">
      <c r="A328" s="19"/>
      <c r="B328" s="213" t="s">
        <v>402</v>
      </c>
      <c r="C328" s="97">
        <f>SUM(C286:C327)</f>
        <v>110059.08000000002</v>
      </c>
      <c r="D328" s="91"/>
      <c r="E328" s="91"/>
      <c r="F328" s="91"/>
      <c r="G328" s="91"/>
      <c r="H328" s="91"/>
      <c r="I328" s="124">
        <f t="shared" si="69"/>
        <v>66035.448000000004</v>
      </c>
      <c r="J328" s="22"/>
      <c r="K328" s="22"/>
      <c r="L328" s="22"/>
      <c r="M328" s="22"/>
      <c r="N328" s="22"/>
      <c r="O328" s="91"/>
      <c r="P328" s="91"/>
      <c r="Q328" s="149"/>
      <c r="R328" s="161"/>
      <c r="S328" s="151"/>
      <c r="T328" s="91"/>
      <c r="U328" s="644"/>
      <c r="V328" s="710"/>
      <c r="W328" s="14"/>
      <c r="X328" s="7"/>
      <c r="Y328" s="7"/>
      <c r="Z328" s="7"/>
      <c r="AA328" s="7"/>
      <c r="AB328" s="7"/>
      <c r="AC328" s="7"/>
    </row>
    <row r="329" spans="1:29" ht="27.75">
      <c r="A329" s="19"/>
      <c r="B329" s="216" t="s">
        <v>403</v>
      </c>
      <c r="C329" s="97">
        <f>SUM(C166:C327)</f>
        <v>443707.63599999802</v>
      </c>
      <c r="D329" s="91"/>
      <c r="E329" s="113"/>
      <c r="F329" s="91"/>
      <c r="G329" s="91"/>
      <c r="H329" s="91"/>
      <c r="I329" s="115"/>
      <c r="J329" s="22"/>
      <c r="K329" s="22"/>
      <c r="L329" s="22"/>
      <c r="M329" s="22"/>
      <c r="N329" s="22"/>
      <c r="O329" s="91"/>
      <c r="P329" s="91"/>
      <c r="Q329" s="149"/>
      <c r="R329" s="161"/>
      <c r="S329" s="151"/>
      <c r="T329" s="91"/>
      <c r="U329" s="644"/>
      <c r="V329" s="710"/>
      <c r="W329" s="14"/>
      <c r="X329" s="7"/>
      <c r="Y329" s="7"/>
      <c r="Z329" s="7"/>
      <c r="AA329" s="7"/>
      <c r="AB329" s="7"/>
      <c r="AC329" s="7"/>
    </row>
    <row r="330" spans="1:29" ht="26.25">
      <c r="A330" s="19"/>
      <c r="B330" s="217"/>
      <c r="C330" s="115"/>
      <c r="D330" s="115"/>
      <c r="E330" s="112"/>
      <c r="F330" s="115"/>
      <c r="G330" s="115"/>
      <c r="H330" s="115"/>
      <c r="I330" s="115"/>
      <c r="J330" s="164"/>
      <c r="K330" s="164"/>
      <c r="L330" s="164"/>
      <c r="M330" s="164"/>
      <c r="N330" s="164"/>
      <c r="O330" s="210"/>
      <c r="P330" s="210"/>
      <c r="Q330" s="149"/>
      <c r="R330" s="211"/>
      <c r="S330" s="115"/>
      <c r="T330" s="91"/>
      <c r="U330" s="644"/>
      <c r="V330" s="710"/>
      <c r="W330" s="14"/>
      <c r="X330" s="7"/>
      <c r="Y330" s="7"/>
      <c r="Z330" s="7"/>
      <c r="AA330" s="7"/>
      <c r="AB330" s="7"/>
      <c r="AC330" s="7"/>
    </row>
    <row r="331" spans="1:29" ht="26.25">
      <c r="A331" s="19"/>
      <c r="B331" s="193" t="s">
        <v>404</v>
      </c>
      <c r="C331" s="91"/>
      <c r="D331" s="115"/>
      <c r="E331" s="115"/>
      <c r="F331" s="91"/>
      <c r="G331" s="91"/>
      <c r="H331" s="91"/>
      <c r="I331" s="91"/>
      <c r="J331" s="164"/>
      <c r="K331" s="164"/>
      <c r="L331" s="164"/>
      <c r="M331" s="164"/>
      <c r="N331" s="164"/>
      <c r="O331" s="91"/>
      <c r="P331" s="91"/>
      <c r="Q331" s="7"/>
      <c r="R331" s="94"/>
      <c r="S331" s="91"/>
      <c r="T331" s="91"/>
      <c r="U331" s="644"/>
      <c r="V331" s="710"/>
      <c r="W331" s="14"/>
      <c r="X331" s="7"/>
      <c r="Y331" s="7"/>
      <c r="Z331" s="7"/>
      <c r="AA331" s="7"/>
      <c r="AB331" s="7"/>
      <c r="AC331" s="7"/>
    </row>
    <row r="332" spans="1:29" ht="25.5">
      <c r="A332" s="19"/>
      <c r="B332" s="1"/>
      <c r="U332" s="724"/>
      <c r="V332" s="710"/>
      <c r="W332" s="14"/>
      <c r="X332" s="7"/>
      <c r="Y332" s="7"/>
      <c r="Z332" s="7"/>
      <c r="AA332" s="7"/>
      <c r="AB332" s="7"/>
      <c r="AC332" s="7"/>
    </row>
    <row r="333" spans="1:29" ht="25.5">
      <c r="A333" s="19"/>
      <c r="B333" s="27" t="s">
        <v>405</v>
      </c>
      <c r="C333" s="28">
        <f t="shared" ref="C333:C354" si="84">H333+E333</f>
        <v>0</v>
      </c>
      <c r="D333" s="28"/>
      <c r="E333" s="28">
        <f t="shared" ref="E333:E355" si="85">F333+G333</f>
        <v>0</v>
      </c>
      <c r="F333" s="28">
        <f t="shared" ref="F333:F376" si="86">0.04*H333</f>
        <v>0</v>
      </c>
      <c r="G333" s="28">
        <f t="shared" ref="G333:G376" si="87">0.03*H333</f>
        <v>0</v>
      </c>
      <c r="H333" s="28">
        <f t="shared" ref="H333:H367" si="88">T333</f>
        <v>0</v>
      </c>
      <c r="I333" s="28">
        <f t="shared" ref="I333:I342" si="89">0.6*C333</f>
        <v>0</v>
      </c>
      <c r="J333" s="29"/>
      <c r="K333" s="29"/>
      <c r="L333" s="29"/>
      <c r="M333" s="29"/>
      <c r="N333" s="29"/>
      <c r="O333" s="28">
        <v>12350</v>
      </c>
      <c r="P333" s="28">
        <v>12350</v>
      </c>
      <c r="Q333" s="29"/>
      <c r="R333" s="348"/>
      <c r="S333" s="54">
        <v>1</v>
      </c>
      <c r="T333" s="28">
        <f t="shared" ref="T333:T348" si="90">(P333-O333)*S333</f>
        <v>0</v>
      </c>
      <c r="U333" s="455">
        <v>55953</v>
      </c>
      <c r="V333" s="750" t="s">
        <v>406</v>
      </c>
      <c r="W333" s="14" t="s">
        <v>212</v>
      </c>
      <c r="X333" s="7"/>
      <c r="Y333" s="7"/>
      <c r="Z333" s="7"/>
      <c r="AA333" s="7"/>
      <c r="AB333" s="7"/>
      <c r="AC333" s="7"/>
    </row>
    <row r="334" spans="1:29" ht="25.5">
      <c r="A334" s="19"/>
      <c r="B334" s="27" t="s">
        <v>407</v>
      </c>
      <c r="C334" s="28">
        <f t="shared" si="84"/>
        <v>189.39</v>
      </c>
      <c r="D334" s="28"/>
      <c r="E334" s="28">
        <f t="shared" si="85"/>
        <v>12.39</v>
      </c>
      <c r="F334" s="28">
        <f t="shared" si="86"/>
        <v>7.08</v>
      </c>
      <c r="G334" s="28">
        <f t="shared" si="87"/>
        <v>5.31</v>
      </c>
      <c r="H334" s="28">
        <f t="shared" si="88"/>
        <v>177</v>
      </c>
      <c r="I334" s="28">
        <f t="shared" si="89"/>
        <v>113.63399999999999</v>
      </c>
      <c r="J334" s="29"/>
      <c r="K334" s="29"/>
      <c r="L334" s="29"/>
      <c r="M334" s="29"/>
      <c r="N334" s="29"/>
      <c r="O334" s="28">
        <v>17614</v>
      </c>
      <c r="P334" s="28">
        <v>17791</v>
      </c>
      <c r="Q334" s="29"/>
      <c r="R334" s="348"/>
      <c r="S334" s="54">
        <v>1</v>
      </c>
      <c r="T334" s="28">
        <f t="shared" si="90"/>
        <v>177</v>
      </c>
      <c r="U334" s="455">
        <v>1485</v>
      </c>
      <c r="V334" s="750" t="s">
        <v>408</v>
      </c>
      <c r="W334" s="14" t="s">
        <v>212</v>
      </c>
      <c r="X334" s="7"/>
      <c r="Y334" s="7"/>
      <c r="Z334" s="7"/>
      <c r="AA334" s="7"/>
      <c r="AB334" s="7"/>
      <c r="AC334" s="7"/>
    </row>
    <row r="335" spans="1:29" ht="25.5">
      <c r="A335" s="19"/>
      <c r="B335" s="454" t="s">
        <v>826</v>
      </c>
      <c r="C335" s="28">
        <f t="shared" si="84"/>
        <v>22.47</v>
      </c>
      <c r="D335" s="28"/>
      <c r="E335" s="28">
        <f t="shared" si="85"/>
        <v>1.47</v>
      </c>
      <c r="F335" s="28">
        <f t="shared" si="86"/>
        <v>0.84</v>
      </c>
      <c r="G335" s="28">
        <f t="shared" si="87"/>
        <v>0.63</v>
      </c>
      <c r="H335" s="28">
        <f t="shared" si="88"/>
        <v>21</v>
      </c>
      <c r="I335" s="28">
        <f t="shared" si="89"/>
        <v>13.481999999999999</v>
      </c>
      <c r="J335" s="29"/>
      <c r="K335" s="29"/>
      <c r="L335" s="29"/>
      <c r="M335" s="29"/>
      <c r="N335" s="29"/>
      <c r="O335" s="28">
        <v>15680</v>
      </c>
      <c r="P335" s="28">
        <v>15701</v>
      </c>
      <c r="Q335" s="29"/>
      <c r="R335" s="348"/>
      <c r="S335" s="54">
        <v>1</v>
      </c>
      <c r="T335" s="28">
        <f t="shared" si="90"/>
        <v>21</v>
      </c>
      <c r="U335" s="455"/>
      <c r="V335" s="750" t="s">
        <v>931</v>
      </c>
      <c r="W335" s="14" t="s">
        <v>212</v>
      </c>
      <c r="X335" s="7"/>
      <c r="Y335" s="7"/>
      <c r="Z335" s="7"/>
      <c r="AA335" s="7"/>
      <c r="AB335" s="7"/>
      <c r="AC335" s="7"/>
    </row>
    <row r="336" spans="1:29" ht="25.5">
      <c r="A336" s="19"/>
      <c r="B336" s="454" t="s">
        <v>409</v>
      </c>
      <c r="C336" s="28">
        <f t="shared" si="84"/>
        <v>1218.73</v>
      </c>
      <c r="D336" s="28"/>
      <c r="E336" s="28">
        <f t="shared" si="85"/>
        <v>79.73</v>
      </c>
      <c r="F336" s="28">
        <f t="shared" si="86"/>
        <v>45.56</v>
      </c>
      <c r="G336" s="28">
        <f t="shared" si="87"/>
        <v>34.17</v>
      </c>
      <c r="H336" s="28">
        <f t="shared" si="88"/>
        <v>1139</v>
      </c>
      <c r="I336" s="28">
        <f t="shared" si="89"/>
        <v>731.23799999999994</v>
      </c>
      <c r="J336" s="29"/>
      <c r="K336" s="29"/>
      <c r="L336" s="29"/>
      <c r="M336" s="29"/>
      <c r="N336" s="29"/>
      <c r="O336" s="414">
        <f>5808+36528+70463</f>
        <v>112799</v>
      </c>
      <c r="P336" s="414">
        <f>71376+5842+36720</f>
        <v>113938</v>
      </c>
      <c r="Q336" s="29"/>
      <c r="R336" s="348"/>
      <c r="S336" s="54">
        <v>1</v>
      </c>
      <c r="T336" s="28">
        <f t="shared" si="90"/>
        <v>1139</v>
      </c>
      <c r="U336" s="455"/>
      <c r="V336" s="750" t="s">
        <v>410</v>
      </c>
      <c r="W336" s="14" t="s">
        <v>212</v>
      </c>
      <c r="X336" s="7"/>
      <c r="Y336" s="7"/>
      <c r="Z336" s="7"/>
      <c r="AA336" s="7"/>
      <c r="AB336" s="7"/>
      <c r="AC336" s="7"/>
    </row>
    <row r="337" spans="1:29" ht="25.5">
      <c r="A337" s="19"/>
      <c r="B337" s="471" t="s">
        <v>411</v>
      </c>
      <c r="C337" s="28">
        <f t="shared" si="84"/>
        <v>135.88999999999999</v>
      </c>
      <c r="D337" s="28"/>
      <c r="E337" s="28">
        <f t="shared" si="85"/>
        <v>8.89</v>
      </c>
      <c r="F337" s="28">
        <f t="shared" si="86"/>
        <v>5.08</v>
      </c>
      <c r="G337" s="28">
        <f t="shared" si="87"/>
        <v>3.81</v>
      </c>
      <c r="H337" s="28">
        <f t="shared" si="88"/>
        <v>127</v>
      </c>
      <c r="I337" s="28">
        <f t="shared" si="89"/>
        <v>81.533999999999992</v>
      </c>
      <c r="J337" s="29"/>
      <c r="K337" s="29"/>
      <c r="L337" s="29"/>
      <c r="M337" s="29"/>
      <c r="N337" s="29"/>
      <c r="O337" s="28">
        <v>1759</v>
      </c>
      <c r="P337" s="28">
        <v>1886</v>
      </c>
      <c r="Q337" s="29"/>
      <c r="R337" s="348"/>
      <c r="S337" s="54">
        <v>1</v>
      </c>
      <c r="T337" s="28">
        <f>(P337-O337)*S337</f>
        <v>127</v>
      </c>
      <c r="U337" s="455" t="s">
        <v>781</v>
      </c>
      <c r="V337" s="750" t="s">
        <v>780</v>
      </c>
      <c r="W337" s="14" t="s">
        <v>212</v>
      </c>
      <c r="X337" s="7"/>
      <c r="Y337" s="7"/>
      <c r="Z337" s="7"/>
      <c r="AA337" s="7"/>
      <c r="AB337" s="7"/>
      <c r="AC337" s="7"/>
    </row>
    <row r="338" spans="1:29" ht="25.5">
      <c r="A338" s="19"/>
      <c r="B338" s="472" t="s">
        <v>412</v>
      </c>
      <c r="C338" s="28">
        <f t="shared" si="84"/>
        <v>39.590000000000003</v>
      </c>
      <c r="D338" s="28"/>
      <c r="E338" s="28">
        <f t="shared" si="85"/>
        <v>2.59</v>
      </c>
      <c r="F338" s="28">
        <f t="shared" si="86"/>
        <v>1.48</v>
      </c>
      <c r="G338" s="28">
        <f t="shared" si="87"/>
        <v>1.1099999999999999</v>
      </c>
      <c r="H338" s="28">
        <f t="shared" si="88"/>
        <v>37</v>
      </c>
      <c r="I338" s="28">
        <f t="shared" si="89"/>
        <v>23.754000000000001</v>
      </c>
      <c r="J338" s="29"/>
      <c r="K338" s="29"/>
      <c r="L338" s="29"/>
      <c r="M338" s="29"/>
      <c r="N338" s="29"/>
      <c r="O338" s="28">
        <v>1439</v>
      </c>
      <c r="P338" s="28">
        <v>1476</v>
      </c>
      <c r="Q338" s="29"/>
      <c r="R338" s="348"/>
      <c r="S338" s="54">
        <v>1</v>
      </c>
      <c r="T338" s="28">
        <f>(P338-O338)*S338</f>
        <v>37</v>
      </c>
      <c r="U338" s="455" t="s">
        <v>782</v>
      </c>
      <c r="V338" s="750" t="s">
        <v>413</v>
      </c>
      <c r="W338" s="14" t="s">
        <v>212</v>
      </c>
      <c r="X338" s="7"/>
      <c r="Y338" s="7"/>
      <c r="Z338" s="7"/>
      <c r="AA338" s="7"/>
      <c r="AB338" s="7"/>
      <c r="AC338" s="7"/>
    </row>
    <row r="339" spans="1:29" ht="25.5">
      <c r="A339" s="19"/>
      <c r="B339" s="472" t="s">
        <v>414</v>
      </c>
      <c r="C339" s="28">
        <f t="shared" si="84"/>
        <v>68.48</v>
      </c>
      <c r="D339" s="28"/>
      <c r="E339" s="28">
        <f t="shared" si="85"/>
        <v>4.4800000000000004</v>
      </c>
      <c r="F339" s="28">
        <f t="shared" si="86"/>
        <v>2.56</v>
      </c>
      <c r="G339" s="28">
        <f t="shared" si="87"/>
        <v>1.92</v>
      </c>
      <c r="H339" s="28">
        <f t="shared" si="88"/>
        <v>64</v>
      </c>
      <c r="I339" s="28">
        <f t="shared" si="89"/>
        <v>41.088000000000001</v>
      </c>
      <c r="J339" s="29"/>
      <c r="K339" s="29"/>
      <c r="L339" s="29"/>
      <c r="M339" s="29"/>
      <c r="N339" s="29"/>
      <c r="O339" s="28">
        <v>4439</v>
      </c>
      <c r="P339" s="28">
        <v>4503</v>
      </c>
      <c r="Q339" s="29"/>
      <c r="R339" s="348"/>
      <c r="S339" s="54">
        <v>1</v>
      </c>
      <c r="T339" s="28">
        <f>(P339-O339)*S339</f>
        <v>64</v>
      </c>
      <c r="U339" s="455" t="s">
        <v>783</v>
      </c>
      <c r="V339" s="750" t="s">
        <v>415</v>
      </c>
      <c r="W339" s="14" t="s">
        <v>212</v>
      </c>
      <c r="X339" s="7"/>
      <c r="Y339" s="7"/>
      <c r="Z339" s="7"/>
      <c r="AA339" s="7"/>
      <c r="AB339" s="7"/>
      <c r="AC339" s="7"/>
    </row>
    <row r="340" spans="1:29" ht="25.5">
      <c r="A340" s="19"/>
      <c r="B340" s="534" t="s">
        <v>828</v>
      </c>
      <c r="C340" s="28">
        <f t="shared" si="84"/>
        <v>118.77</v>
      </c>
      <c r="D340" s="28"/>
      <c r="E340" s="28">
        <f t="shared" si="85"/>
        <v>7.7700000000000005</v>
      </c>
      <c r="F340" s="28">
        <f t="shared" si="86"/>
        <v>4.4400000000000004</v>
      </c>
      <c r="G340" s="28">
        <f t="shared" si="87"/>
        <v>3.33</v>
      </c>
      <c r="H340" s="28">
        <f t="shared" si="88"/>
        <v>111</v>
      </c>
      <c r="I340" s="28">
        <f t="shared" si="89"/>
        <v>71.262</v>
      </c>
      <c r="J340" s="29"/>
      <c r="K340" s="29"/>
      <c r="L340" s="29"/>
      <c r="M340" s="29"/>
      <c r="N340" s="29"/>
      <c r="O340" s="28">
        <v>1371</v>
      </c>
      <c r="P340" s="28">
        <v>1482</v>
      </c>
      <c r="Q340" s="29"/>
      <c r="R340" s="348"/>
      <c r="S340" s="54">
        <v>1</v>
      </c>
      <c r="T340" s="28">
        <f>(P340-O340)*S340</f>
        <v>111</v>
      </c>
      <c r="U340" s="455" t="s">
        <v>784</v>
      </c>
      <c r="V340" s="750" t="s">
        <v>819</v>
      </c>
      <c r="W340" s="14" t="s">
        <v>212</v>
      </c>
      <c r="X340" s="7"/>
      <c r="Y340" s="7"/>
      <c r="Z340" s="7"/>
      <c r="AA340" s="7"/>
      <c r="AB340" s="7"/>
      <c r="AC340" s="7"/>
    </row>
    <row r="341" spans="1:29" ht="27" customHeight="1">
      <c r="A341" s="19"/>
      <c r="B341" s="413" t="s">
        <v>416</v>
      </c>
      <c r="C341" s="414">
        <f t="shared" si="84"/>
        <v>907.36</v>
      </c>
      <c r="D341" s="414"/>
      <c r="E341" s="414">
        <f t="shared" si="85"/>
        <v>59.36</v>
      </c>
      <c r="F341" s="414">
        <f t="shared" si="86"/>
        <v>33.92</v>
      </c>
      <c r="G341" s="414">
        <f t="shared" si="87"/>
        <v>25.439999999999998</v>
      </c>
      <c r="H341" s="414">
        <f t="shared" si="88"/>
        <v>848</v>
      </c>
      <c r="I341" s="414">
        <f t="shared" si="89"/>
        <v>544.41599999999994</v>
      </c>
      <c r="J341" s="415"/>
      <c r="K341" s="415"/>
      <c r="L341" s="415"/>
      <c r="M341" s="415"/>
      <c r="N341" s="415" t="s">
        <v>417</v>
      </c>
      <c r="O341" s="414">
        <f>33770+32647+6230</f>
        <v>72647</v>
      </c>
      <c r="P341" s="414">
        <f>6654+33904+32937</f>
        <v>73495</v>
      </c>
      <c r="Q341" s="422"/>
      <c r="R341" s="473"/>
      <c r="S341" s="414">
        <v>1</v>
      </c>
      <c r="T341" s="414">
        <f>(P341-O341)*S341</f>
        <v>848</v>
      </c>
      <c r="U341" s="455">
        <v>9516</v>
      </c>
      <c r="V341" s="750" t="s">
        <v>820</v>
      </c>
      <c r="W341" s="14" t="s">
        <v>212</v>
      </c>
      <c r="X341" s="7"/>
      <c r="Y341" s="7"/>
      <c r="Z341" s="7"/>
      <c r="AA341" s="7"/>
      <c r="AB341" s="7"/>
      <c r="AC341" s="7"/>
    </row>
    <row r="342" spans="1:29" s="195" customFormat="1" ht="26.25" customHeight="1">
      <c r="A342" s="194"/>
      <c r="B342" s="454" t="s">
        <v>827</v>
      </c>
      <c r="C342" s="28">
        <f t="shared" si="84"/>
        <v>252.52</v>
      </c>
      <c r="D342" s="28"/>
      <c r="E342" s="28">
        <f t="shared" si="85"/>
        <v>16.52</v>
      </c>
      <c r="F342" s="360">
        <f t="shared" si="86"/>
        <v>9.44</v>
      </c>
      <c r="G342" s="28">
        <f t="shared" si="87"/>
        <v>7.08</v>
      </c>
      <c r="H342" s="28">
        <f t="shared" si="88"/>
        <v>236</v>
      </c>
      <c r="I342" s="28">
        <f t="shared" si="89"/>
        <v>151.512</v>
      </c>
      <c r="J342" s="29"/>
      <c r="K342" s="29"/>
      <c r="L342" s="29"/>
      <c r="M342" s="29"/>
      <c r="N342" s="29"/>
      <c r="O342" s="28">
        <v>54338</v>
      </c>
      <c r="P342" s="28">
        <v>54574</v>
      </c>
      <c r="Q342" s="30"/>
      <c r="R342" s="71"/>
      <c r="S342" s="54">
        <v>1</v>
      </c>
      <c r="T342" s="28">
        <f t="shared" si="90"/>
        <v>236</v>
      </c>
      <c r="U342" s="455"/>
      <c r="V342" s="750" t="s">
        <v>821</v>
      </c>
      <c r="W342" s="191" t="s">
        <v>212</v>
      </c>
      <c r="X342" s="86"/>
      <c r="Y342" s="86"/>
      <c r="Z342" s="86"/>
      <c r="AA342" s="86"/>
      <c r="AB342" s="86"/>
      <c r="AC342" s="86"/>
    </row>
    <row r="343" spans="1:29" ht="25.5">
      <c r="A343" s="19"/>
      <c r="B343" s="27" t="s">
        <v>825</v>
      </c>
      <c r="C343" s="28">
        <f t="shared" si="84"/>
        <v>6652.19</v>
      </c>
      <c r="D343" s="28"/>
      <c r="E343" s="28">
        <f t="shared" si="85"/>
        <v>435.19</v>
      </c>
      <c r="F343" s="360">
        <f t="shared" si="86"/>
        <v>248.68</v>
      </c>
      <c r="G343" s="28">
        <f t="shared" si="87"/>
        <v>186.51</v>
      </c>
      <c r="H343" s="28">
        <f t="shared" si="88"/>
        <v>6217</v>
      </c>
      <c r="I343" s="28">
        <f>0.5*C343</f>
        <v>3326.0949999999998</v>
      </c>
      <c r="J343" s="29"/>
      <c r="K343" s="29"/>
      <c r="L343" s="29"/>
      <c r="M343" s="29"/>
      <c r="N343" s="29"/>
      <c r="O343" s="28">
        <f>1520+354545+107556</f>
        <v>463621</v>
      </c>
      <c r="P343" s="28">
        <f>108381+1540+359917</f>
        <v>469838</v>
      </c>
      <c r="Q343" s="30"/>
      <c r="R343" s="71"/>
      <c r="S343" s="54">
        <v>1</v>
      </c>
      <c r="T343" s="28">
        <f t="shared" si="90"/>
        <v>6217</v>
      </c>
      <c r="U343" s="455" t="s">
        <v>418</v>
      </c>
      <c r="V343" s="750" t="s">
        <v>419</v>
      </c>
      <c r="W343" s="14" t="s">
        <v>212</v>
      </c>
      <c r="X343" s="7"/>
      <c r="Y343" s="7"/>
      <c r="Z343" s="7"/>
      <c r="AA343" s="7"/>
      <c r="AB343" s="7"/>
      <c r="AC343" s="7"/>
    </row>
    <row r="344" spans="1:29" ht="25.5">
      <c r="A344" s="19"/>
      <c r="B344" s="27" t="s">
        <v>829</v>
      </c>
      <c r="C344" s="28">
        <f t="shared" si="84"/>
        <v>191.53</v>
      </c>
      <c r="D344" s="28"/>
      <c r="E344" s="28">
        <f t="shared" si="85"/>
        <v>12.530000000000001</v>
      </c>
      <c r="F344" s="360">
        <f t="shared" si="86"/>
        <v>7.16</v>
      </c>
      <c r="G344" s="28">
        <f t="shared" si="87"/>
        <v>5.37</v>
      </c>
      <c r="H344" s="28">
        <f t="shared" si="88"/>
        <v>179</v>
      </c>
      <c r="I344" s="28">
        <f>0.5*C344</f>
        <v>95.765000000000001</v>
      </c>
      <c r="J344" s="29"/>
      <c r="K344" s="29"/>
      <c r="L344" s="29"/>
      <c r="M344" s="29"/>
      <c r="N344" s="29"/>
      <c r="O344" s="28">
        <v>6143</v>
      </c>
      <c r="P344" s="28">
        <v>6322</v>
      </c>
      <c r="Q344" s="30"/>
      <c r="R344" s="71"/>
      <c r="S344" s="54">
        <v>1</v>
      </c>
      <c r="T344" s="28">
        <f t="shared" si="90"/>
        <v>179</v>
      </c>
      <c r="U344" s="455"/>
      <c r="V344" s="474" t="s">
        <v>822</v>
      </c>
      <c r="W344" s="14" t="s">
        <v>212</v>
      </c>
      <c r="X344" s="7"/>
      <c r="Y344" s="7"/>
      <c r="Z344" s="7"/>
      <c r="AA344" s="7"/>
      <c r="AB344" s="7"/>
      <c r="AC344" s="7"/>
    </row>
    <row r="345" spans="1:29" ht="25.5">
      <c r="A345" s="19"/>
      <c r="B345" s="27" t="s">
        <v>420</v>
      </c>
      <c r="C345" s="28">
        <f t="shared" si="84"/>
        <v>160.5</v>
      </c>
      <c r="D345" s="28"/>
      <c r="E345" s="28">
        <f t="shared" si="85"/>
        <v>10.5</v>
      </c>
      <c r="F345" s="28">
        <f t="shared" si="86"/>
        <v>6</v>
      </c>
      <c r="G345" s="28">
        <f t="shared" si="87"/>
        <v>4.5</v>
      </c>
      <c r="H345" s="28">
        <f t="shared" si="88"/>
        <v>150</v>
      </c>
      <c r="I345" s="28">
        <f>0.6*C345</f>
        <v>96.3</v>
      </c>
      <c r="J345" s="29"/>
      <c r="K345" s="29"/>
      <c r="L345" s="29"/>
      <c r="M345" s="29"/>
      <c r="N345" s="29" t="s">
        <v>421</v>
      </c>
      <c r="O345" s="28">
        <f>33107+68719</f>
        <v>101826</v>
      </c>
      <c r="P345" s="28">
        <f>68756+33220</f>
        <v>101976</v>
      </c>
      <c r="Q345" s="146"/>
      <c r="R345" s="61"/>
      <c r="S345" s="54">
        <v>1</v>
      </c>
      <c r="T345" s="28">
        <f t="shared" si="90"/>
        <v>150</v>
      </c>
      <c r="U345" s="753" t="s">
        <v>422</v>
      </c>
      <c r="V345" s="474" t="s">
        <v>423</v>
      </c>
      <c r="W345" s="14" t="s">
        <v>212</v>
      </c>
      <c r="X345" s="7"/>
      <c r="Y345" s="7"/>
      <c r="Z345" s="7"/>
      <c r="AA345" s="7"/>
      <c r="AB345" s="7"/>
      <c r="AC345" s="7"/>
    </row>
    <row r="346" spans="1:29" s="195" customFormat="1" ht="25.5">
      <c r="A346" s="194"/>
      <c r="B346" s="27" t="s">
        <v>424</v>
      </c>
      <c r="C346" s="28">
        <f t="shared" si="84"/>
        <v>17.12</v>
      </c>
      <c r="D346" s="28"/>
      <c r="E346" s="28">
        <f t="shared" si="85"/>
        <v>1.1200000000000001</v>
      </c>
      <c r="F346" s="470">
        <f t="shared" si="86"/>
        <v>0.64</v>
      </c>
      <c r="G346" s="28">
        <f t="shared" si="87"/>
        <v>0.48</v>
      </c>
      <c r="H346" s="28">
        <f t="shared" si="88"/>
        <v>16</v>
      </c>
      <c r="I346" s="28">
        <f>0.6*C346</f>
        <v>10.272</v>
      </c>
      <c r="J346" s="29"/>
      <c r="K346" s="29"/>
      <c r="L346" s="29"/>
      <c r="M346" s="29"/>
      <c r="N346" s="29"/>
      <c r="O346" s="28">
        <v>11539</v>
      </c>
      <c r="P346" s="28">
        <v>11555</v>
      </c>
      <c r="Q346" s="30"/>
      <c r="R346" s="71"/>
      <c r="S346" s="54">
        <v>1</v>
      </c>
      <c r="T346" s="28">
        <f t="shared" si="90"/>
        <v>16</v>
      </c>
      <c r="U346" s="455"/>
      <c r="V346" s="752" t="s">
        <v>425</v>
      </c>
      <c r="W346" s="191" t="s">
        <v>212</v>
      </c>
      <c r="X346" s="86"/>
      <c r="Y346" s="86"/>
      <c r="Z346" s="86"/>
      <c r="AA346" s="86"/>
      <c r="AB346" s="86"/>
      <c r="AC346" s="86"/>
    </row>
    <row r="347" spans="1:29" ht="25.5">
      <c r="A347" s="19"/>
      <c r="B347" s="476" t="s">
        <v>426</v>
      </c>
      <c r="C347" s="43">
        <f t="shared" si="84"/>
        <v>59.92</v>
      </c>
      <c r="D347" s="43"/>
      <c r="E347" s="43">
        <f t="shared" si="85"/>
        <v>3.92</v>
      </c>
      <c r="F347" s="43">
        <f t="shared" si="86"/>
        <v>2.2400000000000002</v>
      </c>
      <c r="G347" s="43">
        <f t="shared" si="87"/>
        <v>1.68</v>
      </c>
      <c r="H347" s="43">
        <f t="shared" si="88"/>
        <v>56</v>
      </c>
      <c r="I347" s="43">
        <f>0.4*C347</f>
        <v>23.968000000000004</v>
      </c>
      <c r="J347" s="355"/>
      <c r="K347" s="355"/>
      <c r="L347" s="355"/>
      <c r="M347" s="355"/>
      <c r="N347" s="355"/>
      <c r="O347" s="43">
        <v>2784</v>
      </c>
      <c r="P347" s="43">
        <v>2840</v>
      </c>
      <c r="Q347" s="436"/>
      <c r="R347" s="356"/>
      <c r="S347" s="477">
        <v>1</v>
      </c>
      <c r="T347" s="43">
        <f t="shared" si="90"/>
        <v>56</v>
      </c>
      <c r="U347" s="736"/>
      <c r="V347" s="478" t="s">
        <v>427</v>
      </c>
      <c r="W347" s="14" t="s">
        <v>212</v>
      </c>
      <c r="X347" s="7"/>
      <c r="Y347" s="7"/>
      <c r="Z347" s="7"/>
      <c r="AA347" s="7"/>
      <c r="AB347" s="7"/>
      <c r="AC347" s="7"/>
    </row>
    <row r="348" spans="1:29" ht="24" customHeight="1">
      <c r="A348" s="19"/>
      <c r="B348" s="148" t="s">
        <v>947</v>
      </c>
      <c r="C348" s="28">
        <f t="shared" si="84"/>
        <v>155.15</v>
      </c>
      <c r="D348" s="28"/>
      <c r="E348" s="28">
        <f t="shared" si="85"/>
        <v>10.149999999999999</v>
      </c>
      <c r="F348" s="28">
        <f t="shared" si="86"/>
        <v>5.8</v>
      </c>
      <c r="G348" s="28">
        <f t="shared" si="87"/>
        <v>4.3499999999999996</v>
      </c>
      <c r="H348" s="28">
        <f t="shared" si="88"/>
        <v>145</v>
      </c>
      <c r="I348" s="28">
        <f>0.6*C348</f>
        <v>93.09</v>
      </c>
      <c r="J348" s="29"/>
      <c r="K348" s="29"/>
      <c r="L348" s="29"/>
      <c r="M348" s="29"/>
      <c r="N348" s="29"/>
      <c r="O348" s="28">
        <v>3295</v>
      </c>
      <c r="P348" s="28">
        <v>3440</v>
      </c>
      <c r="Q348" s="29"/>
      <c r="R348" s="348"/>
      <c r="S348" s="28">
        <v>1</v>
      </c>
      <c r="T348" s="28">
        <f t="shared" si="90"/>
        <v>145</v>
      </c>
      <c r="U348" s="455"/>
      <c r="V348" s="474" t="s">
        <v>429</v>
      </c>
      <c r="W348" s="14" t="s">
        <v>212</v>
      </c>
      <c r="X348" s="7"/>
      <c r="Y348" s="7"/>
      <c r="Z348" s="7"/>
      <c r="AA348" s="7"/>
      <c r="AB348" s="7"/>
      <c r="AC348" s="7"/>
    </row>
    <row r="349" spans="1:29" s="195" customFormat="1" ht="25.5">
      <c r="A349" s="194"/>
      <c r="B349" s="27" t="s">
        <v>430</v>
      </c>
      <c r="C349" s="28">
        <f>H349+E349</f>
        <v>8.56</v>
      </c>
      <c r="D349" s="28"/>
      <c r="E349" s="28">
        <f t="shared" si="85"/>
        <v>0.56000000000000005</v>
      </c>
      <c r="F349" s="28">
        <f t="shared" si="86"/>
        <v>0.32</v>
      </c>
      <c r="G349" s="28">
        <f t="shared" si="87"/>
        <v>0.24</v>
      </c>
      <c r="H349" s="28">
        <f>T349</f>
        <v>8</v>
      </c>
      <c r="I349" s="28">
        <f>0.6*C349</f>
        <v>5.1360000000000001</v>
      </c>
      <c r="J349" s="29"/>
      <c r="K349" s="29"/>
      <c r="L349" s="29"/>
      <c r="M349" s="29"/>
      <c r="N349" s="29"/>
      <c r="O349" s="28">
        <v>7102</v>
      </c>
      <c r="P349" s="28">
        <v>7166</v>
      </c>
      <c r="Q349" s="29"/>
      <c r="R349" s="348"/>
      <c r="S349" s="28">
        <v>1</v>
      </c>
      <c r="T349" s="28">
        <f>(P349-O349)*S349-T347</f>
        <v>8</v>
      </c>
      <c r="U349" s="455">
        <v>6099</v>
      </c>
      <c r="V349" s="752" t="s">
        <v>431</v>
      </c>
      <c r="W349" s="191" t="s">
        <v>212</v>
      </c>
      <c r="X349" s="86"/>
      <c r="Y349" s="86"/>
      <c r="Z349" s="86"/>
      <c r="AA349" s="86"/>
      <c r="AB349" s="86"/>
      <c r="AC349" s="86"/>
    </row>
    <row r="350" spans="1:29" ht="25.5">
      <c r="A350" s="19"/>
      <c r="B350" s="148" t="s">
        <v>934</v>
      </c>
      <c r="C350" s="91">
        <f>H350+E350</f>
        <v>0</v>
      </c>
      <c r="D350" s="91"/>
      <c r="E350" s="91">
        <f t="shared" si="85"/>
        <v>0</v>
      </c>
      <c r="F350" s="91">
        <f t="shared" si="86"/>
        <v>0</v>
      </c>
      <c r="G350" s="91">
        <f t="shared" si="87"/>
        <v>0</v>
      </c>
      <c r="H350" s="91">
        <f t="shared" si="88"/>
        <v>0</v>
      </c>
      <c r="I350" s="91">
        <f>0.6*C350</f>
        <v>0</v>
      </c>
      <c r="J350" s="22"/>
      <c r="K350" s="22"/>
      <c r="L350" s="22"/>
      <c r="M350" s="22"/>
      <c r="N350" s="22"/>
      <c r="O350" s="91">
        <v>1050</v>
      </c>
      <c r="P350" s="91">
        <v>1050</v>
      </c>
      <c r="Q350" s="22" t="s">
        <v>37</v>
      </c>
      <c r="R350" s="142"/>
      <c r="S350" s="151">
        <v>1</v>
      </c>
      <c r="T350" s="91">
        <f t="shared" ref="T350:T361" si="91">(P350-O350)*S350</f>
        <v>0</v>
      </c>
      <c r="U350" s="644">
        <v>451396</v>
      </c>
      <c r="V350" s="710" t="s">
        <v>944</v>
      </c>
      <c r="W350" s="14" t="s">
        <v>212</v>
      </c>
      <c r="X350" s="7"/>
      <c r="Y350" s="7"/>
      <c r="Z350" s="7"/>
      <c r="AA350" s="7"/>
      <c r="AB350" s="7"/>
      <c r="AC350" s="7"/>
    </row>
    <row r="351" spans="1:29" ht="25.5">
      <c r="A351" s="19"/>
      <c r="B351" s="27" t="s">
        <v>830</v>
      </c>
      <c r="C351" s="28">
        <f t="shared" si="84"/>
        <v>13.91</v>
      </c>
      <c r="D351" s="28"/>
      <c r="E351" s="28">
        <f t="shared" si="85"/>
        <v>0.91</v>
      </c>
      <c r="F351" s="28">
        <f t="shared" si="86"/>
        <v>0.52</v>
      </c>
      <c r="G351" s="28">
        <f t="shared" si="87"/>
        <v>0.39</v>
      </c>
      <c r="H351" s="28">
        <f t="shared" si="88"/>
        <v>13</v>
      </c>
      <c r="I351" s="28">
        <f>0.6*C351</f>
        <v>8.3460000000000001</v>
      </c>
      <c r="J351" s="29"/>
      <c r="K351" s="29"/>
      <c r="L351" s="29"/>
      <c r="M351" s="29"/>
      <c r="N351" s="29"/>
      <c r="O351" s="28">
        <v>6953</v>
      </c>
      <c r="P351" s="28">
        <v>6966</v>
      </c>
      <c r="Q351" s="29" t="s">
        <v>37</v>
      </c>
      <c r="R351" s="348"/>
      <c r="S351" s="54">
        <v>1</v>
      </c>
      <c r="T351" s="28">
        <f t="shared" si="91"/>
        <v>13</v>
      </c>
      <c r="U351" s="455">
        <v>451396</v>
      </c>
      <c r="V351" s="750" t="s">
        <v>434</v>
      </c>
      <c r="W351" s="14" t="s">
        <v>212</v>
      </c>
      <c r="X351" s="7"/>
      <c r="Y351" s="7"/>
      <c r="Z351" s="7"/>
      <c r="AA351" s="7"/>
      <c r="AB351" s="7"/>
      <c r="AC351" s="7"/>
    </row>
    <row r="352" spans="1:29" ht="25.5">
      <c r="A352" s="19"/>
      <c r="B352" s="472" t="s">
        <v>689</v>
      </c>
      <c r="C352" s="28">
        <f>H352+E352</f>
        <v>10.7</v>
      </c>
      <c r="D352" s="28"/>
      <c r="E352" s="28">
        <f>F352+G352</f>
        <v>0.7</v>
      </c>
      <c r="F352" s="28">
        <f>0.04*H352</f>
        <v>0.4</v>
      </c>
      <c r="G352" s="28">
        <f>0.03*H352</f>
        <v>0.3</v>
      </c>
      <c r="H352" s="28">
        <f>T352</f>
        <v>10</v>
      </c>
      <c r="I352" s="28">
        <f>0.6*C352</f>
        <v>6.419999999999999</v>
      </c>
      <c r="J352" s="29"/>
      <c r="K352" s="29"/>
      <c r="L352" s="29"/>
      <c r="M352" s="29"/>
      <c r="N352" s="29"/>
      <c r="O352" s="28">
        <v>10395</v>
      </c>
      <c r="P352" s="28">
        <v>10405</v>
      </c>
      <c r="Q352" s="29"/>
      <c r="R352" s="348"/>
      <c r="S352" s="54">
        <v>1</v>
      </c>
      <c r="T352" s="28">
        <f>(P352-O352)*S352</f>
        <v>10</v>
      </c>
      <c r="U352" s="455"/>
      <c r="V352" s="750" t="s">
        <v>435</v>
      </c>
      <c r="W352" s="14" t="s">
        <v>212</v>
      </c>
      <c r="X352" s="7"/>
      <c r="Y352" s="7"/>
      <c r="Z352" s="7"/>
      <c r="AA352" s="7"/>
      <c r="AB352" s="7"/>
      <c r="AC352" s="7"/>
    </row>
    <row r="353" spans="1:29" ht="25.5">
      <c r="A353" s="19"/>
      <c r="B353" s="27" t="s">
        <v>436</v>
      </c>
      <c r="C353" s="28">
        <f t="shared" si="84"/>
        <v>0</v>
      </c>
      <c r="D353" s="28"/>
      <c r="E353" s="28">
        <f t="shared" si="85"/>
        <v>0</v>
      </c>
      <c r="F353" s="28">
        <f t="shared" si="86"/>
        <v>0</v>
      </c>
      <c r="G353" s="28">
        <f t="shared" si="87"/>
        <v>0</v>
      </c>
      <c r="H353" s="28">
        <f t="shared" si="88"/>
        <v>0</v>
      </c>
      <c r="I353" s="28">
        <f>0.4*C353</f>
        <v>0</v>
      </c>
      <c r="J353" s="29"/>
      <c r="K353" s="29"/>
      <c r="L353" s="29"/>
      <c r="M353" s="29"/>
      <c r="N353" s="29"/>
      <c r="O353" s="28">
        <v>10404</v>
      </c>
      <c r="P353" s="28">
        <v>10404</v>
      </c>
      <c r="Q353" s="30"/>
      <c r="R353" s="351"/>
      <c r="S353" s="54">
        <v>1</v>
      </c>
      <c r="T353" s="28">
        <f t="shared" si="91"/>
        <v>0</v>
      </c>
      <c r="U353" s="455">
        <v>382548</v>
      </c>
      <c r="V353" s="750" t="s">
        <v>437</v>
      </c>
      <c r="W353" s="14" t="s">
        <v>212</v>
      </c>
      <c r="X353" s="7"/>
      <c r="Y353" s="7"/>
      <c r="Z353" s="7"/>
      <c r="AA353" s="7"/>
      <c r="AB353" s="7"/>
      <c r="AC353" s="7"/>
    </row>
    <row r="354" spans="1:29" s="195" customFormat="1" ht="25.5">
      <c r="A354" s="194"/>
      <c r="B354" s="27" t="s">
        <v>438</v>
      </c>
      <c r="C354" s="28">
        <f t="shared" si="84"/>
        <v>99.51</v>
      </c>
      <c r="D354" s="28"/>
      <c r="E354" s="28">
        <f t="shared" si="85"/>
        <v>6.51</v>
      </c>
      <c r="F354" s="28">
        <f t="shared" si="86"/>
        <v>3.72</v>
      </c>
      <c r="G354" s="28">
        <f t="shared" si="87"/>
        <v>2.79</v>
      </c>
      <c r="H354" s="28">
        <f t="shared" si="88"/>
        <v>93</v>
      </c>
      <c r="I354" s="28">
        <f>0.4*C354</f>
        <v>39.804000000000002</v>
      </c>
      <c r="J354" s="29"/>
      <c r="K354" s="29"/>
      <c r="L354" s="29"/>
      <c r="M354" s="29"/>
      <c r="N354" s="29"/>
      <c r="O354" s="28">
        <v>1974</v>
      </c>
      <c r="P354" s="28">
        <v>2067</v>
      </c>
      <c r="Q354" s="30"/>
      <c r="R354" s="351"/>
      <c r="S354" s="54">
        <v>1</v>
      </c>
      <c r="T354" s="28">
        <f t="shared" si="91"/>
        <v>93</v>
      </c>
      <c r="U354" s="455"/>
      <c r="V354" s="750" t="s">
        <v>439</v>
      </c>
      <c r="W354" s="191" t="s">
        <v>212</v>
      </c>
      <c r="X354" s="86"/>
      <c r="Y354" s="86"/>
      <c r="Z354" s="86"/>
      <c r="AA354" s="86"/>
      <c r="AB354" s="86"/>
      <c r="AC354" s="86"/>
    </row>
    <row r="355" spans="1:29" ht="25.5">
      <c r="A355" s="19"/>
      <c r="B355" s="27" t="s">
        <v>440</v>
      </c>
      <c r="C355" s="28">
        <f>E355+H355</f>
        <v>251.45</v>
      </c>
      <c r="D355" s="28"/>
      <c r="E355" s="28">
        <f t="shared" si="85"/>
        <v>16.45</v>
      </c>
      <c r="F355" s="28">
        <f t="shared" si="86"/>
        <v>9.4</v>
      </c>
      <c r="G355" s="28">
        <f t="shared" si="87"/>
        <v>7.05</v>
      </c>
      <c r="H355" s="28">
        <f t="shared" si="88"/>
        <v>235</v>
      </c>
      <c r="I355" s="28">
        <f>H355*0.5</f>
        <v>117.5</v>
      </c>
      <c r="J355" s="458"/>
      <c r="K355" s="458"/>
      <c r="L355" s="458"/>
      <c r="M355" s="458"/>
      <c r="N355" s="458"/>
      <c r="O355" s="28">
        <v>4294</v>
      </c>
      <c r="P355" s="28">
        <v>4529</v>
      </c>
      <c r="Q355" s="458"/>
      <c r="R355" s="77"/>
      <c r="S355" s="54">
        <v>1</v>
      </c>
      <c r="T355" s="28">
        <f t="shared" si="91"/>
        <v>235</v>
      </c>
      <c r="U355" s="455" t="s">
        <v>441</v>
      </c>
      <c r="V355" s="750" t="s">
        <v>823</v>
      </c>
      <c r="W355" s="14" t="s">
        <v>212</v>
      </c>
      <c r="X355" s="7"/>
      <c r="Y355" s="7"/>
      <c r="Z355" s="7"/>
      <c r="AA355" s="7"/>
      <c r="AB355" s="7"/>
      <c r="AC355" s="7"/>
    </row>
    <row r="356" spans="1:29" ht="69.75">
      <c r="A356" s="19"/>
      <c r="B356" s="363" t="s">
        <v>946</v>
      </c>
      <c r="C356" s="414">
        <f>H356+E356</f>
        <v>263.22000000000003</v>
      </c>
      <c r="D356" s="414"/>
      <c r="E356" s="414">
        <f>G356+F356</f>
        <v>17.22</v>
      </c>
      <c r="F356" s="414">
        <f t="shared" si="86"/>
        <v>9.84</v>
      </c>
      <c r="G356" s="414">
        <f t="shared" si="87"/>
        <v>7.38</v>
      </c>
      <c r="H356" s="414">
        <f t="shared" si="88"/>
        <v>246</v>
      </c>
      <c r="I356" s="414">
        <f>0.6*C356</f>
        <v>157.93200000000002</v>
      </c>
      <c r="J356" s="415"/>
      <c r="K356" s="415"/>
      <c r="L356" s="415"/>
      <c r="M356" s="415"/>
      <c r="N356" s="415"/>
      <c r="O356" s="414">
        <v>35828</v>
      </c>
      <c r="P356" s="414">
        <v>36074</v>
      </c>
      <c r="Q356" s="416"/>
      <c r="R356" s="417"/>
      <c r="S356" s="418">
        <v>1</v>
      </c>
      <c r="T356" s="414">
        <f t="shared" si="91"/>
        <v>246</v>
      </c>
      <c r="U356" s="455">
        <v>492280</v>
      </c>
      <c r="V356" s="750" t="s">
        <v>443</v>
      </c>
      <c r="W356" s="14" t="s">
        <v>212</v>
      </c>
      <c r="X356" s="7"/>
      <c r="Y356" s="7"/>
      <c r="Z356" s="7"/>
      <c r="AA356" s="7"/>
      <c r="AB356" s="7"/>
      <c r="AC356" s="7"/>
    </row>
    <row r="357" spans="1:29" ht="25.5">
      <c r="A357" s="19"/>
      <c r="B357" s="27" t="s">
        <v>444</v>
      </c>
      <c r="C357" s="28">
        <f>H357+E357</f>
        <v>344.54</v>
      </c>
      <c r="D357" s="28"/>
      <c r="E357" s="28">
        <f>G357+F357</f>
        <v>22.54</v>
      </c>
      <c r="F357" s="28">
        <f t="shared" si="86"/>
        <v>12.88</v>
      </c>
      <c r="G357" s="28">
        <f t="shared" si="87"/>
        <v>9.66</v>
      </c>
      <c r="H357" s="28">
        <f t="shared" si="88"/>
        <v>322</v>
      </c>
      <c r="I357" s="28">
        <f>0.6*C357</f>
        <v>206.72400000000002</v>
      </c>
      <c r="J357" s="29"/>
      <c r="K357" s="29"/>
      <c r="L357" s="29"/>
      <c r="M357" s="29"/>
      <c r="N357" s="29"/>
      <c r="O357" s="28">
        <v>62335</v>
      </c>
      <c r="P357" s="28">
        <v>62657</v>
      </c>
      <c r="Q357" s="146"/>
      <c r="R357" s="61"/>
      <c r="S357" s="54">
        <v>1</v>
      </c>
      <c r="T357" s="28">
        <f t="shared" si="91"/>
        <v>322</v>
      </c>
      <c r="U357" s="455">
        <v>38602</v>
      </c>
      <c r="V357" s="750" t="s">
        <v>445</v>
      </c>
      <c r="W357" s="14" t="s">
        <v>212</v>
      </c>
      <c r="X357" s="7"/>
      <c r="Y357" s="7"/>
      <c r="Z357" s="7"/>
      <c r="AA357" s="7"/>
      <c r="AB357" s="7"/>
      <c r="AC357" s="7"/>
    </row>
    <row r="358" spans="1:29" ht="25.5">
      <c r="A358" s="19"/>
      <c r="B358" s="27" t="s">
        <v>446</v>
      </c>
      <c r="C358" s="28">
        <f>H358+E358</f>
        <v>348.82</v>
      </c>
      <c r="D358" s="28"/>
      <c r="E358" s="28">
        <f t="shared" ref="E358:E369" si="92">F358+G358</f>
        <v>22.82</v>
      </c>
      <c r="F358" s="28">
        <f t="shared" si="86"/>
        <v>13.040000000000001</v>
      </c>
      <c r="G358" s="28">
        <f t="shared" si="87"/>
        <v>9.7799999999999994</v>
      </c>
      <c r="H358" s="28">
        <f t="shared" si="88"/>
        <v>326</v>
      </c>
      <c r="I358" s="28">
        <f>0.6*C358</f>
        <v>209.292</v>
      </c>
      <c r="J358" s="29"/>
      <c r="K358" s="29"/>
      <c r="L358" s="29"/>
      <c r="M358" s="29"/>
      <c r="N358" s="29"/>
      <c r="O358" s="28">
        <v>27337</v>
      </c>
      <c r="P358" s="28">
        <v>27663</v>
      </c>
      <c r="Q358" s="30"/>
      <c r="R358" s="351"/>
      <c r="S358" s="28">
        <v>1</v>
      </c>
      <c r="T358" s="28">
        <f t="shared" si="91"/>
        <v>326</v>
      </c>
      <c r="U358" s="455">
        <v>5978</v>
      </c>
      <c r="V358" s="750" t="s">
        <v>447</v>
      </c>
      <c r="W358" s="14" t="s">
        <v>212</v>
      </c>
      <c r="X358" s="7"/>
      <c r="Y358" s="7"/>
      <c r="Z358" s="7"/>
      <c r="AA358" s="7"/>
      <c r="AB358" s="7"/>
      <c r="AC358" s="7"/>
    </row>
    <row r="359" spans="1:29" ht="25.5">
      <c r="A359" s="19"/>
      <c r="B359" s="27" t="s">
        <v>691</v>
      </c>
      <c r="C359" s="28">
        <f>E359+H359</f>
        <v>556.4</v>
      </c>
      <c r="D359" s="28"/>
      <c r="E359" s="28">
        <f t="shared" si="92"/>
        <v>36.4</v>
      </c>
      <c r="F359" s="28">
        <f t="shared" si="86"/>
        <v>20.8</v>
      </c>
      <c r="G359" s="28">
        <f t="shared" si="87"/>
        <v>15.6</v>
      </c>
      <c r="H359" s="28">
        <f t="shared" si="88"/>
        <v>520</v>
      </c>
      <c r="I359" s="28">
        <f>H359*0.5</f>
        <v>260</v>
      </c>
      <c r="J359" s="458"/>
      <c r="K359" s="458"/>
      <c r="L359" s="458"/>
      <c r="M359" s="458"/>
      <c r="N359" s="458"/>
      <c r="O359" s="28">
        <v>74263</v>
      </c>
      <c r="P359" s="28">
        <v>74783</v>
      </c>
      <c r="Q359" s="458"/>
      <c r="R359" s="77"/>
      <c r="S359" s="54">
        <v>1</v>
      </c>
      <c r="T359" s="28">
        <f t="shared" si="91"/>
        <v>520</v>
      </c>
      <c r="U359" s="455" t="s">
        <v>441</v>
      </c>
      <c r="V359" s="750" t="s">
        <v>448</v>
      </c>
      <c r="W359" s="14" t="s">
        <v>212</v>
      </c>
      <c r="X359" s="7"/>
      <c r="Y359" s="7"/>
      <c r="Z359" s="7"/>
      <c r="AA359" s="7"/>
      <c r="AB359" s="7"/>
      <c r="AC359" s="7"/>
    </row>
    <row r="360" spans="1:29" ht="25.5">
      <c r="A360" s="19"/>
      <c r="B360" s="420" t="s">
        <v>449</v>
      </c>
      <c r="C360" s="28">
        <f t="shared" ref="C360:C366" si="93">H360+E360</f>
        <v>469.73</v>
      </c>
      <c r="D360" s="28"/>
      <c r="E360" s="28">
        <f t="shared" si="92"/>
        <v>30.729999999999997</v>
      </c>
      <c r="F360" s="28">
        <f t="shared" si="86"/>
        <v>17.559999999999999</v>
      </c>
      <c r="G360" s="28">
        <f t="shared" si="87"/>
        <v>13.17</v>
      </c>
      <c r="H360" s="28">
        <f t="shared" si="88"/>
        <v>439</v>
      </c>
      <c r="I360" s="28">
        <f t="shared" ref="I360:I367" si="94">0.6*C360</f>
        <v>281.83800000000002</v>
      </c>
      <c r="J360" s="29"/>
      <c r="K360" s="29"/>
      <c r="L360" s="29"/>
      <c r="M360" s="29"/>
      <c r="N360" s="29"/>
      <c r="O360" s="28">
        <v>23568</v>
      </c>
      <c r="P360" s="28">
        <v>24007</v>
      </c>
      <c r="Q360" s="30"/>
      <c r="R360" s="351"/>
      <c r="S360" s="54">
        <v>1</v>
      </c>
      <c r="T360" s="28">
        <f t="shared" si="91"/>
        <v>439</v>
      </c>
      <c r="U360" s="455"/>
      <c r="V360" s="750" t="s">
        <v>450</v>
      </c>
      <c r="W360" s="14" t="s">
        <v>212</v>
      </c>
      <c r="X360" s="7"/>
      <c r="Y360" s="7"/>
      <c r="Z360" s="7"/>
      <c r="AA360" s="7"/>
      <c r="AB360" s="7"/>
      <c r="AC360" s="7"/>
    </row>
    <row r="361" spans="1:29" ht="25.5">
      <c r="A361" s="19"/>
      <c r="B361" s="420" t="s">
        <v>449</v>
      </c>
      <c r="C361" s="28">
        <f t="shared" si="93"/>
        <v>392.69</v>
      </c>
      <c r="D361" s="28"/>
      <c r="E361" s="28">
        <f t="shared" si="92"/>
        <v>25.689999999999998</v>
      </c>
      <c r="F361" s="28">
        <f t="shared" si="86"/>
        <v>14.68</v>
      </c>
      <c r="G361" s="28">
        <f t="shared" si="87"/>
        <v>11.01</v>
      </c>
      <c r="H361" s="28">
        <f t="shared" si="88"/>
        <v>367</v>
      </c>
      <c r="I361" s="28">
        <f t="shared" si="94"/>
        <v>235.61399999999998</v>
      </c>
      <c r="J361" s="29"/>
      <c r="K361" s="29"/>
      <c r="L361" s="29"/>
      <c r="M361" s="29"/>
      <c r="N361" s="29"/>
      <c r="O361" s="28">
        <v>9940</v>
      </c>
      <c r="P361" s="28">
        <v>10307</v>
      </c>
      <c r="Q361" s="30"/>
      <c r="R361" s="351"/>
      <c r="S361" s="54">
        <v>1</v>
      </c>
      <c r="T361" s="28">
        <f t="shared" si="91"/>
        <v>367</v>
      </c>
      <c r="U361" s="455"/>
      <c r="V361" s="750" t="s">
        <v>690</v>
      </c>
      <c r="W361" s="14"/>
      <c r="X361" s="7"/>
      <c r="Y361" s="7"/>
      <c r="Z361" s="7"/>
      <c r="AA361" s="7"/>
      <c r="AB361" s="7"/>
      <c r="AC361" s="7"/>
    </row>
    <row r="362" spans="1:29" ht="30" customHeight="1">
      <c r="A362" s="19"/>
      <c r="B362" s="421" t="s">
        <v>451</v>
      </c>
      <c r="C362" s="28">
        <f>H362+E362</f>
        <v>1744.1</v>
      </c>
      <c r="D362" s="28"/>
      <c r="E362" s="28">
        <f t="shared" si="92"/>
        <v>114.1</v>
      </c>
      <c r="F362" s="28">
        <f t="shared" si="86"/>
        <v>65.2</v>
      </c>
      <c r="G362" s="28">
        <f t="shared" si="87"/>
        <v>48.9</v>
      </c>
      <c r="H362" s="28">
        <f t="shared" si="88"/>
        <v>1630</v>
      </c>
      <c r="I362" s="28">
        <f>0.6*C362</f>
        <v>1046.4599999999998</v>
      </c>
      <c r="J362" s="29"/>
      <c r="K362" s="29"/>
      <c r="L362" s="29"/>
      <c r="M362" s="29"/>
      <c r="N362" s="29"/>
      <c r="O362" s="28">
        <f>6730+49080+21100</f>
        <v>76910</v>
      </c>
      <c r="P362" s="28">
        <f>7130+49550+21860</f>
        <v>78540</v>
      </c>
      <c r="Q362" s="30"/>
      <c r="R362" s="351"/>
      <c r="S362" s="28">
        <v>1</v>
      </c>
      <c r="T362" s="28">
        <f>(P362-O362)*S362</f>
        <v>1630</v>
      </c>
      <c r="U362" s="455" t="s">
        <v>452</v>
      </c>
      <c r="V362" s="750" t="s">
        <v>886</v>
      </c>
      <c r="W362" s="14" t="s">
        <v>212</v>
      </c>
      <c r="X362" s="7"/>
      <c r="Y362" s="7"/>
      <c r="Z362" s="7"/>
      <c r="AA362" s="7"/>
      <c r="AB362" s="7"/>
      <c r="AC362" s="7"/>
    </row>
    <row r="363" spans="1:29" ht="29.25" customHeight="1">
      <c r="A363" s="19"/>
      <c r="B363" s="148"/>
      <c r="C363" s="91">
        <f t="shared" si="93"/>
        <v>0</v>
      </c>
      <c r="D363" s="91"/>
      <c r="E363" s="91">
        <f t="shared" si="92"/>
        <v>0</v>
      </c>
      <c r="F363" s="91">
        <f t="shared" si="86"/>
        <v>0</v>
      </c>
      <c r="G363" s="91">
        <f t="shared" si="87"/>
        <v>0</v>
      </c>
      <c r="H363" s="91">
        <f t="shared" si="88"/>
        <v>0</v>
      </c>
      <c r="I363" s="91">
        <f>0.6*C363</f>
        <v>0</v>
      </c>
      <c r="J363" s="22"/>
      <c r="K363" s="22"/>
      <c r="L363" s="22"/>
      <c r="M363" s="22"/>
      <c r="N363" s="22"/>
      <c r="O363" s="91">
        <v>18584</v>
      </c>
      <c r="P363" s="91">
        <v>18584</v>
      </c>
      <c r="Q363" s="149"/>
      <c r="R363" s="161"/>
      <c r="S363" s="151">
        <v>1</v>
      </c>
      <c r="T363" s="91">
        <f>(P363-O363)*S363</f>
        <v>0</v>
      </c>
      <c r="U363" s="732">
        <f>560+40550+11760+8365</f>
        <v>61235</v>
      </c>
      <c r="V363" s="710" t="s">
        <v>454</v>
      </c>
      <c r="W363" s="14" t="s">
        <v>212</v>
      </c>
      <c r="X363" s="7"/>
      <c r="Y363" s="7"/>
      <c r="Z363" s="7"/>
      <c r="AA363" s="7"/>
      <c r="AB363" s="7"/>
      <c r="AC363" s="7"/>
    </row>
    <row r="364" spans="1:29" ht="24" customHeight="1">
      <c r="A364" s="19"/>
      <c r="B364" s="148"/>
      <c r="C364" s="91">
        <f t="shared" si="93"/>
        <v>0</v>
      </c>
      <c r="D364" s="91"/>
      <c r="E364" s="91">
        <f t="shared" si="92"/>
        <v>0</v>
      </c>
      <c r="F364" s="91">
        <f t="shared" si="86"/>
        <v>0</v>
      </c>
      <c r="G364" s="91">
        <f t="shared" si="87"/>
        <v>0</v>
      </c>
      <c r="H364" s="91">
        <f t="shared" si="88"/>
        <v>0</v>
      </c>
      <c r="I364" s="91">
        <f t="shared" si="94"/>
        <v>0</v>
      </c>
      <c r="J364" s="22"/>
      <c r="K364" s="22"/>
      <c r="L364" s="22"/>
      <c r="M364" s="22"/>
      <c r="N364" s="22"/>
      <c r="O364" s="91">
        <v>12992</v>
      </c>
      <c r="P364" s="91">
        <v>12992</v>
      </c>
      <c r="Q364" s="22" t="s">
        <v>33</v>
      </c>
      <c r="R364" s="142"/>
      <c r="S364" s="91">
        <v>1</v>
      </c>
      <c r="T364" s="91">
        <f>P364-O364</f>
        <v>0</v>
      </c>
      <c r="U364" s="644">
        <v>1591</v>
      </c>
      <c r="V364" s="710" t="s">
        <v>455</v>
      </c>
      <c r="W364" s="14" t="s">
        <v>212</v>
      </c>
      <c r="X364" s="7"/>
      <c r="Y364" s="7"/>
      <c r="Z364" s="7"/>
      <c r="AA364" s="7"/>
      <c r="AB364" s="7"/>
      <c r="AC364" s="7"/>
    </row>
    <row r="365" spans="1:29" ht="26.25" customHeight="1">
      <c r="A365" s="19"/>
      <c r="B365" s="688" t="s">
        <v>889</v>
      </c>
      <c r="C365" s="28">
        <f t="shared" si="93"/>
        <v>188.32</v>
      </c>
      <c r="D365" s="28"/>
      <c r="E365" s="28">
        <f t="shared" si="92"/>
        <v>12.32</v>
      </c>
      <c r="F365" s="28">
        <f t="shared" si="86"/>
        <v>7.04</v>
      </c>
      <c r="G365" s="28">
        <f t="shared" si="87"/>
        <v>5.2799999999999994</v>
      </c>
      <c r="H365" s="28">
        <f t="shared" si="88"/>
        <v>176</v>
      </c>
      <c r="I365" s="28">
        <f t="shared" si="94"/>
        <v>112.99199999999999</v>
      </c>
      <c r="J365" s="29"/>
      <c r="K365" s="29"/>
      <c r="L365" s="29"/>
      <c r="M365" s="29"/>
      <c r="N365" s="29"/>
      <c r="O365" s="28">
        <v>9546</v>
      </c>
      <c r="P365" s="28">
        <v>9722</v>
      </c>
      <c r="Q365" s="29" t="s">
        <v>33</v>
      </c>
      <c r="R365" s="348"/>
      <c r="S365" s="28">
        <v>1</v>
      </c>
      <c r="T365" s="28">
        <f>P365-O365</f>
        <v>176</v>
      </c>
      <c r="U365" s="455"/>
      <c r="V365" s="750" t="s">
        <v>887</v>
      </c>
      <c r="W365" s="14" t="s">
        <v>212</v>
      </c>
      <c r="X365" s="7"/>
      <c r="Y365" s="7"/>
      <c r="Z365" s="7"/>
      <c r="AA365" s="7"/>
      <c r="AB365" s="7"/>
      <c r="AC365" s="7"/>
    </row>
    <row r="366" spans="1:29" ht="25.5">
      <c r="A366" s="19"/>
      <c r="B366" s="472" t="s">
        <v>457</v>
      </c>
      <c r="C366" s="28">
        <f t="shared" si="93"/>
        <v>201.16</v>
      </c>
      <c r="D366" s="28"/>
      <c r="E366" s="28">
        <f t="shared" si="92"/>
        <v>13.16</v>
      </c>
      <c r="F366" s="28">
        <f t="shared" si="86"/>
        <v>7.5200000000000005</v>
      </c>
      <c r="G366" s="28">
        <f t="shared" si="87"/>
        <v>5.64</v>
      </c>
      <c r="H366" s="28">
        <f t="shared" si="88"/>
        <v>188</v>
      </c>
      <c r="I366" s="28">
        <f t="shared" si="94"/>
        <v>120.696</v>
      </c>
      <c r="J366" s="29"/>
      <c r="K366" s="29"/>
      <c r="L366" s="29"/>
      <c r="M366" s="29"/>
      <c r="N366" s="29"/>
      <c r="O366" s="28">
        <v>15935</v>
      </c>
      <c r="P366" s="28">
        <v>16123</v>
      </c>
      <c r="Q366" s="29"/>
      <c r="R366" s="348"/>
      <c r="S366" s="28">
        <v>1</v>
      </c>
      <c r="T366" s="28">
        <f t="shared" ref="T366:T377" si="95">(P366-O366)*S366</f>
        <v>188</v>
      </c>
      <c r="U366" s="455">
        <v>783398</v>
      </c>
      <c r="V366" s="750" t="s">
        <v>458</v>
      </c>
      <c r="W366" s="14" t="s">
        <v>212</v>
      </c>
      <c r="X366" s="7"/>
      <c r="Y366" s="7"/>
      <c r="Z366" s="7"/>
      <c r="AA366" s="7"/>
      <c r="AB366" s="7"/>
      <c r="AC366" s="7"/>
    </row>
    <row r="367" spans="1:29" ht="25.5">
      <c r="A367" s="19"/>
      <c r="B367" s="27" t="s">
        <v>459</v>
      </c>
      <c r="C367" s="28">
        <f>H367+E367</f>
        <v>27.82</v>
      </c>
      <c r="D367" s="28"/>
      <c r="E367" s="28">
        <f t="shared" si="92"/>
        <v>1.82</v>
      </c>
      <c r="F367" s="28">
        <f t="shared" si="86"/>
        <v>1.04</v>
      </c>
      <c r="G367" s="28">
        <f t="shared" si="87"/>
        <v>0.78</v>
      </c>
      <c r="H367" s="28">
        <f t="shared" si="88"/>
        <v>26</v>
      </c>
      <c r="I367" s="28">
        <f t="shared" si="94"/>
        <v>16.692</v>
      </c>
      <c r="J367" s="29"/>
      <c r="K367" s="29"/>
      <c r="L367" s="29"/>
      <c r="M367" s="29"/>
      <c r="N367" s="29" t="s">
        <v>460</v>
      </c>
      <c r="O367" s="470">
        <v>27952</v>
      </c>
      <c r="P367" s="470">
        <v>27978</v>
      </c>
      <c r="Q367" s="30"/>
      <c r="R367" s="351"/>
      <c r="S367" s="54">
        <v>1</v>
      </c>
      <c r="T367" s="28">
        <f t="shared" si="95"/>
        <v>26</v>
      </c>
      <c r="U367" s="455">
        <v>540368</v>
      </c>
      <c r="V367" s="750" t="s">
        <v>461</v>
      </c>
      <c r="W367" s="14" t="s">
        <v>212</v>
      </c>
      <c r="X367" s="7"/>
      <c r="Y367" s="7"/>
      <c r="Z367" s="7"/>
      <c r="AA367" s="7"/>
      <c r="AB367" s="7"/>
      <c r="AC367" s="7"/>
    </row>
    <row r="368" spans="1:29" ht="26.25">
      <c r="A368" s="19"/>
      <c r="B368" s="559" t="s">
        <v>462</v>
      </c>
      <c r="C368" s="549">
        <f>H368+E368</f>
        <v>0</v>
      </c>
      <c r="D368" s="549"/>
      <c r="E368" s="549">
        <f t="shared" si="92"/>
        <v>0</v>
      </c>
      <c r="F368" s="549">
        <f t="shared" si="86"/>
        <v>0</v>
      </c>
      <c r="G368" s="549">
        <f t="shared" si="87"/>
        <v>0</v>
      </c>
      <c r="H368" s="549">
        <f>T368</f>
        <v>0</v>
      </c>
      <c r="I368" s="560">
        <f>0.5*C368</f>
        <v>0</v>
      </c>
      <c r="J368" s="550"/>
      <c r="K368" s="550"/>
      <c r="L368" s="550"/>
      <c r="M368" s="550"/>
      <c r="N368" s="550"/>
      <c r="O368" s="549">
        <v>9</v>
      </c>
      <c r="P368" s="549">
        <v>9</v>
      </c>
      <c r="Q368" s="561"/>
      <c r="R368" s="562"/>
      <c r="S368" s="563">
        <v>1</v>
      </c>
      <c r="T368" s="549">
        <f t="shared" si="95"/>
        <v>0</v>
      </c>
      <c r="U368" s="729"/>
      <c r="V368" s="552" t="s">
        <v>463</v>
      </c>
      <c r="W368" s="14" t="s">
        <v>212</v>
      </c>
      <c r="X368" s="7"/>
      <c r="Y368" s="7"/>
      <c r="Z368" s="7"/>
      <c r="AA368" s="7"/>
      <c r="AB368" s="7"/>
      <c r="AC368" s="7"/>
    </row>
    <row r="369" spans="1:29" ht="26.25">
      <c r="A369" s="19"/>
      <c r="B369" s="27" t="s">
        <v>464</v>
      </c>
      <c r="C369" s="28">
        <f t="shared" ref="C369:C376" si="96">H369+E369</f>
        <v>24.61</v>
      </c>
      <c r="D369" s="28"/>
      <c r="E369" s="28">
        <f t="shared" si="92"/>
        <v>1.6099999999999999</v>
      </c>
      <c r="F369" s="28">
        <f t="shared" si="86"/>
        <v>0.92</v>
      </c>
      <c r="G369" s="28">
        <f t="shared" si="87"/>
        <v>0.69</v>
      </c>
      <c r="H369" s="28">
        <f>T369</f>
        <v>23</v>
      </c>
      <c r="I369" s="28">
        <f>0.5*C369</f>
        <v>12.305</v>
      </c>
      <c r="J369" s="29"/>
      <c r="K369" s="29"/>
      <c r="L369" s="29"/>
      <c r="M369" s="29"/>
      <c r="N369" s="29"/>
      <c r="O369" s="28">
        <v>4862</v>
      </c>
      <c r="P369" s="28">
        <v>4885</v>
      </c>
      <c r="Q369" s="30"/>
      <c r="R369" s="351"/>
      <c r="S369" s="171">
        <v>1</v>
      </c>
      <c r="T369" s="28">
        <f t="shared" si="95"/>
        <v>23</v>
      </c>
      <c r="U369" s="455">
        <v>421550</v>
      </c>
      <c r="V369" s="708" t="s">
        <v>465</v>
      </c>
      <c r="W369" s="14" t="s">
        <v>212</v>
      </c>
      <c r="X369" s="7"/>
      <c r="Y369" s="7"/>
      <c r="Z369" s="7"/>
      <c r="AA369" s="7"/>
      <c r="AB369" s="7"/>
      <c r="AC369" s="7"/>
    </row>
    <row r="370" spans="1:29" s="195" customFormat="1" ht="25.5">
      <c r="A370" s="194"/>
      <c r="B370" s="27" t="s">
        <v>692</v>
      </c>
      <c r="C370" s="28">
        <f t="shared" si="96"/>
        <v>113.42</v>
      </c>
      <c r="D370" s="28"/>
      <c r="E370" s="28">
        <f>G370+F370</f>
        <v>7.42</v>
      </c>
      <c r="F370" s="28">
        <f t="shared" si="86"/>
        <v>4.24</v>
      </c>
      <c r="G370" s="28">
        <f t="shared" si="87"/>
        <v>3.1799999999999997</v>
      </c>
      <c r="H370" s="28">
        <f>T370</f>
        <v>106</v>
      </c>
      <c r="I370" s="28">
        <f>0.6*C370</f>
        <v>68.051999999999992</v>
      </c>
      <c r="J370" s="29"/>
      <c r="K370" s="29"/>
      <c r="L370" s="29"/>
      <c r="M370" s="29"/>
      <c r="N370" s="29"/>
      <c r="O370" s="28">
        <v>33959</v>
      </c>
      <c r="P370" s="28">
        <v>34065</v>
      </c>
      <c r="Q370" s="146"/>
      <c r="R370" s="61"/>
      <c r="S370" s="54">
        <v>1</v>
      </c>
      <c r="T370" s="28">
        <f t="shared" si="95"/>
        <v>106</v>
      </c>
      <c r="U370" s="455">
        <v>78402</v>
      </c>
      <c r="V370" s="750" t="s">
        <v>466</v>
      </c>
      <c r="W370" s="14" t="s">
        <v>212</v>
      </c>
      <c r="X370" s="86"/>
      <c r="Y370" s="86"/>
      <c r="Z370" s="86"/>
      <c r="AA370" s="86"/>
      <c r="AB370" s="86"/>
      <c r="AC370" s="86"/>
    </row>
    <row r="371" spans="1:29" s="195" customFormat="1" ht="25.5">
      <c r="A371" s="194"/>
      <c r="B371" s="148" t="s">
        <v>785</v>
      </c>
      <c r="C371" s="91">
        <f t="shared" si="96"/>
        <v>0</v>
      </c>
      <c r="D371" s="91"/>
      <c r="E371" s="91">
        <f>F371+G371</f>
        <v>0</v>
      </c>
      <c r="F371" s="91">
        <f t="shared" si="86"/>
        <v>0</v>
      </c>
      <c r="G371" s="91">
        <f t="shared" si="87"/>
        <v>0</v>
      </c>
      <c r="H371" s="91">
        <f>T371</f>
        <v>0</v>
      </c>
      <c r="I371" s="91">
        <f>0.4*C371</f>
        <v>0</v>
      </c>
      <c r="J371" s="22"/>
      <c r="K371" s="22"/>
      <c r="L371" s="22"/>
      <c r="M371" s="22"/>
      <c r="N371" s="22" t="s">
        <v>467</v>
      </c>
      <c r="O371" s="91">
        <v>7055</v>
      </c>
      <c r="P371" s="91">
        <v>7055</v>
      </c>
      <c r="Q371" s="22" t="s">
        <v>28</v>
      </c>
      <c r="R371" s="142"/>
      <c r="S371" s="151">
        <v>1</v>
      </c>
      <c r="T371" s="91">
        <f t="shared" si="95"/>
        <v>0</v>
      </c>
      <c r="U371" s="644">
        <v>295380</v>
      </c>
      <c r="V371" s="751" t="s">
        <v>468</v>
      </c>
      <c r="W371" s="191" t="s">
        <v>212</v>
      </c>
      <c r="X371" s="86"/>
      <c r="Y371" s="86"/>
      <c r="Z371" s="86"/>
      <c r="AA371" s="86"/>
      <c r="AB371" s="86"/>
      <c r="AC371" s="86"/>
    </row>
    <row r="372" spans="1:29" ht="51">
      <c r="A372" s="19"/>
      <c r="B372" s="148" t="s">
        <v>935</v>
      </c>
      <c r="C372" s="91">
        <f t="shared" si="96"/>
        <v>0</v>
      </c>
      <c r="D372" s="91"/>
      <c r="E372" s="91">
        <f>F372+G372</f>
        <v>0</v>
      </c>
      <c r="F372" s="91">
        <f t="shared" si="86"/>
        <v>0</v>
      </c>
      <c r="G372" s="91">
        <f t="shared" si="87"/>
        <v>0</v>
      </c>
      <c r="H372" s="91">
        <f t="shared" ref="H372:H377" si="97">T372</f>
        <v>0</v>
      </c>
      <c r="I372" s="91">
        <f>0.4*C372</f>
        <v>0</v>
      </c>
      <c r="J372" s="22"/>
      <c r="K372" s="22"/>
      <c r="L372" s="22"/>
      <c r="M372" s="22"/>
      <c r="N372" s="22"/>
      <c r="O372" s="91">
        <v>6962</v>
      </c>
      <c r="P372" s="91">
        <v>6962</v>
      </c>
      <c r="Q372" s="122"/>
      <c r="R372" s="173"/>
      <c r="S372" s="151">
        <v>1</v>
      </c>
      <c r="T372" s="91">
        <f t="shared" si="95"/>
        <v>0</v>
      </c>
      <c r="U372" s="644">
        <v>2302221</v>
      </c>
      <c r="V372" s="751" t="s">
        <v>888</v>
      </c>
      <c r="W372" s="14" t="s">
        <v>212</v>
      </c>
      <c r="X372" s="7"/>
      <c r="Y372" s="7"/>
      <c r="Z372" s="7"/>
      <c r="AA372" s="7"/>
      <c r="AB372" s="7"/>
      <c r="AC372" s="7"/>
    </row>
    <row r="373" spans="1:29" s="195" customFormat="1" ht="29.25" customHeight="1">
      <c r="A373" s="194"/>
      <c r="B373" s="27" t="s">
        <v>471</v>
      </c>
      <c r="C373" s="28">
        <f t="shared" si="96"/>
        <v>187.25</v>
      </c>
      <c r="D373" s="28"/>
      <c r="E373" s="28">
        <f>F373+G373</f>
        <v>12.25</v>
      </c>
      <c r="F373" s="28">
        <f t="shared" si="86"/>
        <v>7</v>
      </c>
      <c r="G373" s="28">
        <f t="shared" si="87"/>
        <v>5.25</v>
      </c>
      <c r="H373" s="28">
        <f t="shared" si="97"/>
        <v>175</v>
      </c>
      <c r="I373" s="28">
        <f>0.6*C373</f>
        <v>112.35</v>
      </c>
      <c r="J373" s="29"/>
      <c r="K373" s="29"/>
      <c r="L373" s="29"/>
      <c r="M373" s="29"/>
      <c r="N373" s="29"/>
      <c r="O373" s="28">
        <v>10394</v>
      </c>
      <c r="P373" s="28">
        <v>10569</v>
      </c>
      <c r="Q373" s="146"/>
      <c r="R373" s="61"/>
      <c r="S373" s="28">
        <v>1</v>
      </c>
      <c r="T373" s="28">
        <f t="shared" si="95"/>
        <v>175</v>
      </c>
      <c r="U373" s="455">
        <v>3224</v>
      </c>
      <c r="V373" s="750" t="s">
        <v>472</v>
      </c>
      <c r="W373" s="191" t="s">
        <v>212</v>
      </c>
      <c r="X373" s="30"/>
      <c r="Y373" s="86"/>
      <c r="Z373" s="86"/>
      <c r="AA373" s="86"/>
      <c r="AB373" s="86"/>
      <c r="AC373" s="86"/>
    </row>
    <row r="374" spans="1:29" ht="25.5">
      <c r="A374" s="19"/>
      <c r="B374" s="27" t="s">
        <v>456</v>
      </c>
      <c r="C374" s="28">
        <f>H374+E374+64</f>
        <v>74.7</v>
      </c>
      <c r="D374" s="28"/>
      <c r="E374" s="28">
        <f>F374+G374</f>
        <v>0.7</v>
      </c>
      <c r="F374" s="28">
        <f>0.04*H374</f>
        <v>0.4</v>
      </c>
      <c r="G374" s="28">
        <f>0.03*H374</f>
        <v>0.3</v>
      </c>
      <c r="H374" s="28">
        <f>T374</f>
        <v>10</v>
      </c>
      <c r="I374" s="28">
        <v>649</v>
      </c>
      <c r="J374" s="29"/>
      <c r="K374" s="29"/>
      <c r="L374" s="29"/>
      <c r="M374" s="29"/>
      <c r="N374" s="29"/>
      <c r="O374" s="28">
        <v>2209</v>
      </c>
      <c r="P374" s="28">
        <v>2219</v>
      </c>
      <c r="Q374" s="146"/>
      <c r="R374" s="61"/>
      <c r="S374" s="28">
        <v>1</v>
      </c>
      <c r="T374" s="28">
        <f t="shared" si="95"/>
        <v>10</v>
      </c>
      <c r="U374" s="455">
        <v>429663</v>
      </c>
      <c r="V374" s="752" t="s">
        <v>824</v>
      </c>
      <c r="W374" s="14" t="s">
        <v>212</v>
      </c>
      <c r="X374" s="7"/>
      <c r="Y374" s="7"/>
      <c r="Z374" s="7"/>
      <c r="AA374" s="7"/>
      <c r="AB374" s="7"/>
      <c r="AC374" s="7"/>
    </row>
    <row r="375" spans="1:29" s="195" customFormat="1" ht="29.25" customHeight="1">
      <c r="A375" s="194"/>
      <c r="B375" s="420" t="s">
        <v>473</v>
      </c>
      <c r="C375" s="28">
        <f t="shared" si="96"/>
        <v>13.91</v>
      </c>
      <c r="D375" s="28"/>
      <c r="E375" s="28">
        <f>F375+G375</f>
        <v>0.91</v>
      </c>
      <c r="F375" s="28">
        <f t="shared" si="86"/>
        <v>0.52</v>
      </c>
      <c r="G375" s="28">
        <f t="shared" si="87"/>
        <v>0.39</v>
      </c>
      <c r="H375" s="28">
        <f t="shared" si="97"/>
        <v>13</v>
      </c>
      <c r="I375" s="28">
        <f>0.6*C375</f>
        <v>8.3460000000000001</v>
      </c>
      <c r="J375" s="29"/>
      <c r="K375" s="29"/>
      <c r="L375" s="29"/>
      <c r="M375" s="29"/>
      <c r="N375" s="29"/>
      <c r="O375" s="28">
        <v>16642</v>
      </c>
      <c r="P375" s="28">
        <v>16655</v>
      </c>
      <c r="Q375" s="146"/>
      <c r="R375" s="61"/>
      <c r="S375" s="28">
        <v>1</v>
      </c>
      <c r="T375" s="28">
        <f t="shared" si="95"/>
        <v>13</v>
      </c>
      <c r="U375" s="455"/>
      <c r="V375" s="750" t="s">
        <v>474</v>
      </c>
      <c r="W375" s="14" t="s">
        <v>212</v>
      </c>
      <c r="X375" s="86"/>
      <c r="Y375" s="86"/>
      <c r="Z375" s="86"/>
      <c r="AA375" s="86"/>
      <c r="AB375" s="86"/>
      <c r="AC375" s="86"/>
    </row>
    <row r="376" spans="1:29" s="225" customFormat="1" ht="25.5">
      <c r="A376" s="223"/>
      <c r="B376" s="27" t="s">
        <v>475</v>
      </c>
      <c r="C376" s="28">
        <f t="shared" si="96"/>
        <v>3125.47</v>
      </c>
      <c r="D376" s="28"/>
      <c r="E376" s="28">
        <f>F376++G376</f>
        <v>204.47</v>
      </c>
      <c r="F376" s="28">
        <f t="shared" si="86"/>
        <v>116.84</v>
      </c>
      <c r="G376" s="28">
        <f t="shared" si="87"/>
        <v>87.63</v>
      </c>
      <c r="H376" s="28">
        <f t="shared" si="97"/>
        <v>2921</v>
      </c>
      <c r="I376" s="28">
        <f>0.6*C376</f>
        <v>1875.2819999999997</v>
      </c>
      <c r="J376" s="29"/>
      <c r="K376" s="29"/>
      <c r="L376" s="29"/>
      <c r="M376" s="29"/>
      <c r="N376" s="29"/>
      <c r="O376" s="28">
        <v>401022</v>
      </c>
      <c r="P376" s="28">
        <v>403943</v>
      </c>
      <c r="Q376" s="30"/>
      <c r="R376" s="351"/>
      <c r="S376" s="54">
        <v>1</v>
      </c>
      <c r="T376" s="28">
        <f t="shared" si="95"/>
        <v>2921</v>
      </c>
      <c r="U376" s="455">
        <v>69776</v>
      </c>
      <c r="V376" s="750" t="s">
        <v>476</v>
      </c>
      <c r="W376" s="14" t="s">
        <v>212</v>
      </c>
      <c r="X376" s="224"/>
      <c r="Y376" s="224"/>
      <c r="Z376" s="224"/>
      <c r="AA376" s="224"/>
      <c r="AB376" s="224"/>
      <c r="AC376" s="224"/>
    </row>
    <row r="377" spans="1:29" ht="25.5">
      <c r="A377" s="19"/>
      <c r="B377" s="27" t="s">
        <v>477</v>
      </c>
      <c r="C377" s="28">
        <f>H377+E377</f>
        <v>1512.98</v>
      </c>
      <c r="D377" s="28"/>
      <c r="E377" s="28">
        <f>G377+F377</f>
        <v>98.98</v>
      </c>
      <c r="F377" s="28">
        <f>0.04*H377</f>
        <v>56.56</v>
      </c>
      <c r="G377" s="28">
        <f>0.03*H377</f>
        <v>42.42</v>
      </c>
      <c r="H377" s="28">
        <f t="shared" si="97"/>
        <v>1414</v>
      </c>
      <c r="I377" s="28">
        <f>0.6*C377</f>
        <v>907.78800000000001</v>
      </c>
      <c r="J377" s="29"/>
      <c r="K377" s="29"/>
      <c r="L377" s="29"/>
      <c r="M377" s="29"/>
      <c r="N377" s="29"/>
      <c r="O377" s="28">
        <v>185319</v>
      </c>
      <c r="P377" s="28">
        <v>186733</v>
      </c>
      <c r="Q377" s="146"/>
      <c r="R377" s="61"/>
      <c r="S377" s="54">
        <v>1</v>
      </c>
      <c r="T377" s="28">
        <f t="shared" si="95"/>
        <v>1414</v>
      </c>
      <c r="U377" s="455">
        <v>3868</v>
      </c>
      <c r="V377" s="750" t="s">
        <v>478</v>
      </c>
      <c r="W377" s="14" t="s">
        <v>212</v>
      </c>
      <c r="X377" s="7"/>
      <c r="Y377" s="7"/>
      <c r="Z377" s="7"/>
      <c r="AA377" s="7"/>
      <c r="AB377" s="7"/>
      <c r="AC377" s="7"/>
    </row>
    <row r="378" spans="1:29" ht="25.5">
      <c r="A378" s="19"/>
      <c r="B378" s="27"/>
      <c r="C378" s="28"/>
      <c r="D378" s="28"/>
      <c r="E378" s="28"/>
      <c r="F378" s="28"/>
      <c r="G378" s="28"/>
      <c r="H378" s="28"/>
      <c r="I378" s="28"/>
      <c r="J378" s="29"/>
      <c r="K378" s="29"/>
      <c r="L378" s="29"/>
      <c r="M378" s="29"/>
      <c r="N378" s="29"/>
      <c r="O378" s="28"/>
      <c r="P378" s="28"/>
      <c r="Q378" s="146"/>
      <c r="R378" s="61"/>
      <c r="S378" s="28"/>
      <c r="T378" s="28"/>
      <c r="U378" s="455"/>
      <c r="V378" s="708"/>
      <c r="W378" s="14"/>
      <c r="X378" s="7"/>
      <c r="Y378" s="7"/>
      <c r="Z378" s="7"/>
      <c r="AA378" s="7"/>
      <c r="AB378" s="7"/>
      <c r="AC378" s="7"/>
    </row>
    <row r="379" spans="1:29" ht="26.25">
      <c r="A379" s="19"/>
      <c r="B379" s="226" t="s">
        <v>479</v>
      </c>
      <c r="C379" s="115">
        <f>SUM(C333:C378)</f>
        <v>20162.88</v>
      </c>
      <c r="D379" s="115"/>
      <c r="E379" s="115"/>
      <c r="F379" s="115"/>
      <c r="G379" s="115"/>
      <c r="H379" s="115"/>
      <c r="I379" s="115"/>
      <c r="J379" s="98"/>
      <c r="K379" s="98"/>
      <c r="L379" s="98"/>
      <c r="M379" s="98"/>
      <c r="N379" s="98"/>
      <c r="O379" s="94"/>
      <c r="P379" s="94"/>
      <c r="Q379" s="227"/>
      <c r="R379" s="228"/>
      <c r="S379" s="92"/>
      <c r="T379" s="91"/>
      <c r="U379" s="719"/>
      <c r="V379" s="1"/>
      <c r="W379" s="14"/>
      <c r="X379" s="7"/>
      <c r="Y379" s="7"/>
      <c r="Z379" s="7"/>
      <c r="AA379" s="7"/>
      <c r="AB379" s="7"/>
      <c r="AC379" s="7" t="s">
        <v>15</v>
      </c>
    </row>
    <row r="380" spans="1:29" ht="30" customHeight="1">
      <c r="A380" s="19"/>
      <c r="B380" s="143"/>
      <c r="C380" s="115"/>
      <c r="D380" s="115"/>
      <c r="E380" s="115"/>
      <c r="F380" s="115"/>
      <c r="G380" s="115"/>
      <c r="H380" s="115"/>
      <c r="I380" s="115"/>
      <c r="J380" s="98"/>
      <c r="K380" s="98"/>
      <c r="L380" s="98"/>
      <c r="M380" s="98"/>
      <c r="N380" s="98"/>
      <c r="O380" s="94"/>
      <c r="P380" s="94"/>
      <c r="Q380" s="227"/>
      <c r="R380" s="228"/>
      <c r="S380" s="92"/>
      <c r="T380" s="91"/>
      <c r="U380" s="719"/>
      <c r="V380" s="1"/>
      <c r="W380" s="14"/>
      <c r="X380" s="7"/>
      <c r="Y380" s="7"/>
      <c r="Z380" s="7"/>
      <c r="AA380" s="7"/>
      <c r="AB380" s="7"/>
      <c r="AC380" s="7"/>
    </row>
    <row r="381" spans="1:29" ht="26.25" hidden="1">
      <c r="A381" s="19"/>
      <c r="B381" s="90" t="s">
        <v>480</v>
      </c>
      <c r="C381" s="28"/>
      <c r="D381" s="28"/>
      <c r="E381" s="28"/>
      <c r="F381" s="28"/>
      <c r="G381" s="28"/>
      <c r="H381" s="28"/>
      <c r="I381" s="72"/>
      <c r="J381" s="29"/>
      <c r="K381" s="29"/>
      <c r="L381" s="29"/>
      <c r="M381" s="29"/>
      <c r="N381" s="29"/>
      <c r="O381" s="28"/>
      <c r="P381" s="28"/>
      <c r="Q381" s="146"/>
      <c r="R381" s="61"/>
      <c r="S381" s="54"/>
      <c r="T381" s="28"/>
      <c r="U381" s="455"/>
      <c r="V381" s="708"/>
      <c r="W381" s="14"/>
      <c r="X381" s="7"/>
      <c r="Y381" s="7"/>
      <c r="Z381" s="7"/>
      <c r="AA381" s="7"/>
      <c r="AB381" s="7"/>
      <c r="AC381" s="7"/>
    </row>
    <row r="382" spans="1:29" ht="9.75" hidden="1" customHeight="1">
      <c r="A382" s="19" t="s">
        <v>481</v>
      </c>
      <c r="B382" s="148" t="s">
        <v>482</v>
      </c>
      <c r="C382" s="91">
        <f>H382+E382</f>
        <v>0</v>
      </c>
      <c r="D382" s="115"/>
      <c r="E382" s="91">
        <f>F382+G382</f>
        <v>0</v>
      </c>
      <c r="F382" s="91">
        <f>0.04*H382</f>
        <v>0</v>
      </c>
      <c r="G382" s="91">
        <f>0.03*H382</f>
        <v>0</v>
      </c>
      <c r="H382" s="91">
        <f>T382</f>
        <v>0</v>
      </c>
      <c r="I382" s="91">
        <f>0.5*C382</f>
        <v>0</v>
      </c>
      <c r="J382" s="22"/>
      <c r="K382" s="22"/>
      <c r="L382" s="22"/>
      <c r="M382" s="22"/>
      <c r="N382" s="22"/>
      <c r="O382" s="229">
        <v>10678</v>
      </c>
      <c r="P382" s="229">
        <v>10678</v>
      </c>
      <c r="Q382" s="149"/>
      <c r="R382" s="161"/>
      <c r="S382" s="151">
        <v>1</v>
      </c>
      <c r="T382" s="91">
        <f>(P382-O382)*S382</f>
        <v>0</v>
      </c>
      <c r="U382" s="644">
        <v>2262538</v>
      </c>
      <c r="V382" s="710" t="s">
        <v>483</v>
      </c>
      <c r="W382" s="14"/>
      <c r="X382" s="7"/>
      <c r="Y382" s="7"/>
      <c r="Z382" s="7"/>
      <c r="AA382" s="7"/>
      <c r="AB382" s="7"/>
      <c r="AC382" s="7"/>
    </row>
    <row r="383" spans="1:29" ht="25.5" hidden="1">
      <c r="A383" s="19"/>
      <c r="B383" s="148"/>
      <c r="C383" s="91"/>
      <c r="D383" s="91"/>
      <c r="E383" s="91"/>
      <c r="F383" s="91"/>
      <c r="G383" s="91"/>
      <c r="H383" s="91"/>
      <c r="I383" s="91"/>
      <c r="J383" s="22"/>
      <c r="K383" s="22"/>
      <c r="L383" s="22"/>
      <c r="M383" s="22"/>
      <c r="N383" s="22"/>
      <c r="O383" s="91"/>
      <c r="P383" s="91"/>
      <c r="Q383" s="22"/>
      <c r="R383" s="142"/>
      <c r="S383" s="91"/>
      <c r="T383" s="91"/>
      <c r="U383" s="644"/>
      <c r="V383" s="710"/>
      <c r="W383" s="14"/>
      <c r="X383" s="7"/>
      <c r="Y383" s="7"/>
      <c r="Z383" s="7"/>
      <c r="AA383" s="7"/>
      <c r="AB383" s="7"/>
      <c r="AC383" s="7"/>
    </row>
    <row r="384" spans="1:29" ht="25.5" hidden="1" customHeight="1">
      <c r="A384" s="19">
        <v>35</v>
      </c>
      <c r="B384" s="1"/>
      <c r="U384" s="719"/>
      <c r="V384" s="1"/>
      <c r="W384" s="14"/>
      <c r="X384" s="7"/>
      <c r="Y384" s="7"/>
      <c r="Z384" s="7"/>
      <c r="AA384" s="7"/>
      <c r="AB384" s="7"/>
      <c r="AC384" s="7"/>
    </row>
    <row r="385" spans="1:29" ht="27" hidden="1" customHeight="1">
      <c r="A385" s="19">
        <v>36</v>
      </c>
      <c r="B385" s="148"/>
      <c r="C385" s="91"/>
      <c r="D385" s="91"/>
      <c r="E385" s="91"/>
      <c r="F385" s="91"/>
      <c r="G385" s="91"/>
      <c r="H385" s="91"/>
      <c r="I385" s="91"/>
      <c r="J385" s="22"/>
      <c r="K385" s="22"/>
      <c r="L385" s="22"/>
      <c r="M385" s="22"/>
      <c r="N385" s="22"/>
      <c r="O385" s="91"/>
      <c r="P385" s="91"/>
      <c r="Q385" s="149"/>
      <c r="R385" s="161"/>
      <c r="S385" s="91"/>
      <c r="T385" s="91"/>
      <c r="U385" s="644"/>
      <c r="V385" s="710"/>
      <c r="W385" s="14"/>
      <c r="X385" s="7"/>
      <c r="Y385" s="7"/>
      <c r="Z385" s="7"/>
      <c r="AA385" s="7"/>
      <c r="AB385" s="7"/>
      <c r="AC385" s="7"/>
    </row>
    <row r="386" spans="1:29" ht="25.5" hidden="1">
      <c r="A386" s="19">
        <v>37</v>
      </c>
      <c r="U386" s="644"/>
      <c r="V386" s="710"/>
      <c r="W386" s="14"/>
      <c r="X386" s="7"/>
      <c r="Y386" s="7"/>
      <c r="Z386" s="7"/>
      <c r="AA386" s="7"/>
      <c r="AB386" s="7"/>
      <c r="AC386" s="7"/>
    </row>
    <row r="387" spans="1:29" ht="25.5" hidden="1">
      <c r="A387" s="19">
        <v>38</v>
      </c>
      <c r="B387" s="148"/>
      <c r="C387" s="91"/>
      <c r="D387" s="91"/>
      <c r="E387" s="91"/>
      <c r="F387" s="91"/>
      <c r="G387" s="91"/>
      <c r="H387" s="91"/>
      <c r="I387" s="91"/>
      <c r="J387" s="22"/>
      <c r="K387" s="22"/>
      <c r="L387" s="22"/>
      <c r="M387" s="22"/>
      <c r="N387" s="22"/>
      <c r="O387" s="91"/>
      <c r="P387" s="91"/>
      <c r="Q387" s="149"/>
      <c r="R387" s="161"/>
      <c r="S387" s="91"/>
      <c r="T387" s="91"/>
      <c r="U387" s="644"/>
      <c r="V387" s="710"/>
      <c r="W387" s="14"/>
      <c r="X387" s="7"/>
      <c r="Y387" s="7"/>
      <c r="Z387" s="149"/>
      <c r="AA387" s="149"/>
      <c r="AB387" s="149"/>
      <c r="AC387" s="149"/>
    </row>
    <row r="388" spans="1:29" ht="25.5" hidden="1">
      <c r="A388" s="19">
        <v>40</v>
      </c>
      <c r="B388" s="148"/>
      <c r="C388" s="91"/>
      <c r="D388" s="91"/>
      <c r="E388" s="91"/>
      <c r="F388" s="91"/>
      <c r="G388" s="91"/>
      <c r="H388" s="91"/>
      <c r="I388" s="91"/>
      <c r="J388" s="22"/>
      <c r="K388" s="22"/>
      <c r="L388" s="22"/>
      <c r="M388" s="22"/>
      <c r="N388" s="22"/>
      <c r="O388" s="91"/>
      <c r="P388" s="91"/>
      <c r="Q388" s="22"/>
      <c r="R388" s="142"/>
      <c r="S388" s="91"/>
      <c r="T388" s="91"/>
      <c r="U388" s="644"/>
      <c r="V388" s="710"/>
      <c r="W388" s="14"/>
      <c r="X388" s="7"/>
      <c r="Y388" s="7"/>
      <c r="Z388" s="7"/>
      <c r="AA388" s="7"/>
      <c r="AB388" s="7"/>
      <c r="AC388" s="7"/>
    </row>
    <row r="389" spans="1:29" ht="56.25" hidden="1" customHeight="1">
      <c r="A389" s="19">
        <v>41</v>
      </c>
      <c r="B389" s="1"/>
      <c r="U389" s="644"/>
      <c r="V389" s="710"/>
      <c r="W389" s="14"/>
      <c r="X389" s="7"/>
      <c r="Y389" s="7"/>
      <c r="Z389" s="7"/>
      <c r="AA389" s="7"/>
      <c r="AB389" s="7"/>
      <c r="AC389" s="7"/>
    </row>
    <row r="390" spans="1:29" ht="26.25" hidden="1" customHeight="1">
      <c r="A390" s="19">
        <v>42</v>
      </c>
      <c r="U390" s="644"/>
      <c r="V390" s="710"/>
      <c r="W390" s="14"/>
      <c r="X390" s="7"/>
      <c r="Y390" s="7"/>
      <c r="Z390" s="7"/>
      <c r="AA390" s="7"/>
      <c r="AB390" s="7"/>
      <c r="AC390" s="7"/>
    </row>
    <row r="391" spans="1:29" ht="29.25" hidden="1" customHeight="1">
      <c r="A391" s="19">
        <v>43</v>
      </c>
      <c r="U391" s="644"/>
      <c r="V391" s="710"/>
      <c r="W391" s="14"/>
      <c r="X391" s="7"/>
      <c r="Y391" s="7"/>
      <c r="Z391" s="7"/>
      <c r="AA391" s="7"/>
      <c r="AB391" s="7"/>
      <c r="AC391" s="7"/>
    </row>
    <row r="392" spans="1:29" ht="28.5" hidden="1" customHeight="1">
      <c r="A392" s="230">
        <v>44</v>
      </c>
      <c r="B392" s="158"/>
      <c r="C392" s="124"/>
      <c r="D392" s="124"/>
      <c r="E392" s="124"/>
      <c r="F392" s="124"/>
      <c r="G392" s="124"/>
      <c r="H392" s="124"/>
      <c r="I392" s="124"/>
      <c r="J392" s="126"/>
      <c r="K392" s="126"/>
      <c r="L392" s="126"/>
      <c r="M392" s="126"/>
      <c r="N392" s="126"/>
      <c r="O392" s="124"/>
      <c r="P392" s="124"/>
      <c r="Q392" s="7"/>
      <c r="R392" s="159"/>
      <c r="S392" s="124"/>
      <c r="T392" s="124"/>
      <c r="U392" s="717"/>
      <c r="V392" s="128"/>
      <c r="W392" s="14"/>
      <c r="X392" s="7"/>
      <c r="Y392" s="7"/>
      <c r="Z392" s="7"/>
      <c r="AA392" s="7"/>
      <c r="AB392" s="7"/>
      <c r="AC392" s="7"/>
    </row>
    <row r="393" spans="1:29" ht="26.25" hidden="1" customHeight="1">
      <c r="A393" s="19">
        <v>45</v>
      </c>
      <c r="B393" s="1"/>
      <c r="U393" s="644"/>
      <c r="V393" s="710"/>
      <c r="W393" s="14"/>
      <c r="X393" s="7"/>
      <c r="Y393" s="7"/>
      <c r="Z393" s="7"/>
      <c r="AA393" s="7"/>
      <c r="AB393" s="7"/>
      <c r="AC393" s="7"/>
    </row>
    <row r="394" spans="1:29" ht="24.75" hidden="1" customHeight="1">
      <c r="A394" s="19">
        <v>46</v>
      </c>
      <c r="B394" s="1"/>
      <c r="U394" s="644"/>
      <c r="V394" s="710"/>
      <c r="W394" s="134"/>
      <c r="X394" s="149"/>
      <c r="Y394" s="149"/>
      <c r="Z394" s="7"/>
      <c r="AA394" s="7"/>
      <c r="AB394" s="7"/>
      <c r="AC394" s="7"/>
    </row>
    <row r="395" spans="1:29" ht="23.25" hidden="1" customHeight="1">
      <c r="A395" s="19">
        <v>47</v>
      </c>
      <c r="U395" s="644"/>
      <c r="V395" s="710"/>
      <c r="W395" s="14"/>
      <c r="X395" s="7"/>
      <c r="Y395" s="7"/>
      <c r="Z395" s="7"/>
      <c r="AA395" s="7"/>
      <c r="AB395" s="7"/>
      <c r="AC395" s="7"/>
    </row>
    <row r="396" spans="1:29" ht="28.5" hidden="1" customHeight="1">
      <c r="A396" s="19">
        <v>48</v>
      </c>
      <c r="U396" s="644"/>
      <c r="V396" s="710"/>
      <c r="W396" s="14"/>
      <c r="X396" s="7"/>
      <c r="Y396" s="7"/>
      <c r="Z396" s="7"/>
      <c r="AA396" s="7"/>
      <c r="AB396" s="7"/>
      <c r="AC396" s="7"/>
    </row>
    <row r="397" spans="1:29" ht="31.5" hidden="1" customHeight="1">
      <c r="A397" s="19">
        <v>49</v>
      </c>
      <c r="B397" s="1"/>
      <c r="U397" s="719"/>
      <c r="V397" s="1"/>
      <c r="W397" s="78"/>
      <c r="X397" s="7"/>
      <c r="Y397" s="7"/>
      <c r="Z397" s="7"/>
      <c r="AA397" s="7"/>
      <c r="AB397" s="7"/>
      <c r="AC397" s="7"/>
    </row>
    <row r="398" spans="1:29" ht="25.5" hidden="1">
      <c r="A398" s="19">
        <v>50</v>
      </c>
      <c r="U398" s="644"/>
      <c r="V398" s="710"/>
      <c r="W398" s="14" t="s">
        <v>484</v>
      </c>
      <c r="X398" s="7"/>
      <c r="Y398" s="7"/>
      <c r="Z398" s="7"/>
      <c r="AA398" s="7"/>
      <c r="AB398" s="7"/>
      <c r="AC398" s="7"/>
    </row>
    <row r="399" spans="1:29" ht="25.5" hidden="1">
      <c r="A399" s="19">
        <v>51</v>
      </c>
      <c r="U399" s="644"/>
      <c r="V399" s="710"/>
      <c r="W399" s="14"/>
      <c r="X399" s="7"/>
      <c r="Y399" s="7"/>
      <c r="Z399" s="7"/>
      <c r="AA399" s="7"/>
      <c r="AB399" s="7"/>
      <c r="AC399" s="7"/>
    </row>
    <row r="400" spans="1:29" ht="25.5" hidden="1" customHeight="1">
      <c r="A400" s="231">
        <v>52</v>
      </c>
      <c r="B400" s="1"/>
      <c r="U400" s="719"/>
      <c r="V400" s="1"/>
      <c r="W400" s="14">
        <v>176</v>
      </c>
      <c r="X400" s="7">
        <v>1764.636</v>
      </c>
      <c r="Y400" s="7"/>
      <c r="Z400" s="7"/>
      <c r="AA400" s="7"/>
      <c r="AB400" s="7"/>
      <c r="AC400" s="7"/>
    </row>
    <row r="401" spans="1:29" ht="25.5" hidden="1" customHeight="1">
      <c r="A401" s="19">
        <v>53</v>
      </c>
      <c r="B401" s="1"/>
      <c r="U401" s="719"/>
      <c r="V401" s="1"/>
      <c r="W401" s="14"/>
      <c r="X401" s="7"/>
      <c r="Y401" s="7"/>
      <c r="Z401" s="7"/>
      <c r="AA401" s="7"/>
      <c r="AB401" s="7"/>
      <c r="AC401" s="7"/>
    </row>
    <row r="402" spans="1:29" ht="23.25" hidden="1" customHeight="1">
      <c r="A402" s="19">
        <v>54</v>
      </c>
      <c r="U402" s="644"/>
      <c r="V402" s="710"/>
      <c r="W402" s="14"/>
      <c r="X402" s="7"/>
      <c r="Y402" s="7"/>
      <c r="Z402" s="7"/>
      <c r="AA402" s="7"/>
      <c r="AB402" s="7"/>
      <c r="AC402" s="7"/>
    </row>
    <row r="403" spans="1:29" ht="76.5" hidden="1">
      <c r="A403" s="19" t="s">
        <v>485</v>
      </c>
      <c r="B403" s="1"/>
      <c r="U403" s="719"/>
      <c r="V403" s="1"/>
      <c r="W403" s="14"/>
      <c r="X403" s="7"/>
      <c r="Y403" s="7"/>
      <c r="Z403" s="7"/>
      <c r="AA403" s="7"/>
      <c r="AB403" s="7"/>
      <c r="AC403" s="7"/>
    </row>
    <row r="404" spans="1:29" ht="27" hidden="1" customHeight="1">
      <c r="A404" s="19">
        <v>55</v>
      </c>
      <c r="B404" s="1"/>
      <c r="U404" s="644"/>
      <c r="V404" s="710"/>
      <c r="W404" s="14">
        <v>3160</v>
      </c>
      <c r="X404" s="7"/>
      <c r="Y404" s="7"/>
      <c r="Z404" s="7"/>
      <c r="AA404" s="7"/>
      <c r="AB404" s="7"/>
      <c r="AC404" s="7"/>
    </row>
    <row r="405" spans="1:29" ht="30" hidden="1" customHeight="1">
      <c r="A405" s="19">
        <v>56</v>
      </c>
      <c r="U405" s="644"/>
      <c r="V405" s="710"/>
      <c r="W405" s="14"/>
      <c r="X405" s="7"/>
      <c r="Y405" s="7"/>
      <c r="Z405" s="7"/>
      <c r="AA405" s="7"/>
      <c r="AB405" s="7"/>
      <c r="AC405" s="7"/>
    </row>
    <row r="406" spans="1:29" ht="76.5" hidden="1">
      <c r="A406" s="19" t="s">
        <v>486</v>
      </c>
      <c r="B406" s="148"/>
      <c r="C406" s="91"/>
      <c r="D406" s="91"/>
      <c r="E406" s="91"/>
      <c r="F406" s="91"/>
      <c r="G406" s="91"/>
      <c r="H406" s="91"/>
      <c r="I406" s="91"/>
      <c r="J406" s="22"/>
      <c r="K406" s="22"/>
      <c r="L406" s="22"/>
      <c r="M406" s="22"/>
      <c r="N406" s="22"/>
      <c r="O406" s="91"/>
      <c r="P406" s="91"/>
      <c r="Q406" s="22"/>
      <c r="R406" s="142"/>
      <c r="S406" s="91"/>
      <c r="T406" s="91">
        <f>(P406-O406)*S406</f>
        <v>0</v>
      </c>
      <c r="U406" s="644"/>
      <c r="V406" s="710"/>
      <c r="W406" s="14"/>
      <c r="X406" s="7"/>
      <c r="Y406" s="7"/>
      <c r="Z406" s="7"/>
      <c r="AA406" s="7"/>
      <c r="AB406" s="7"/>
      <c r="AC406" s="7"/>
    </row>
    <row r="407" spans="1:29" ht="23.25" hidden="1" customHeight="1">
      <c r="A407" s="19">
        <v>57</v>
      </c>
      <c r="U407" s="644"/>
      <c r="V407" s="710"/>
      <c r="W407" s="14"/>
      <c r="X407" s="7"/>
      <c r="Y407" s="7"/>
      <c r="Z407" s="7"/>
      <c r="AA407" s="7"/>
      <c r="AB407" s="7"/>
      <c r="AC407" s="7"/>
    </row>
    <row r="408" spans="1:29" ht="25.5" hidden="1">
      <c r="A408" s="19">
        <v>58</v>
      </c>
      <c r="B408" s="1"/>
      <c r="U408" s="719"/>
      <c r="V408" s="1"/>
      <c r="W408" s="14"/>
      <c r="X408" s="7"/>
      <c r="Y408" s="7"/>
      <c r="Z408" s="7"/>
      <c r="AA408" s="7"/>
      <c r="AB408" s="7"/>
      <c r="AC408" s="7"/>
    </row>
    <row r="409" spans="1:29" ht="25.5" hidden="1">
      <c r="A409" s="19"/>
      <c r="B409" s="1"/>
      <c r="U409" s="719"/>
      <c r="V409" s="1"/>
      <c r="W409" s="14"/>
      <c r="X409" s="7"/>
      <c r="Y409" s="7"/>
      <c r="Z409" s="7"/>
      <c r="AA409" s="7"/>
      <c r="AB409" s="7"/>
      <c r="AC409" s="7"/>
    </row>
    <row r="410" spans="1:29" ht="14.25" hidden="1" customHeight="1">
      <c r="A410" s="19"/>
      <c r="B410" s="1"/>
      <c r="U410" s="719"/>
      <c r="V410" s="1"/>
      <c r="W410" s="14"/>
      <c r="X410" s="7"/>
      <c r="Y410" s="7"/>
      <c r="Z410" s="7"/>
      <c r="AA410" s="7"/>
      <c r="AB410" s="7"/>
      <c r="AC410" s="7"/>
    </row>
    <row r="411" spans="1:29" ht="31.5" hidden="1" customHeight="1">
      <c r="A411" s="19"/>
      <c r="B411" s="1"/>
      <c r="U411" s="719"/>
      <c r="V411" s="1"/>
      <c r="W411" s="14"/>
      <c r="X411" s="7"/>
      <c r="Y411" s="7"/>
      <c r="Z411" s="7"/>
      <c r="AA411" s="7"/>
      <c r="AB411" s="7"/>
      <c r="AC411" s="7"/>
    </row>
    <row r="412" spans="1:29" ht="31.5" hidden="1" customHeight="1">
      <c r="A412" s="19"/>
      <c r="B412" s="1"/>
      <c r="U412" s="719"/>
      <c r="V412" s="1"/>
      <c r="W412" s="14"/>
      <c r="X412" s="7"/>
      <c r="Y412" s="7"/>
      <c r="Z412" s="7"/>
      <c r="AA412" s="7"/>
      <c r="AB412" s="7"/>
      <c r="AC412" s="7"/>
    </row>
    <row r="413" spans="1:29" ht="25.5" hidden="1">
      <c r="A413" s="19"/>
      <c r="B413" s="148"/>
      <c r="C413" s="91"/>
      <c r="D413" s="91"/>
      <c r="E413" s="91"/>
      <c r="F413" s="91"/>
      <c r="G413" s="91"/>
      <c r="H413" s="91"/>
      <c r="I413" s="91"/>
      <c r="J413" s="22"/>
      <c r="K413" s="22"/>
      <c r="L413" s="22"/>
      <c r="M413" s="22"/>
      <c r="N413" s="22"/>
      <c r="O413" s="91"/>
      <c r="P413" s="91"/>
      <c r="Q413" s="149"/>
      <c r="R413" s="200"/>
      <c r="S413" s="91"/>
      <c r="T413" s="91">
        <f t="shared" ref="T413:T418" si="98">(P413-O413)*S413</f>
        <v>0</v>
      </c>
      <c r="U413" s="644"/>
      <c r="V413" s="710"/>
      <c r="W413" s="14"/>
      <c r="X413" s="7"/>
      <c r="Y413" s="7"/>
      <c r="Z413" s="7"/>
      <c r="AA413" s="7"/>
      <c r="AB413" s="7"/>
      <c r="AC413" s="7"/>
    </row>
    <row r="414" spans="1:29" ht="25.5" hidden="1">
      <c r="A414" s="19"/>
      <c r="B414" s="148"/>
      <c r="C414" s="91"/>
      <c r="D414" s="91"/>
      <c r="E414" s="91"/>
      <c r="F414" s="91"/>
      <c r="G414" s="91"/>
      <c r="H414" s="91"/>
      <c r="I414" s="91"/>
      <c r="J414" s="22"/>
      <c r="K414" s="22"/>
      <c r="L414" s="22"/>
      <c r="M414" s="22"/>
      <c r="N414" s="22"/>
      <c r="O414" s="91"/>
      <c r="P414" s="91"/>
      <c r="Q414" s="149"/>
      <c r="R414" s="200"/>
      <c r="S414" s="91"/>
      <c r="T414" s="91">
        <f t="shared" si="98"/>
        <v>0</v>
      </c>
      <c r="U414" s="644"/>
      <c r="V414" s="710"/>
      <c r="W414" s="14"/>
      <c r="X414" s="7"/>
      <c r="Y414" s="7"/>
      <c r="Z414" s="7"/>
      <c r="AA414" s="7"/>
      <c r="AB414" s="7"/>
      <c r="AC414" s="7"/>
    </row>
    <row r="415" spans="1:29" ht="25.5" hidden="1">
      <c r="A415" s="19"/>
      <c r="B415" s="148"/>
      <c r="C415" s="91"/>
      <c r="D415" s="91"/>
      <c r="E415" s="91"/>
      <c r="F415" s="91"/>
      <c r="G415" s="91"/>
      <c r="H415" s="91"/>
      <c r="I415" s="91"/>
      <c r="J415" s="22"/>
      <c r="K415" s="22"/>
      <c r="L415" s="22"/>
      <c r="M415" s="22"/>
      <c r="N415" s="22"/>
      <c r="O415" s="91"/>
      <c r="P415" s="91"/>
      <c r="Q415" s="149"/>
      <c r="R415" s="200"/>
      <c r="S415" s="91"/>
      <c r="T415" s="91">
        <f t="shared" si="98"/>
        <v>0</v>
      </c>
      <c r="U415" s="644"/>
      <c r="V415" s="710"/>
      <c r="W415" s="14"/>
      <c r="X415" s="7"/>
      <c r="Y415" s="7"/>
      <c r="Z415" s="7"/>
      <c r="AA415" s="7"/>
      <c r="AB415" s="7"/>
      <c r="AC415" s="7"/>
    </row>
    <row r="416" spans="1:29" ht="25.5" hidden="1">
      <c r="A416" s="19"/>
      <c r="B416" s="148"/>
      <c r="C416" s="91"/>
      <c r="D416" s="91"/>
      <c r="E416" s="91"/>
      <c r="F416" s="91"/>
      <c r="G416" s="91"/>
      <c r="H416" s="91"/>
      <c r="I416" s="91"/>
      <c r="J416" s="22"/>
      <c r="K416" s="22"/>
      <c r="L416" s="22"/>
      <c r="M416" s="22"/>
      <c r="N416" s="22"/>
      <c r="O416" s="91"/>
      <c r="P416" s="91"/>
      <c r="Q416" s="149"/>
      <c r="R416" s="200"/>
      <c r="S416" s="91"/>
      <c r="T416" s="91">
        <f t="shared" si="98"/>
        <v>0</v>
      </c>
      <c r="U416" s="644"/>
      <c r="V416" s="710"/>
      <c r="W416" s="14"/>
      <c r="X416" s="7"/>
      <c r="Y416" s="7"/>
      <c r="Z416" s="7"/>
      <c r="AA416" s="7"/>
      <c r="AB416" s="7"/>
      <c r="AC416" s="7"/>
    </row>
    <row r="417" spans="1:29" ht="25.5" hidden="1">
      <c r="A417" s="19"/>
      <c r="B417" s="148"/>
      <c r="C417" s="91"/>
      <c r="D417" s="91"/>
      <c r="E417" s="91"/>
      <c r="F417" s="91"/>
      <c r="G417" s="91"/>
      <c r="H417" s="91"/>
      <c r="I417" s="91"/>
      <c r="J417" s="22"/>
      <c r="K417" s="22"/>
      <c r="L417" s="22"/>
      <c r="M417" s="22"/>
      <c r="N417" s="22"/>
      <c r="O417" s="91"/>
      <c r="P417" s="91"/>
      <c r="Q417" s="149"/>
      <c r="R417" s="200"/>
      <c r="S417" s="91"/>
      <c r="T417" s="91">
        <f t="shared" si="98"/>
        <v>0</v>
      </c>
      <c r="U417" s="644"/>
      <c r="V417" s="710"/>
      <c r="W417" s="14"/>
      <c r="X417" s="7"/>
      <c r="Y417" s="7"/>
      <c r="Z417" s="7"/>
      <c r="AA417" s="7"/>
      <c r="AB417" s="7"/>
      <c r="AC417" s="7"/>
    </row>
    <row r="418" spans="1:29" ht="25.5" hidden="1">
      <c r="A418" s="19">
        <v>59</v>
      </c>
      <c r="B418" s="148"/>
      <c r="C418" s="91"/>
      <c r="D418" s="91"/>
      <c r="E418" s="91"/>
      <c r="F418" s="91"/>
      <c r="G418" s="91"/>
      <c r="H418" s="91"/>
      <c r="I418" s="91"/>
      <c r="J418" s="22"/>
      <c r="K418" s="22"/>
      <c r="L418" s="22"/>
      <c r="M418" s="22"/>
      <c r="N418" s="22"/>
      <c r="O418" s="91"/>
      <c r="P418" s="91"/>
      <c r="Q418" s="149"/>
      <c r="R418" s="232"/>
      <c r="S418" s="91"/>
      <c r="T418" s="91">
        <f t="shared" si="98"/>
        <v>0</v>
      </c>
      <c r="U418" s="644"/>
      <c r="V418" s="710"/>
      <c r="W418" s="14"/>
      <c r="X418" s="7"/>
      <c r="Y418" s="7"/>
      <c r="Z418" s="7"/>
      <c r="AA418" s="7"/>
      <c r="AB418" s="7"/>
      <c r="AC418" s="7"/>
    </row>
    <row r="419" spans="1:29" ht="25.5" hidden="1">
      <c r="A419" s="19">
        <v>60</v>
      </c>
      <c r="B419" s="148"/>
      <c r="C419" s="91"/>
      <c r="D419" s="91"/>
      <c r="E419" s="91"/>
      <c r="F419" s="91"/>
      <c r="G419" s="91"/>
      <c r="H419" s="91"/>
      <c r="I419" s="91"/>
      <c r="J419" s="22"/>
      <c r="K419" s="22"/>
      <c r="L419" s="22"/>
      <c r="M419" s="22"/>
      <c r="N419" s="22"/>
      <c r="O419" s="91"/>
      <c r="P419" s="91"/>
      <c r="Q419" s="149"/>
      <c r="R419" s="232"/>
      <c r="S419" s="91"/>
      <c r="T419" s="91"/>
      <c r="U419" s="644"/>
      <c r="V419" s="710"/>
      <c r="W419" s="14"/>
      <c r="X419" s="7"/>
      <c r="Y419" s="7"/>
      <c r="Z419" s="7"/>
      <c r="AA419" s="7"/>
      <c r="AB419" s="7"/>
      <c r="AC419" s="7"/>
    </row>
    <row r="420" spans="1:29" ht="25.5" hidden="1">
      <c r="A420" s="19">
        <v>61.1</v>
      </c>
      <c r="B420" s="1"/>
      <c r="U420" s="644"/>
      <c r="V420" s="710"/>
      <c r="W420" s="14"/>
      <c r="X420" s="7"/>
      <c r="Y420" s="7"/>
      <c r="Z420" s="7"/>
      <c r="AA420" s="7"/>
      <c r="AB420" s="7"/>
      <c r="AC420" s="7"/>
    </row>
    <row r="421" spans="1:29" ht="25.5" hidden="1">
      <c r="A421" s="19">
        <v>61.2</v>
      </c>
      <c r="B421" s="1"/>
      <c r="U421" s="644"/>
      <c r="V421" s="710"/>
      <c r="W421" s="14"/>
      <c r="X421" s="7"/>
      <c r="Y421" s="7"/>
      <c r="Z421" s="7"/>
      <c r="AA421" s="7"/>
      <c r="AB421" s="7"/>
      <c r="AC421" s="7"/>
    </row>
    <row r="422" spans="1:29" ht="25.5" hidden="1">
      <c r="A422" s="19">
        <v>61.3</v>
      </c>
      <c r="B422" s="1"/>
      <c r="U422" s="644"/>
      <c r="V422" s="710"/>
      <c r="W422" s="14"/>
      <c r="X422" s="7"/>
      <c r="Y422" s="7"/>
      <c r="Z422" s="7"/>
      <c r="AA422" s="7"/>
      <c r="AB422" s="7"/>
      <c r="AC422" s="7"/>
    </row>
    <row r="423" spans="1:29" ht="25.5" hidden="1">
      <c r="A423" s="19">
        <v>61.4</v>
      </c>
      <c r="B423" s="1"/>
      <c r="U423" s="644"/>
      <c r="V423" s="710"/>
      <c r="W423" s="14"/>
      <c r="X423" s="7"/>
      <c r="Y423" s="7"/>
      <c r="Z423" s="7"/>
      <c r="AA423" s="7"/>
      <c r="AB423" s="7"/>
      <c r="AC423" s="7"/>
    </row>
    <row r="424" spans="1:29" ht="36" hidden="1" customHeight="1">
      <c r="A424" s="19">
        <v>61.5</v>
      </c>
      <c r="B424" s="1"/>
      <c r="U424" s="644"/>
      <c r="V424" s="710"/>
      <c r="W424" s="14"/>
      <c r="X424" s="7"/>
      <c r="Y424" s="7"/>
      <c r="Z424" s="7"/>
      <c r="AA424" s="7"/>
      <c r="AB424" s="7"/>
      <c r="AC424" s="7"/>
    </row>
    <row r="425" spans="1:29" ht="25.5" hidden="1">
      <c r="A425" s="19">
        <v>61.6</v>
      </c>
      <c r="B425" s="1"/>
      <c r="U425" s="644"/>
      <c r="V425" s="710"/>
      <c r="W425" s="14"/>
      <c r="X425" s="7"/>
      <c r="Y425" s="7"/>
      <c r="Z425" s="7"/>
      <c r="AA425" s="7"/>
      <c r="AB425" s="7"/>
      <c r="AC425" s="7"/>
    </row>
    <row r="426" spans="1:29" ht="31.5" hidden="1" customHeight="1">
      <c r="A426" s="19">
        <v>61.7</v>
      </c>
      <c r="B426" s="1"/>
      <c r="U426" s="644"/>
      <c r="V426" s="710"/>
      <c r="W426" s="14"/>
      <c r="X426" s="7"/>
      <c r="Y426" s="7"/>
      <c r="Z426" s="7"/>
      <c r="AA426" s="7"/>
      <c r="AB426" s="7"/>
      <c r="AC426" s="7"/>
    </row>
    <row r="427" spans="1:29" ht="30" hidden="1" customHeight="1">
      <c r="A427" s="19">
        <v>61.8</v>
      </c>
      <c r="B427" s="1"/>
      <c r="U427" s="644"/>
      <c r="V427" s="710"/>
      <c r="W427" s="14"/>
      <c r="X427" s="7"/>
      <c r="Y427" s="7"/>
      <c r="Z427" s="7"/>
      <c r="AA427" s="7"/>
      <c r="AB427" s="7"/>
      <c r="AC427" s="7"/>
    </row>
    <row r="428" spans="1:29" ht="25.5" hidden="1">
      <c r="A428" s="19">
        <v>61.9</v>
      </c>
      <c r="B428" s="1"/>
      <c r="U428" s="644"/>
      <c r="V428" s="710"/>
      <c r="W428" s="14"/>
      <c r="X428" s="7"/>
      <c r="Y428" s="7"/>
      <c r="Z428" s="7"/>
      <c r="AA428" s="7"/>
      <c r="AB428" s="7"/>
      <c r="AC428" s="7"/>
    </row>
    <row r="429" spans="1:29" s="234" customFormat="1" ht="28.5" hidden="1" customHeight="1">
      <c r="A429" s="233">
        <v>61.1</v>
      </c>
      <c r="U429" s="730"/>
      <c r="V429" s="235"/>
      <c r="W429" s="14"/>
      <c r="X429" s="236"/>
      <c r="Y429" s="236"/>
      <c r="Z429" s="236"/>
      <c r="AA429" s="236"/>
      <c r="AB429" s="236"/>
      <c r="AC429" s="236"/>
    </row>
    <row r="430" spans="1:29" ht="28.5" hidden="1" customHeight="1">
      <c r="A430" s="19">
        <v>61.11</v>
      </c>
      <c r="B430" s="1"/>
      <c r="U430" s="644"/>
      <c r="V430" s="710"/>
      <c r="W430" s="14"/>
      <c r="X430" s="7"/>
      <c r="Y430" s="7"/>
      <c r="Z430" s="7"/>
      <c r="AA430" s="7"/>
      <c r="AB430" s="7"/>
      <c r="AC430" s="7"/>
    </row>
    <row r="431" spans="1:29" ht="25.5" hidden="1">
      <c r="A431" s="19">
        <v>61.12</v>
      </c>
      <c r="B431" s="1"/>
      <c r="U431" s="644"/>
      <c r="V431" s="710"/>
      <c r="W431" s="14"/>
      <c r="X431" s="7"/>
      <c r="Y431" s="7"/>
      <c r="Z431" s="7"/>
      <c r="AA431" s="7"/>
      <c r="AB431" s="7"/>
      <c r="AC431" s="7"/>
    </row>
    <row r="432" spans="1:29" ht="30" hidden="1" customHeight="1">
      <c r="A432" s="19">
        <v>61.13</v>
      </c>
      <c r="B432" s="1"/>
      <c r="U432" s="644"/>
      <c r="V432" s="710"/>
      <c r="W432" s="14"/>
      <c r="X432" s="7"/>
      <c r="Y432" s="7"/>
      <c r="Z432" s="7"/>
      <c r="AA432" s="7"/>
      <c r="AB432" s="7"/>
      <c r="AC432" s="7"/>
    </row>
    <row r="433" spans="1:29" ht="28.5" hidden="1" customHeight="1">
      <c r="A433" s="19">
        <v>61.14</v>
      </c>
      <c r="B433" s="1"/>
      <c r="U433" s="644"/>
      <c r="V433" s="710"/>
      <c r="W433" s="14"/>
      <c r="X433" s="7"/>
      <c r="Y433" s="7"/>
      <c r="Z433" s="7"/>
      <c r="AA433" s="7"/>
      <c r="AB433" s="7"/>
      <c r="AC433" s="7"/>
    </row>
    <row r="434" spans="1:29" ht="27" hidden="1" customHeight="1">
      <c r="A434" s="19">
        <v>61.15</v>
      </c>
      <c r="B434" s="1"/>
      <c r="U434" s="644"/>
      <c r="V434" s="710"/>
      <c r="W434" s="14"/>
      <c r="X434" s="7"/>
      <c r="Y434" s="7"/>
      <c r="Z434" s="7"/>
      <c r="AA434" s="7"/>
      <c r="AB434" s="7"/>
      <c r="AC434" s="7"/>
    </row>
    <row r="435" spans="1:29" ht="25.5" hidden="1">
      <c r="A435" s="19">
        <v>61.16</v>
      </c>
      <c r="B435" s="148"/>
      <c r="C435" s="91"/>
      <c r="D435" s="91"/>
      <c r="E435" s="91"/>
      <c r="F435" s="91"/>
      <c r="G435" s="91"/>
      <c r="H435" s="91"/>
      <c r="I435" s="91"/>
      <c r="J435" s="22"/>
      <c r="K435" s="22"/>
      <c r="L435" s="22"/>
      <c r="M435" s="22"/>
      <c r="N435" s="22"/>
      <c r="O435" s="91"/>
      <c r="P435" s="91"/>
      <c r="Q435" s="149"/>
      <c r="R435" s="200"/>
      <c r="S435" s="91"/>
      <c r="T435" s="91">
        <f>P435-O435</f>
        <v>0</v>
      </c>
      <c r="U435" s="644"/>
      <c r="V435" s="710"/>
      <c r="W435" s="14"/>
      <c r="X435" s="7"/>
      <c r="Y435" s="7"/>
      <c r="Z435" s="7"/>
      <c r="AA435" s="7"/>
      <c r="AB435" s="7"/>
      <c r="AC435" s="7"/>
    </row>
    <row r="436" spans="1:29" ht="28.5" hidden="1" customHeight="1">
      <c r="A436" s="19">
        <v>62</v>
      </c>
      <c r="B436" s="1"/>
      <c r="U436" s="644"/>
      <c r="V436" s="710"/>
      <c r="W436" s="14"/>
      <c r="X436" s="7"/>
      <c r="Y436" s="7"/>
      <c r="Z436" s="7"/>
      <c r="AA436" s="7"/>
      <c r="AB436" s="7"/>
      <c r="AC436" s="7"/>
    </row>
    <row r="437" spans="1:29" ht="25.5" hidden="1">
      <c r="A437" s="19">
        <v>63</v>
      </c>
      <c r="B437" s="148"/>
      <c r="C437" s="91"/>
      <c r="D437" s="91"/>
      <c r="E437" s="91"/>
      <c r="F437" s="91"/>
      <c r="G437" s="91"/>
      <c r="H437" s="91"/>
      <c r="I437" s="91"/>
      <c r="J437" s="22"/>
      <c r="K437" s="22"/>
      <c r="L437" s="22"/>
      <c r="M437" s="22"/>
      <c r="N437" s="22"/>
      <c r="O437" s="91"/>
      <c r="P437" s="91"/>
      <c r="Q437" s="22"/>
      <c r="R437" s="142"/>
      <c r="S437" s="91"/>
      <c r="T437" s="91">
        <f>(P437-O437)*S437</f>
        <v>0</v>
      </c>
      <c r="U437" s="644"/>
      <c r="V437" s="710"/>
      <c r="W437" s="14"/>
      <c r="X437" s="7"/>
      <c r="Y437" s="7"/>
      <c r="Z437" s="7"/>
      <c r="AA437" s="7"/>
      <c r="AB437" s="7"/>
      <c r="AC437" s="7"/>
    </row>
    <row r="438" spans="1:29" ht="27.75" hidden="1" customHeight="1">
      <c r="A438" s="19">
        <v>64</v>
      </c>
      <c r="U438" s="644"/>
      <c r="V438" s="710"/>
      <c r="W438" s="14"/>
      <c r="X438" s="7"/>
      <c r="Y438" s="7"/>
      <c r="Z438" s="7"/>
      <c r="AA438" s="7"/>
      <c r="AB438" s="7"/>
      <c r="AC438" s="7"/>
    </row>
    <row r="439" spans="1:29" ht="28.5" hidden="1" customHeight="1">
      <c r="A439" s="19">
        <v>65</v>
      </c>
      <c r="B439" s="148"/>
      <c r="C439" s="91"/>
      <c r="D439" s="91"/>
      <c r="E439" s="91"/>
      <c r="F439" s="91"/>
      <c r="G439" s="91"/>
      <c r="H439" s="91"/>
      <c r="I439" s="91"/>
      <c r="J439" s="22"/>
      <c r="K439" s="22"/>
      <c r="L439" s="22"/>
      <c r="M439" s="22"/>
      <c r="N439" s="22"/>
      <c r="O439" s="91"/>
      <c r="P439" s="91"/>
      <c r="Q439" s="22"/>
      <c r="R439" s="142"/>
      <c r="S439" s="91"/>
      <c r="T439" s="91"/>
      <c r="U439" s="644"/>
      <c r="V439" s="710"/>
      <c r="W439" s="14"/>
      <c r="X439" s="7"/>
      <c r="Y439" s="7"/>
      <c r="Z439" s="7"/>
      <c r="AA439" s="7"/>
      <c r="AB439" s="7"/>
      <c r="AC439" s="7"/>
    </row>
    <row r="440" spans="1:29" ht="31.5" hidden="1" customHeight="1">
      <c r="A440" s="19">
        <v>66</v>
      </c>
      <c r="U440" s="644"/>
      <c r="V440" s="710"/>
      <c r="W440" s="14" t="s">
        <v>487</v>
      </c>
      <c r="X440" s="7"/>
      <c r="Y440" s="7"/>
      <c r="Z440" s="7"/>
      <c r="AA440" s="7"/>
      <c r="AB440" s="7"/>
      <c r="AC440" s="7"/>
    </row>
    <row r="441" spans="1:29" ht="25.5" hidden="1">
      <c r="A441" s="19">
        <v>68</v>
      </c>
      <c r="U441" s="644"/>
      <c r="V441" s="710"/>
      <c r="W441" s="14"/>
      <c r="X441" s="7"/>
      <c r="Y441" s="7"/>
      <c r="Z441" s="149"/>
      <c r="AA441" s="149"/>
      <c r="AB441" s="149"/>
      <c r="AC441" s="149"/>
    </row>
    <row r="442" spans="1:29" ht="27.75" hidden="1" customHeight="1">
      <c r="A442" s="19">
        <v>70</v>
      </c>
      <c r="B442" s="1"/>
      <c r="U442" s="644"/>
      <c r="V442" s="710"/>
      <c r="W442" s="14"/>
      <c r="X442" s="7"/>
      <c r="Y442" s="7"/>
      <c r="Z442" s="149"/>
      <c r="AA442" s="149"/>
      <c r="AB442" s="149"/>
      <c r="AC442" s="149"/>
    </row>
    <row r="443" spans="1:29" ht="25.5" hidden="1">
      <c r="A443" s="19">
        <v>71</v>
      </c>
      <c r="U443" s="644"/>
      <c r="V443" s="710"/>
      <c r="W443" s="14"/>
      <c r="X443" s="7"/>
      <c r="Y443" s="7"/>
      <c r="Z443" s="149"/>
      <c r="AA443" s="149"/>
      <c r="AB443" s="149"/>
      <c r="AC443" s="149"/>
    </row>
    <row r="444" spans="1:29" ht="44.25" hidden="1" customHeight="1">
      <c r="A444" s="19">
        <v>72</v>
      </c>
      <c r="B444" s="1"/>
      <c r="U444" s="719"/>
      <c r="V444" s="1"/>
      <c r="W444" s="14">
        <v>16390</v>
      </c>
      <c r="X444" s="7"/>
      <c r="Y444" s="7"/>
      <c r="Z444" s="7"/>
      <c r="AA444" s="7"/>
      <c r="AB444" s="7"/>
      <c r="AC444" s="7"/>
    </row>
    <row r="445" spans="1:29" ht="25.5" hidden="1">
      <c r="A445" s="19">
        <v>73</v>
      </c>
      <c r="B445" s="1"/>
      <c r="U445" s="719"/>
      <c r="V445" s="1"/>
      <c r="W445" s="14">
        <v>19235</v>
      </c>
      <c r="X445" s="7"/>
      <c r="Y445" s="7"/>
      <c r="Z445" s="7"/>
      <c r="AA445" s="7"/>
      <c r="AB445" s="7"/>
      <c r="AC445" s="7"/>
    </row>
    <row r="446" spans="1:29" ht="25.5" hidden="1">
      <c r="A446" s="19">
        <v>74</v>
      </c>
      <c r="U446" s="724"/>
      <c r="W446" s="14" t="s">
        <v>488</v>
      </c>
      <c r="X446" s="7"/>
      <c r="Y446" s="7"/>
      <c r="Z446" s="7"/>
      <c r="AA446" s="7"/>
      <c r="AB446" s="7"/>
      <c r="AC446" s="7"/>
    </row>
    <row r="447" spans="1:29" ht="28.5" hidden="1" customHeight="1">
      <c r="A447" s="19">
        <v>75</v>
      </c>
      <c r="B447" s="1"/>
      <c r="U447" s="719"/>
      <c r="V447" s="1"/>
      <c r="W447" s="14"/>
      <c r="X447" s="7"/>
      <c r="Y447" s="7"/>
      <c r="Z447" s="7"/>
      <c r="AA447" s="7"/>
      <c r="AB447" s="7"/>
      <c r="AC447" s="7"/>
    </row>
    <row r="448" spans="1:29" ht="22.5" hidden="1" customHeight="1">
      <c r="A448" s="19">
        <v>76</v>
      </c>
      <c r="U448" s="644"/>
      <c r="V448" s="710"/>
      <c r="W448" s="134">
        <v>590000</v>
      </c>
      <c r="X448" s="149"/>
      <c r="Y448" s="149"/>
      <c r="Z448" s="7"/>
      <c r="AA448" s="7"/>
      <c r="AB448" s="7"/>
      <c r="AC448" s="7"/>
    </row>
    <row r="449" spans="1:29" ht="34.5" hidden="1" customHeight="1">
      <c r="A449" s="19">
        <v>77</v>
      </c>
      <c r="U449" s="644"/>
      <c r="V449" s="710"/>
      <c r="W449" s="134"/>
      <c r="X449" s="149"/>
      <c r="Y449" s="149"/>
      <c r="Z449" s="7"/>
      <c r="AA449" s="7"/>
      <c r="AB449" s="7"/>
      <c r="AC449" s="7"/>
    </row>
    <row r="450" spans="1:29" ht="30" hidden="1" customHeight="1">
      <c r="A450" s="19">
        <v>78</v>
      </c>
      <c r="U450" s="644"/>
      <c r="V450" s="710"/>
      <c r="W450" s="134">
        <v>201022</v>
      </c>
      <c r="X450" s="149"/>
      <c r="Y450" s="149"/>
      <c r="Z450" s="7"/>
      <c r="AA450" s="7"/>
      <c r="AB450" s="7"/>
      <c r="AC450" s="7"/>
    </row>
    <row r="451" spans="1:29" ht="25.5" hidden="1" customHeight="1">
      <c r="A451" s="19">
        <v>79</v>
      </c>
      <c r="U451" s="644"/>
      <c r="V451" s="710"/>
      <c r="W451" s="14"/>
      <c r="X451" s="7"/>
      <c r="Y451" s="7"/>
      <c r="Z451" s="7"/>
      <c r="AA451" s="7"/>
      <c r="AB451" s="7"/>
      <c r="AC451" s="7"/>
    </row>
    <row r="452" spans="1:29" ht="33" hidden="1" customHeight="1">
      <c r="A452" s="19">
        <v>80</v>
      </c>
      <c r="B452" s="148"/>
      <c r="C452" s="91"/>
      <c r="D452" s="91"/>
      <c r="E452" s="91"/>
      <c r="F452" s="91"/>
      <c r="G452" s="91"/>
      <c r="H452" s="91"/>
      <c r="I452" s="91"/>
      <c r="J452" s="22"/>
      <c r="K452" s="22"/>
      <c r="L452" s="22"/>
      <c r="M452" s="22"/>
      <c r="N452" s="22"/>
      <c r="O452" s="91"/>
      <c r="P452" s="91"/>
      <c r="Q452" s="22"/>
      <c r="R452" s="142"/>
      <c r="S452" s="91"/>
      <c r="T452" s="91">
        <f>(P452-O452)*S452</f>
        <v>0</v>
      </c>
      <c r="U452" s="644"/>
      <c r="V452" s="710"/>
      <c r="W452" s="14"/>
      <c r="X452" s="7"/>
      <c r="Y452" s="7"/>
      <c r="Z452" s="7"/>
      <c r="AA452" s="7"/>
      <c r="AB452" s="7"/>
      <c r="AC452" s="7"/>
    </row>
    <row r="453" spans="1:29" ht="24.75" hidden="1" customHeight="1">
      <c r="A453" s="19">
        <v>81</v>
      </c>
      <c r="U453" s="644"/>
      <c r="V453" s="710"/>
      <c r="W453" s="14"/>
      <c r="X453" s="7"/>
      <c r="Y453" s="7"/>
      <c r="Z453" s="7"/>
      <c r="AA453" s="7"/>
      <c r="AB453" s="7"/>
      <c r="AC453" s="7"/>
    </row>
    <row r="454" spans="1:29" ht="26.25" hidden="1">
      <c r="A454" s="231">
        <v>82</v>
      </c>
      <c r="U454" s="644"/>
      <c r="V454" s="710"/>
      <c r="W454" s="14" t="s">
        <v>489</v>
      </c>
      <c r="X454" s="7"/>
      <c r="Y454" s="7"/>
      <c r="Z454" s="7"/>
      <c r="AA454" s="7"/>
      <c r="AB454" s="7"/>
      <c r="AC454" s="7"/>
    </row>
    <row r="455" spans="1:29" ht="26.25" hidden="1">
      <c r="A455" s="231"/>
      <c r="U455" s="644"/>
      <c r="V455" s="710"/>
      <c r="W455" s="14"/>
      <c r="X455" s="7"/>
      <c r="Y455" s="7"/>
      <c r="Z455" s="7"/>
      <c r="AA455" s="7"/>
      <c r="AB455" s="7"/>
      <c r="AC455" s="7"/>
    </row>
    <row r="456" spans="1:29" ht="26.25" hidden="1">
      <c r="A456" s="231"/>
      <c r="U456" s="644"/>
      <c r="V456" s="710"/>
      <c r="W456" s="14"/>
      <c r="X456" s="7"/>
      <c r="Y456" s="7"/>
      <c r="Z456" s="7"/>
      <c r="AA456" s="7"/>
      <c r="AB456" s="7"/>
      <c r="AC456" s="7"/>
    </row>
    <row r="457" spans="1:29" ht="26.25" hidden="1">
      <c r="A457" s="237">
        <v>83</v>
      </c>
      <c r="B457" s="1"/>
      <c r="U457" s="719"/>
      <c r="V457" s="1"/>
      <c r="W457" s="14"/>
      <c r="X457" s="7" t="s">
        <v>490</v>
      </c>
      <c r="Y457" s="7"/>
      <c r="Z457" s="7"/>
      <c r="AA457" s="7"/>
      <c r="AB457" s="7"/>
      <c r="AC457" s="7"/>
    </row>
    <row r="458" spans="1:29" ht="26.25" hidden="1">
      <c r="A458" s="231"/>
      <c r="B458" s="1"/>
      <c r="U458" s="719"/>
      <c r="V458" s="1"/>
      <c r="W458" s="14"/>
      <c r="X458" s="7"/>
      <c r="Y458" s="7"/>
      <c r="Z458" s="7"/>
      <c r="AA458" s="7"/>
      <c r="AB458" s="7"/>
      <c r="AC458" s="7"/>
    </row>
    <row r="459" spans="1:29" ht="31.5" hidden="1" customHeight="1">
      <c r="A459" s="19">
        <v>84</v>
      </c>
      <c r="U459" s="644"/>
      <c r="V459" s="710"/>
      <c r="W459" s="14"/>
      <c r="X459" s="7"/>
      <c r="Y459" s="7"/>
      <c r="Z459" s="7"/>
      <c r="AA459" s="7"/>
      <c r="AB459" s="7"/>
      <c r="AC459" s="7"/>
    </row>
    <row r="460" spans="1:29" ht="25.5" hidden="1">
      <c r="A460" s="19">
        <v>85</v>
      </c>
      <c r="B460" s="1"/>
      <c r="U460" s="719"/>
      <c r="V460" s="1"/>
      <c r="W460" s="14" t="s">
        <v>491</v>
      </c>
      <c r="X460" s="7"/>
      <c r="Y460" s="7"/>
      <c r="Z460" s="7"/>
      <c r="AA460" s="7"/>
      <c r="AB460" s="7"/>
      <c r="AC460" s="7"/>
    </row>
    <row r="461" spans="1:29" ht="26.25" hidden="1" customHeight="1">
      <c r="A461" s="19">
        <v>86</v>
      </c>
      <c r="U461" s="644"/>
      <c r="V461" s="710"/>
      <c r="W461" s="14" t="s">
        <v>492</v>
      </c>
      <c r="X461" s="7"/>
      <c r="Y461" s="7"/>
      <c r="Z461" s="7"/>
      <c r="AA461" s="7"/>
      <c r="AB461" s="7"/>
      <c r="AC461" s="7"/>
    </row>
    <row r="462" spans="1:29" ht="30" hidden="1" customHeight="1">
      <c r="A462" s="19">
        <v>87</v>
      </c>
      <c r="U462" s="644"/>
      <c r="V462" s="710"/>
      <c r="W462" s="14" t="s">
        <v>492</v>
      </c>
      <c r="X462" s="7"/>
      <c r="Y462" s="7"/>
      <c r="Z462" s="7"/>
      <c r="AA462" s="7"/>
      <c r="AB462" s="7"/>
      <c r="AC462" s="7"/>
    </row>
    <row r="463" spans="1:29" ht="26.25" hidden="1" customHeight="1">
      <c r="A463" s="19">
        <v>88</v>
      </c>
      <c r="B463" s="1"/>
      <c r="U463" s="719"/>
      <c r="V463" s="1"/>
      <c r="W463" s="14" t="s">
        <v>493</v>
      </c>
      <c r="X463" s="7"/>
      <c r="Y463" s="7"/>
      <c r="Z463" s="7"/>
      <c r="AA463" s="7"/>
      <c r="AB463" s="7"/>
      <c r="AC463" s="7"/>
    </row>
    <row r="464" spans="1:29" ht="26.25" hidden="1">
      <c r="A464" s="135">
        <v>89</v>
      </c>
      <c r="B464" s="1"/>
      <c r="U464" s="719"/>
      <c r="V464" s="1"/>
      <c r="W464" s="14"/>
      <c r="X464" s="7"/>
      <c r="Y464" s="7"/>
      <c r="Z464" s="7"/>
      <c r="AA464" s="7"/>
      <c r="AB464" s="7"/>
      <c r="AC464" s="7"/>
    </row>
    <row r="465" spans="1:29" ht="76.5" hidden="1">
      <c r="A465" s="19" t="s">
        <v>494</v>
      </c>
      <c r="B465" s="1"/>
      <c r="U465" s="719"/>
      <c r="V465" s="1"/>
      <c r="W465" s="14"/>
      <c r="X465" s="7"/>
      <c r="Y465" s="7"/>
      <c r="Z465" s="7"/>
      <c r="AA465" s="7"/>
      <c r="AB465" s="7"/>
      <c r="AC465" s="7"/>
    </row>
    <row r="466" spans="1:29" ht="25.5" hidden="1">
      <c r="A466" s="19">
        <v>90</v>
      </c>
      <c r="B466" s="1"/>
      <c r="U466" s="719"/>
      <c r="V466" s="1"/>
      <c r="W466" s="14"/>
      <c r="X466" s="7"/>
      <c r="Y466" s="7"/>
      <c r="Z466" s="7"/>
      <c r="AA466" s="7"/>
      <c r="AB466" s="7"/>
      <c r="AC466" s="7"/>
    </row>
    <row r="467" spans="1:29" ht="11.25" hidden="1" customHeight="1">
      <c r="A467" s="19">
        <v>91</v>
      </c>
      <c r="U467" s="644"/>
      <c r="V467" s="710"/>
      <c r="W467" s="14"/>
      <c r="X467" s="7"/>
      <c r="Y467" s="7"/>
      <c r="Z467" s="7"/>
      <c r="AA467" s="7"/>
      <c r="AB467" s="7"/>
      <c r="AC467" s="7"/>
    </row>
    <row r="468" spans="1:29" ht="54" hidden="1" customHeight="1">
      <c r="A468" s="19">
        <v>92</v>
      </c>
      <c r="B468" s="1"/>
      <c r="U468" s="644"/>
      <c r="V468" s="710"/>
      <c r="W468" s="14"/>
      <c r="X468" s="7"/>
      <c r="Y468" s="7"/>
      <c r="Z468" s="7"/>
      <c r="AA468" s="7"/>
      <c r="AB468" s="7"/>
      <c r="AC468" s="7"/>
    </row>
    <row r="469" spans="1:29" ht="30.75" hidden="1" customHeight="1">
      <c r="A469" s="19">
        <v>93</v>
      </c>
      <c r="B469" s="1"/>
      <c r="U469" s="644"/>
      <c r="V469" s="710"/>
      <c r="W469" s="14"/>
      <c r="X469" s="7"/>
      <c r="Y469" s="7"/>
      <c r="Z469" s="7"/>
      <c r="AA469" s="7"/>
      <c r="AB469" s="7"/>
      <c r="AC469" s="7"/>
    </row>
    <row r="470" spans="1:29" ht="57" hidden="1" customHeight="1">
      <c r="A470" s="19">
        <v>94</v>
      </c>
      <c r="B470" s="1"/>
      <c r="U470" s="644"/>
      <c r="V470" s="710"/>
      <c r="W470" s="14"/>
      <c r="X470" s="7"/>
      <c r="Y470" s="7"/>
      <c r="Z470" s="7"/>
      <c r="AA470" s="7"/>
      <c r="AB470" s="7"/>
      <c r="AC470" s="7"/>
    </row>
    <row r="471" spans="1:29" ht="28.5" hidden="1" customHeight="1">
      <c r="A471" s="19">
        <v>95</v>
      </c>
      <c r="B471" s="1"/>
      <c r="U471" s="644"/>
      <c r="V471" s="710"/>
      <c r="W471" s="14"/>
      <c r="X471" s="7"/>
      <c r="Y471" s="7"/>
      <c r="Z471" s="7"/>
      <c r="AA471" s="7"/>
      <c r="AB471" s="7"/>
      <c r="AC471" s="7"/>
    </row>
    <row r="472" spans="1:29" ht="30.75" hidden="1" customHeight="1">
      <c r="A472" s="19">
        <v>96</v>
      </c>
      <c r="B472" s="1"/>
      <c r="U472" s="644"/>
      <c r="V472" s="710"/>
      <c r="W472" s="14"/>
      <c r="X472" s="7"/>
      <c r="Y472" s="7"/>
      <c r="Z472" s="7"/>
      <c r="AA472" s="7"/>
      <c r="AB472" s="7"/>
      <c r="AC472" s="7"/>
    </row>
    <row r="473" spans="1:29" ht="30" hidden="1" customHeight="1">
      <c r="A473" s="19">
        <v>97</v>
      </c>
      <c r="B473" s="1"/>
      <c r="U473" s="644"/>
      <c r="V473" s="710"/>
      <c r="W473" s="14"/>
      <c r="X473" s="7"/>
      <c r="Y473" s="7"/>
      <c r="Z473" s="7"/>
      <c r="AA473" s="7"/>
      <c r="AB473" s="7"/>
      <c r="AC473" s="7"/>
    </row>
    <row r="474" spans="1:29" ht="27.75" hidden="1" customHeight="1">
      <c r="A474" s="19">
        <v>98</v>
      </c>
      <c r="U474" s="644"/>
      <c r="V474" s="710"/>
      <c r="W474" s="14"/>
      <c r="X474" s="7"/>
      <c r="Y474" s="7"/>
      <c r="Z474" s="7"/>
      <c r="AA474" s="7"/>
      <c r="AB474" s="7"/>
      <c r="AC474" s="7"/>
    </row>
    <row r="475" spans="1:29" ht="25.5" hidden="1">
      <c r="A475" s="19">
        <v>99</v>
      </c>
      <c r="U475" s="644"/>
      <c r="V475" s="710"/>
      <c r="W475" s="14"/>
      <c r="X475" s="7"/>
      <c r="Y475" s="7"/>
      <c r="Z475" s="7"/>
      <c r="AA475" s="7"/>
      <c r="AB475" s="7"/>
      <c r="AC475" s="7"/>
    </row>
    <row r="476" spans="1:29" ht="25.5" hidden="1">
      <c r="A476" s="19">
        <v>100</v>
      </c>
      <c r="B476" s="148"/>
      <c r="C476" s="91"/>
      <c r="D476" s="91"/>
      <c r="E476" s="91"/>
      <c r="F476" s="91"/>
      <c r="G476" s="91"/>
      <c r="H476" s="91"/>
      <c r="I476" s="91"/>
      <c r="J476" s="22"/>
      <c r="K476" s="22"/>
      <c r="L476" s="22"/>
      <c r="M476" s="22"/>
      <c r="N476" s="22"/>
      <c r="O476" s="91"/>
      <c r="P476" s="91"/>
      <c r="Q476" s="7"/>
      <c r="R476" s="200"/>
      <c r="S476" s="151"/>
      <c r="T476" s="91">
        <f>(P476-O476)*S476</f>
        <v>0</v>
      </c>
      <c r="U476" s="644"/>
      <c r="V476" s="710"/>
      <c r="W476" s="14"/>
      <c r="X476" s="7"/>
      <c r="Y476" s="7"/>
      <c r="Z476" s="7"/>
      <c r="AA476" s="7"/>
      <c r="AB476" s="7"/>
      <c r="AC476" s="7"/>
    </row>
    <row r="477" spans="1:29" ht="28.5" hidden="1" customHeight="1">
      <c r="A477" s="19">
        <v>101</v>
      </c>
      <c r="U477" s="644"/>
      <c r="V477" s="710"/>
      <c r="W477" s="14"/>
      <c r="X477" s="7"/>
      <c r="Y477" s="7"/>
      <c r="Z477" s="7"/>
      <c r="AA477" s="7"/>
      <c r="AB477" s="7"/>
      <c r="AC477" s="7"/>
    </row>
    <row r="478" spans="1:29" ht="26.25" hidden="1" customHeight="1">
      <c r="A478" s="19">
        <v>102</v>
      </c>
      <c r="U478" s="644"/>
      <c r="V478" s="710"/>
      <c r="W478" s="14">
        <v>752.1</v>
      </c>
      <c r="X478" s="238">
        <v>809.71</v>
      </c>
      <c r="Y478" s="7"/>
      <c r="Z478" s="149"/>
      <c r="AA478" s="149"/>
      <c r="AB478" s="149"/>
      <c r="AC478" s="149"/>
    </row>
    <row r="479" spans="1:29" ht="27.75" hidden="1" customHeight="1">
      <c r="A479" s="19" t="s">
        <v>495</v>
      </c>
      <c r="U479" s="644"/>
      <c r="V479" s="710"/>
      <c r="W479" s="14"/>
      <c r="X479" s="7"/>
      <c r="Y479" s="7"/>
      <c r="Z479" s="149"/>
      <c r="AA479" s="149"/>
      <c r="AB479" s="149"/>
      <c r="AC479" s="149"/>
    </row>
    <row r="480" spans="1:29" ht="31.5" hidden="1" customHeight="1">
      <c r="A480" s="19" t="s">
        <v>496</v>
      </c>
      <c r="U480" s="644"/>
      <c r="V480" s="710"/>
      <c r="W480" s="14"/>
      <c r="X480" s="7"/>
      <c r="Y480" s="7"/>
      <c r="Z480" s="7"/>
      <c r="AA480" s="7"/>
      <c r="AB480" s="7"/>
      <c r="AC480" s="7"/>
    </row>
    <row r="481" spans="1:29" ht="27.75" hidden="1" customHeight="1">
      <c r="A481" s="19">
        <v>103</v>
      </c>
      <c r="U481" s="644"/>
      <c r="V481" s="710"/>
      <c r="W481" s="14"/>
      <c r="X481" s="7"/>
      <c r="Y481" s="7"/>
      <c r="Z481" s="7"/>
      <c r="AA481" s="7"/>
      <c r="AB481" s="7"/>
      <c r="AC481" s="7"/>
    </row>
    <row r="482" spans="1:29" ht="30" hidden="1" customHeight="1">
      <c r="A482" s="19">
        <v>104</v>
      </c>
      <c r="U482" s="644"/>
      <c r="V482" s="710"/>
      <c r="W482" s="14"/>
      <c r="X482" s="7"/>
      <c r="Y482" s="7"/>
      <c r="Z482" s="7"/>
      <c r="AA482" s="7"/>
      <c r="AB482" s="7"/>
      <c r="AC482" s="7"/>
    </row>
    <row r="483" spans="1:29" ht="102" hidden="1">
      <c r="A483" s="19" t="s">
        <v>497</v>
      </c>
      <c r="B483" s="148"/>
      <c r="C483" s="199"/>
      <c r="D483" s="91"/>
      <c r="E483" s="91"/>
      <c r="F483" s="91"/>
      <c r="G483" s="91"/>
      <c r="H483" s="91"/>
      <c r="I483" s="91"/>
      <c r="J483" s="22"/>
      <c r="K483" s="22"/>
      <c r="L483" s="22"/>
      <c r="M483" s="22"/>
      <c r="N483" s="22"/>
      <c r="O483" s="91"/>
      <c r="P483" s="91"/>
      <c r="Q483" s="7"/>
      <c r="R483" s="200"/>
      <c r="S483" s="151"/>
      <c r="T483" s="91"/>
      <c r="U483" s="644"/>
      <c r="V483" s="710"/>
      <c r="W483" s="14"/>
      <c r="X483" s="7"/>
      <c r="Y483" s="7"/>
      <c r="Z483" s="7"/>
      <c r="AA483" s="7"/>
      <c r="AB483" s="7"/>
      <c r="AC483" s="7"/>
    </row>
    <row r="484" spans="1:29" ht="26.25" hidden="1">
      <c r="A484" s="231">
        <v>105</v>
      </c>
      <c r="B484" s="1"/>
      <c r="U484" s="719"/>
      <c r="V484" s="1"/>
      <c r="W484" s="14" t="s">
        <v>498</v>
      </c>
      <c r="X484" s="7">
        <v>6652</v>
      </c>
      <c r="Y484" s="7">
        <v>11490</v>
      </c>
      <c r="Z484" s="7"/>
      <c r="AA484" s="7"/>
      <c r="AB484" s="7"/>
      <c r="AC484" s="7"/>
    </row>
    <row r="485" spans="1:29" ht="25.5" hidden="1" customHeight="1">
      <c r="A485" s="19">
        <v>107</v>
      </c>
      <c r="B485" s="1"/>
      <c r="U485" s="719"/>
      <c r="V485" s="1"/>
      <c r="W485" s="134"/>
      <c r="X485" s="149"/>
      <c r="Y485" s="149"/>
      <c r="Z485" s="7"/>
      <c r="AA485" s="7"/>
      <c r="AB485" s="7"/>
      <c r="AC485" s="7"/>
    </row>
    <row r="486" spans="1:29" ht="27" hidden="1" customHeight="1">
      <c r="A486" s="19" t="s">
        <v>499</v>
      </c>
      <c r="B486" s="1"/>
      <c r="U486" s="719"/>
      <c r="V486" s="1"/>
      <c r="W486" s="134"/>
      <c r="X486" s="149"/>
      <c r="Y486" s="149"/>
      <c r="Z486" s="7"/>
      <c r="AA486" s="7"/>
      <c r="AB486" s="7"/>
      <c r="AC486" s="7"/>
    </row>
    <row r="487" spans="1:29" ht="28.5" hidden="1" customHeight="1">
      <c r="A487" s="19">
        <v>108</v>
      </c>
      <c r="B487" s="1"/>
      <c r="U487" s="719"/>
      <c r="V487" s="1"/>
      <c r="W487" s="14"/>
      <c r="X487" s="7"/>
      <c r="Y487" s="7"/>
      <c r="Z487" s="7"/>
      <c r="AA487" s="7"/>
      <c r="AB487" s="7"/>
      <c r="AC487" s="7"/>
    </row>
    <row r="488" spans="1:29" ht="25.5" hidden="1" customHeight="1">
      <c r="A488" s="19">
        <v>109</v>
      </c>
      <c r="B488" s="148"/>
      <c r="C488" s="91"/>
      <c r="D488" s="91"/>
      <c r="E488" s="91"/>
      <c r="F488" s="91"/>
      <c r="G488" s="91"/>
      <c r="H488" s="91"/>
      <c r="I488" s="91"/>
      <c r="J488" s="22"/>
      <c r="K488" s="22"/>
      <c r="L488" s="22"/>
      <c r="M488" s="22"/>
      <c r="N488" s="22"/>
      <c r="O488" s="91"/>
      <c r="P488" s="91"/>
      <c r="Q488" s="7"/>
      <c r="R488" s="94"/>
      <c r="S488" s="151"/>
      <c r="T488" s="91"/>
      <c r="U488" s="644"/>
      <c r="V488" s="710"/>
      <c r="W488" s="14"/>
      <c r="X488" s="7"/>
      <c r="Y488" s="7"/>
      <c r="Z488" s="7"/>
      <c r="AA488" s="7"/>
      <c r="AB488" s="7"/>
      <c r="AC488" s="7"/>
    </row>
    <row r="489" spans="1:29" ht="6.75" hidden="1" customHeight="1">
      <c r="A489" s="19">
        <v>110</v>
      </c>
      <c r="B489" s="1"/>
      <c r="U489" s="719"/>
      <c r="V489" s="1"/>
      <c r="W489" s="14"/>
      <c r="X489" s="7"/>
      <c r="Y489" s="7"/>
      <c r="Z489" s="7"/>
      <c r="AA489" s="7"/>
      <c r="AB489" s="7"/>
      <c r="AC489" s="7"/>
    </row>
    <row r="490" spans="1:29" ht="25.5" hidden="1">
      <c r="A490" s="19"/>
      <c r="B490" s="148"/>
      <c r="C490" s="91"/>
      <c r="D490" s="91"/>
      <c r="E490" s="91"/>
      <c r="F490" s="91"/>
      <c r="G490" s="91"/>
      <c r="H490" s="91"/>
      <c r="I490" s="91"/>
      <c r="J490" s="22"/>
      <c r="K490" s="22"/>
      <c r="L490" s="22"/>
      <c r="M490" s="22"/>
      <c r="N490" s="22"/>
      <c r="O490" s="91"/>
      <c r="P490" s="91"/>
      <c r="Q490" s="22"/>
      <c r="R490" s="142"/>
      <c r="S490" s="151"/>
      <c r="T490" s="91"/>
      <c r="U490" s="644"/>
      <c r="V490" s="710"/>
      <c r="W490" s="14"/>
      <c r="X490" s="7"/>
      <c r="Y490" s="7"/>
      <c r="Z490" s="7"/>
      <c r="AA490" s="7"/>
      <c r="AB490" s="7"/>
      <c r="AC490" s="7"/>
    </row>
    <row r="491" spans="1:29" ht="27" hidden="1" customHeight="1">
      <c r="A491" s="231">
        <v>111</v>
      </c>
      <c r="B491" s="1"/>
      <c r="U491" s="719"/>
      <c r="V491" s="1"/>
      <c r="W491" s="14"/>
      <c r="X491" s="7"/>
      <c r="Y491" s="7"/>
      <c r="Z491" s="7"/>
      <c r="AA491" s="7"/>
      <c r="AB491" s="7"/>
      <c r="AC491" s="7"/>
    </row>
    <row r="492" spans="1:29" ht="26.25" hidden="1">
      <c r="A492" s="231"/>
      <c r="B492" s="90"/>
      <c r="C492" s="91"/>
      <c r="D492" s="115"/>
      <c r="E492" s="115"/>
      <c r="F492" s="115"/>
      <c r="G492" s="115"/>
      <c r="H492" s="115"/>
      <c r="I492" s="115"/>
      <c r="J492" s="164"/>
      <c r="K492" s="164"/>
      <c r="L492" s="164"/>
      <c r="M492" s="164"/>
      <c r="N492" s="164"/>
      <c r="O492" s="91"/>
      <c r="P492" s="91"/>
      <c r="Q492" s="22"/>
      <c r="R492" s="142"/>
      <c r="S492" s="151"/>
      <c r="T492" s="91"/>
      <c r="U492" s="644"/>
      <c r="V492" s="710"/>
      <c r="W492" s="14"/>
      <c r="X492" s="7"/>
      <c r="Y492" s="7"/>
      <c r="Z492" s="7"/>
      <c r="AA492" s="7"/>
      <c r="AB492" s="7"/>
      <c r="AC492" s="7"/>
    </row>
    <row r="493" spans="1:29" ht="25.5" hidden="1">
      <c r="A493" s="19">
        <v>112</v>
      </c>
      <c r="B493" s="148"/>
      <c r="C493" s="91"/>
      <c r="D493" s="91"/>
      <c r="E493" s="91"/>
      <c r="F493" s="91"/>
      <c r="G493" s="91"/>
      <c r="H493" s="91"/>
      <c r="I493" s="91"/>
      <c r="J493" s="22"/>
      <c r="K493" s="22"/>
      <c r="L493" s="22"/>
      <c r="M493" s="22"/>
      <c r="N493" s="22"/>
      <c r="O493" s="91"/>
      <c r="P493" s="91"/>
      <c r="Q493" s="22"/>
      <c r="R493" s="142"/>
      <c r="S493" s="151"/>
      <c r="T493" s="91"/>
      <c r="U493" s="644"/>
      <c r="V493" s="710"/>
      <c r="W493" s="14"/>
      <c r="X493" s="7"/>
      <c r="Y493" s="7"/>
      <c r="Z493" s="7"/>
      <c r="AA493" s="7"/>
      <c r="AB493" s="7"/>
      <c r="AC493" s="7"/>
    </row>
    <row r="494" spans="1:29" ht="25.5" hidden="1">
      <c r="A494" s="19">
        <v>113</v>
      </c>
      <c r="B494" s="148"/>
      <c r="C494" s="91"/>
      <c r="D494" s="91"/>
      <c r="E494" s="91"/>
      <c r="F494" s="91"/>
      <c r="G494" s="91"/>
      <c r="H494" s="91"/>
      <c r="I494" s="91"/>
      <c r="J494" s="22"/>
      <c r="K494" s="22"/>
      <c r="L494" s="22"/>
      <c r="M494" s="22"/>
      <c r="N494" s="22"/>
      <c r="O494" s="91"/>
      <c r="P494" s="91"/>
      <c r="Q494" s="149"/>
      <c r="R494" s="161"/>
      <c r="S494" s="151"/>
      <c r="T494" s="91"/>
      <c r="U494" s="644"/>
      <c r="V494" s="710"/>
      <c r="W494" s="14"/>
      <c r="X494" s="7"/>
      <c r="Y494" s="7"/>
      <c r="Z494" s="7"/>
      <c r="AA494" s="7"/>
      <c r="AB494" s="7"/>
      <c r="AC494" s="7"/>
    </row>
    <row r="495" spans="1:29" ht="25.5" hidden="1">
      <c r="A495" s="19">
        <v>114</v>
      </c>
      <c r="B495" s="148"/>
      <c r="C495" s="91"/>
      <c r="D495" s="91"/>
      <c r="E495" s="91"/>
      <c r="F495" s="91"/>
      <c r="G495" s="91"/>
      <c r="H495" s="91"/>
      <c r="I495" s="91"/>
      <c r="J495" s="22"/>
      <c r="K495" s="22"/>
      <c r="L495" s="22"/>
      <c r="M495" s="22"/>
      <c r="N495" s="22"/>
      <c r="O495" s="91"/>
      <c r="P495" s="91"/>
      <c r="Q495" s="149"/>
      <c r="R495" s="161"/>
      <c r="S495" s="151"/>
      <c r="T495" s="91"/>
      <c r="U495" s="644"/>
      <c r="V495" s="710"/>
      <c r="W495" s="14"/>
      <c r="X495" s="7"/>
      <c r="Y495" s="7"/>
      <c r="Z495" s="7"/>
      <c r="AA495" s="7"/>
      <c r="AB495" s="7"/>
      <c r="AC495" s="7"/>
    </row>
    <row r="496" spans="1:29" ht="34.5" hidden="1" customHeight="1">
      <c r="A496" s="19">
        <v>115</v>
      </c>
      <c r="B496" s="1"/>
      <c r="U496" s="719"/>
      <c r="V496" s="1"/>
      <c r="W496" s="14">
        <f>20035+15857+13968</f>
        <v>49860</v>
      </c>
      <c r="X496" s="239">
        <f>27786+1606</f>
        <v>29392</v>
      </c>
      <c r="Y496" s="7"/>
      <c r="Z496" s="7"/>
      <c r="AA496" s="7"/>
      <c r="AB496" s="7"/>
      <c r="AC496" s="7"/>
    </row>
    <row r="497" spans="1:29" ht="25.5" hidden="1">
      <c r="A497" s="19">
        <v>116</v>
      </c>
      <c r="B497" s="148"/>
      <c r="C497" s="91"/>
      <c r="D497" s="91"/>
      <c r="E497" s="91"/>
      <c r="F497" s="91"/>
      <c r="G497" s="91"/>
      <c r="H497" s="91"/>
      <c r="I497" s="91"/>
      <c r="J497" s="22"/>
      <c r="K497" s="22"/>
      <c r="L497" s="22"/>
      <c r="M497" s="22"/>
      <c r="N497" s="22"/>
      <c r="O497" s="91"/>
      <c r="P497" s="91"/>
      <c r="Q497" s="22"/>
      <c r="R497" s="142"/>
      <c r="S497" s="151"/>
      <c r="T497" s="91"/>
      <c r="U497" s="644"/>
      <c r="V497" s="710"/>
      <c r="W497" s="14"/>
      <c r="X497" s="7"/>
      <c r="Y497" s="7"/>
      <c r="Z497" s="7"/>
      <c r="AA497" s="7"/>
      <c r="AB497" s="7"/>
      <c r="AC497" s="7"/>
    </row>
    <row r="498" spans="1:29" ht="25.5" hidden="1">
      <c r="A498" s="19">
        <v>117</v>
      </c>
      <c r="B498" s="1"/>
      <c r="U498" s="719"/>
      <c r="V498" s="1"/>
      <c r="W498" s="14"/>
      <c r="X498" s="7"/>
      <c r="Y498" s="7"/>
      <c r="Z498" s="7"/>
      <c r="AA498" s="7"/>
      <c r="AB498" s="7"/>
      <c r="AC498" s="7"/>
    </row>
    <row r="499" spans="1:29" ht="30.75" hidden="1" customHeight="1">
      <c r="A499" s="19">
        <v>118</v>
      </c>
      <c r="U499" s="644"/>
      <c r="V499" s="710"/>
      <c r="W499" s="14"/>
      <c r="X499" s="7"/>
      <c r="Y499" s="7"/>
      <c r="Z499" s="7"/>
      <c r="AA499" s="7"/>
      <c r="AB499" s="7"/>
      <c r="AC499" s="7"/>
    </row>
    <row r="500" spans="1:29" ht="25.5" hidden="1">
      <c r="A500" s="19">
        <v>119</v>
      </c>
      <c r="B500" s="1"/>
      <c r="U500" s="644"/>
      <c r="V500" s="710"/>
      <c r="W500" s="14"/>
      <c r="X500" s="7"/>
      <c r="Y500" s="7"/>
      <c r="Z500" s="7"/>
      <c r="AA500" s="7"/>
      <c r="AB500" s="7"/>
      <c r="AC500" s="7"/>
    </row>
    <row r="501" spans="1:29" ht="25.5" hidden="1">
      <c r="A501" s="19">
        <v>120</v>
      </c>
      <c r="B501" s="148"/>
      <c r="C501" s="91"/>
      <c r="D501" s="91"/>
      <c r="E501" s="91"/>
      <c r="F501" s="91"/>
      <c r="G501" s="91"/>
      <c r="H501" s="91"/>
      <c r="I501" s="91"/>
      <c r="J501" s="22"/>
      <c r="K501" s="22"/>
      <c r="L501" s="22"/>
      <c r="M501" s="22"/>
      <c r="N501" s="22"/>
      <c r="O501" s="91"/>
      <c r="P501" s="91"/>
      <c r="Q501" s="7"/>
      <c r="R501" s="200"/>
      <c r="S501" s="151"/>
      <c r="T501" s="91"/>
      <c r="U501" s="644"/>
      <c r="V501" s="710"/>
      <c r="W501" s="14"/>
      <c r="X501" s="7"/>
      <c r="Y501" s="7"/>
      <c r="Z501" s="7"/>
      <c r="AA501" s="7"/>
      <c r="AB501" s="7"/>
      <c r="AC501" s="7"/>
    </row>
    <row r="502" spans="1:29" ht="25.5" hidden="1">
      <c r="A502" s="19"/>
      <c r="B502" s="148"/>
      <c r="C502" s="91"/>
      <c r="D502" s="91"/>
      <c r="E502" s="91"/>
      <c r="F502" s="91"/>
      <c r="G502" s="91"/>
      <c r="H502" s="91"/>
      <c r="I502" s="91"/>
      <c r="J502" s="22"/>
      <c r="K502" s="22"/>
      <c r="L502" s="22"/>
      <c r="M502" s="22"/>
      <c r="N502" s="22"/>
      <c r="O502" s="91"/>
      <c r="P502" s="91"/>
      <c r="Q502" s="7"/>
      <c r="R502" s="200"/>
      <c r="S502" s="151"/>
      <c r="T502" s="91"/>
      <c r="U502" s="644"/>
      <c r="V502" s="710"/>
      <c r="W502" s="14"/>
      <c r="X502" s="7"/>
      <c r="Y502" s="7"/>
      <c r="Z502" s="7"/>
      <c r="AA502" s="7"/>
      <c r="AB502" s="7"/>
      <c r="AC502" s="7"/>
    </row>
    <row r="503" spans="1:29" ht="29.25" hidden="1" customHeight="1">
      <c r="A503" s="19">
        <v>121</v>
      </c>
      <c r="U503" s="644"/>
      <c r="V503" s="710"/>
      <c r="W503" s="14"/>
      <c r="X503" s="7"/>
      <c r="Y503" s="7"/>
      <c r="Z503" s="7"/>
      <c r="AA503" s="7"/>
      <c r="AB503" s="7"/>
      <c r="AC503" s="7"/>
    </row>
    <row r="504" spans="1:29" ht="25.5" hidden="1">
      <c r="A504" s="19">
        <v>122</v>
      </c>
      <c r="B504" s="148"/>
      <c r="C504" s="91"/>
      <c r="D504" s="91"/>
      <c r="E504" s="91"/>
      <c r="F504" s="91"/>
      <c r="G504" s="91"/>
      <c r="H504" s="91"/>
      <c r="I504" s="91"/>
      <c r="J504" s="22"/>
      <c r="K504" s="22"/>
      <c r="L504" s="22"/>
      <c r="M504" s="22"/>
      <c r="N504" s="22"/>
      <c r="O504" s="91"/>
      <c r="P504" s="91"/>
      <c r="Q504" s="122"/>
      <c r="R504" s="173"/>
      <c r="S504" s="151"/>
      <c r="T504" s="91"/>
      <c r="U504" s="644"/>
      <c r="V504" s="710"/>
      <c r="W504" s="14"/>
      <c r="X504" s="7"/>
      <c r="Y504" s="7"/>
      <c r="Z504" s="7"/>
      <c r="AA504" s="7"/>
      <c r="AB504" s="7"/>
      <c r="AC504" s="7"/>
    </row>
    <row r="505" spans="1:29" ht="36" hidden="1" customHeight="1">
      <c r="A505" s="19">
        <v>123</v>
      </c>
      <c r="B505" s="1"/>
      <c r="U505" s="719"/>
      <c r="V505" s="1"/>
      <c r="W505" s="14"/>
      <c r="X505" s="7"/>
      <c r="Y505" s="7"/>
      <c r="Z505" s="7"/>
      <c r="AA505" s="7"/>
      <c r="AB505" s="7"/>
      <c r="AC505" s="7"/>
    </row>
    <row r="506" spans="1:29" ht="25.5" hidden="1">
      <c r="A506" s="19"/>
      <c r="B506" s="1"/>
      <c r="U506" s="719"/>
      <c r="V506" s="1"/>
      <c r="W506" s="14"/>
      <c r="X506" s="7"/>
      <c r="Y506" s="7"/>
      <c r="Z506" s="7"/>
      <c r="AA506" s="7"/>
      <c r="AB506" s="7"/>
      <c r="AC506" s="7"/>
    </row>
    <row r="507" spans="1:29" ht="25.5" hidden="1">
      <c r="A507" s="19">
        <v>124</v>
      </c>
      <c r="B507" s="1"/>
      <c r="U507" s="644"/>
      <c r="V507" s="710"/>
      <c r="W507" s="14"/>
      <c r="X507" s="7"/>
      <c r="Y507" s="7"/>
      <c r="Z507" s="7"/>
      <c r="AA507" s="7"/>
      <c r="AB507" s="7"/>
      <c r="AC507" s="7"/>
    </row>
    <row r="508" spans="1:29" ht="25.5" hidden="1">
      <c r="A508" s="19">
        <v>125</v>
      </c>
      <c r="B508" s="148"/>
      <c r="C508" s="91"/>
      <c r="D508" s="91"/>
      <c r="E508" s="91"/>
      <c r="F508" s="91"/>
      <c r="G508" s="91"/>
      <c r="H508" s="91"/>
      <c r="I508" s="91"/>
      <c r="J508" s="22"/>
      <c r="K508" s="22"/>
      <c r="L508" s="22"/>
      <c r="M508" s="22"/>
      <c r="N508" s="22"/>
      <c r="O508" s="91"/>
      <c r="P508" s="91"/>
      <c r="Q508" s="7"/>
      <c r="R508" s="94"/>
      <c r="S508" s="151"/>
      <c r="T508" s="91"/>
      <c r="U508" s="644"/>
      <c r="V508" s="710"/>
      <c r="W508" s="14"/>
      <c r="X508" s="7"/>
      <c r="Y508" s="7"/>
      <c r="Z508" s="7"/>
      <c r="AA508" s="7"/>
      <c r="AB508" s="7"/>
      <c r="AC508" s="7"/>
    </row>
    <row r="509" spans="1:29" ht="20.25" hidden="1">
      <c r="B509" s="1"/>
      <c r="U509" s="719"/>
      <c r="V509" s="1"/>
      <c r="W509" s="14"/>
      <c r="X509" s="7"/>
      <c r="Y509" s="7"/>
      <c r="Z509" s="7"/>
      <c r="AA509" s="7"/>
      <c r="AB509" s="7"/>
      <c r="AC509" s="7"/>
    </row>
    <row r="510" spans="1:29" ht="30" hidden="1" customHeight="1">
      <c r="A510" s="19">
        <v>127</v>
      </c>
      <c r="B510" s="148"/>
      <c r="C510" s="91"/>
      <c r="D510" s="91"/>
      <c r="E510" s="91"/>
      <c r="F510" s="91"/>
      <c r="G510" s="91"/>
      <c r="H510" s="91"/>
      <c r="I510" s="91"/>
      <c r="J510" s="22"/>
      <c r="K510" s="22"/>
      <c r="L510" s="22"/>
      <c r="M510" s="22"/>
      <c r="N510" s="22"/>
      <c r="O510" s="91"/>
      <c r="P510" s="91"/>
      <c r="Q510" s="7"/>
      <c r="R510" s="94"/>
      <c r="S510" s="151"/>
      <c r="T510" s="91"/>
      <c r="U510" s="644"/>
      <c r="V510" s="710"/>
      <c r="W510" s="14"/>
      <c r="X510" s="7"/>
      <c r="Y510" s="7"/>
      <c r="Z510" s="7"/>
      <c r="AA510" s="7"/>
      <c r="AB510" s="7"/>
      <c r="AC510" s="7"/>
    </row>
    <row r="511" spans="1:29" ht="25.5" hidden="1">
      <c r="A511" s="19"/>
      <c r="B511" s="148"/>
      <c r="C511" s="91"/>
      <c r="D511" s="91"/>
      <c r="E511" s="91"/>
      <c r="F511" s="91"/>
      <c r="G511" s="91"/>
      <c r="H511" s="91"/>
      <c r="I511" s="91"/>
      <c r="J511" s="22"/>
      <c r="K511" s="22"/>
      <c r="L511" s="22"/>
      <c r="M511" s="22"/>
      <c r="N511" s="22"/>
      <c r="O511" s="91"/>
      <c r="P511" s="91"/>
      <c r="Q511" s="22"/>
      <c r="R511" s="142"/>
      <c r="S511" s="151"/>
      <c r="T511" s="91"/>
      <c r="U511" s="644"/>
      <c r="V511" s="710"/>
      <c r="W511" s="14"/>
      <c r="X511" s="7"/>
      <c r="Y511" s="7"/>
      <c r="Z511" s="7"/>
      <c r="AA511" s="7"/>
      <c r="AB511" s="7"/>
      <c r="AC511" s="7"/>
    </row>
    <row r="512" spans="1:29" ht="24.75" hidden="1" customHeight="1">
      <c r="A512" s="19">
        <v>129</v>
      </c>
      <c r="U512" s="644"/>
      <c r="V512" s="710"/>
      <c r="W512" s="14"/>
      <c r="X512" s="7"/>
      <c r="Y512" s="7"/>
      <c r="Z512" s="7"/>
      <c r="AA512" s="7"/>
      <c r="AB512" s="7"/>
      <c r="AC512" s="7"/>
    </row>
    <row r="513" spans="1:29" ht="27.75" hidden="1" customHeight="1">
      <c r="A513" s="19">
        <v>130</v>
      </c>
      <c r="B513" s="1"/>
      <c r="U513" s="644"/>
      <c r="V513" s="710"/>
      <c r="W513" s="14"/>
      <c r="X513" s="7"/>
      <c r="Y513" s="7"/>
      <c r="Z513" s="7"/>
      <c r="AA513" s="7"/>
      <c r="AB513" s="7"/>
      <c r="AC513" s="7"/>
    </row>
    <row r="514" spans="1:29" ht="19.5" hidden="1" customHeight="1">
      <c r="A514" s="19">
        <v>131</v>
      </c>
      <c r="B514" s="1"/>
      <c r="U514" s="719"/>
      <c r="V514" s="1"/>
      <c r="W514" s="14"/>
      <c r="X514" s="7"/>
      <c r="Y514" s="7"/>
      <c r="Z514" s="7"/>
      <c r="AA514" s="7"/>
      <c r="AB514" s="7"/>
      <c r="AC514" s="7"/>
    </row>
    <row r="515" spans="1:29" ht="25.5" hidden="1">
      <c r="A515" s="19"/>
      <c r="B515" s="1"/>
      <c r="U515" s="719"/>
      <c r="V515" s="1"/>
      <c r="W515" s="14"/>
      <c r="X515" s="7"/>
      <c r="Y515" s="7"/>
      <c r="Z515" s="7"/>
      <c r="AA515" s="7"/>
      <c r="AB515" s="7"/>
      <c r="AC515" s="7"/>
    </row>
    <row r="516" spans="1:29" ht="25.5" hidden="1">
      <c r="A516" s="19">
        <v>132</v>
      </c>
      <c r="U516" s="644"/>
      <c r="V516" s="710"/>
      <c r="W516" s="14"/>
      <c r="X516" s="7"/>
      <c r="Y516" s="7"/>
      <c r="Z516" s="7"/>
      <c r="AA516" s="7"/>
      <c r="AB516" s="7"/>
      <c r="AC516" s="7"/>
    </row>
    <row r="517" spans="1:29" ht="102" hidden="1">
      <c r="A517" s="19" t="s">
        <v>500</v>
      </c>
      <c r="U517" s="644"/>
      <c r="V517" s="710"/>
      <c r="W517" s="14"/>
      <c r="X517" s="7"/>
      <c r="Y517" s="7"/>
      <c r="Z517" s="7"/>
      <c r="AA517" s="7"/>
      <c r="AB517" s="7"/>
      <c r="AC517" s="7"/>
    </row>
    <row r="518" spans="1:29" ht="27" hidden="1">
      <c r="A518" s="135">
        <v>133</v>
      </c>
      <c r="B518" s="1"/>
      <c r="U518" s="719"/>
      <c r="V518" s="1"/>
      <c r="W518" s="14">
        <v>144.63999999999999</v>
      </c>
      <c r="X518" s="240">
        <v>166.05</v>
      </c>
      <c r="Y518" s="7"/>
      <c r="Z518" s="7"/>
      <c r="AA518" s="7"/>
      <c r="AB518" s="7"/>
      <c r="AC518" s="7"/>
    </row>
    <row r="519" spans="1:29" ht="25.5" hidden="1">
      <c r="A519" s="19">
        <v>134</v>
      </c>
      <c r="B519" s="1"/>
      <c r="U519" s="719"/>
      <c r="V519" s="1"/>
      <c r="W519" s="14"/>
      <c r="X519" s="7"/>
      <c r="Y519" s="7"/>
      <c r="Z519" s="7"/>
      <c r="AA519" s="7"/>
      <c r="AB519" s="7"/>
      <c r="AC519" s="7"/>
    </row>
    <row r="520" spans="1:29" ht="34.5" hidden="1" customHeight="1">
      <c r="A520" s="19" t="s">
        <v>501</v>
      </c>
      <c r="B520" s="1"/>
      <c r="U520" s="719"/>
      <c r="V520" s="1"/>
      <c r="W520" s="14"/>
      <c r="X520" s="7"/>
      <c r="Y520" s="7"/>
      <c r="Z520" s="7"/>
      <c r="AA520" s="7"/>
      <c r="AB520" s="7"/>
      <c r="AC520" s="7"/>
    </row>
    <row r="521" spans="1:29" ht="25.5" hidden="1" customHeight="1">
      <c r="A521" s="19" t="s">
        <v>502</v>
      </c>
      <c r="B521" s="1"/>
      <c r="U521" s="719"/>
      <c r="V521" s="1"/>
      <c r="W521" s="14"/>
      <c r="X521" s="7"/>
      <c r="Y521" s="7"/>
      <c r="Z521" s="7"/>
      <c r="AA521" s="7"/>
      <c r="AB521" s="7"/>
      <c r="AC521" s="7"/>
    </row>
    <row r="522" spans="1:29" ht="34.5" hidden="1" customHeight="1">
      <c r="A522" s="19" t="s">
        <v>503</v>
      </c>
      <c r="B522" s="148"/>
      <c r="C522" s="124"/>
      <c r="D522" s="124"/>
      <c r="E522" s="124"/>
      <c r="F522" s="124"/>
      <c r="G522" s="124"/>
      <c r="H522" s="124"/>
      <c r="I522" s="124"/>
      <c r="J522" s="126"/>
      <c r="K522" s="126"/>
      <c r="L522" s="126"/>
      <c r="M522" s="126"/>
      <c r="N522" s="126"/>
      <c r="O522" s="241"/>
      <c r="P522" s="241"/>
      <c r="Q522" s="7"/>
      <c r="R522" s="242"/>
      <c r="S522" s="140"/>
      <c r="T522" s="124"/>
      <c r="U522" s="717"/>
      <c r="V522" s="128"/>
      <c r="W522" s="14"/>
      <c r="X522" s="7"/>
      <c r="Y522" s="7"/>
      <c r="Z522" s="7"/>
      <c r="AA522" s="7"/>
      <c r="AB522" s="7"/>
      <c r="AC522" s="7"/>
    </row>
    <row r="523" spans="1:29" ht="102" hidden="1">
      <c r="A523" s="19" t="s">
        <v>504</v>
      </c>
      <c r="B523" s="1"/>
      <c r="U523" s="719"/>
      <c r="V523" s="1"/>
      <c r="W523" s="14"/>
      <c r="X523" s="7"/>
      <c r="Y523" s="7"/>
      <c r="Z523" s="7"/>
      <c r="AA523" s="7"/>
      <c r="AB523" s="7"/>
      <c r="AC523" s="7"/>
    </row>
    <row r="524" spans="1:29" ht="26.25" hidden="1">
      <c r="A524" s="19"/>
      <c r="B524" s="243"/>
      <c r="C524" s="124"/>
      <c r="D524" s="91"/>
      <c r="E524" s="124"/>
      <c r="F524" s="124"/>
      <c r="G524" s="124"/>
      <c r="H524" s="124"/>
      <c r="I524" s="124"/>
      <c r="J524" s="244"/>
      <c r="K524" s="244"/>
      <c r="L524" s="244"/>
      <c r="M524" s="244"/>
      <c r="N524" s="244"/>
      <c r="O524" s="115"/>
      <c r="P524" s="115"/>
      <c r="Q524" s="245"/>
      <c r="R524" s="246"/>
      <c r="S524" s="140"/>
      <c r="T524" s="124"/>
      <c r="U524" s="717"/>
      <c r="V524" s="128"/>
      <c r="W524" s="14"/>
      <c r="X524" s="7"/>
      <c r="Y524" s="7"/>
      <c r="Z524" s="7"/>
      <c r="AA524" s="7"/>
      <c r="AB524" s="7"/>
      <c r="AC524" s="7"/>
    </row>
    <row r="525" spans="1:29" ht="26.25" hidden="1">
      <c r="A525" s="135">
        <v>135</v>
      </c>
      <c r="B525" s="1"/>
      <c r="U525" s="719"/>
      <c r="V525" s="1"/>
      <c r="W525" s="14">
        <v>1687</v>
      </c>
      <c r="X525" s="48">
        <v>1800</v>
      </c>
      <c r="Y525" s="48">
        <v>60</v>
      </c>
      <c r="Z525" s="48">
        <f>(X525-W525)*Y525</f>
        <v>6780</v>
      </c>
      <c r="AA525" s="48"/>
      <c r="AB525" s="7"/>
      <c r="AC525" s="7"/>
    </row>
    <row r="526" spans="1:29" ht="30" hidden="1" customHeight="1">
      <c r="A526" s="19" t="s">
        <v>505</v>
      </c>
      <c r="B526" s="1"/>
      <c r="U526" s="644"/>
      <c r="V526" s="710"/>
      <c r="W526" s="14"/>
      <c r="X526" s="7"/>
      <c r="Y526" s="7"/>
      <c r="Z526" s="7"/>
      <c r="AA526" s="7"/>
      <c r="AB526" s="7"/>
      <c r="AC526" s="7"/>
    </row>
    <row r="527" spans="1:29" ht="30" hidden="1" customHeight="1">
      <c r="A527" s="19" t="s">
        <v>506</v>
      </c>
      <c r="U527" s="644"/>
      <c r="V527" s="710"/>
      <c r="W527" s="14"/>
      <c r="X527" s="7"/>
      <c r="Y527" s="7"/>
      <c r="Z527" s="7"/>
      <c r="AA527" s="7"/>
      <c r="AB527" s="7"/>
      <c r="AC527" s="7"/>
    </row>
    <row r="528" spans="1:29" ht="30" hidden="1" customHeight="1">
      <c r="A528" s="19" t="s">
        <v>507</v>
      </c>
      <c r="U528" s="644"/>
      <c r="V528" s="710"/>
      <c r="W528" s="14"/>
      <c r="X528" s="7"/>
      <c r="Y528" s="7"/>
      <c r="Z528" s="7"/>
      <c r="AA528" s="7"/>
      <c r="AB528" s="7"/>
      <c r="AC528" s="7"/>
    </row>
    <row r="529" spans="1:29" ht="30" hidden="1" customHeight="1">
      <c r="A529" s="19" t="s">
        <v>508</v>
      </c>
      <c r="U529" s="644"/>
      <c r="V529" s="710"/>
      <c r="W529" s="14"/>
      <c r="X529" s="7"/>
      <c r="Y529" s="7"/>
      <c r="Z529" s="7"/>
      <c r="AA529" s="7"/>
      <c r="AB529" s="7"/>
      <c r="AC529" s="7"/>
    </row>
    <row r="530" spans="1:29" ht="30" hidden="1" customHeight="1">
      <c r="A530" s="19" t="s">
        <v>509</v>
      </c>
      <c r="U530" s="644"/>
      <c r="V530" s="710"/>
      <c r="W530" s="14"/>
      <c r="X530" s="7"/>
      <c r="Y530" s="7"/>
      <c r="Z530" s="7"/>
      <c r="AA530" s="7"/>
      <c r="AB530" s="7"/>
      <c r="AC530" s="7"/>
    </row>
    <row r="531" spans="1:29" ht="30" hidden="1" customHeight="1">
      <c r="A531" s="19" t="s">
        <v>510</v>
      </c>
      <c r="U531" s="644"/>
      <c r="V531" s="710"/>
      <c r="W531" s="14"/>
      <c r="X531" s="7"/>
      <c r="Y531" s="7"/>
      <c r="Z531" s="7"/>
      <c r="AA531" s="7"/>
      <c r="AB531" s="7"/>
      <c r="AC531" s="7"/>
    </row>
    <row r="532" spans="1:29" ht="30" hidden="1" customHeight="1">
      <c r="A532" s="19" t="s">
        <v>511</v>
      </c>
      <c r="U532" s="644"/>
      <c r="V532" s="710"/>
      <c r="W532" s="14"/>
      <c r="X532" s="7"/>
      <c r="Y532" s="7"/>
      <c r="Z532" s="7"/>
      <c r="AA532" s="7"/>
      <c r="AB532" s="7"/>
      <c r="AC532" s="7"/>
    </row>
    <row r="533" spans="1:29" ht="30" hidden="1" customHeight="1">
      <c r="A533" s="19" t="s">
        <v>512</v>
      </c>
      <c r="U533" s="644"/>
      <c r="V533" s="710"/>
      <c r="W533" s="14"/>
      <c r="X533" s="7"/>
      <c r="Y533" s="7"/>
      <c r="Z533" s="7"/>
      <c r="AA533" s="7"/>
      <c r="AB533" s="7"/>
      <c r="AC533" s="7"/>
    </row>
    <row r="534" spans="1:29" ht="30" hidden="1" customHeight="1">
      <c r="A534" s="19" t="s">
        <v>513</v>
      </c>
      <c r="U534" s="644"/>
      <c r="V534" s="710"/>
      <c r="W534" s="14"/>
      <c r="X534" s="7"/>
      <c r="Y534" s="7"/>
      <c r="Z534" s="7"/>
      <c r="AA534" s="7"/>
      <c r="AB534" s="7"/>
      <c r="AC534" s="7"/>
    </row>
    <row r="535" spans="1:29" ht="28.5" hidden="1" customHeight="1">
      <c r="A535" s="19" t="s">
        <v>514</v>
      </c>
      <c r="U535" s="644"/>
      <c r="V535" s="710"/>
      <c r="W535" s="14"/>
      <c r="X535" s="7"/>
      <c r="Y535" s="7"/>
      <c r="Z535" s="7"/>
      <c r="AA535" s="7"/>
      <c r="AB535" s="7"/>
      <c r="AC535" s="7"/>
    </row>
    <row r="536" spans="1:29" ht="28.5" hidden="1" customHeight="1">
      <c r="A536" s="19"/>
      <c r="B536" s="148"/>
      <c r="C536" s="91"/>
      <c r="D536" s="91"/>
      <c r="E536" s="91"/>
      <c r="F536" s="91"/>
      <c r="G536" s="91"/>
      <c r="H536" s="91"/>
      <c r="I536" s="91"/>
      <c r="J536" s="22"/>
      <c r="K536" s="22"/>
      <c r="L536" s="22"/>
      <c r="M536" s="22"/>
      <c r="N536" s="22"/>
      <c r="O536" s="91"/>
      <c r="P536" s="91"/>
      <c r="Q536" s="7"/>
      <c r="R536" s="94"/>
      <c r="S536" s="151"/>
      <c r="T536" s="91"/>
      <c r="U536" s="644"/>
      <c r="V536" s="710"/>
      <c r="W536" s="14"/>
      <c r="X536" s="7"/>
      <c r="Y536" s="7"/>
      <c r="Z536" s="7"/>
      <c r="AA536" s="7"/>
      <c r="AB536" s="7"/>
      <c r="AC536" s="7"/>
    </row>
    <row r="537" spans="1:29" ht="25.5" hidden="1">
      <c r="A537" s="19">
        <v>137</v>
      </c>
      <c r="B537" s="1"/>
      <c r="U537" s="719"/>
      <c r="V537" s="1"/>
      <c r="W537" s="14"/>
      <c r="X537" s="7"/>
      <c r="Y537" s="7"/>
      <c r="Z537" s="7"/>
      <c r="AA537" s="7"/>
      <c r="AB537" s="7"/>
      <c r="AC537" s="7"/>
    </row>
    <row r="538" spans="1:29" ht="26.25" hidden="1" customHeight="1">
      <c r="A538" s="19">
        <v>138</v>
      </c>
      <c r="B538" s="1"/>
      <c r="U538" s="644"/>
      <c r="V538" s="710"/>
      <c r="W538" s="14"/>
      <c r="X538" s="7"/>
      <c r="Y538" s="7"/>
      <c r="Z538" s="7"/>
      <c r="AA538" s="7"/>
      <c r="AB538" s="7"/>
      <c r="AC538" s="7"/>
    </row>
    <row r="539" spans="1:29" ht="48" hidden="1" customHeight="1">
      <c r="A539" s="19">
        <v>139</v>
      </c>
      <c r="B539" s="1"/>
      <c r="U539" s="719"/>
      <c r="V539" s="1"/>
      <c r="W539" s="14"/>
      <c r="X539" s="7"/>
      <c r="Y539" s="7"/>
      <c r="Z539" s="7"/>
      <c r="AA539" s="7"/>
      <c r="AB539" s="7"/>
      <c r="AC539" s="7"/>
    </row>
    <row r="540" spans="1:29" ht="30" hidden="1" customHeight="1">
      <c r="A540" s="19" t="s">
        <v>515</v>
      </c>
      <c r="B540" s="1"/>
      <c r="U540" s="719"/>
      <c r="V540" s="1"/>
      <c r="W540" s="14"/>
      <c r="X540" s="7"/>
      <c r="Y540" s="7"/>
      <c r="Z540" s="7"/>
      <c r="AA540" s="7"/>
      <c r="AB540" s="7"/>
      <c r="AC540" s="7"/>
    </row>
    <row r="541" spans="1:29" ht="31.5" hidden="1" customHeight="1">
      <c r="A541" s="19">
        <v>140</v>
      </c>
      <c r="U541" s="644"/>
      <c r="V541" s="710"/>
      <c r="W541" s="14"/>
      <c r="X541" s="7"/>
      <c r="Y541" s="7"/>
      <c r="Z541" s="7"/>
      <c r="AA541" s="7"/>
      <c r="AB541" s="7"/>
      <c r="AC541" s="7"/>
    </row>
    <row r="542" spans="1:29" ht="28.5" hidden="1" customHeight="1">
      <c r="A542" s="19">
        <v>141</v>
      </c>
      <c r="B542" s="1"/>
      <c r="U542" s="719"/>
      <c r="V542" s="1"/>
      <c r="W542" s="14"/>
      <c r="X542" s="7"/>
      <c r="Y542" s="7"/>
      <c r="Z542" s="7"/>
      <c r="AA542" s="7"/>
      <c r="AB542" s="7"/>
      <c r="AC542" s="7"/>
    </row>
    <row r="543" spans="1:29" ht="25.5" hidden="1">
      <c r="A543" s="19">
        <v>142</v>
      </c>
      <c r="B543" s="1"/>
      <c r="U543" s="719"/>
      <c r="V543" s="1"/>
      <c r="W543" s="14"/>
      <c r="X543" s="7"/>
      <c r="Y543" s="7"/>
      <c r="Z543" s="7"/>
      <c r="AA543" s="7"/>
      <c r="AB543" s="7"/>
      <c r="AC543" s="7"/>
    </row>
    <row r="544" spans="1:29" ht="25.5" hidden="1">
      <c r="A544" s="19">
        <v>143</v>
      </c>
      <c r="B544" s="1"/>
      <c r="U544" s="644"/>
      <c r="V544" s="710"/>
      <c r="W544" s="14"/>
      <c r="X544" s="7"/>
      <c r="Y544" s="7"/>
      <c r="Z544" s="105"/>
      <c r="AA544" s="244"/>
      <c r="AB544" s="244"/>
      <c r="AC544" s="7"/>
    </row>
    <row r="545" spans="1:29" ht="30" hidden="1" customHeight="1">
      <c r="A545" s="19">
        <v>144</v>
      </c>
      <c r="B545" s="1"/>
      <c r="U545" s="644"/>
      <c r="V545" s="710"/>
      <c r="W545" s="14"/>
      <c r="X545" s="7"/>
      <c r="Y545" s="7"/>
      <c r="Z545" s="7"/>
      <c r="AA545" s="7"/>
      <c r="AB545" s="7"/>
      <c r="AC545" s="7"/>
    </row>
    <row r="546" spans="1:29" ht="25.5" hidden="1">
      <c r="A546" s="19">
        <v>145</v>
      </c>
      <c r="U546" s="644"/>
      <c r="V546" s="710"/>
      <c r="W546" s="14"/>
      <c r="X546" s="7"/>
      <c r="Y546" s="7"/>
      <c r="Z546" s="7"/>
      <c r="AA546" s="7"/>
      <c r="AB546" s="7"/>
      <c r="AC546" s="7"/>
    </row>
    <row r="547" spans="1:29" ht="25.5" hidden="1">
      <c r="A547" s="19">
        <v>146</v>
      </c>
      <c r="B547" s="148"/>
      <c r="C547" s="91"/>
      <c r="D547" s="91"/>
      <c r="E547" s="91"/>
      <c r="F547" s="91"/>
      <c r="G547" s="91"/>
      <c r="H547" s="91"/>
      <c r="I547" s="91"/>
      <c r="J547" s="22"/>
      <c r="K547" s="22"/>
      <c r="L547" s="22"/>
      <c r="M547" s="22"/>
      <c r="N547" s="22"/>
      <c r="O547" s="91"/>
      <c r="P547" s="91"/>
      <c r="Q547" s="149"/>
      <c r="R547" s="161"/>
      <c r="S547" s="151"/>
      <c r="T547" s="91">
        <f>(P547-O547)*S547</f>
        <v>0</v>
      </c>
      <c r="U547" s="644"/>
      <c r="V547" s="710"/>
      <c r="W547" s="134"/>
      <c r="X547" s="7"/>
      <c r="Y547" s="7"/>
      <c r="Z547" s="7"/>
      <c r="AA547" s="7"/>
      <c r="AB547" s="7"/>
      <c r="AC547" s="7"/>
    </row>
    <row r="548" spans="1:29" ht="25.5" hidden="1">
      <c r="A548" s="19">
        <v>147</v>
      </c>
      <c r="B548" s="1"/>
      <c r="U548" s="644"/>
      <c r="V548" s="710"/>
      <c r="W548" s="14"/>
      <c r="X548" s="7"/>
      <c r="Y548" s="7"/>
      <c r="Z548" s="7"/>
      <c r="AA548" s="7"/>
      <c r="AB548" s="7"/>
      <c r="AC548" s="7"/>
    </row>
    <row r="549" spans="1:29" ht="102" hidden="1">
      <c r="A549" s="19" t="s">
        <v>516</v>
      </c>
      <c r="U549" s="644"/>
      <c r="V549" s="710"/>
      <c r="W549" s="14"/>
      <c r="X549" s="7"/>
      <c r="Y549" s="7"/>
      <c r="Z549" s="7"/>
      <c r="AA549" s="7"/>
      <c r="AB549" s="7"/>
      <c r="AC549" s="7"/>
    </row>
    <row r="550" spans="1:29" ht="25.5" hidden="1">
      <c r="A550" s="19">
        <v>148</v>
      </c>
      <c r="U550" s="644"/>
      <c r="V550" s="710"/>
      <c r="W550" s="14"/>
      <c r="X550" s="7"/>
      <c r="Y550" s="7"/>
      <c r="Z550" s="7"/>
      <c r="AA550" s="7"/>
      <c r="AB550" s="7"/>
      <c r="AC550" s="7"/>
    </row>
    <row r="551" spans="1:29" ht="102" hidden="1">
      <c r="A551" s="19" t="s">
        <v>517</v>
      </c>
      <c r="B551" s="148"/>
      <c r="C551" s="91"/>
      <c r="D551" s="91"/>
      <c r="E551" s="91"/>
      <c r="F551" s="91"/>
      <c r="G551" s="91"/>
      <c r="H551" s="91"/>
      <c r="I551" s="91"/>
      <c r="J551" s="22"/>
      <c r="K551" s="22"/>
      <c r="L551" s="22"/>
      <c r="M551" s="22"/>
      <c r="N551" s="22"/>
      <c r="O551" s="91"/>
      <c r="P551" s="91"/>
      <c r="Q551" s="149"/>
      <c r="R551" s="161"/>
      <c r="S551" s="151"/>
      <c r="T551" s="91">
        <f>(P551-O551)*S551</f>
        <v>0</v>
      </c>
      <c r="U551" s="644"/>
      <c r="V551" s="710"/>
      <c r="W551" s="14"/>
      <c r="X551" s="244"/>
      <c r="Y551" s="244"/>
      <c r="Z551" s="7"/>
      <c r="AA551" s="7"/>
      <c r="AB551" s="7"/>
      <c r="AC551" s="7"/>
    </row>
    <row r="552" spans="1:29" ht="25.5" hidden="1">
      <c r="A552" s="19">
        <v>149</v>
      </c>
      <c r="B552" s="148"/>
      <c r="C552" s="91"/>
      <c r="D552" s="91"/>
      <c r="E552" s="91"/>
      <c r="F552" s="91"/>
      <c r="G552" s="91"/>
      <c r="H552" s="91"/>
      <c r="I552" s="91"/>
      <c r="J552" s="22"/>
      <c r="K552" s="22"/>
      <c r="L552" s="22"/>
      <c r="M552" s="22"/>
      <c r="N552" s="22"/>
      <c r="O552" s="91"/>
      <c r="P552" s="91"/>
      <c r="Q552" s="149"/>
      <c r="R552" s="161"/>
      <c r="S552" s="151"/>
      <c r="T552" s="91">
        <f>(P552-O552)*S552</f>
        <v>0</v>
      </c>
      <c r="U552" s="644"/>
      <c r="V552" s="710"/>
      <c r="W552" s="14"/>
      <c r="X552" s="7"/>
      <c r="Y552" s="7"/>
      <c r="Z552" s="7"/>
      <c r="AA552" s="7"/>
      <c r="AB552" s="7"/>
      <c r="AC552" s="7"/>
    </row>
    <row r="553" spans="1:29" ht="20.25" hidden="1" customHeight="1">
      <c r="A553" s="19">
        <v>150</v>
      </c>
      <c r="B553" s="148"/>
      <c r="C553" s="91"/>
      <c r="D553" s="91"/>
      <c r="E553" s="91"/>
      <c r="F553" s="91"/>
      <c r="G553" s="91"/>
      <c r="H553" s="91"/>
      <c r="I553" s="91"/>
      <c r="J553" s="22"/>
      <c r="K553" s="22"/>
      <c r="L553" s="22"/>
      <c r="M553" s="22"/>
      <c r="N553" s="22"/>
      <c r="O553" s="115"/>
      <c r="P553" s="115"/>
      <c r="Q553" s="149"/>
      <c r="R553" s="247"/>
      <c r="S553" s="248"/>
      <c r="T553" s="91">
        <f>(P553-O553)*S553</f>
        <v>0</v>
      </c>
      <c r="U553" s="644"/>
      <c r="V553" s="710"/>
      <c r="W553" s="134"/>
      <c r="X553" s="7"/>
      <c r="Y553" s="7"/>
      <c r="Z553" s="7"/>
      <c r="AA553" s="7"/>
      <c r="AB553" s="7"/>
      <c r="AC553" s="7"/>
    </row>
    <row r="554" spans="1:29" ht="25.5" hidden="1">
      <c r="A554" s="19">
        <v>151</v>
      </c>
      <c r="U554" s="644"/>
      <c r="V554" s="710"/>
      <c r="W554" s="14"/>
      <c r="X554" s="7"/>
      <c r="Y554" s="7"/>
      <c r="Z554" s="7"/>
      <c r="AA554" s="7"/>
      <c r="AB554" s="7"/>
      <c r="AC554" s="7"/>
    </row>
    <row r="555" spans="1:29" ht="102" hidden="1">
      <c r="A555" s="19" t="s">
        <v>518</v>
      </c>
      <c r="U555" s="644"/>
      <c r="V555" s="710"/>
      <c r="W555" s="134"/>
      <c r="X555" s="7"/>
      <c r="Y555" s="7"/>
      <c r="Z555" s="7"/>
      <c r="AA555" s="7"/>
      <c r="AB555" s="7"/>
      <c r="AC555" s="7"/>
    </row>
    <row r="556" spans="1:29" ht="102" hidden="1">
      <c r="A556" s="19" t="s">
        <v>519</v>
      </c>
      <c r="B556" s="1"/>
      <c r="U556" s="644"/>
      <c r="V556" s="710"/>
      <c r="W556" s="14"/>
      <c r="X556" s="7"/>
      <c r="Y556" s="7"/>
      <c r="Z556" s="7"/>
      <c r="AA556" s="7"/>
      <c r="AB556" s="7"/>
      <c r="AC556" s="7"/>
    </row>
    <row r="557" spans="1:29" ht="26.25" hidden="1">
      <c r="A557" s="231">
        <v>152</v>
      </c>
      <c r="B557" s="1"/>
      <c r="U557" s="719"/>
      <c r="V557" s="1"/>
      <c r="W557" s="14"/>
      <c r="X557" s="7"/>
      <c r="Y557" s="7"/>
      <c r="Z557" s="7"/>
      <c r="AA557" s="7"/>
      <c r="AB557" s="7"/>
      <c r="AC557" s="7"/>
    </row>
    <row r="558" spans="1:29" ht="28.5" hidden="1" customHeight="1">
      <c r="A558" s="19">
        <v>153</v>
      </c>
      <c r="U558" s="644"/>
      <c r="V558" s="710"/>
      <c r="W558" s="14"/>
      <c r="X558" s="7"/>
      <c r="Y558" s="7"/>
      <c r="Z558" s="7"/>
      <c r="AA558" s="7"/>
      <c r="AB558" s="7"/>
      <c r="AC558" s="7"/>
    </row>
    <row r="559" spans="1:29" ht="25.5" hidden="1">
      <c r="A559" s="19">
        <v>154</v>
      </c>
      <c r="B559" s="1"/>
      <c r="U559" s="644"/>
      <c r="V559" s="710"/>
      <c r="W559" s="14"/>
      <c r="X559" s="7"/>
      <c r="Y559" s="7"/>
      <c r="Z559" s="7"/>
      <c r="AA559" s="7"/>
      <c r="AB559" s="7"/>
      <c r="AC559" s="7"/>
    </row>
    <row r="560" spans="1:29" ht="25.5" hidden="1">
      <c r="A560" s="19">
        <v>155</v>
      </c>
      <c r="B560" s="1"/>
      <c r="U560" s="719"/>
      <c r="V560" s="1"/>
      <c r="W560" s="14"/>
      <c r="X560" s="7"/>
      <c r="Y560" s="7"/>
      <c r="Z560" s="7"/>
      <c r="AA560" s="7"/>
      <c r="AB560" s="7"/>
      <c r="AC560" s="7"/>
    </row>
    <row r="561" spans="1:29" ht="25.5" hidden="1">
      <c r="A561" s="19">
        <v>156</v>
      </c>
      <c r="B561" s="1"/>
      <c r="U561" s="719"/>
      <c r="V561" s="1"/>
      <c r="W561" s="14"/>
      <c r="X561" s="7"/>
      <c r="Y561" s="7"/>
      <c r="Z561" s="7"/>
      <c r="AA561" s="7"/>
      <c r="AB561" s="7"/>
      <c r="AC561" s="7"/>
    </row>
    <row r="562" spans="1:29" ht="25.5" hidden="1">
      <c r="A562" s="19"/>
      <c r="B562" s="1"/>
      <c r="U562" s="719"/>
      <c r="V562" s="1"/>
      <c r="W562" s="14"/>
      <c r="X562" s="7"/>
      <c r="Y562" s="7"/>
      <c r="Z562" s="7"/>
      <c r="AA562" s="7"/>
      <c r="AB562" s="7"/>
      <c r="AC562" s="7"/>
    </row>
    <row r="563" spans="1:29" ht="25.5" hidden="1">
      <c r="A563" s="19"/>
      <c r="B563" s="1"/>
      <c r="U563" s="719"/>
      <c r="V563" s="1"/>
      <c r="W563" s="14" t="s">
        <v>520</v>
      </c>
      <c r="X563" s="7"/>
      <c r="Y563" s="7"/>
      <c r="Z563" s="7"/>
      <c r="AA563" s="7"/>
      <c r="AB563" s="7"/>
      <c r="AC563" s="7"/>
    </row>
    <row r="564" spans="1:29" ht="25.5" hidden="1">
      <c r="A564" s="19"/>
      <c r="B564" s="1"/>
      <c r="U564" s="719"/>
      <c r="V564" s="1"/>
      <c r="W564" s="14"/>
      <c r="X564" s="7"/>
      <c r="Y564" s="7"/>
      <c r="Z564" s="7"/>
      <c r="AA564" s="7"/>
      <c r="AB564" s="7"/>
      <c r="AC564" s="7"/>
    </row>
    <row r="565" spans="1:29" ht="25.5" hidden="1">
      <c r="A565" s="19"/>
      <c r="B565" s="1"/>
      <c r="U565" s="719"/>
      <c r="V565" s="1"/>
      <c r="W565" s="14" t="s">
        <v>521</v>
      </c>
      <c r="X565" s="7"/>
      <c r="Y565" s="7"/>
      <c r="Z565" s="7"/>
      <c r="AA565" s="7"/>
      <c r="AB565" s="7"/>
      <c r="AC565" s="7"/>
    </row>
    <row r="566" spans="1:29" ht="25.5" hidden="1">
      <c r="A566" s="19"/>
      <c r="B566" s="1"/>
      <c r="U566" s="719"/>
      <c r="V566" s="1"/>
      <c r="W566" s="14" t="s">
        <v>522</v>
      </c>
      <c r="X566" s="7"/>
      <c r="Y566" s="7"/>
      <c r="Z566" s="7"/>
      <c r="AA566" s="7"/>
      <c r="AB566" s="7"/>
      <c r="AC566" s="7"/>
    </row>
    <row r="567" spans="1:29" ht="25.5" hidden="1">
      <c r="A567" s="19"/>
      <c r="B567" s="1"/>
      <c r="U567" s="719"/>
      <c r="V567" s="1"/>
      <c r="W567" s="14">
        <v>9462</v>
      </c>
      <c r="X567" s="7"/>
      <c r="Y567" s="7"/>
      <c r="Z567" s="7"/>
      <c r="AA567" s="7"/>
      <c r="AB567" s="7"/>
      <c r="AC567" s="7"/>
    </row>
    <row r="568" spans="1:29" ht="25.5" hidden="1">
      <c r="A568" s="19"/>
      <c r="B568" s="1"/>
      <c r="U568" s="719"/>
      <c r="V568" s="1"/>
      <c r="W568" s="14">
        <v>6899</v>
      </c>
      <c r="X568" s="48">
        <v>7486</v>
      </c>
      <c r="Y568" s="7"/>
      <c r="Z568" s="7"/>
      <c r="AA568" s="7"/>
      <c r="AB568" s="7"/>
      <c r="AC568" s="7"/>
    </row>
    <row r="569" spans="1:29" ht="26.25" hidden="1">
      <c r="A569" s="231">
        <v>157</v>
      </c>
      <c r="B569" s="90"/>
      <c r="C569" s="91"/>
      <c r="D569" s="115"/>
      <c r="E569" s="115"/>
      <c r="F569" s="249"/>
      <c r="G569" s="115"/>
      <c r="H569" s="115"/>
      <c r="I569" s="115"/>
      <c r="J569" s="22"/>
      <c r="K569" s="22"/>
      <c r="L569" s="22"/>
      <c r="M569" s="22"/>
      <c r="N569" s="22"/>
      <c r="O569" s="91"/>
      <c r="P569" s="91"/>
      <c r="Q569" s="7"/>
      <c r="R569" s="94"/>
      <c r="S569" s="151"/>
      <c r="T569" s="91"/>
      <c r="U569" s="644"/>
      <c r="V569" s="710"/>
      <c r="W569" s="14"/>
      <c r="X569" s="7"/>
      <c r="Y569" s="7"/>
      <c r="Z569" s="7"/>
      <c r="AA569" s="7"/>
      <c r="AB569" s="7"/>
      <c r="AC569" s="7"/>
    </row>
    <row r="570" spans="1:29" ht="25.5" hidden="1">
      <c r="A570" s="19">
        <v>158</v>
      </c>
      <c r="U570" s="644"/>
      <c r="V570" s="710"/>
      <c r="W570" s="14"/>
      <c r="X570" s="7"/>
      <c r="Y570" s="7"/>
      <c r="Z570" s="7"/>
      <c r="AA570" s="7"/>
      <c r="AB570" s="7"/>
      <c r="AC570" s="7"/>
    </row>
    <row r="571" spans="1:29" ht="26.25" hidden="1">
      <c r="A571" s="19"/>
      <c r="B571" s="148"/>
      <c r="C571" s="91"/>
      <c r="D571" s="91"/>
      <c r="E571" s="91"/>
      <c r="F571" s="91"/>
      <c r="G571" s="91"/>
      <c r="H571" s="91"/>
      <c r="I571" s="115"/>
      <c r="J571" s="22"/>
      <c r="K571" s="22"/>
      <c r="L571" s="22"/>
      <c r="M571" s="22"/>
      <c r="N571" s="22"/>
      <c r="O571" s="91"/>
      <c r="P571" s="91"/>
      <c r="Q571" s="22"/>
      <c r="R571" s="142"/>
      <c r="S571" s="151"/>
      <c r="T571" s="91"/>
      <c r="U571" s="644"/>
      <c r="V571" s="710"/>
      <c r="W571" s="14"/>
      <c r="X571" s="7"/>
      <c r="Y571" s="7"/>
      <c r="Z571" s="7"/>
      <c r="AA571" s="7"/>
      <c r="AB571" s="7"/>
      <c r="AC571" s="7"/>
    </row>
    <row r="572" spans="1:29" ht="25.5" hidden="1">
      <c r="A572" s="19">
        <v>160</v>
      </c>
      <c r="B572" s="1"/>
      <c r="U572" s="644"/>
      <c r="V572" s="710"/>
      <c r="W572" s="14"/>
      <c r="X572" s="7"/>
      <c r="Y572" s="7"/>
      <c r="Z572" s="7"/>
      <c r="AA572" s="7"/>
      <c r="AB572" s="7"/>
      <c r="AC572" s="7"/>
    </row>
    <row r="573" spans="1:29" ht="25.5" hidden="1">
      <c r="A573" s="19">
        <v>161</v>
      </c>
      <c r="B573" s="1"/>
      <c r="U573" s="719"/>
      <c r="V573" s="1"/>
      <c r="W573" s="14"/>
      <c r="X573" s="7"/>
      <c r="Y573" s="7"/>
      <c r="Z573" s="7"/>
      <c r="AA573" s="7"/>
      <c r="AB573" s="7"/>
      <c r="AC573" s="7"/>
    </row>
    <row r="574" spans="1:29" ht="20.25" hidden="1" customHeight="1">
      <c r="A574" s="19">
        <v>163</v>
      </c>
      <c r="B574" s="1"/>
      <c r="U574" s="719"/>
      <c r="V574" s="1"/>
      <c r="W574" s="14" t="s">
        <v>523</v>
      </c>
      <c r="X574" s="7"/>
      <c r="Y574" s="7"/>
      <c r="Z574" s="7"/>
      <c r="AA574" s="7"/>
      <c r="AB574" s="7"/>
      <c r="AC574" s="7"/>
    </row>
    <row r="575" spans="1:29" ht="26.25" hidden="1">
      <c r="A575" s="19"/>
      <c r="B575" s="148"/>
      <c r="C575" s="91"/>
      <c r="D575" s="91"/>
      <c r="E575" s="91"/>
      <c r="F575" s="250"/>
      <c r="G575" s="251"/>
      <c r="H575" s="91"/>
      <c r="I575" s="115"/>
      <c r="J575" s="22"/>
      <c r="K575" s="22"/>
      <c r="L575" s="22"/>
      <c r="M575" s="22"/>
      <c r="N575" s="22"/>
      <c r="O575" s="91"/>
      <c r="P575" s="91"/>
      <c r="Q575" s="22"/>
      <c r="R575" s="142"/>
      <c r="S575" s="151"/>
      <c r="T575" s="91"/>
      <c r="U575" s="644"/>
      <c r="V575" s="710"/>
      <c r="W575" s="14"/>
      <c r="X575" s="7"/>
      <c r="Y575" s="7"/>
      <c r="Z575" s="7"/>
      <c r="AA575" s="7"/>
      <c r="AB575" s="7"/>
      <c r="AC575" s="7"/>
    </row>
    <row r="576" spans="1:29" ht="25.5" hidden="1">
      <c r="A576" s="19">
        <v>164</v>
      </c>
      <c r="U576" s="644"/>
      <c r="V576" s="710"/>
      <c r="W576" s="14"/>
      <c r="X576" s="7"/>
      <c r="Y576" s="7"/>
      <c r="Z576" s="7"/>
      <c r="AA576" s="7"/>
      <c r="AB576" s="7"/>
      <c r="AC576" s="7"/>
    </row>
    <row r="577" spans="1:29" ht="32.25" hidden="1" customHeight="1">
      <c r="A577" s="19">
        <v>165</v>
      </c>
      <c r="U577" s="644"/>
      <c r="V577" s="710"/>
      <c r="W577" s="14"/>
      <c r="X577" s="7"/>
      <c r="Y577" s="7"/>
      <c r="Z577" s="7"/>
      <c r="AA577" s="7"/>
      <c r="AB577" s="7"/>
      <c r="AC577" s="7"/>
    </row>
    <row r="578" spans="1:29" ht="26.25" hidden="1">
      <c r="A578" s="19">
        <v>166</v>
      </c>
      <c r="B578" s="148"/>
      <c r="C578" s="91"/>
      <c r="D578" s="91"/>
      <c r="E578" s="91"/>
      <c r="F578" s="91"/>
      <c r="G578" s="91"/>
      <c r="H578" s="91"/>
      <c r="I578" s="115"/>
      <c r="J578" s="22"/>
      <c r="K578" s="22"/>
      <c r="L578" s="22"/>
      <c r="M578" s="22"/>
      <c r="N578" s="22"/>
      <c r="O578" s="91"/>
      <c r="P578" s="91"/>
      <c r="Q578" s="149"/>
      <c r="R578" s="161"/>
      <c r="S578" s="151"/>
      <c r="T578" s="91">
        <f>(P578-O578)*S578</f>
        <v>0</v>
      </c>
      <c r="U578" s="644"/>
      <c r="V578" s="710"/>
      <c r="W578" s="14"/>
      <c r="X578" s="7"/>
      <c r="Y578" s="7"/>
      <c r="Z578" s="7"/>
      <c r="AA578" s="7"/>
      <c r="AB578" s="7"/>
      <c r="AC578" s="7"/>
    </row>
    <row r="579" spans="1:29" ht="25.5" hidden="1">
      <c r="A579" s="19">
        <v>167</v>
      </c>
      <c r="U579" s="644"/>
      <c r="V579" s="710"/>
      <c r="W579" s="14"/>
      <c r="X579" s="7"/>
      <c r="Y579" s="7"/>
      <c r="Z579" s="7"/>
      <c r="AA579" s="7"/>
      <c r="AB579" s="7"/>
      <c r="AC579" s="7"/>
    </row>
    <row r="580" spans="1:29" ht="25.5" hidden="1">
      <c r="A580" s="19">
        <v>168</v>
      </c>
      <c r="B580" s="1"/>
      <c r="U580" s="719"/>
      <c r="V580" s="1"/>
      <c r="W580" s="14"/>
      <c r="X580" s="7"/>
      <c r="Y580" s="7"/>
      <c r="Z580" s="7"/>
      <c r="AA580" s="7"/>
      <c r="AB580" s="7"/>
      <c r="AC580" s="7"/>
    </row>
    <row r="581" spans="1:29" ht="27.75" hidden="1" customHeight="1">
      <c r="A581" s="19">
        <v>169</v>
      </c>
      <c r="U581" s="644"/>
      <c r="V581" s="710"/>
      <c r="W581" s="14"/>
      <c r="X581" s="7"/>
      <c r="Y581" s="7"/>
      <c r="Z581" s="7"/>
      <c r="AA581" s="7"/>
      <c r="AB581" s="7"/>
      <c r="AC581" s="7"/>
    </row>
    <row r="582" spans="1:29" ht="25.5" hidden="1">
      <c r="A582" s="19">
        <v>170</v>
      </c>
      <c r="B582" s="1"/>
      <c r="U582" s="719"/>
      <c r="V582" s="1"/>
      <c r="W582" s="14"/>
      <c r="X582" s="7"/>
      <c r="Y582" s="7"/>
      <c r="Z582" s="7"/>
      <c r="AA582" s="7"/>
      <c r="AB582" s="7"/>
      <c r="AC582" s="7"/>
    </row>
    <row r="583" spans="1:29" ht="26.25" hidden="1">
      <c r="A583" s="19">
        <v>171</v>
      </c>
      <c r="B583" s="148"/>
      <c r="C583" s="91"/>
      <c r="D583" s="91"/>
      <c r="E583" s="91"/>
      <c r="F583" s="91"/>
      <c r="G583" s="91"/>
      <c r="H583" s="91"/>
      <c r="I583" s="115"/>
      <c r="J583" s="22"/>
      <c r="K583" s="22"/>
      <c r="L583" s="22"/>
      <c r="M583" s="22"/>
      <c r="N583" s="22"/>
      <c r="O583" s="91"/>
      <c r="P583" s="91"/>
      <c r="Q583" s="22"/>
      <c r="R583" s="142"/>
      <c r="S583" s="151"/>
      <c r="T583" s="91">
        <f>(P583-O583)*S583</f>
        <v>0</v>
      </c>
      <c r="U583" s="644"/>
      <c r="V583" s="710"/>
      <c r="W583" s="14"/>
      <c r="X583" s="7"/>
      <c r="Y583" s="7"/>
      <c r="Z583" s="7"/>
      <c r="AA583" s="7"/>
      <c r="AB583" s="7"/>
      <c r="AC583" s="7"/>
    </row>
    <row r="584" spans="1:29" ht="36.75" hidden="1" customHeight="1">
      <c r="A584" s="19" t="s">
        <v>524</v>
      </c>
      <c r="B584" s="1"/>
      <c r="U584" s="719"/>
      <c r="V584" s="1"/>
      <c r="W584" s="14"/>
      <c r="X584" s="7"/>
      <c r="Y584" s="7"/>
      <c r="Z584" s="7"/>
      <c r="AA584" s="7"/>
      <c r="AB584" s="7"/>
      <c r="AC584" s="7"/>
    </row>
    <row r="585" spans="1:29" ht="23.25" hidden="1" customHeight="1">
      <c r="A585" s="19">
        <v>172</v>
      </c>
      <c r="B585" s="1"/>
      <c r="U585" s="719"/>
      <c r="V585" s="1"/>
      <c r="W585" s="14"/>
      <c r="X585" s="7"/>
      <c r="Y585" s="7"/>
      <c r="Z585" s="7"/>
      <c r="AA585" s="7"/>
      <c r="AB585" s="7"/>
      <c r="AC585" s="7"/>
    </row>
    <row r="586" spans="1:29" ht="25.5" hidden="1">
      <c r="A586" s="19"/>
      <c r="B586" s="1"/>
      <c r="U586" s="719"/>
      <c r="V586" s="1"/>
      <c r="W586" s="14" t="s">
        <v>525</v>
      </c>
      <c r="X586" s="7"/>
      <c r="Y586" s="7"/>
      <c r="Z586" s="7"/>
      <c r="AA586" s="7"/>
      <c r="AB586" s="7"/>
      <c r="AC586" s="7"/>
    </row>
    <row r="587" spans="1:29" ht="25.5" hidden="1">
      <c r="A587" s="19"/>
      <c r="B587" s="1"/>
      <c r="U587" s="719"/>
      <c r="V587" s="1"/>
      <c r="W587" s="14"/>
      <c r="X587" s="7"/>
      <c r="Y587" s="7"/>
      <c r="Z587" s="7"/>
      <c r="AA587" s="7"/>
      <c r="AB587" s="7"/>
      <c r="AC587" s="7"/>
    </row>
    <row r="588" spans="1:29" ht="25.5" hidden="1">
      <c r="A588" s="19"/>
      <c r="B588" s="1"/>
      <c r="U588" s="719"/>
      <c r="V588" s="1"/>
      <c r="W588" s="14"/>
      <c r="X588" s="7"/>
      <c r="Y588" s="7"/>
      <c r="Z588" s="7"/>
      <c r="AA588" s="7"/>
      <c r="AB588" s="7"/>
      <c r="AC588" s="7"/>
    </row>
    <row r="589" spans="1:29" ht="12" hidden="1" customHeight="1">
      <c r="A589" s="19"/>
      <c r="B589" s="1"/>
      <c r="U589" s="719"/>
      <c r="V589" s="1"/>
      <c r="W589" s="14" t="s">
        <v>526</v>
      </c>
      <c r="X589" s="7"/>
      <c r="Y589" s="7"/>
      <c r="Z589" s="7"/>
      <c r="AA589" s="7"/>
      <c r="AB589" s="7"/>
      <c r="AC589" s="7"/>
    </row>
    <row r="590" spans="1:29" ht="25.5" hidden="1">
      <c r="A590" s="19">
        <v>173</v>
      </c>
      <c r="B590" s="1"/>
      <c r="U590" s="719"/>
      <c r="V590" s="1"/>
      <c r="W590" s="14" t="s">
        <v>493</v>
      </c>
      <c r="X590" s="7"/>
      <c r="Y590" s="7"/>
      <c r="Z590" s="7"/>
      <c r="AA590" s="7"/>
      <c r="AB590" s="7"/>
      <c r="AC590" s="7"/>
    </row>
    <row r="591" spans="1:29" ht="26.25" hidden="1" customHeight="1">
      <c r="A591" s="19">
        <v>174</v>
      </c>
      <c r="B591" s="1"/>
      <c r="U591" s="719"/>
      <c r="V591" s="1"/>
      <c r="W591" s="14"/>
      <c r="X591" s="7"/>
      <c r="Y591" s="7"/>
      <c r="Z591" s="7"/>
      <c r="AA591" s="7"/>
      <c r="AB591" s="7"/>
      <c r="AC591" s="7"/>
    </row>
    <row r="592" spans="1:29" ht="68.25" hidden="1" customHeight="1">
      <c r="A592" s="19">
        <v>175</v>
      </c>
      <c r="U592" s="644"/>
      <c r="V592" s="710"/>
      <c r="W592" s="14"/>
      <c r="X592" s="7"/>
      <c r="Y592" s="7"/>
      <c r="Z592" s="7"/>
      <c r="AA592" s="7"/>
      <c r="AB592" s="7"/>
      <c r="AC592" s="7"/>
    </row>
    <row r="593" spans="1:29" ht="25.5" hidden="1">
      <c r="A593" s="19">
        <v>177</v>
      </c>
      <c r="U593" s="644"/>
      <c r="V593" s="710"/>
      <c r="W593" s="14">
        <v>126691</v>
      </c>
      <c r="X593" s="7"/>
      <c r="Y593" s="7"/>
      <c r="Z593" s="7"/>
      <c r="AA593" s="7"/>
      <c r="AB593" s="7"/>
      <c r="AC593" s="7"/>
    </row>
    <row r="594" spans="1:29" ht="32.25" hidden="1" customHeight="1">
      <c r="A594" s="19">
        <v>178</v>
      </c>
      <c r="U594" s="644"/>
      <c r="V594" s="710"/>
      <c r="W594" s="14"/>
      <c r="X594" s="7"/>
      <c r="Y594" s="7"/>
      <c r="Z594" s="7"/>
      <c r="AA594" s="7"/>
      <c r="AB594" s="7"/>
      <c r="AC594" s="7"/>
    </row>
    <row r="595" spans="1:29" ht="25.5" hidden="1">
      <c r="A595" s="19">
        <v>179</v>
      </c>
      <c r="B595" s="1"/>
      <c r="U595" s="719"/>
      <c r="V595" s="1"/>
      <c r="W595" s="14"/>
      <c r="X595" s="7"/>
      <c r="Y595" s="7"/>
      <c r="Z595" s="7"/>
      <c r="AA595" s="7"/>
      <c r="AB595" s="7"/>
      <c r="AC595" s="7"/>
    </row>
    <row r="596" spans="1:29" ht="27.75" hidden="1" customHeight="1">
      <c r="A596" s="19">
        <v>180</v>
      </c>
      <c r="B596" s="1"/>
      <c r="U596" s="644"/>
      <c r="V596" s="710"/>
      <c r="W596" s="14"/>
      <c r="X596" s="7"/>
      <c r="Y596" s="7"/>
      <c r="Z596" s="7"/>
      <c r="AA596" s="7"/>
      <c r="AB596" s="7"/>
      <c r="AC596" s="7"/>
    </row>
    <row r="597" spans="1:29" ht="25.5" hidden="1">
      <c r="A597" s="252">
        <v>181</v>
      </c>
      <c r="U597" s="644"/>
      <c r="V597" s="710"/>
      <c r="W597" s="14"/>
      <c r="X597" s="7"/>
      <c r="Y597" s="7"/>
      <c r="Z597" s="7"/>
      <c r="AA597" s="7"/>
      <c r="AB597" s="7"/>
      <c r="AC597" s="7"/>
    </row>
    <row r="598" spans="1:29" ht="25.5" hidden="1">
      <c r="A598" s="19">
        <v>182</v>
      </c>
      <c r="B598" s="1"/>
      <c r="U598" s="719"/>
      <c r="V598" s="1"/>
      <c r="W598" s="14"/>
      <c r="X598" s="7"/>
      <c r="Y598" s="7"/>
      <c r="Z598" s="7"/>
      <c r="AA598" s="7"/>
      <c r="AB598" s="7"/>
      <c r="AC598" s="7"/>
    </row>
    <row r="599" spans="1:29" ht="29.25" hidden="1" customHeight="1">
      <c r="A599" s="19">
        <v>183</v>
      </c>
      <c r="B599" s="1"/>
      <c r="U599" s="644"/>
      <c r="V599" s="710"/>
      <c r="W599" s="14"/>
      <c r="X599" s="7"/>
      <c r="Y599" s="7"/>
      <c r="Z599" s="7"/>
      <c r="AA599" s="7"/>
      <c r="AB599" s="7"/>
      <c r="AC599" s="7"/>
    </row>
    <row r="600" spans="1:29" ht="29.25" hidden="1" customHeight="1">
      <c r="A600" s="19">
        <v>184</v>
      </c>
      <c r="U600" s="644"/>
      <c r="V600" s="710"/>
      <c r="W600" s="14"/>
      <c r="X600" s="7"/>
      <c r="Y600" s="7"/>
      <c r="Z600" s="253"/>
      <c r="AA600" s="253"/>
      <c r="AB600" s="254"/>
      <c r="AC600" s="253"/>
    </row>
    <row r="601" spans="1:29" ht="26.25" hidden="1">
      <c r="A601" s="19">
        <v>185</v>
      </c>
      <c r="B601" s="148"/>
      <c r="C601" s="91"/>
      <c r="D601" s="91"/>
      <c r="E601" s="91"/>
      <c r="F601" s="91"/>
      <c r="G601" s="91"/>
      <c r="H601" s="91"/>
      <c r="I601" s="115"/>
      <c r="J601" s="22"/>
      <c r="K601" s="22"/>
      <c r="L601" s="22"/>
      <c r="M601" s="22"/>
      <c r="N601" s="22"/>
      <c r="O601" s="91"/>
      <c r="P601" s="91"/>
      <c r="Q601" s="122"/>
      <c r="R601" s="173"/>
      <c r="S601" s="151"/>
      <c r="T601" s="91"/>
      <c r="U601" s="644"/>
      <c r="V601" s="710"/>
      <c r="W601" s="14"/>
      <c r="X601" s="7"/>
      <c r="Y601" s="7"/>
      <c r="Z601" s="7"/>
      <c r="AA601" s="7"/>
      <c r="AB601" s="7"/>
      <c r="AC601" s="7"/>
    </row>
    <row r="602" spans="1:29" ht="32.25" hidden="1" customHeight="1">
      <c r="A602" s="19">
        <v>186</v>
      </c>
      <c r="U602" s="644"/>
      <c r="V602" s="710"/>
      <c r="W602" s="14"/>
      <c r="X602" s="7"/>
      <c r="Y602" s="7"/>
      <c r="Z602" s="7"/>
      <c r="AA602" s="7"/>
      <c r="AB602" s="7"/>
      <c r="AC602" s="7"/>
    </row>
    <row r="603" spans="1:29" ht="30" hidden="1" customHeight="1">
      <c r="A603" s="19">
        <v>187</v>
      </c>
      <c r="B603" s="1"/>
      <c r="U603" s="644"/>
      <c r="V603" s="710"/>
      <c r="W603" s="14"/>
      <c r="X603" s="7"/>
      <c r="Y603" s="7"/>
      <c r="Z603" s="7"/>
      <c r="AA603" s="7"/>
      <c r="AB603" s="7"/>
      <c r="AC603" s="7"/>
    </row>
    <row r="604" spans="1:29" ht="26.25" hidden="1">
      <c r="A604" s="19">
        <v>188</v>
      </c>
      <c r="B604" s="148"/>
      <c r="C604" s="91"/>
      <c r="D604" s="91"/>
      <c r="E604" s="91"/>
      <c r="F604" s="91"/>
      <c r="G604" s="91"/>
      <c r="H604" s="91"/>
      <c r="I604" s="115"/>
      <c r="J604" s="22"/>
      <c r="K604" s="22"/>
      <c r="L604" s="22"/>
      <c r="M604" s="22"/>
      <c r="N604" s="22"/>
      <c r="O604" s="91"/>
      <c r="P604" s="91"/>
      <c r="Q604" s="7"/>
      <c r="R604" s="200"/>
      <c r="S604" s="151"/>
      <c r="T604" s="91">
        <f>(P604-O604)*S604</f>
        <v>0</v>
      </c>
      <c r="U604" s="644"/>
      <c r="V604" s="710"/>
      <c r="W604" s="14"/>
      <c r="X604" s="7"/>
      <c r="Y604" s="7"/>
      <c r="Z604" s="7"/>
      <c r="AA604" s="7"/>
      <c r="AB604" s="7"/>
      <c r="AC604" s="7"/>
    </row>
    <row r="605" spans="1:29" ht="25.5" hidden="1">
      <c r="A605" s="19">
        <v>189</v>
      </c>
      <c r="B605" s="1"/>
      <c r="U605" s="644"/>
      <c r="V605" s="710"/>
      <c r="W605" s="14"/>
      <c r="X605" s="7"/>
      <c r="Y605" s="7"/>
      <c r="Z605" s="7"/>
      <c r="AA605" s="7"/>
      <c r="AB605" s="7"/>
      <c r="AC605" s="7"/>
    </row>
    <row r="606" spans="1:29" ht="26.25" hidden="1">
      <c r="A606" s="19">
        <v>190</v>
      </c>
      <c r="B606" s="148"/>
      <c r="C606" s="91"/>
      <c r="D606" s="91"/>
      <c r="E606" s="91"/>
      <c r="F606" s="91"/>
      <c r="G606" s="91"/>
      <c r="H606" s="91"/>
      <c r="I606" s="115"/>
      <c r="J606" s="22"/>
      <c r="K606" s="22"/>
      <c r="L606" s="22"/>
      <c r="M606" s="22"/>
      <c r="N606" s="22"/>
      <c r="O606" s="91"/>
      <c r="P606" s="91"/>
      <c r="Q606" s="7"/>
      <c r="R606" s="142"/>
      <c r="S606" s="151"/>
      <c r="T606" s="91">
        <f>(P606-O606)*S606</f>
        <v>0</v>
      </c>
      <c r="U606" s="644"/>
      <c r="V606" s="710"/>
      <c r="W606" s="14" t="s">
        <v>527</v>
      </c>
      <c r="X606" s="7"/>
      <c r="Y606" s="7"/>
      <c r="Z606" s="7"/>
      <c r="AA606" s="7"/>
      <c r="AB606" s="7"/>
      <c r="AC606" s="7"/>
    </row>
    <row r="607" spans="1:29" ht="26.25" hidden="1" customHeight="1">
      <c r="A607" s="19">
        <v>191</v>
      </c>
      <c r="U607" s="644"/>
      <c r="V607" s="710"/>
      <c r="W607" s="14"/>
      <c r="X607" s="7"/>
      <c r="Y607" s="7"/>
      <c r="Z607" s="7"/>
      <c r="AA607" s="7"/>
      <c r="AB607" s="7"/>
      <c r="AC607" s="7"/>
    </row>
    <row r="608" spans="1:29" ht="25.5" hidden="1">
      <c r="A608" s="19">
        <v>192</v>
      </c>
      <c r="B608" s="1"/>
      <c r="U608" s="719"/>
      <c r="V608" s="1"/>
      <c r="W608" s="14"/>
      <c r="X608" s="7"/>
      <c r="Y608" s="7"/>
      <c r="Z608" s="7"/>
      <c r="AA608" s="7"/>
      <c r="AB608" s="7"/>
      <c r="AC608" s="7"/>
    </row>
    <row r="609" spans="1:29" ht="26.25" hidden="1">
      <c r="A609" s="19">
        <v>193</v>
      </c>
      <c r="B609" s="148"/>
      <c r="C609" s="91"/>
      <c r="D609" s="91"/>
      <c r="E609" s="91"/>
      <c r="F609" s="91"/>
      <c r="G609" s="91"/>
      <c r="H609" s="91"/>
      <c r="I609" s="115"/>
      <c r="J609" s="22"/>
      <c r="K609" s="22"/>
      <c r="L609" s="22"/>
      <c r="M609" s="22"/>
      <c r="N609" s="22"/>
      <c r="O609" s="91"/>
      <c r="P609" s="91"/>
      <c r="Q609" s="22"/>
      <c r="R609" s="142"/>
      <c r="S609" s="151"/>
      <c r="T609" s="91">
        <f>(P609-O609)*S609</f>
        <v>0</v>
      </c>
      <c r="U609" s="644"/>
      <c r="V609" s="710"/>
      <c r="W609" s="14"/>
      <c r="X609" s="7"/>
      <c r="Y609" s="7"/>
      <c r="Z609" s="7"/>
      <c r="AA609" s="7"/>
      <c r="AB609" s="7"/>
      <c r="AC609" s="7"/>
    </row>
    <row r="610" spans="1:29" ht="29.25" hidden="1" customHeight="1">
      <c r="A610" s="19">
        <v>194</v>
      </c>
      <c r="U610" s="644"/>
      <c r="V610" s="710"/>
      <c r="W610" s="14"/>
      <c r="X610" s="7"/>
      <c r="Y610" s="7"/>
      <c r="Z610" s="7"/>
      <c r="AA610" s="7"/>
      <c r="AB610" s="7"/>
      <c r="AC610" s="7"/>
    </row>
    <row r="611" spans="1:29" ht="26.25" hidden="1">
      <c r="A611" s="19">
        <v>195</v>
      </c>
      <c r="B611" s="148"/>
      <c r="C611" s="91"/>
      <c r="D611" s="91"/>
      <c r="E611" s="91"/>
      <c r="F611" s="91"/>
      <c r="G611" s="91"/>
      <c r="H611" s="91"/>
      <c r="I611" s="115"/>
      <c r="J611" s="22"/>
      <c r="K611" s="22"/>
      <c r="L611" s="22"/>
      <c r="M611" s="22"/>
      <c r="N611" s="22"/>
      <c r="O611" s="91"/>
      <c r="P611" s="91"/>
      <c r="Q611" s="149"/>
      <c r="R611" s="161"/>
      <c r="S611" s="151"/>
      <c r="T611" s="91"/>
      <c r="U611" s="644"/>
      <c r="V611" s="710"/>
      <c r="W611" s="14" t="s">
        <v>528</v>
      </c>
      <c r="X611" s="7"/>
      <c r="Y611" s="7"/>
      <c r="Z611" s="7"/>
      <c r="AA611" s="7"/>
      <c r="AB611" s="7"/>
      <c r="AC611" s="7"/>
    </row>
    <row r="612" spans="1:29" ht="30" hidden="1" customHeight="1">
      <c r="A612" s="19">
        <v>196</v>
      </c>
      <c r="U612" s="644"/>
      <c r="V612" s="710"/>
      <c r="W612" s="14"/>
      <c r="X612" s="7"/>
      <c r="Y612" s="7"/>
      <c r="Z612" s="7"/>
      <c r="AA612" s="7"/>
      <c r="AB612" s="7"/>
      <c r="AC612" s="7"/>
    </row>
    <row r="613" spans="1:29" ht="27" hidden="1" customHeight="1">
      <c r="A613" s="19"/>
      <c r="B613" s="90"/>
      <c r="C613" s="115"/>
      <c r="D613" s="115"/>
      <c r="E613" s="115"/>
      <c r="F613" s="91"/>
      <c r="G613" s="91"/>
      <c r="H613" s="115"/>
      <c r="I613" s="115"/>
      <c r="J613" s="22"/>
      <c r="K613" s="22"/>
      <c r="L613" s="22"/>
      <c r="M613" s="22"/>
      <c r="N613" s="22"/>
      <c r="O613" s="91"/>
      <c r="P613" s="91"/>
      <c r="Q613" s="149"/>
      <c r="R613" s="161"/>
      <c r="S613" s="151"/>
      <c r="T613" s="91">
        <f>(P613-O613)*S613</f>
        <v>0</v>
      </c>
      <c r="U613" s="644"/>
      <c r="V613" s="710"/>
      <c r="W613" s="14"/>
      <c r="X613" s="7"/>
      <c r="Y613" s="7"/>
      <c r="Z613" s="7"/>
      <c r="AA613" s="7"/>
      <c r="AB613" s="7"/>
      <c r="AC613" s="7"/>
    </row>
    <row r="614" spans="1:29" ht="29.25" customHeight="1">
      <c r="A614" s="19"/>
      <c r="B614" s="90" t="s">
        <v>480</v>
      </c>
      <c r="C614" s="91"/>
      <c r="D614" s="91"/>
      <c r="E614" s="91"/>
      <c r="F614" s="91"/>
      <c r="G614" s="91"/>
      <c r="H614" s="91"/>
      <c r="I614" s="115"/>
      <c r="J614" s="22"/>
      <c r="K614" s="22"/>
      <c r="L614" s="22"/>
      <c r="M614" s="22"/>
      <c r="N614" s="22"/>
      <c r="O614" s="91"/>
      <c r="P614" s="91"/>
      <c r="Q614" s="149"/>
      <c r="R614" s="161"/>
      <c r="S614" s="151"/>
      <c r="T614" s="91"/>
      <c r="U614" s="644"/>
      <c r="V614" s="710"/>
      <c r="W614" s="14"/>
      <c r="X614" s="7"/>
      <c r="Y614" s="7"/>
      <c r="Z614" s="255"/>
      <c r="AA614" s="255"/>
      <c r="AB614" s="255"/>
      <c r="AC614" s="255"/>
    </row>
    <row r="615" spans="1:29" ht="29.25" customHeight="1">
      <c r="A615" s="19"/>
      <c r="B615" s="27" t="s">
        <v>529</v>
      </c>
      <c r="C615" s="28">
        <f>H615+E615</f>
        <v>228.98</v>
      </c>
      <c r="D615" s="72"/>
      <c r="E615" s="28">
        <f>F615+G615</f>
        <v>14.98</v>
      </c>
      <c r="F615" s="28">
        <f t="shared" ref="F615:F654" si="99">0.04*H615</f>
        <v>8.56</v>
      </c>
      <c r="G615" s="28">
        <f t="shared" ref="G615:G654" si="100">0.03*H615</f>
        <v>6.42</v>
      </c>
      <c r="H615" s="28">
        <f>T615</f>
        <v>214</v>
      </c>
      <c r="I615" s="28">
        <f>0.5*C615</f>
        <v>114.49</v>
      </c>
      <c r="J615" s="29"/>
      <c r="K615" s="29"/>
      <c r="L615" s="29"/>
      <c r="M615" s="29"/>
      <c r="N615" s="29"/>
      <c r="O615" s="414">
        <v>15113</v>
      </c>
      <c r="P615" s="414">
        <v>15327</v>
      </c>
      <c r="Q615" s="146"/>
      <c r="R615" s="61"/>
      <c r="S615" s="54">
        <v>1</v>
      </c>
      <c r="T615" s="28">
        <f t="shared" ref="T615:T638" si="101">(P615-O615)*S615</f>
        <v>214</v>
      </c>
      <c r="U615" s="455">
        <v>2262538</v>
      </c>
      <c r="V615" s="733" t="s">
        <v>530</v>
      </c>
      <c r="W615" s="14" t="s">
        <v>43</v>
      </c>
      <c r="X615" s="7"/>
      <c r="Y615" s="7"/>
      <c r="Z615" s="7"/>
      <c r="AA615" s="7"/>
      <c r="AB615" s="7"/>
      <c r="AC615" s="7"/>
    </row>
    <row r="616" spans="1:29" ht="30" customHeight="1">
      <c r="A616" s="19"/>
      <c r="B616" s="27" t="s">
        <v>531</v>
      </c>
      <c r="C616" s="28">
        <f t="shared" ref="C616:C646" si="102">H616+E616</f>
        <v>0</v>
      </c>
      <c r="D616" s="28"/>
      <c r="E616" s="28">
        <f t="shared" ref="E616:E654" si="103">F616+G616</f>
        <v>0</v>
      </c>
      <c r="F616" s="28">
        <f t="shared" si="99"/>
        <v>0</v>
      </c>
      <c r="G616" s="28">
        <f t="shared" si="100"/>
        <v>0</v>
      </c>
      <c r="H616" s="28">
        <f>T616</f>
        <v>0</v>
      </c>
      <c r="I616" s="28">
        <f t="shared" ref="I616:I646" si="104">0.5*C616</f>
        <v>0</v>
      </c>
      <c r="J616" s="29"/>
      <c r="K616" s="29"/>
      <c r="L616" s="29"/>
      <c r="M616" s="29"/>
      <c r="N616" s="29"/>
      <c r="O616" s="414">
        <v>45710</v>
      </c>
      <c r="P616" s="414">
        <v>45710</v>
      </c>
      <c r="Q616" s="29"/>
      <c r="R616" s="348"/>
      <c r="S616" s="54">
        <v>1</v>
      </c>
      <c r="T616" s="28">
        <f t="shared" si="101"/>
        <v>0</v>
      </c>
      <c r="U616" s="455">
        <v>5521045</v>
      </c>
      <c r="V616" s="733" t="s">
        <v>532</v>
      </c>
      <c r="W616" s="14" t="s">
        <v>43</v>
      </c>
      <c r="X616" s="7"/>
      <c r="Y616" s="7"/>
      <c r="Z616" s="7"/>
      <c r="AA616" s="7"/>
      <c r="AB616" s="7"/>
      <c r="AC616" s="7"/>
    </row>
    <row r="617" spans="1:29" ht="27" customHeight="1">
      <c r="A617" s="19"/>
      <c r="B617" s="27" t="s">
        <v>533</v>
      </c>
      <c r="C617" s="28">
        <f t="shared" si="102"/>
        <v>370.22</v>
      </c>
      <c r="D617" s="77"/>
      <c r="E617" s="28">
        <f t="shared" si="103"/>
        <v>24.22</v>
      </c>
      <c r="F617" s="28">
        <f t="shared" si="99"/>
        <v>13.84</v>
      </c>
      <c r="G617" s="28">
        <f t="shared" si="100"/>
        <v>10.379999999999999</v>
      </c>
      <c r="H617" s="28">
        <f t="shared" ref="H617:H650" si="105">T617</f>
        <v>346</v>
      </c>
      <c r="I617" s="28">
        <f t="shared" si="104"/>
        <v>185.11</v>
      </c>
      <c r="J617" s="29"/>
      <c r="K617" s="29"/>
      <c r="L617" s="29"/>
      <c r="M617" s="29"/>
      <c r="N617" s="29"/>
      <c r="O617" s="414">
        <v>36968</v>
      </c>
      <c r="P617" s="414">
        <v>37314</v>
      </c>
      <c r="Q617" s="30"/>
      <c r="R617" s="256"/>
      <c r="S617" s="54">
        <v>1</v>
      </c>
      <c r="T617" s="28">
        <f t="shared" si="101"/>
        <v>346</v>
      </c>
      <c r="U617" s="455">
        <v>2261340</v>
      </c>
      <c r="V617" s="733" t="s">
        <v>534</v>
      </c>
      <c r="W617" s="14" t="s">
        <v>43</v>
      </c>
      <c r="X617" s="7"/>
      <c r="Y617" s="7"/>
      <c r="Z617" s="7"/>
      <c r="AA617" s="7"/>
      <c r="AB617" s="7"/>
      <c r="AC617" s="7"/>
    </row>
    <row r="618" spans="1:29" ht="30" customHeight="1">
      <c r="A618" s="19"/>
      <c r="B618" s="27" t="s">
        <v>535</v>
      </c>
      <c r="C618" s="28">
        <f t="shared" si="102"/>
        <v>727.6</v>
      </c>
      <c r="D618" s="77"/>
      <c r="E618" s="28">
        <f t="shared" si="103"/>
        <v>47.599999999999994</v>
      </c>
      <c r="F618" s="28">
        <f t="shared" si="99"/>
        <v>27.2</v>
      </c>
      <c r="G618" s="28">
        <f t="shared" si="100"/>
        <v>20.399999999999999</v>
      </c>
      <c r="H618" s="28">
        <f t="shared" si="105"/>
        <v>680</v>
      </c>
      <c r="I618" s="28">
        <f t="shared" si="104"/>
        <v>363.8</v>
      </c>
      <c r="J618" s="29"/>
      <c r="K618" s="29"/>
      <c r="L618" s="29"/>
      <c r="M618" s="29"/>
      <c r="N618" s="29"/>
      <c r="O618" s="414">
        <v>46062</v>
      </c>
      <c r="P618" s="414">
        <v>46742</v>
      </c>
      <c r="Q618" s="30"/>
      <c r="R618" s="256"/>
      <c r="S618" s="54">
        <v>1</v>
      </c>
      <c r="T618" s="28">
        <f t="shared" si="101"/>
        <v>680</v>
      </c>
      <c r="U618" s="455">
        <v>5510929</v>
      </c>
      <c r="V618" s="733" t="s">
        <v>536</v>
      </c>
      <c r="W618" s="14" t="s">
        <v>43</v>
      </c>
      <c r="X618" s="7"/>
      <c r="Y618" s="7"/>
      <c r="Z618" s="7"/>
      <c r="AA618" s="7"/>
      <c r="AB618" s="7"/>
      <c r="AC618" s="7"/>
    </row>
    <row r="619" spans="1:29" ht="27.75" customHeight="1">
      <c r="A619" s="19"/>
      <c r="B619" s="27" t="s">
        <v>537</v>
      </c>
      <c r="C619" s="28">
        <f t="shared" si="102"/>
        <v>390.55</v>
      </c>
      <c r="D619" s="72"/>
      <c r="E619" s="28">
        <f t="shared" si="103"/>
        <v>25.549999999999997</v>
      </c>
      <c r="F619" s="28">
        <f t="shared" si="99"/>
        <v>14.6</v>
      </c>
      <c r="G619" s="28">
        <f t="shared" si="100"/>
        <v>10.95</v>
      </c>
      <c r="H619" s="28">
        <f t="shared" si="105"/>
        <v>365</v>
      </c>
      <c r="I619" s="28">
        <f t="shared" si="104"/>
        <v>195.27500000000001</v>
      </c>
      <c r="J619" s="29"/>
      <c r="K619" s="29"/>
      <c r="L619" s="29"/>
      <c r="M619" s="29"/>
      <c r="N619" s="29"/>
      <c r="O619" s="414">
        <v>69098</v>
      </c>
      <c r="P619" s="414">
        <v>69463</v>
      </c>
      <c r="Q619" s="30"/>
      <c r="R619" s="256"/>
      <c r="S619" s="54">
        <v>1</v>
      </c>
      <c r="T619" s="28">
        <f t="shared" si="101"/>
        <v>365</v>
      </c>
      <c r="U619" s="455">
        <v>5511505</v>
      </c>
      <c r="V619" s="733" t="s">
        <v>538</v>
      </c>
      <c r="W619" s="14" t="s">
        <v>43</v>
      </c>
      <c r="X619" s="7"/>
      <c r="Y619" s="7"/>
      <c r="Z619" s="7"/>
      <c r="AA619" s="7"/>
      <c r="AB619" s="7"/>
      <c r="AC619" s="7"/>
    </row>
    <row r="620" spans="1:29" ht="27" customHeight="1">
      <c r="A620" s="19"/>
      <c r="B620" s="27" t="s">
        <v>539</v>
      </c>
      <c r="C620" s="28">
        <f t="shared" si="102"/>
        <v>201.16</v>
      </c>
      <c r="D620" s="77"/>
      <c r="E620" s="28">
        <f t="shared" si="103"/>
        <v>13.16</v>
      </c>
      <c r="F620" s="28">
        <f t="shared" si="99"/>
        <v>7.5200000000000005</v>
      </c>
      <c r="G620" s="28">
        <f t="shared" si="100"/>
        <v>5.64</v>
      </c>
      <c r="H620" s="28">
        <f t="shared" si="105"/>
        <v>188</v>
      </c>
      <c r="I620" s="28">
        <f t="shared" si="104"/>
        <v>100.58</v>
      </c>
      <c r="J620" s="29"/>
      <c r="K620" s="29"/>
      <c r="L620" s="29"/>
      <c r="M620" s="29"/>
      <c r="N620" s="29"/>
      <c r="O620" s="414">
        <v>39205</v>
      </c>
      <c r="P620" s="414">
        <v>39393</v>
      </c>
      <c r="Q620" s="30"/>
      <c r="R620" s="256"/>
      <c r="S620" s="54">
        <v>1</v>
      </c>
      <c r="T620" s="28">
        <f t="shared" si="101"/>
        <v>188</v>
      </c>
      <c r="U620" s="455">
        <v>5510311</v>
      </c>
      <c r="V620" s="733" t="s">
        <v>540</v>
      </c>
      <c r="W620" s="14" t="s">
        <v>43</v>
      </c>
      <c r="X620" s="7"/>
      <c r="Y620" s="7"/>
      <c r="Z620" s="7"/>
      <c r="AA620" s="7"/>
      <c r="AB620" s="7"/>
      <c r="AC620" s="7"/>
    </row>
    <row r="621" spans="1:29" ht="25.5" customHeight="1">
      <c r="A621" s="19"/>
      <c r="B621" s="27" t="s">
        <v>890</v>
      </c>
      <c r="C621" s="28">
        <f t="shared" si="102"/>
        <v>266.43</v>
      </c>
      <c r="D621" s="77"/>
      <c r="E621" s="28">
        <f t="shared" si="103"/>
        <v>17.43</v>
      </c>
      <c r="F621" s="28">
        <f t="shared" si="99"/>
        <v>9.9600000000000009</v>
      </c>
      <c r="G621" s="28">
        <f t="shared" si="100"/>
        <v>7.47</v>
      </c>
      <c r="H621" s="28">
        <f t="shared" si="105"/>
        <v>249</v>
      </c>
      <c r="I621" s="28">
        <f t="shared" si="104"/>
        <v>133.215</v>
      </c>
      <c r="J621" s="29"/>
      <c r="K621" s="29"/>
      <c r="L621" s="29"/>
      <c r="M621" s="29"/>
      <c r="N621" s="29"/>
      <c r="O621" s="414">
        <v>49837</v>
      </c>
      <c r="P621" s="414">
        <v>50086</v>
      </c>
      <c r="Q621" s="30"/>
      <c r="R621" s="256"/>
      <c r="S621" s="54">
        <v>1</v>
      </c>
      <c r="T621" s="28">
        <f t="shared" si="101"/>
        <v>249</v>
      </c>
      <c r="U621" s="455">
        <v>5510177</v>
      </c>
      <c r="V621" s="733" t="s">
        <v>542</v>
      </c>
      <c r="W621" s="14" t="s">
        <v>90</v>
      </c>
      <c r="X621" s="255"/>
      <c r="Y621" s="255"/>
      <c r="Z621" s="7"/>
      <c r="AA621" s="7"/>
      <c r="AB621" s="7"/>
      <c r="AC621" s="7"/>
    </row>
    <row r="622" spans="1:29" ht="31.5" customHeight="1">
      <c r="A622" s="19"/>
      <c r="B622" s="27" t="s">
        <v>750</v>
      </c>
      <c r="C622" s="28">
        <f t="shared" si="102"/>
        <v>329.56</v>
      </c>
      <c r="D622" s="77"/>
      <c r="E622" s="28">
        <f t="shared" si="103"/>
        <v>21.560000000000002</v>
      </c>
      <c r="F622" s="28">
        <f t="shared" si="99"/>
        <v>12.32</v>
      </c>
      <c r="G622" s="28">
        <f t="shared" si="100"/>
        <v>9.24</v>
      </c>
      <c r="H622" s="28">
        <f t="shared" si="105"/>
        <v>308</v>
      </c>
      <c r="I622" s="28">
        <f t="shared" si="104"/>
        <v>164.78</v>
      </c>
      <c r="J622" s="29"/>
      <c r="K622" s="29"/>
      <c r="L622" s="29"/>
      <c r="M622" s="29"/>
      <c r="N622" s="29"/>
      <c r="O622" s="414">
        <v>89795</v>
      </c>
      <c r="P622" s="414">
        <v>90103</v>
      </c>
      <c r="Q622" s="30"/>
      <c r="R622" s="256"/>
      <c r="S622" s="54">
        <v>1</v>
      </c>
      <c r="T622" s="28">
        <f t="shared" si="101"/>
        <v>308</v>
      </c>
      <c r="U622" s="455">
        <v>2262535</v>
      </c>
      <c r="V622" s="733" t="s">
        <v>543</v>
      </c>
      <c r="W622" s="14" t="s">
        <v>90</v>
      </c>
      <c r="X622" s="7"/>
      <c r="Y622" s="7"/>
      <c r="Z622" s="7"/>
      <c r="AA622" s="7"/>
      <c r="AB622" s="7"/>
      <c r="AC622" s="7"/>
    </row>
    <row r="623" spans="1:29" ht="25.5">
      <c r="A623" s="19"/>
      <c r="B623" s="27" t="s">
        <v>544</v>
      </c>
      <c r="C623" s="28">
        <f t="shared" si="102"/>
        <v>864.56</v>
      </c>
      <c r="D623" s="77"/>
      <c r="E623" s="28">
        <f t="shared" si="103"/>
        <v>56.56</v>
      </c>
      <c r="F623" s="28">
        <f t="shared" si="99"/>
        <v>32.32</v>
      </c>
      <c r="G623" s="28">
        <f t="shared" si="100"/>
        <v>24.24</v>
      </c>
      <c r="H623" s="28">
        <f t="shared" si="105"/>
        <v>808</v>
      </c>
      <c r="I623" s="28">
        <f t="shared" si="104"/>
        <v>432.28</v>
      </c>
      <c r="J623" s="29"/>
      <c r="K623" s="29"/>
      <c r="L623" s="29"/>
      <c r="M623" s="29"/>
      <c r="N623" s="29"/>
      <c r="O623" s="414">
        <v>45620</v>
      </c>
      <c r="P623" s="414">
        <v>46428</v>
      </c>
      <c r="Q623" s="146"/>
      <c r="R623" s="147"/>
      <c r="S623" s="54">
        <v>1</v>
      </c>
      <c r="T623" s="28">
        <f t="shared" si="101"/>
        <v>808</v>
      </c>
      <c r="U623" s="455" t="s">
        <v>1037</v>
      </c>
      <c r="V623" s="733" t="s">
        <v>546</v>
      </c>
      <c r="W623" s="14" t="s">
        <v>90</v>
      </c>
      <c r="X623" s="7"/>
      <c r="Y623" s="7"/>
      <c r="Z623" s="7"/>
      <c r="AA623" s="7"/>
      <c r="AB623" s="7"/>
      <c r="AC623" s="7"/>
    </row>
    <row r="624" spans="1:29" ht="27" customHeight="1">
      <c r="A624" s="19"/>
      <c r="B624" s="806" t="s">
        <v>547</v>
      </c>
      <c r="C624" s="28">
        <f t="shared" si="102"/>
        <v>11618.06</v>
      </c>
      <c r="D624" s="77"/>
      <c r="E624" s="28">
        <f t="shared" si="103"/>
        <v>760.06</v>
      </c>
      <c r="F624" s="28">
        <f t="shared" si="99"/>
        <v>434.32</v>
      </c>
      <c r="G624" s="28">
        <f t="shared" si="100"/>
        <v>325.74</v>
      </c>
      <c r="H624" s="28">
        <f t="shared" si="105"/>
        <v>10858</v>
      </c>
      <c r="I624" s="28">
        <f t="shared" si="104"/>
        <v>5809.03</v>
      </c>
      <c r="J624" s="29"/>
      <c r="K624" s="29"/>
      <c r="L624" s="29"/>
      <c r="M624" s="29"/>
      <c r="N624" s="29"/>
      <c r="O624" s="414">
        <v>285951</v>
      </c>
      <c r="P624" s="414">
        <v>296809</v>
      </c>
      <c r="Q624" s="146"/>
      <c r="R624" s="147"/>
      <c r="S624" s="54">
        <v>1</v>
      </c>
      <c r="T624" s="28">
        <f t="shared" si="101"/>
        <v>10858</v>
      </c>
      <c r="U624" s="455" t="s">
        <v>1093</v>
      </c>
      <c r="V624" s="733" t="s">
        <v>548</v>
      </c>
      <c r="W624" s="14" t="s">
        <v>90</v>
      </c>
      <c r="X624" s="7"/>
      <c r="Y624" s="7"/>
      <c r="Z624" s="7"/>
      <c r="AA624" s="7"/>
      <c r="AB624" s="7"/>
      <c r="AC624" s="7"/>
    </row>
    <row r="625" spans="1:29" ht="26.25">
      <c r="A625" s="257"/>
      <c r="B625" s="850"/>
      <c r="C625" s="28">
        <f t="shared" ref="C625:C626" si="106">H625+E625</f>
        <v>325.27999999999997</v>
      </c>
      <c r="D625" s="72"/>
      <c r="E625" s="28">
        <f t="shared" ref="E625:E626" si="107">F625+G625</f>
        <v>21.28</v>
      </c>
      <c r="F625" s="28">
        <f t="shared" ref="F625:F626" si="108">0.04*H625</f>
        <v>12.16</v>
      </c>
      <c r="G625" s="28">
        <f t="shared" ref="G625:G626" si="109">0.03*H625</f>
        <v>9.1199999999999992</v>
      </c>
      <c r="H625" s="28">
        <f>T625</f>
        <v>304</v>
      </c>
      <c r="I625" s="28">
        <f t="shared" ref="I625:I626" si="110">0.5*C625</f>
        <v>162.63999999999999</v>
      </c>
      <c r="J625" s="348"/>
      <c r="K625" s="348"/>
      <c r="L625" s="348"/>
      <c r="M625" s="348"/>
      <c r="N625" s="348"/>
      <c r="O625" s="454">
        <v>0</v>
      </c>
      <c r="P625" s="454">
        <v>304</v>
      </c>
      <c r="Q625" s="351"/>
      <c r="R625" s="351"/>
      <c r="S625" s="77">
        <v>1</v>
      </c>
      <c r="T625" s="28">
        <f>(P625-O625)*S625</f>
        <v>304</v>
      </c>
      <c r="U625" s="736" t="s">
        <v>1091</v>
      </c>
      <c r="V625" s="733" t="s">
        <v>548</v>
      </c>
      <c r="W625" s="14" t="s">
        <v>90</v>
      </c>
      <c r="X625" s="7"/>
      <c r="Y625" s="7"/>
      <c r="Z625" s="7"/>
      <c r="AA625" s="7"/>
      <c r="AB625" s="7"/>
      <c r="AC625" s="7"/>
    </row>
    <row r="626" spans="1:29" ht="26.25">
      <c r="A626" s="23"/>
      <c r="B626" s="807"/>
      <c r="C626" s="28">
        <f t="shared" si="106"/>
        <v>302.81</v>
      </c>
      <c r="D626" s="72"/>
      <c r="E626" s="28">
        <f t="shared" si="107"/>
        <v>19.810000000000002</v>
      </c>
      <c r="F626" s="28">
        <f t="shared" si="108"/>
        <v>11.32</v>
      </c>
      <c r="G626" s="28">
        <f t="shared" si="109"/>
        <v>8.49</v>
      </c>
      <c r="H626" s="28">
        <f>T626</f>
        <v>283</v>
      </c>
      <c r="I626" s="28">
        <f t="shared" si="110"/>
        <v>151.405</v>
      </c>
      <c r="J626" s="348"/>
      <c r="K626" s="348"/>
      <c r="L626" s="348"/>
      <c r="M626" s="348"/>
      <c r="N626" s="348"/>
      <c r="O626" s="454">
        <v>0</v>
      </c>
      <c r="P626" s="454">
        <v>283</v>
      </c>
      <c r="Q626" s="351"/>
      <c r="R626" s="351"/>
      <c r="S626" s="77">
        <v>1</v>
      </c>
      <c r="T626" s="28">
        <f>(P626-O626)*S626</f>
        <v>283</v>
      </c>
      <c r="U626" s="455" t="s">
        <v>1092</v>
      </c>
      <c r="V626" s="733" t="s">
        <v>548</v>
      </c>
      <c r="W626" s="14" t="s">
        <v>90</v>
      </c>
      <c r="X626" s="7"/>
      <c r="Y626" s="7"/>
      <c r="Z626" s="7"/>
      <c r="AA626" s="7"/>
      <c r="AB626" s="7"/>
      <c r="AC626" s="7"/>
    </row>
    <row r="627" spans="1:29" ht="25.5">
      <c r="A627" s="23"/>
      <c r="B627" s="62" t="s">
        <v>553</v>
      </c>
      <c r="C627" s="28">
        <f t="shared" si="102"/>
        <v>363.8</v>
      </c>
      <c r="D627" s="77"/>
      <c r="E627" s="28">
        <f t="shared" si="103"/>
        <v>23.799999999999997</v>
      </c>
      <c r="F627" s="28">
        <f t="shared" si="99"/>
        <v>13.6</v>
      </c>
      <c r="G627" s="28">
        <f t="shared" si="100"/>
        <v>10.199999999999999</v>
      </c>
      <c r="H627" s="28">
        <f t="shared" si="105"/>
        <v>340</v>
      </c>
      <c r="I627" s="28">
        <f t="shared" si="104"/>
        <v>181.9</v>
      </c>
      <c r="J627" s="348"/>
      <c r="K627" s="348"/>
      <c r="L627" s="348"/>
      <c r="M627" s="348"/>
      <c r="N627" s="348"/>
      <c r="O627" s="454">
        <v>27904</v>
      </c>
      <c r="P627" s="454">
        <v>28244</v>
      </c>
      <c r="Q627" s="351"/>
      <c r="R627" s="351"/>
      <c r="S627" s="54">
        <v>1</v>
      </c>
      <c r="T627" s="28">
        <f t="shared" si="101"/>
        <v>340</v>
      </c>
      <c r="U627" s="455">
        <v>5510402</v>
      </c>
      <c r="V627" s="733" t="s">
        <v>554</v>
      </c>
      <c r="W627" s="14" t="s">
        <v>43</v>
      </c>
      <c r="X627" s="7"/>
      <c r="Y627" s="7"/>
      <c r="Z627" s="7"/>
      <c r="AA627" s="7"/>
      <c r="AB627" s="7"/>
      <c r="AC627" s="7"/>
    </row>
    <row r="628" spans="1:29" ht="25.5">
      <c r="A628" s="23"/>
      <c r="B628" s="62" t="s">
        <v>892</v>
      </c>
      <c r="C628" s="28">
        <f t="shared" si="102"/>
        <v>350.96</v>
      </c>
      <c r="D628" s="77"/>
      <c r="E628" s="28">
        <f t="shared" si="103"/>
        <v>22.96</v>
      </c>
      <c r="F628" s="28">
        <f t="shared" si="99"/>
        <v>13.120000000000001</v>
      </c>
      <c r="G628" s="28">
        <f t="shared" si="100"/>
        <v>9.84</v>
      </c>
      <c r="H628" s="28">
        <f t="shared" si="105"/>
        <v>328</v>
      </c>
      <c r="I628" s="28">
        <f t="shared" si="104"/>
        <v>175.48</v>
      </c>
      <c r="J628" s="348"/>
      <c r="K628" s="348"/>
      <c r="L628" s="348"/>
      <c r="M628" s="348"/>
      <c r="N628" s="348"/>
      <c r="O628" s="454">
        <v>37994</v>
      </c>
      <c r="P628" s="454">
        <v>38322</v>
      </c>
      <c r="Q628" s="351"/>
      <c r="R628" s="351"/>
      <c r="S628" s="54">
        <v>1</v>
      </c>
      <c r="T628" s="28">
        <f t="shared" si="101"/>
        <v>328</v>
      </c>
      <c r="U628" s="455">
        <v>5509256</v>
      </c>
      <c r="V628" s="733" t="s">
        <v>263</v>
      </c>
      <c r="W628" s="14" t="s">
        <v>43</v>
      </c>
      <c r="X628" s="7"/>
      <c r="Y628" s="7"/>
      <c r="Z628" s="7"/>
      <c r="AA628" s="7"/>
      <c r="AB628" s="7"/>
      <c r="AC628" s="7"/>
    </row>
    <row r="629" spans="1:29" ht="25.5">
      <c r="A629" s="23"/>
      <c r="B629" s="62" t="s">
        <v>556</v>
      </c>
      <c r="C629" s="28">
        <f>H629+E629</f>
        <v>539.28</v>
      </c>
      <c r="D629" s="77"/>
      <c r="E629" s="28">
        <f t="shared" si="103"/>
        <v>35.28</v>
      </c>
      <c r="F629" s="28">
        <f t="shared" si="99"/>
        <v>20.16</v>
      </c>
      <c r="G629" s="28">
        <f t="shared" si="100"/>
        <v>15.12</v>
      </c>
      <c r="H629" s="28">
        <f t="shared" si="105"/>
        <v>504</v>
      </c>
      <c r="I629" s="28">
        <f t="shared" si="104"/>
        <v>269.64</v>
      </c>
      <c r="J629" s="348"/>
      <c r="K629" s="348"/>
      <c r="L629" s="348"/>
      <c r="M629" s="348"/>
      <c r="N629" s="348"/>
      <c r="O629" s="454">
        <v>33553</v>
      </c>
      <c r="P629" s="454">
        <v>34057</v>
      </c>
      <c r="Q629" s="351"/>
      <c r="R629" s="351"/>
      <c r="S629" s="54">
        <v>1</v>
      </c>
      <c r="T629" s="28">
        <f>(P629-O629)*S629</f>
        <v>504</v>
      </c>
      <c r="U629" s="455">
        <v>5509265</v>
      </c>
      <c r="V629" s="733" t="s">
        <v>557</v>
      </c>
      <c r="W629" s="14" t="s">
        <v>43</v>
      </c>
      <c r="X629" s="7"/>
      <c r="Y629" s="7"/>
      <c r="Z629" s="7"/>
      <c r="AA629" s="7"/>
      <c r="AB629" s="7"/>
      <c r="AC629" s="7"/>
    </row>
    <row r="630" spans="1:29" ht="25.5">
      <c r="A630" s="23"/>
      <c r="B630" s="62" t="s">
        <v>558</v>
      </c>
      <c r="C630" s="28">
        <f t="shared" si="102"/>
        <v>256.8</v>
      </c>
      <c r="D630" s="77"/>
      <c r="E630" s="28">
        <f t="shared" si="103"/>
        <v>16.799999999999997</v>
      </c>
      <c r="F630" s="28">
        <f t="shared" si="99"/>
        <v>9.6</v>
      </c>
      <c r="G630" s="28">
        <f t="shared" si="100"/>
        <v>7.1999999999999993</v>
      </c>
      <c r="H630" s="28">
        <f t="shared" si="105"/>
        <v>240</v>
      </c>
      <c r="I630" s="28">
        <f t="shared" si="104"/>
        <v>128.4</v>
      </c>
      <c r="J630" s="348"/>
      <c r="K630" s="348"/>
      <c r="L630" s="348"/>
      <c r="M630" s="348"/>
      <c r="N630" s="348"/>
      <c r="O630" s="454">
        <v>23110</v>
      </c>
      <c r="P630" s="454">
        <v>23350</v>
      </c>
      <c r="Q630" s="351"/>
      <c r="R630" s="351"/>
      <c r="S630" s="54">
        <v>1</v>
      </c>
      <c r="T630" s="28">
        <f t="shared" si="101"/>
        <v>240</v>
      </c>
      <c r="U630" s="455">
        <v>5518342</v>
      </c>
      <c r="V630" s="733" t="s">
        <v>559</v>
      </c>
      <c r="W630" s="14" t="s">
        <v>43</v>
      </c>
      <c r="X630" s="7"/>
      <c r="Y630" s="7"/>
      <c r="Z630" s="7"/>
      <c r="AA630" s="7"/>
      <c r="AB630" s="7"/>
      <c r="AC630" s="7"/>
    </row>
    <row r="631" spans="1:29" ht="25.5">
      <c r="A631" s="23"/>
      <c r="B631" s="62" t="s">
        <v>560</v>
      </c>
      <c r="C631" s="28">
        <f t="shared" si="102"/>
        <v>309.23</v>
      </c>
      <c r="D631" s="77"/>
      <c r="E631" s="28">
        <f t="shared" si="103"/>
        <v>20.23</v>
      </c>
      <c r="F631" s="28">
        <f t="shared" si="99"/>
        <v>11.56</v>
      </c>
      <c r="G631" s="28">
        <f t="shared" si="100"/>
        <v>8.67</v>
      </c>
      <c r="H631" s="28">
        <f t="shared" si="105"/>
        <v>289</v>
      </c>
      <c r="I631" s="28">
        <f t="shared" si="104"/>
        <v>154.61500000000001</v>
      </c>
      <c r="J631" s="348"/>
      <c r="K631" s="348"/>
      <c r="L631" s="348"/>
      <c r="M631" s="348"/>
      <c r="N631" s="348"/>
      <c r="O631" s="454">
        <v>25687</v>
      </c>
      <c r="P631" s="454">
        <v>25976</v>
      </c>
      <c r="Q631" s="351"/>
      <c r="R631" s="351"/>
      <c r="S631" s="54">
        <v>1</v>
      </c>
      <c r="T631" s="28">
        <f t="shared" si="101"/>
        <v>289</v>
      </c>
      <c r="U631" s="455">
        <v>2262004</v>
      </c>
      <c r="V631" s="733" t="s">
        <v>561</v>
      </c>
      <c r="W631" s="14" t="s">
        <v>43</v>
      </c>
      <c r="X631" s="7"/>
      <c r="Y631" s="7"/>
      <c r="Z631" s="7"/>
      <c r="AA631" s="7"/>
      <c r="AB631" s="7"/>
      <c r="AC631" s="7"/>
    </row>
    <row r="632" spans="1:29" ht="25.5">
      <c r="A632" s="23"/>
      <c r="B632" s="62" t="s">
        <v>893</v>
      </c>
      <c r="C632" s="28">
        <f t="shared" si="102"/>
        <v>373.43</v>
      </c>
      <c r="D632" s="77"/>
      <c r="E632" s="28">
        <f t="shared" si="103"/>
        <v>24.43</v>
      </c>
      <c r="F632" s="28">
        <f t="shared" si="99"/>
        <v>13.96</v>
      </c>
      <c r="G632" s="28">
        <f t="shared" si="100"/>
        <v>10.469999999999999</v>
      </c>
      <c r="H632" s="28">
        <f t="shared" si="105"/>
        <v>349</v>
      </c>
      <c r="I632" s="28">
        <f t="shared" si="104"/>
        <v>186.715</v>
      </c>
      <c r="J632" s="348"/>
      <c r="K632" s="348"/>
      <c r="L632" s="348"/>
      <c r="M632" s="348"/>
      <c r="N632" s="348"/>
      <c r="O632" s="454">
        <v>23007</v>
      </c>
      <c r="P632" s="454">
        <v>23356</v>
      </c>
      <c r="Q632" s="351"/>
      <c r="R632" s="351"/>
      <c r="S632" s="54">
        <v>1</v>
      </c>
      <c r="T632" s="28">
        <f t="shared" si="101"/>
        <v>349</v>
      </c>
      <c r="U632" s="455">
        <v>2262573</v>
      </c>
      <c r="V632" s="733" t="s">
        <v>813</v>
      </c>
      <c r="W632" s="14" t="s">
        <v>43</v>
      </c>
      <c r="X632" s="7"/>
      <c r="Y632" s="7"/>
      <c r="Z632" s="7"/>
      <c r="AA632" s="7"/>
      <c r="AB632" s="7"/>
      <c r="AC632" s="7"/>
    </row>
    <row r="633" spans="1:29" ht="25.5">
      <c r="A633" s="23"/>
      <c r="B633" s="62" t="s">
        <v>894</v>
      </c>
      <c r="C633" s="28">
        <f t="shared" si="102"/>
        <v>456.89</v>
      </c>
      <c r="D633" s="77"/>
      <c r="E633" s="28">
        <f t="shared" si="103"/>
        <v>29.89</v>
      </c>
      <c r="F633" s="28">
        <f t="shared" si="99"/>
        <v>17.080000000000002</v>
      </c>
      <c r="G633" s="28">
        <f t="shared" si="100"/>
        <v>12.809999999999999</v>
      </c>
      <c r="H633" s="28">
        <f t="shared" si="105"/>
        <v>427</v>
      </c>
      <c r="I633" s="28">
        <f t="shared" si="104"/>
        <v>228.44499999999999</v>
      </c>
      <c r="J633" s="348"/>
      <c r="K633" s="348"/>
      <c r="L633" s="348"/>
      <c r="M633" s="348"/>
      <c r="N633" s="348"/>
      <c r="O633" s="454">
        <v>62445</v>
      </c>
      <c r="P633" s="454">
        <v>62872</v>
      </c>
      <c r="Q633" s="351"/>
      <c r="R633" s="351"/>
      <c r="S633" s="54">
        <v>1</v>
      </c>
      <c r="T633" s="28">
        <f t="shared" si="101"/>
        <v>427</v>
      </c>
      <c r="U633" s="455">
        <v>2262504</v>
      </c>
      <c r="V633" s="733" t="s">
        <v>385</v>
      </c>
      <c r="W633" s="14" t="s">
        <v>43</v>
      </c>
      <c r="X633" s="7"/>
      <c r="Y633" s="7"/>
      <c r="Z633" s="7"/>
      <c r="AA633" s="7"/>
      <c r="AB633" s="7"/>
      <c r="AC633" s="7"/>
    </row>
    <row r="634" spans="1:29" ht="25.5">
      <c r="A634" s="23"/>
      <c r="B634" s="62" t="s">
        <v>564</v>
      </c>
      <c r="C634" s="28">
        <f t="shared" si="102"/>
        <v>153.01</v>
      </c>
      <c r="D634" s="77"/>
      <c r="E634" s="28">
        <f t="shared" si="103"/>
        <v>10.01</v>
      </c>
      <c r="F634" s="28">
        <f t="shared" si="99"/>
        <v>5.72</v>
      </c>
      <c r="G634" s="28">
        <f t="shared" si="100"/>
        <v>4.29</v>
      </c>
      <c r="H634" s="28">
        <f t="shared" si="105"/>
        <v>143</v>
      </c>
      <c r="I634" s="28">
        <f t="shared" si="104"/>
        <v>76.504999999999995</v>
      </c>
      <c r="J634" s="348"/>
      <c r="K634" s="348"/>
      <c r="L634" s="348"/>
      <c r="M634" s="348"/>
      <c r="N634" s="348"/>
      <c r="O634" s="454">
        <v>14922</v>
      </c>
      <c r="P634" s="454">
        <v>15065</v>
      </c>
      <c r="Q634" s="351"/>
      <c r="R634" s="351"/>
      <c r="S634" s="54">
        <v>1</v>
      </c>
      <c r="T634" s="28">
        <f t="shared" si="101"/>
        <v>143</v>
      </c>
      <c r="U634" s="455">
        <v>282333</v>
      </c>
      <c r="V634" s="733" t="s">
        <v>565</v>
      </c>
      <c r="W634" s="14" t="s">
        <v>43</v>
      </c>
      <c r="X634" s="7"/>
      <c r="Y634" s="7"/>
      <c r="Z634" s="7"/>
      <c r="AA634" s="7"/>
      <c r="AB634" s="7"/>
      <c r="AC634" s="7"/>
    </row>
    <row r="635" spans="1:29" ht="26.25">
      <c r="A635" s="23"/>
      <c r="B635" s="449" t="s">
        <v>549</v>
      </c>
      <c r="C635" s="28">
        <f>H635+E635</f>
        <v>510.39</v>
      </c>
      <c r="D635" s="450"/>
      <c r="E635" s="28">
        <f>F635+G635</f>
        <v>33.39</v>
      </c>
      <c r="F635" s="28">
        <f>0.04*H635</f>
        <v>19.080000000000002</v>
      </c>
      <c r="G635" s="28">
        <f>0.03*H635</f>
        <v>14.309999999999999</v>
      </c>
      <c r="H635" s="28">
        <f>T635</f>
        <v>477</v>
      </c>
      <c r="I635" s="28">
        <f>0.5*C635</f>
        <v>255.19499999999999</v>
      </c>
      <c r="J635" s="46"/>
      <c r="K635" s="29"/>
      <c r="L635" s="29"/>
      <c r="M635" s="29"/>
      <c r="N635" s="29"/>
      <c r="O635" s="451">
        <v>49820</v>
      </c>
      <c r="P635" s="451">
        <v>50297</v>
      </c>
      <c r="Q635" s="30"/>
      <c r="R635" s="452"/>
      <c r="S635" s="54">
        <v>1</v>
      </c>
      <c r="T635" s="28">
        <f>(P635-O635)*S635</f>
        <v>477</v>
      </c>
      <c r="U635" s="455">
        <v>2261380</v>
      </c>
      <c r="V635" s="733" t="s">
        <v>550</v>
      </c>
      <c r="W635" s="14" t="s">
        <v>90</v>
      </c>
      <c r="X635" s="7"/>
      <c r="Y635" s="7"/>
      <c r="Z635" s="7"/>
      <c r="AA635" s="7"/>
      <c r="AB635" s="7"/>
      <c r="AC635" s="7"/>
    </row>
    <row r="636" spans="1:29" s="195" customFormat="1" ht="25.5">
      <c r="A636" s="479"/>
      <c r="B636" s="62" t="s">
        <v>566</v>
      </c>
      <c r="C636" s="28">
        <f t="shared" si="102"/>
        <v>0</v>
      </c>
      <c r="D636" s="77"/>
      <c r="E636" s="28">
        <f t="shared" si="103"/>
        <v>0</v>
      </c>
      <c r="F636" s="28">
        <f t="shared" si="99"/>
        <v>0</v>
      </c>
      <c r="G636" s="28">
        <f t="shared" si="100"/>
        <v>0</v>
      </c>
      <c r="H636" s="28">
        <f t="shared" si="105"/>
        <v>0</v>
      </c>
      <c r="I636" s="28">
        <f t="shared" si="104"/>
        <v>0</v>
      </c>
      <c r="J636" s="348"/>
      <c r="K636" s="348"/>
      <c r="L636" s="348"/>
      <c r="M636" s="348"/>
      <c r="N636" s="348"/>
      <c r="O636" s="454">
        <v>42066</v>
      </c>
      <c r="P636" s="454">
        <v>42066</v>
      </c>
      <c r="Q636" s="351"/>
      <c r="R636" s="351"/>
      <c r="S636" s="54">
        <v>1</v>
      </c>
      <c r="T636" s="28">
        <f t="shared" si="101"/>
        <v>0</v>
      </c>
      <c r="U636" s="455">
        <v>3263</v>
      </c>
      <c r="V636" s="733" t="s">
        <v>567</v>
      </c>
      <c r="W636" s="191" t="s">
        <v>43</v>
      </c>
      <c r="X636" s="86"/>
      <c r="Y636" s="86"/>
      <c r="Z636" s="86"/>
      <c r="AA636" s="86"/>
      <c r="AB636" s="86"/>
      <c r="AC636" s="86"/>
    </row>
    <row r="637" spans="1:29" ht="25.5">
      <c r="A637" s="23"/>
      <c r="B637" s="104" t="s">
        <v>568</v>
      </c>
      <c r="C637" s="91">
        <f>H637+E637</f>
        <v>0</v>
      </c>
      <c r="D637" s="92"/>
      <c r="E637" s="91">
        <f t="shared" si="103"/>
        <v>0</v>
      </c>
      <c r="F637" s="91">
        <f t="shared" si="99"/>
        <v>0</v>
      </c>
      <c r="G637" s="91">
        <f t="shared" si="100"/>
        <v>0</v>
      </c>
      <c r="H637" s="91">
        <f t="shared" si="105"/>
        <v>0</v>
      </c>
      <c r="I637" s="91">
        <f t="shared" si="104"/>
        <v>0</v>
      </c>
      <c r="J637" s="142"/>
      <c r="K637" s="142"/>
      <c r="L637" s="142"/>
      <c r="M637" s="142"/>
      <c r="N637" s="142"/>
      <c r="O637" s="258">
        <v>802</v>
      </c>
      <c r="P637" s="258">
        <v>802</v>
      </c>
      <c r="Q637" s="173"/>
      <c r="R637" s="173"/>
      <c r="S637" s="151">
        <v>1</v>
      </c>
      <c r="T637" s="91">
        <f>(P637-O637)*S637</f>
        <v>0</v>
      </c>
      <c r="U637" s="644" t="s">
        <v>1039</v>
      </c>
      <c r="V637" s="710" t="s">
        <v>1038</v>
      </c>
      <c r="W637" s="14" t="s">
        <v>90</v>
      </c>
      <c r="X637" s="7"/>
      <c r="Y637" s="7"/>
      <c r="Z637" s="7"/>
      <c r="AA637" s="7"/>
      <c r="AB637" s="7"/>
      <c r="AC637" s="7"/>
    </row>
    <row r="638" spans="1:29" ht="25.5">
      <c r="A638" s="23"/>
      <c r="B638" s="62" t="s">
        <v>570</v>
      </c>
      <c r="C638" s="28">
        <f>H638+E638</f>
        <v>440.84</v>
      </c>
      <c r="D638" s="77"/>
      <c r="E638" s="28">
        <f t="shared" si="103"/>
        <v>28.84</v>
      </c>
      <c r="F638" s="28">
        <f t="shared" si="99"/>
        <v>16.48</v>
      </c>
      <c r="G638" s="28">
        <f t="shared" si="100"/>
        <v>12.36</v>
      </c>
      <c r="H638" s="28">
        <f t="shared" si="105"/>
        <v>412</v>
      </c>
      <c r="I638" s="28">
        <f t="shared" si="104"/>
        <v>220.42</v>
      </c>
      <c r="J638" s="348"/>
      <c r="K638" s="348"/>
      <c r="L638" s="348"/>
      <c r="M638" s="348"/>
      <c r="N638" s="348"/>
      <c r="O638" s="454">
        <v>10060</v>
      </c>
      <c r="P638" s="454">
        <v>10472</v>
      </c>
      <c r="Q638" s="351"/>
      <c r="R638" s="351"/>
      <c r="S638" s="54">
        <v>1</v>
      </c>
      <c r="T638" s="28">
        <f t="shared" si="101"/>
        <v>412</v>
      </c>
      <c r="U638" s="455" t="s">
        <v>1040</v>
      </c>
      <c r="V638" s="733" t="s">
        <v>571</v>
      </c>
      <c r="W638" s="14" t="s">
        <v>90</v>
      </c>
      <c r="X638" s="7"/>
      <c r="Y638" s="7"/>
      <c r="Z638" s="7"/>
      <c r="AA638" s="7"/>
      <c r="AB638" s="7"/>
      <c r="AC638" s="7"/>
    </row>
    <row r="639" spans="1:29" ht="25.5">
      <c r="A639" s="23"/>
      <c r="B639" s="62" t="s">
        <v>572</v>
      </c>
      <c r="C639" s="28">
        <f t="shared" si="102"/>
        <v>571.38</v>
      </c>
      <c r="D639" s="77"/>
      <c r="E639" s="28">
        <f t="shared" si="103"/>
        <v>37.379999999999995</v>
      </c>
      <c r="F639" s="28">
        <f t="shared" si="99"/>
        <v>21.36</v>
      </c>
      <c r="G639" s="28">
        <f t="shared" si="100"/>
        <v>16.02</v>
      </c>
      <c r="H639" s="28">
        <f t="shared" si="105"/>
        <v>534</v>
      </c>
      <c r="I639" s="28">
        <f t="shared" si="104"/>
        <v>285.69</v>
      </c>
      <c r="J639" s="348"/>
      <c r="K639" s="348"/>
      <c r="L639" s="348"/>
      <c r="M639" s="348"/>
      <c r="N639" s="348"/>
      <c r="O639" s="454">
        <v>109278</v>
      </c>
      <c r="P639" s="454">
        <v>109812</v>
      </c>
      <c r="Q639" s="351"/>
      <c r="R639" s="351"/>
      <c r="S639" s="54">
        <v>1</v>
      </c>
      <c r="T639" s="28">
        <f>(P639-O639)*S639</f>
        <v>534</v>
      </c>
      <c r="U639" s="455" t="s">
        <v>1041</v>
      </c>
      <c r="V639" s="733" t="s">
        <v>573</v>
      </c>
      <c r="W639" s="14" t="s">
        <v>90</v>
      </c>
      <c r="X639" s="7"/>
      <c r="Y639" s="7"/>
      <c r="Z639" s="7"/>
      <c r="AA639" s="7"/>
      <c r="AB639" s="7"/>
      <c r="AC639" s="7"/>
    </row>
    <row r="640" spans="1:29" ht="25.5">
      <c r="A640" s="23"/>
      <c r="B640" s="62" t="s">
        <v>701</v>
      </c>
      <c r="C640" s="28">
        <f t="shared" si="102"/>
        <v>1918.51</v>
      </c>
      <c r="D640" s="77"/>
      <c r="E640" s="28">
        <f t="shared" si="103"/>
        <v>125.50999999999999</v>
      </c>
      <c r="F640" s="28">
        <f t="shared" si="99"/>
        <v>71.72</v>
      </c>
      <c r="G640" s="28">
        <f t="shared" si="100"/>
        <v>53.79</v>
      </c>
      <c r="H640" s="28">
        <f t="shared" si="105"/>
        <v>1793</v>
      </c>
      <c r="I640" s="28">
        <f t="shared" si="104"/>
        <v>959.255</v>
      </c>
      <c r="J640" s="348"/>
      <c r="K640" s="348"/>
      <c r="L640" s="348"/>
      <c r="M640" s="348"/>
      <c r="N640" s="348"/>
      <c r="O640" s="454">
        <v>255872</v>
      </c>
      <c r="P640" s="454">
        <v>257665</v>
      </c>
      <c r="Q640" s="351"/>
      <c r="R640" s="351"/>
      <c r="S640" s="54">
        <v>1</v>
      </c>
      <c r="T640" s="28">
        <f>(P640-O640)*S640</f>
        <v>1793</v>
      </c>
      <c r="U640" s="455" t="s">
        <v>1042</v>
      </c>
      <c r="V640" s="733" t="s">
        <v>574</v>
      </c>
      <c r="W640" s="14" t="s">
        <v>90</v>
      </c>
      <c r="X640" s="7"/>
      <c r="Y640" s="7"/>
      <c r="Z640" s="7"/>
      <c r="AA640" s="7"/>
      <c r="AB640" s="7"/>
      <c r="AC640" s="7"/>
    </row>
    <row r="641" spans="1:29" ht="25.5">
      <c r="A641" s="23"/>
      <c r="B641" s="62" t="s">
        <v>891</v>
      </c>
      <c r="C641" s="28">
        <f>H641+E641</f>
        <v>1438.08</v>
      </c>
      <c r="D641" s="453"/>
      <c r="E641" s="28">
        <f>F641+G641</f>
        <v>94.08</v>
      </c>
      <c r="F641" s="28">
        <f>0.04*H641</f>
        <v>53.76</v>
      </c>
      <c r="G641" s="28">
        <f>0.03*H641</f>
        <v>40.32</v>
      </c>
      <c r="H641" s="28">
        <f>T641</f>
        <v>1344</v>
      </c>
      <c r="I641" s="28">
        <f>0.5*C641</f>
        <v>719.04</v>
      </c>
      <c r="J641" s="348"/>
      <c r="K641" s="348"/>
      <c r="L641" s="348"/>
      <c r="M641" s="348"/>
      <c r="N641" s="348"/>
      <c r="O641" s="454">
        <v>68985</v>
      </c>
      <c r="P641" s="454">
        <v>70329</v>
      </c>
      <c r="Q641" s="351"/>
      <c r="R641" s="351"/>
      <c r="S641" s="54">
        <v>1</v>
      </c>
      <c r="T641" s="28">
        <f>(P641-O641)*S641</f>
        <v>1344</v>
      </c>
      <c r="U641" s="455">
        <v>2261167</v>
      </c>
      <c r="V641" s="733" t="s">
        <v>552</v>
      </c>
      <c r="W641" s="14"/>
      <c r="X641" s="7"/>
      <c r="Y641" s="7"/>
      <c r="Z641" s="7"/>
      <c r="AA641" s="7"/>
      <c r="AB641" s="7"/>
      <c r="AC641" s="7"/>
    </row>
    <row r="642" spans="1:29" ht="26.25">
      <c r="A642" s="23"/>
      <c r="B642" s="62" t="s">
        <v>575</v>
      </c>
      <c r="C642" s="28">
        <f t="shared" ref="C642" si="111">H642+E642</f>
        <v>327.42</v>
      </c>
      <c r="D642" s="72"/>
      <c r="E642" s="28">
        <f t="shared" ref="E642" si="112">F642+G642</f>
        <v>21.42</v>
      </c>
      <c r="F642" s="28">
        <f t="shared" ref="F642" si="113">0.04*H642</f>
        <v>12.24</v>
      </c>
      <c r="G642" s="28">
        <f t="shared" ref="G642" si="114">0.03*H642</f>
        <v>9.18</v>
      </c>
      <c r="H642" s="28">
        <f>T642</f>
        <v>306</v>
      </c>
      <c r="I642" s="28">
        <f t="shared" ref="I642" si="115">0.5*C642</f>
        <v>163.71</v>
      </c>
      <c r="J642" s="348"/>
      <c r="K642" s="348"/>
      <c r="L642" s="348"/>
      <c r="M642" s="348"/>
      <c r="N642" s="348"/>
      <c r="O642" s="454">
        <v>3896</v>
      </c>
      <c r="P642" s="454">
        <v>4202</v>
      </c>
      <c r="Q642" s="351"/>
      <c r="R642" s="351"/>
      <c r="S642" s="77">
        <v>1</v>
      </c>
      <c r="T642" s="28">
        <f>(P642-O642)*S642</f>
        <v>306</v>
      </c>
      <c r="U642" s="455" t="s">
        <v>1043</v>
      </c>
      <c r="V642" s="733" t="s">
        <v>814</v>
      </c>
      <c r="W642" s="14"/>
      <c r="X642" s="7"/>
      <c r="Y642" s="7"/>
      <c r="Z642" s="7"/>
      <c r="AA642" s="7"/>
      <c r="AB642" s="7"/>
      <c r="AC642" s="7"/>
    </row>
    <row r="643" spans="1:29" ht="26.25">
      <c r="A643" s="23"/>
      <c r="B643" s="62" t="s">
        <v>895</v>
      </c>
      <c r="C643" s="28">
        <f t="shared" si="102"/>
        <v>49.22</v>
      </c>
      <c r="D643" s="72"/>
      <c r="E643" s="28">
        <f t="shared" si="103"/>
        <v>3.2199999999999998</v>
      </c>
      <c r="F643" s="28">
        <f t="shared" si="99"/>
        <v>1.84</v>
      </c>
      <c r="G643" s="28">
        <f t="shared" si="100"/>
        <v>1.38</v>
      </c>
      <c r="H643" s="28">
        <f>T643</f>
        <v>46</v>
      </c>
      <c r="I643" s="28">
        <f t="shared" si="104"/>
        <v>24.61</v>
      </c>
      <c r="J643" s="348"/>
      <c r="K643" s="348"/>
      <c r="L643" s="348"/>
      <c r="M643" s="348"/>
      <c r="N643" s="348"/>
      <c r="O643" s="454">
        <v>13812</v>
      </c>
      <c r="P643" s="454">
        <v>13858</v>
      </c>
      <c r="Q643" s="351"/>
      <c r="R643" s="351"/>
      <c r="S643" s="77">
        <v>1</v>
      </c>
      <c r="T643" s="28">
        <f>(P643-O643)*S643</f>
        <v>46</v>
      </c>
      <c r="U643" s="455">
        <v>370293</v>
      </c>
      <c r="V643" s="733" t="s">
        <v>815</v>
      </c>
      <c r="W643" s="14" t="s">
        <v>90</v>
      </c>
      <c r="X643" s="7"/>
      <c r="Y643" s="7"/>
      <c r="Z643" s="7"/>
      <c r="AA643" s="7"/>
      <c r="AB643" s="7"/>
      <c r="AC643" s="7"/>
    </row>
    <row r="644" spans="1:29" ht="57" customHeight="1">
      <c r="A644" s="252"/>
      <c r="W644" s="14"/>
      <c r="X644" s="7"/>
      <c r="Y644" s="7"/>
      <c r="Z644" s="7"/>
      <c r="AA644" s="7"/>
      <c r="AB644" s="7"/>
      <c r="AC644" s="7"/>
    </row>
    <row r="645" spans="1:29" ht="25.5">
      <c r="A645" s="252"/>
      <c r="W645" s="14"/>
      <c r="X645" s="7"/>
      <c r="Y645" s="7"/>
      <c r="Z645" s="7"/>
      <c r="AA645" s="7"/>
      <c r="AB645" s="7"/>
      <c r="AC645" s="7"/>
    </row>
    <row r="646" spans="1:29" ht="26.25">
      <c r="A646" s="252"/>
      <c r="B646" s="62" t="s">
        <v>948</v>
      </c>
      <c r="C646" s="28">
        <f t="shared" si="102"/>
        <v>0</v>
      </c>
      <c r="D646" s="72"/>
      <c r="E646" s="28">
        <f t="shared" si="103"/>
        <v>0</v>
      </c>
      <c r="F646" s="28">
        <f t="shared" si="99"/>
        <v>0</v>
      </c>
      <c r="G646" s="28">
        <f t="shared" si="100"/>
        <v>0</v>
      </c>
      <c r="H646" s="28">
        <f t="shared" si="105"/>
        <v>0</v>
      </c>
      <c r="I646" s="28">
        <f t="shared" si="104"/>
        <v>0</v>
      </c>
      <c r="J646" s="348"/>
      <c r="K646" s="348"/>
      <c r="L646" s="348"/>
      <c r="M646" s="348"/>
      <c r="N646" s="348"/>
      <c r="O646" s="454">
        <v>6544</v>
      </c>
      <c r="P646" s="454">
        <v>6544</v>
      </c>
      <c r="Q646" s="351"/>
      <c r="R646" s="351"/>
      <c r="S646" s="77">
        <v>1</v>
      </c>
      <c r="T646" s="28">
        <f>(P646-O646)*S646</f>
        <v>0</v>
      </c>
      <c r="U646" s="455">
        <v>1940</v>
      </c>
      <c r="V646" s="708" t="s">
        <v>816</v>
      </c>
      <c r="W646" s="14" t="s">
        <v>90</v>
      </c>
      <c r="X646" s="7"/>
      <c r="Y646" s="7"/>
      <c r="Z646" s="7"/>
      <c r="AA646" s="7"/>
      <c r="AB646" s="7"/>
      <c r="AC646" s="7"/>
    </row>
    <row r="647" spans="1:29" ht="26.25">
      <c r="A647" s="268"/>
      <c r="B647" s="357" t="s">
        <v>703</v>
      </c>
      <c r="C647" s="28">
        <f>H647+E647</f>
        <v>398.04</v>
      </c>
      <c r="D647" s="28"/>
      <c r="E647" s="28">
        <f>G647+F647</f>
        <v>26.04</v>
      </c>
      <c r="F647" s="28">
        <f>0.04*H647</f>
        <v>14.88</v>
      </c>
      <c r="G647" s="28">
        <f>0.03*H647</f>
        <v>11.16</v>
      </c>
      <c r="H647" s="28">
        <f>T647</f>
        <v>372</v>
      </c>
      <c r="I647" s="28">
        <f>0.6*C647</f>
        <v>238.82400000000001</v>
      </c>
      <c r="J647" s="29"/>
      <c r="K647" s="29"/>
      <c r="L647" s="29"/>
      <c r="M647" s="29"/>
      <c r="N647" s="29"/>
      <c r="O647" s="28">
        <v>17957</v>
      </c>
      <c r="P647" s="28">
        <v>18329</v>
      </c>
      <c r="Q647" s="30"/>
      <c r="R647" s="439"/>
      <c r="S647" s="54">
        <v>1</v>
      </c>
      <c r="T647" s="28">
        <f>(P647-O647)*S647</f>
        <v>372</v>
      </c>
      <c r="U647" s="455" t="s">
        <v>1044</v>
      </c>
      <c r="V647" s="733" t="s">
        <v>751</v>
      </c>
      <c r="W647" s="14" t="s">
        <v>90</v>
      </c>
      <c r="X647" s="7"/>
      <c r="Y647" s="7"/>
      <c r="Z647" s="7"/>
      <c r="AA647" s="7"/>
      <c r="AB647" s="7"/>
      <c r="AC647" s="7"/>
    </row>
    <row r="648" spans="1:29" ht="26.25">
      <c r="A648" s="268"/>
      <c r="B648" s="62"/>
      <c r="C648" s="28"/>
      <c r="D648" s="28"/>
      <c r="E648" s="28"/>
      <c r="F648" s="28"/>
      <c r="G648" s="28"/>
      <c r="H648" s="28"/>
      <c r="I648" s="28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28"/>
      <c r="U648" s="455"/>
      <c r="V648" s="733"/>
      <c r="W648" s="14" t="s">
        <v>43</v>
      </c>
      <c r="X648" s="7"/>
      <c r="Y648" s="7"/>
      <c r="Z648" s="7"/>
      <c r="AA648" s="7"/>
      <c r="AB648" s="7"/>
      <c r="AC648" s="7"/>
    </row>
    <row r="649" spans="1:29" ht="26.25">
      <c r="A649" s="268"/>
      <c r="B649" s="269"/>
      <c r="C649" s="28"/>
      <c r="D649" s="28"/>
      <c r="E649" s="28"/>
      <c r="F649" s="28"/>
      <c r="G649" s="28"/>
      <c r="H649" s="28"/>
      <c r="I649" s="28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28"/>
      <c r="U649" s="455"/>
      <c r="V649" s="733"/>
      <c r="W649" s="14"/>
      <c r="X649" s="7"/>
      <c r="Y649" s="7"/>
      <c r="Z649" s="7"/>
      <c r="AA649" s="7"/>
      <c r="AB649" s="7"/>
      <c r="AC649" s="7"/>
    </row>
    <row r="650" spans="1:29" ht="26.25">
      <c r="A650" s="268"/>
      <c r="B650" s="62" t="s">
        <v>579</v>
      </c>
      <c r="C650" s="28">
        <f>H650+E650</f>
        <v>94.16</v>
      </c>
      <c r="D650" s="28"/>
      <c r="E650" s="28">
        <f t="shared" si="103"/>
        <v>6.16</v>
      </c>
      <c r="F650" s="28">
        <f t="shared" si="99"/>
        <v>3.52</v>
      </c>
      <c r="G650" s="28">
        <f t="shared" si="100"/>
        <v>2.6399999999999997</v>
      </c>
      <c r="H650" s="28">
        <f t="shared" si="105"/>
        <v>88</v>
      </c>
      <c r="I650" s="28"/>
      <c r="J650" s="77"/>
      <c r="K650" s="77"/>
      <c r="L650" s="77"/>
      <c r="M650" s="77"/>
      <c r="N650" s="77"/>
      <c r="O650" s="77">
        <v>4371</v>
      </c>
      <c r="P650" s="77">
        <v>4459</v>
      </c>
      <c r="Q650" s="77"/>
      <c r="R650" s="77"/>
      <c r="S650" s="77">
        <v>1</v>
      </c>
      <c r="T650" s="28">
        <f>(P650-O650)*S650</f>
        <v>88</v>
      </c>
      <c r="U650" s="455" t="s">
        <v>1045</v>
      </c>
      <c r="V650" s="733" t="s">
        <v>581</v>
      </c>
      <c r="W650" s="795" t="s">
        <v>90</v>
      </c>
      <c r="X650" s="7"/>
      <c r="Y650" s="7"/>
      <c r="Z650" s="7"/>
      <c r="AA650" s="7"/>
      <c r="AB650" s="7"/>
      <c r="AC650" s="7"/>
    </row>
    <row r="651" spans="1:29" ht="26.25">
      <c r="A651" s="268"/>
      <c r="B651" s="687"/>
      <c r="C651" s="43"/>
      <c r="D651" s="43"/>
      <c r="E651" s="43"/>
      <c r="F651" s="43"/>
      <c r="G651" s="43"/>
      <c r="H651" s="43"/>
      <c r="I651" s="43"/>
      <c r="J651" s="270"/>
      <c r="K651" s="270"/>
      <c r="L651" s="270"/>
      <c r="M651" s="270"/>
      <c r="N651" s="270"/>
      <c r="O651" s="270"/>
      <c r="P651" s="270"/>
      <c r="Q651" s="270"/>
      <c r="R651" s="270"/>
      <c r="S651" s="270"/>
      <c r="T651" s="43"/>
      <c r="U651" s="736"/>
      <c r="V651" s="44"/>
      <c r="W651" s="796"/>
      <c r="X651" s="7"/>
      <c r="Y651" s="7"/>
      <c r="Z651" s="7"/>
      <c r="AA651" s="7"/>
      <c r="AB651" s="7"/>
      <c r="AC651" s="7"/>
    </row>
    <row r="652" spans="1:29" ht="26.25">
      <c r="A652" s="268"/>
      <c r="B652" s="62"/>
      <c r="C652" s="28"/>
      <c r="D652" s="28"/>
      <c r="E652" s="28"/>
      <c r="F652" s="28"/>
      <c r="G652" s="28"/>
      <c r="H652" s="28"/>
      <c r="I652" s="28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28"/>
      <c r="U652" s="455"/>
      <c r="V652" s="733"/>
      <c r="W652" s="797"/>
      <c r="X652" s="7"/>
      <c r="Y652" s="7"/>
      <c r="Z652" s="7"/>
      <c r="AA652" s="7"/>
      <c r="AB652" s="7"/>
      <c r="AC652" s="7"/>
    </row>
    <row r="653" spans="1:29" ht="26.25">
      <c r="A653" s="268"/>
      <c r="B653" s="357" t="s">
        <v>704</v>
      </c>
      <c r="C653" s="28">
        <f>H653+E653</f>
        <v>102.72</v>
      </c>
      <c r="D653" s="28"/>
      <c r="E653" s="28">
        <f>F653+G653</f>
        <v>6.72</v>
      </c>
      <c r="F653" s="28">
        <f>0.04*H653</f>
        <v>3.84</v>
      </c>
      <c r="G653" s="28">
        <f>0.03*H653</f>
        <v>2.88</v>
      </c>
      <c r="H653" s="28">
        <f>T653</f>
        <v>96</v>
      </c>
      <c r="I653" s="28">
        <f>0.6*C653</f>
        <v>61.631999999999998</v>
      </c>
      <c r="J653" s="29"/>
      <c r="K653" s="29"/>
      <c r="L653" s="29"/>
      <c r="M653" s="29"/>
      <c r="N653" s="29"/>
      <c r="O653" s="28">
        <v>9350</v>
      </c>
      <c r="P653" s="28">
        <v>9446</v>
      </c>
      <c r="Q653" s="29" t="s">
        <v>28</v>
      </c>
      <c r="R653" s="348"/>
      <c r="S653" s="54">
        <v>1</v>
      </c>
      <c r="T653" s="28">
        <f>(P653-O653)*S653</f>
        <v>96</v>
      </c>
      <c r="U653" s="455" t="s">
        <v>1046</v>
      </c>
      <c r="V653" s="733" t="s">
        <v>583</v>
      </c>
      <c r="W653" s="14" t="s">
        <v>90</v>
      </c>
      <c r="X653" s="7"/>
      <c r="Y653" s="7"/>
      <c r="Z653" s="7"/>
      <c r="AA653" s="7"/>
      <c r="AB653" s="7"/>
      <c r="AC653" s="7"/>
    </row>
    <row r="654" spans="1:29" ht="26.25">
      <c r="A654" s="271"/>
      <c r="B654" s="143" t="s">
        <v>584</v>
      </c>
      <c r="C654" s="115">
        <f>SUM(C615:C653)</f>
        <v>24279.369999999992</v>
      </c>
      <c r="D654" s="115"/>
      <c r="E654" s="115">
        <f t="shared" si="103"/>
        <v>1534.47</v>
      </c>
      <c r="F654" s="115">
        <f t="shared" si="99"/>
        <v>876.84</v>
      </c>
      <c r="G654" s="115">
        <f t="shared" si="100"/>
        <v>657.63</v>
      </c>
      <c r="H654" s="115">
        <f>SUM(H616:H643)</f>
        <v>21921</v>
      </c>
      <c r="I654" s="115">
        <f>SUM(I616:I647)</f>
        <v>11966.558999999997</v>
      </c>
      <c r="J654" s="142"/>
      <c r="K654" s="142"/>
      <c r="L654" s="142"/>
      <c r="M654" s="142"/>
      <c r="N654" s="142"/>
      <c r="O654" s="94"/>
      <c r="P654" s="94"/>
      <c r="Q654" s="94"/>
      <c r="R654" s="94"/>
      <c r="S654" s="92"/>
      <c r="T654" s="91"/>
      <c r="U654" s="644"/>
      <c r="V654" s="710"/>
      <c r="W654" s="14"/>
      <c r="X654" s="7"/>
      <c r="Y654" s="7"/>
      <c r="Z654" s="7"/>
      <c r="AA654" s="7"/>
      <c r="AB654" s="7"/>
      <c r="AC654" s="7"/>
    </row>
    <row r="655" spans="1:29" ht="26.25">
      <c r="A655" s="271"/>
      <c r="B655" s="143"/>
      <c r="C655" s="115"/>
      <c r="D655" s="115"/>
      <c r="E655" s="115"/>
      <c r="F655" s="115"/>
      <c r="G655" s="115"/>
      <c r="H655" s="115"/>
      <c r="I655" s="115"/>
      <c r="J655" s="98"/>
      <c r="K655" s="98"/>
      <c r="L655" s="98"/>
      <c r="M655" s="98"/>
      <c r="N655" s="98"/>
      <c r="O655" s="94"/>
      <c r="P655" s="94"/>
      <c r="Q655" s="227"/>
      <c r="R655" s="228"/>
      <c r="S655" s="92"/>
      <c r="T655" s="91"/>
      <c r="U655" s="644"/>
      <c r="V655" s="710"/>
      <c r="W655" s="14"/>
      <c r="X655" s="7"/>
      <c r="Y655" s="7"/>
      <c r="Z655" s="7"/>
      <c r="AA655" s="7"/>
      <c r="AB655" s="7"/>
      <c r="AC655" s="7"/>
    </row>
    <row r="656" spans="1:29" ht="26.25">
      <c r="A656" s="271"/>
      <c r="B656" s="143" t="s">
        <v>585</v>
      </c>
      <c r="C656" s="117"/>
      <c r="D656" s="595"/>
      <c r="E656" s="117"/>
      <c r="F656" s="117"/>
      <c r="G656" s="117"/>
      <c r="H656" s="595"/>
      <c r="I656" s="595"/>
      <c r="J656" s="98"/>
      <c r="K656" s="98"/>
      <c r="L656" s="98"/>
      <c r="M656" s="98"/>
      <c r="N656" s="98"/>
      <c r="O656" s="595"/>
      <c r="P656" s="595"/>
      <c r="Q656" s="105"/>
      <c r="R656" s="597"/>
      <c r="S656" s="595"/>
      <c r="T656" s="117"/>
      <c r="U656" s="644"/>
      <c r="V656" s="710"/>
      <c r="W656" s="14"/>
      <c r="X656" s="7"/>
      <c r="Y656" s="7"/>
      <c r="Z656" s="7"/>
      <c r="AA656" s="7"/>
      <c r="AB656" s="7"/>
      <c r="AC656" s="7"/>
    </row>
    <row r="657" spans="1:29" ht="25.5">
      <c r="A657" s="252"/>
      <c r="B657" s="449" t="s">
        <v>705</v>
      </c>
      <c r="C657" s="28">
        <f>H657+E657</f>
        <v>2243.79</v>
      </c>
      <c r="D657" s="77"/>
      <c r="E657" s="28">
        <f>F657+G657</f>
        <v>146.79</v>
      </c>
      <c r="F657" s="28">
        <f>0.04*T657</f>
        <v>83.88</v>
      </c>
      <c r="G657" s="28">
        <f>0.03*T657</f>
        <v>62.91</v>
      </c>
      <c r="H657" s="28">
        <f>T657</f>
        <v>2097</v>
      </c>
      <c r="I657" s="28">
        <f>H657*0.5</f>
        <v>1048.5</v>
      </c>
      <c r="J657" s="348"/>
      <c r="K657" s="348"/>
      <c r="L657" s="348"/>
      <c r="M657" s="348"/>
      <c r="N657" s="348"/>
      <c r="O657" s="77">
        <v>44901</v>
      </c>
      <c r="P657" s="77">
        <v>46998</v>
      </c>
      <c r="Q657" s="77"/>
      <c r="R657" s="77"/>
      <c r="S657" s="77">
        <v>1</v>
      </c>
      <c r="T657" s="28">
        <f>(P657-O657)*S657</f>
        <v>2097</v>
      </c>
      <c r="U657" s="455" t="s">
        <v>1047</v>
      </c>
      <c r="V657" s="733" t="s">
        <v>587</v>
      </c>
      <c r="W657" s="14"/>
      <c r="X657" s="7"/>
      <c r="Y657" s="7"/>
      <c r="Z657" s="7"/>
      <c r="AA657" s="7"/>
      <c r="AB657" s="7"/>
      <c r="AC657" s="7"/>
    </row>
    <row r="658" spans="1:29" ht="25.5">
      <c r="A658" s="252"/>
      <c r="B658" s="846" t="s">
        <v>836</v>
      </c>
      <c r="C658" s="382">
        <f t="shared" ref="C658" si="116">H658+E658</f>
        <v>2912.54</v>
      </c>
      <c r="D658" s="381"/>
      <c r="E658" s="382">
        <f t="shared" ref="E658" si="117">F658+G658</f>
        <v>190.54</v>
      </c>
      <c r="F658" s="382">
        <f t="shared" ref="F658" si="118">0.04*T658</f>
        <v>108.88</v>
      </c>
      <c r="G658" s="382">
        <f t="shared" ref="G658" si="119">0.03*T658</f>
        <v>81.66</v>
      </c>
      <c r="H658" s="382">
        <f t="shared" ref="H658" si="120">T658</f>
        <v>2722</v>
      </c>
      <c r="I658" s="382">
        <f t="shared" ref="I658" si="121">H658*0.5</f>
        <v>1361</v>
      </c>
      <c r="J658" s="46"/>
      <c r="K658" s="46"/>
      <c r="L658" s="46"/>
      <c r="M658" s="46"/>
      <c r="N658" s="46"/>
      <c r="O658" s="381">
        <v>113898</v>
      </c>
      <c r="P658" s="381">
        <v>116620</v>
      </c>
      <c r="Q658" s="79"/>
      <c r="R658" s="749"/>
      <c r="S658" s="381">
        <v>1</v>
      </c>
      <c r="T658" s="382">
        <f t="shared" ref="T658" si="122">(P658-O658)*S658</f>
        <v>2722</v>
      </c>
      <c r="U658" s="447">
        <v>3855</v>
      </c>
      <c r="V658" s="733" t="s">
        <v>753</v>
      </c>
      <c r="W658" s="14" t="s">
        <v>48</v>
      </c>
      <c r="X658" s="7"/>
      <c r="Y658" s="7"/>
      <c r="Z658" s="7"/>
      <c r="AA658" s="7"/>
      <c r="AB658" s="7"/>
      <c r="AC658" s="7"/>
    </row>
    <row r="659" spans="1:29" ht="25.5">
      <c r="A659" s="252"/>
      <c r="B659" s="847"/>
      <c r="C659" s="382">
        <f t="shared" ref="C659:C696" si="123">H659+E659</f>
        <v>356.31</v>
      </c>
      <c r="D659" s="381"/>
      <c r="E659" s="382">
        <f t="shared" ref="E659:E696" si="124">F659+G659</f>
        <v>23.310000000000002</v>
      </c>
      <c r="F659" s="382">
        <f t="shared" ref="F659:F696" si="125">0.04*T659</f>
        <v>13.32</v>
      </c>
      <c r="G659" s="382">
        <f t="shared" ref="G659:G696" si="126">0.03*T659</f>
        <v>9.99</v>
      </c>
      <c r="H659" s="382">
        <f t="shared" ref="H659:H696" si="127">T659</f>
        <v>333</v>
      </c>
      <c r="I659" s="382">
        <f t="shared" ref="I659:I696" si="128">H659*0.5</f>
        <v>166.5</v>
      </c>
      <c r="J659" s="46"/>
      <c r="K659" s="46"/>
      <c r="L659" s="46"/>
      <c r="M659" s="46"/>
      <c r="N659" s="46"/>
      <c r="O659" s="381">
        <v>50395</v>
      </c>
      <c r="P659" s="381">
        <v>50728</v>
      </c>
      <c r="Q659" s="79"/>
      <c r="R659" s="749"/>
      <c r="S659" s="381">
        <v>1</v>
      </c>
      <c r="T659" s="382">
        <f t="shared" ref="T659:T694" si="129">(P659-O659)*S659</f>
        <v>333</v>
      </c>
      <c r="U659" s="455" t="s">
        <v>1094</v>
      </c>
      <c r="V659" s="733" t="s">
        <v>753</v>
      </c>
      <c r="W659" s="14" t="s">
        <v>48</v>
      </c>
      <c r="X659" s="7"/>
      <c r="Y659" s="7"/>
      <c r="Z659" s="7"/>
      <c r="AA659" s="7"/>
      <c r="AB659" s="7"/>
      <c r="AC659" s="7"/>
    </row>
    <row r="660" spans="1:29" ht="25.5">
      <c r="A660" s="252"/>
      <c r="B660" s="62" t="s">
        <v>588</v>
      </c>
      <c r="C660" s="28">
        <f t="shared" si="123"/>
        <v>143.38</v>
      </c>
      <c r="D660" s="77"/>
      <c r="E660" s="28">
        <f t="shared" si="124"/>
        <v>9.379999999999999</v>
      </c>
      <c r="F660" s="28">
        <f t="shared" si="125"/>
        <v>5.36</v>
      </c>
      <c r="G660" s="28">
        <f t="shared" si="126"/>
        <v>4.0199999999999996</v>
      </c>
      <c r="H660" s="28">
        <f t="shared" si="127"/>
        <v>134</v>
      </c>
      <c r="I660" s="28">
        <f t="shared" si="128"/>
        <v>67</v>
      </c>
      <c r="J660" s="46"/>
      <c r="K660" s="46"/>
      <c r="L660" s="46"/>
      <c r="M660" s="46"/>
      <c r="N660" s="46"/>
      <c r="O660" s="77">
        <v>15863</v>
      </c>
      <c r="P660" s="77">
        <v>15997</v>
      </c>
      <c r="Q660" s="79"/>
      <c r="R660" s="80"/>
      <c r="S660" s="77">
        <v>1</v>
      </c>
      <c r="T660" s="28">
        <f t="shared" si="129"/>
        <v>134</v>
      </c>
      <c r="U660" s="455" t="s">
        <v>1049</v>
      </c>
      <c r="V660" s="733" t="s">
        <v>589</v>
      </c>
      <c r="W660" s="14" t="s">
        <v>48</v>
      </c>
      <c r="X660" s="7"/>
      <c r="Y660" s="7"/>
      <c r="Z660" s="7"/>
      <c r="AA660" s="7"/>
      <c r="AB660" s="7"/>
      <c r="AC660" s="7"/>
    </row>
    <row r="661" spans="1:29" ht="25.5">
      <c r="A661" s="252"/>
      <c r="B661" s="62" t="s">
        <v>590</v>
      </c>
      <c r="C661" s="28">
        <f t="shared" si="123"/>
        <v>254.66</v>
      </c>
      <c r="D661" s="77"/>
      <c r="E661" s="28">
        <f t="shared" si="124"/>
        <v>16.66</v>
      </c>
      <c r="F661" s="28">
        <f t="shared" si="125"/>
        <v>9.52</v>
      </c>
      <c r="G661" s="28">
        <f t="shared" si="126"/>
        <v>7.14</v>
      </c>
      <c r="H661" s="28">
        <f t="shared" si="127"/>
        <v>238</v>
      </c>
      <c r="I661" s="28">
        <f t="shared" si="128"/>
        <v>119</v>
      </c>
      <c r="J661" s="46"/>
      <c r="K661" s="46"/>
      <c r="L661" s="46"/>
      <c r="M661" s="46"/>
      <c r="N661" s="46"/>
      <c r="O661" s="77">
        <v>18318</v>
      </c>
      <c r="P661" s="77">
        <v>18556</v>
      </c>
      <c r="Q661" s="79"/>
      <c r="R661" s="80"/>
      <c r="S661" s="77">
        <v>1</v>
      </c>
      <c r="T661" s="28">
        <f t="shared" si="129"/>
        <v>238</v>
      </c>
      <c r="U661" s="455" t="s">
        <v>1050</v>
      </c>
      <c r="V661" s="733" t="s">
        <v>591</v>
      </c>
      <c r="W661" s="14" t="s">
        <v>48</v>
      </c>
      <c r="X661" s="7"/>
      <c r="Y661" s="7"/>
      <c r="Z661" s="7"/>
      <c r="AA661" s="7"/>
      <c r="AB661" s="7"/>
      <c r="AC661" s="7"/>
    </row>
    <row r="662" spans="1:29" ht="25.5">
      <c r="A662" s="252"/>
      <c r="B662" s="62" t="s">
        <v>592</v>
      </c>
      <c r="C662" s="28">
        <f t="shared" si="123"/>
        <v>235.4</v>
      </c>
      <c r="D662" s="77"/>
      <c r="E662" s="28">
        <f t="shared" si="124"/>
        <v>15.4</v>
      </c>
      <c r="F662" s="28">
        <f t="shared" si="125"/>
        <v>8.8000000000000007</v>
      </c>
      <c r="G662" s="28">
        <f t="shared" si="126"/>
        <v>6.6</v>
      </c>
      <c r="H662" s="28">
        <f t="shared" si="127"/>
        <v>220</v>
      </c>
      <c r="I662" s="28">
        <f t="shared" si="128"/>
        <v>110</v>
      </c>
      <c r="J662" s="46"/>
      <c r="K662" s="46"/>
      <c r="L662" s="46"/>
      <c r="M662" s="46"/>
      <c r="N662" s="46"/>
      <c r="O662" s="77">
        <v>18176</v>
      </c>
      <c r="P662" s="77">
        <v>18396</v>
      </c>
      <c r="Q662" s="79"/>
      <c r="R662" s="80"/>
      <c r="S662" s="77">
        <v>1</v>
      </c>
      <c r="T662" s="28">
        <f t="shared" si="129"/>
        <v>220</v>
      </c>
      <c r="U662" s="455" t="s">
        <v>1051</v>
      </c>
      <c r="V662" s="733" t="s">
        <v>593</v>
      </c>
      <c r="W662" s="14" t="s">
        <v>48</v>
      </c>
      <c r="X662" s="7"/>
      <c r="Y662" s="7"/>
      <c r="Z662" s="7"/>
      <c r="AA662" s="7"/>
      <c r="AB662" s="7"/>
      <c r="AC662" s="7"/>
    </row>
    <row r="663" spans="1:29" ht="25.5">
      <c r="A663" s="252"/>
      <c r="B663" s="62" t="s">
        <v>594</v>
      </c>
      <c r="C663" s="28">
        <f t="shared" si="123"/>
        <v>241.82</v>
      </c>
      <c r="D663" s="77"/>
      <c r="E663" s="28">
        <f t="shared" si="124"/>
        <v>15.82</v>
      </c>
      <c r="F663" s="28">
        <f t="shared" si="125"/>
        <v>9.0400000000000009</v>
      </c>
      <c r="G663" s="28">
        <f t="shared" si="126"/>
        <v>6.7799999999999994</v>
      </c>
      <c r="H663" s="28">
        <f t="shared" si="127"/>
        <v>226</v>
      </c>
      <c r="I663" s="28">
        <f t="shared" si="128"/>
        <v>113</v>
      </c>
      <c r="J663" s="46"/>
      <c r="K663" s="46"/>
      <c r="L663" s="46"/>
      <c r="M663" s="46"/>
      <c r="N663" s="46"/>
      <c r="O663" s="77">
        <v>21587</v>
      </c>
      <c r="P663" s="77">
        <v>21813</v>
      </c>
      <c r="Q663" s="79"/>
      <c r="R663" s="80"/>
      <c r="S663" s="77">
        <v>1</v>
      </c>
      <c r="T663" s="28">
        <f t="shared" si="129"/>
        <v>226</v>
      </c>
      <c r="U663" s="455" t="s">
        <v>1052</v>
      </c>
      <c r="V663" s="733" t="s">
        <v>595</v>
      </c>
      <c r="W663" s="14" t="s">
        <v>48</v>
      </c>
      <c r="X663" s="7"/>
      <c r="Y663" s="7"/>
      <c r="Z663" s="7"/>
      <c r="AA663" s="7"/>
      <c r="AB663" s="7"/>
      <c r="AC663" s="7"/>
    </row>
    <row r="664" spans="1:29" ht="25.5">
      <c r="A664" s="252"/>
      <c r="B664" s="62" t="s">
        <v>596</v>
      </c>
      <c r="C664" s="28">
        <f t="shared" si="123"/>
        <v>171.2</v>
      </c>
      <c r="D664" s="77"/>
      <c r="E664" s="28">
        <f t="shared" si="124"/>
        <v>11.2</v>
      </c>
      <c r="F664" s="28">
        <f t="shared" si="125"/>
        <v>6.4</v>
      </c>
      <c r="G664" s="28">
        <f t="shared" si="126"/>
        <v>4.8</v>
      </c>
      <c r="H664" s="28">
        <f t="shared" si="127"/>
        <v>160</v>
      </c>
      <c r="I664" s="28">
        <f t="shared" si="128"/>
        <v>80</v>
      </c>
      <c r="J664" s="46"/>
      <c r="K664" s="46"/>
      <c r="L664" s="46"/>
      <c r="M664" s="46"/>
      <c r="N664" s="46"/>
      <c r="O664" s="77">
        <v>21024</v>
      </c>
      <c r="P664" s="77">
        <v>21184</v>
      </c>
      <c r="Q664" s="79"/>
      <c r="R664" s="80"/>
      <c r="S664" s="77">
        <v>1</v>
      </c>
      <c r="T664" s="28">
        <f t="shared" si="129"/>
        <v>160</v>
      </c>
      <c r="U664" s="455" t="s">
        <v>1053</v>
      </c>
      <c r="V664" s="733" t="s">
        <v>598</v>
      </c>
      <c r="W664" s="14" t="s">
        <v>48</v>
      </c>
      <c r="X664" s="7"/>
      <c r="Y664" s="7"/>
      <c r="Z664" s="7"/>
      <c r="AA664" s="7"/>
      <c r="AB664" s="7"/>
      <c r="AC664" s="7"/>
    </row>
    <row r="665" spans="1:29" ht="25.5">
      <c r="A665" s="252"/>
      <c r="B665" s="841" t="s">
        <v>599</v>
      </c>
      <c r="C665" s="28">
        <f t="shared" si="123"/>
        <v>593.85</v>
      </c>
      <c r="D665" s="77"/>
      <c r="E665" s="28">
        <f t="shared" si="124"/>
        <v>38.849999999999994</v>
      </c>
      <c r="F665" s="28">
        <f t="shared" si="125"/>
        <v>22.2</v>
      </c>
      <c r="G665" s="28">
        <f t="shared" si="126"/>
        <v>16.649999999999999</v>
      </c>
      <c r="H665" s="28">
        <f t="shared" si="127"/>
        <v>555</v>
      </c>
      <c r="I665" s="28">
        <f t="shared" si="128"/>
        <v>277.5</v>
      </c>
      <c r="J665" s="46"/>
      <c r="K665" s="46"/>
      <c r="L665" s="46"/>
      <c r="M665" s="46"/>
      <c r="N665" s="46"/>
      <c r="O665" s="77">
        <v>36395</v>
      </c>
      <c r="P665" s="77">
        <v>36950</v>
      </c>
      <c r="Q665" s="79"/>
      <c r="R665" s="80"/>
      <c r="S665" s="77">
        <v>1</v>
      </c>
      <c r="T665" s="28">
        <f t="shared" si="129"/>
        <v>555</v>
      </c>
      <c r="U665" s="455" t="s">
        <v>1054</v>
      </c>
      <c r="V665" s="733" t="s">
        <v>600</v>
      </c>
      <c r="W665" s="14" t="s">
        <v>48</v>
      </c>
      <c r="X665" s="7"/>
      <c r="Y665" s="7"/>
      <c r="Z665" s="7"/>
      <c r="AA665" s="7"/>
      <c r="AB665" s="7"/>
      <c r="AC665" s="7"/>
    </row>
    <row r="666" spans="1:29" ht="25.5">
      <c r="A666" s="252"/>
      <c r="B666" s="842"/>
      <c r="C666" s="28">
        <f t="shared" si="123"/>
        <v>139.1</v>
      </c>
      <c r="D666" s="77"/>
      <c r="E666" s="28">
        <f t="shared" si="124"/>
        <v>9.1</v>
      </c>
      <c r="F666" s="28">
        <f t="shared" si="125"/>
        <v>5.2</v>
      </c>
      <c r="G666" s="28">
        <f t="shared" si="126"/>
        <v>3.9</v>
      </c>
      <c r="H666" s="28">
        <f t="shared" si="127"/>
        <v>130</v>
      </c>
      <c r="I666" s="28">
        <f t="shared" si="128"/>
        <v>65</v>
      </c>
      <c r="J666" s="46"/>
      <c r="K666" s="46"/>
      <c r="L666" s="46"/>
      <c r="M666" s="46"/>
      <c r="N666" s="46"/>
      <c r="O666" s="77">
        <v>9760</v>
      </c>
      <c r="P666" s="77">
        <v>9890</v>
      </c>
      <c r="Q666" s="79"/>
      <c r="R666" s="80"/>
      <c r="S666" s="77">
        <v>1</v>
      </c>
      <c r="T666" s="28">
        <f t="shared" si="129"/>
        <v>130</v>
      </c>
      <c r="U666" s="455" t="s">
        <v>1055</v>
      </c>
      <c r="V666" s="733" t="s">
        <v>602</v>
      </c>
      <c r="W666" s="14" t="s">
        <v>48</v>
      </c>
      <c r="X666" s="7"/>
      <c r="Y666" s="7"/>
      <c r="Z666" s="7"/>
      <c r="AA666" s="7"/>
      <c r="AB666" s="7"/>
      <c r="AC666" s="7"/>
    </row>
    <row r="667" spans="1:29" ht="25.5">
      <c r="A667" s="252"/>
      <c r="B667" s="62" t="s">
        <v>706</v>
      </c>
      <c r="C667" s="28">
        <f t="shared" si="123"/>
        <v>1098.8900000000001</v>
      </c>
      <c r="D667" s="77"/>
      <c r="E667" s="28">
        <f t="shared" si="124"/>
        <v>71.89</v>
      </c>
      <c r="F667" s="28">
        <f t="shared" si="125"/>
        <v>41.08</v>
      </c>
      <c r="G667" s="28">
        <f t="shared" si="126"/>
        <v>30.81</v>
      </c>
      <c r="H667" s="28">
        <f t="shared" si="127"/>
        <v>1027</v>
      </c>
      <c r="I667" s="28">
        <f t="shared" si="128"/>
        <v>513.5</v>
      </c>
      <c r="J667" s="46"/>
      <c r="K667" s="46"/>
      <c r="L667" s="46"/>
      <c r="M667" s="46"/>
      <c r="N667" s="46"/>
      <c r="O667" s="77">
        <v>89917</v>
      </c>
      <c r="P667" s="77">
        <v>90944</v>
      </c>
      <c r="Q667" s="79"/>
      <c r="R667" s="80"/>
      <c r="S667" s="77">
        <v>1</v>
      </c>
      <c r="T667" s="28">
        <f t="shared" si="129"/>
        <v>1027</v>
      </c>
      <c r="U667" s="455" t="s">
        <v>1056</v>
      </c>
      <c r="V667" s="733" t="s">
        <v>603</v>
      </c>
      <c r="W667" s="14" t="s">
        <v>48</v>
      </c>
      <c r="X667" s="7"/>
      <c r="Y667" s="7"/>
      <c r="Z667" s="7"/>
      <c r="AA667" s="7"/>
      <c r="AB667" s="7"/>
      <c r="AC667" s="7"/>
    </row>
    <row r="668" spans="1:29" ht="25.5">
      <c r="A668" s="252"/>
      <c r="B668" s="62" t="s">
        <v>604</v>
      </c>
      <c r="C668" s="28">
        <f t="shared" si="123"/>
        <v>478.29</v>
      </c>
      <c r="D668" s="77"/>
      <c r="E668" s="28">
        <f t="shared" si="124"/>
        <v>31.29</v>
      </c>
      <c r="F668" s="28">
        <f t="shared" si="125"/>
        <v>17.88</v>
      </c>
      <c r="G668" s="28">
        <f t="shared" si="126"/>
        <v>13.41</v>
      </c>
      <c r="H668" s="28">
        <f t="shared" si="127"/>
        <v>447</v>
      </c>
      <c r="I668" s="28">
        <f t="shared" si="128"/>
        <v>223.5</v>
      </c>
      <c r="J668" s="46"/>
      <c r="K668" s="46"/>
      <c r="L668" s="46"/>
      <c r="M668" s="46"/>
      <c r="N668" s="46"/>
      <c r="O668" s="77">
        <v>41921</v>
      </c>
      <c r="P668" s="77">
        <v>42368</v>
      </c>
      <c r="Q668" s="79"/>
      <c r="R668" s="80"/>
      <c r="S668" s="77">
        <v>1</v>
      </c>
      <c r="T668" s="28">
        <f t="shared" si="129"/>
        <v>447</v>
      </c>
      <c r="U668" s="455" t="s">
        <v>1057</v>
      </c>
      <c r="V668" s="733" t="s">
        <v>605</v>
      </c>
      <c r="W668" s="14" t="s">
        <v>48</v>
      </c>
      <c r="X668" s="7"/>
      <c r="Y668" s="7"/>
      <c r="Z668" s="7"/>
      <c r="AA668" s="7"/>
      <c r="AB668" s="7"/>
      <c r="AC668" s="7"/>
    </row>
    <row r="669" spans="1:29" ht="25.5">
      <c r="A669" s="252"/>
      <c r="B669" s="62" t="s">
        <v>606</v>
      </c>
      <c r="C669" s="28">
        <f t="shared" si="123"/>
        <v>78.11</v>
      </c>
      <c r="D669" s="77"/>
      <c r="E669" s="28">
        <f t="shared" si="124"/>
        <v>5.1099999999999994</v>
      </c>
      <c r="F669" s="28">
        <f t="shared" si="125"/>
        <v>2.92</v>
      </c>
      <c r="G669" s="28">
        <f t="shared" si="126"/>
        <v>2.19</v>
      </c>
      <c r="H669" s="28">
        <f t="shared" si="127"/>
        <v>73</v>
      </c>
      <c r="I669" s="28">
        <f t="shared" si="128"/>
        <v>36.5</v>
      </c>
      <c r="J669" s="46"/>
      <c r="K669" s="46"/>
      <c r="L669" s="46"/>
      <c r="M669" s="46"/>
      <c r="N669" s="46"/>
      <c r="O669" s="77">
        <v>9452</v>
      </c>
      <c r="P669" s="77">
        <v>9525</v>
      </c>
      <c r="Q669" s="79"/>
      <c r="R669" s="80"/>
      <c r="S669" s="77">
        <v>1</v>
      </c>
      <c r="T669" s="28">
        <f t="shared" si="129"/>
        <v>73</v>
      </c>
      <c r="U669" s="455" t="s">
        <v>1058</v>
      </c>
      <c r="V669" s="733" t="s">
        <v>607</v>
      </c>
      <c r="W669" s="14" t="s">
        <v>48</v>
      </c>
      <c r="X669" s="7"/>
      <c r="Y669" s="7"/>
      <c r="Z669" s="7"/>
      <c r="AA669" s="7"/>
      <c r="AB669" s="7"/>
      <c r="AC669" s="7"/>
    </row>
    <row r="670" spans="1:29" ht="25.5">
      <c r="A670" s="252"/>
      <c r="B670" s="104" t="s">
        <v>952</v>
      </c>
      <c r="C670" s="91">
        <f t="shared" si="123"/>
        <v>0</v>
      </c>
      <c r="D670" s="92"/>
      <c r="E670" s="91">
        <f t="shared" si="124"/>
        <v>0</v>
      </c>
      <c r="F670" s="91">
        <f t="shared" si="125"/>
        <v>0</v>
      </c>
      <c r="G670" s="91">
        <f t="shared" si="126"/>
        <v>0</v>
      </c>
      <c r="H670" s="91">
        <f t="shared" si="127"/>
        <v>0</v>
      </c>
      <c r="I670" s="91">
        <f t="shared" si="128"/>
        <v>0</v>
      </c>
      <c r="J670" s="98"/>
      <c r="K670" s="98"/>
      <c r="L670" s="98"/>
      <c r="M670" s="98"/>
      <c r="N670" s="98"/>
      <c r="O670" s="92">
        <v>15474</v>
      </c>
      <c r="P670" s="92">
        <v>15474</v>
      </c>
      <c r="Q670" s="105"/>
      <c r="R670" s="106"/>
      <c r="S670" s="92">
        <v>1</v>
      </c>
      <c r="T670" s="91">
        <f t="shared" si="129"/>
        <v>0</v>
      </c>
      <c r="U670" s="644" t="s">
        <v>1059</v>
      </c>
      <c r="V670" s="710" t="s">
        <v>951</v>
      </c>
      <c r="W670" s="14" t="s">
        <v>48</v>
      </c>
      <c r="X670" s="7"/>
      <c r="Y670" s="7"/>
      <c r="Z670" s="7"/>
      <c r="AA670" s="7"/>
      <c r="AB670" s="7"/>
      <c r="AC670" s="7"/>
    </row>
    <row r="671" spans="1:29" ht="25.5">
      <c r="A671" s="252"/>
      <c r="B671" s="62" t="s">
        <v>707</v>
      </c>
      <c r="C671" s="28">
        <f t="shared" si="123"/>
        <v>514.66999999999996</v>
      </c>
      <c r="D671" s="77"/>
      <c r="E671" s="28">
        <f t="shared" si="124"/>
        <v>33.67</v>
      </c>
      <c r="F671" s="28">
        <f t="shared" si="125"/>
        <v>19.240000000000002</v>
      </c>
      <c r="G671" s="28">
        <f t="shared" si="126"/>
        <v>14.43</v>
      </c>
      <c r="H671" s="28">
        <f t="shared" si="127"/>
        <v>481</v>
      </c>
      <c r="I671" s="28">
        <f t="shared" si="128"/>
        <v>240.5</v>
      </c>
      <c r="J671" s="46"/>
      <c r="K671" s="46"/>
      <c r="L671" s="46"/>
      <c r="M671" s="46"/>
      <c r="N671" s="46"/>
      <c r="O671" s="77">
        <v>23920</v>
      </c>
      <c r="P671" s="77">
        <v>24401</v>
      </c>
      <c r="Q671" s="79"/>
      <c r="R671" s="80"/>
      <c r="S671" s="77">
        <v>1</v>
      </c>
      <c r="T671" s="28">
        <f t="shared" si="129"/>
        <v>481</v>
      </c>
      <c r="U671" s="455" t="s">
        <v>1060</v>
      </c>
      <c r="V671" s="733" t="s">
        <v>687</v>
      </c>
      <c r="W671" s="14" t="s">
        <v>48</v>
      </c>
      <c r="X671" s="7"/>
      <c r="Y671" s="7"/>
      <c r="Z671" s="7"/>
      <c r="AA671" s="7"/>
      <c r="AB671" s="7"/>
      <c r="AC671" s="7"/>
    </row>
    <row r="672" spans="1:29" ht="27" customHeight="1">
      <c r="B672" s="62" t="s">
        <v>840</v>
      </c>
      <c r="C672" s="28">
        <f t="shared" si="123"/>
        <v>1230.5</v>
      </c>
      <c r="D672" s="77"/>
      <c r="E672" s="28">
        <f t="shared" si="124"/>
        <v>80.5</v>
      </c>
      <c r="F672" s="28">
        <f t="shared" si="125"/>
        <v>46</v>
      </c>
      <c r="G672" s="28">
        <f t="shared" si="126"/>
        <v>34.5</v>
      </c>
      <c r="H672" s="28">
        <f t="shared" si="127"/>
        <v>1150</v>
      </c>
      <c r="I672" s="28">
        <f t="shared" si="128"/>
        <v>575</v>
      </c>
      <c r="J672" s="46"/>
      <c r="K672" s="46"/>
      <c r="L672" s="46"/>
      <c r="M672" s="46"/>
      <c r="N672" s="46"/>
      <c r="O672" s="77">
        <v>11978</v>
      </c>
      <c r="P672" s="77">
        <v>13128</v>
      </c>
      <c r="Q672" s="79"/>
      <c r="R672" s="80"/>
      <c r="S672" s="77">
        <v>1</v>
      </c>
      <c r="T672" s="28">
        <f t="shared" si="129"/>
        <v>1150</v>
      </c>
      <c r="U672" s="455" t="s">
        <v>1061</v>
      </c>
      <c r="V672" s="733" t="s">
        <v>841</v>
      </c>
    </row>
    <row r="673" spans="1:29" ht="25.5">
      <c r="A673" s="252"/>
      <c r="B673" s="62" t="s">
        <v>896</v>
      </c>
      <c r="C673" s="28">
        <f t="shared" si="123"/>
        <v>269.64</v>
      </c>
      <c r="D673" s="77"/>
      <c r="E673" s="28">
        <f t="shared" si="124"/>
        <v>17.64</v>
      </c>
      <c r="F673" s="28">
        <f t="shared" si="125"/>
        <v>10.08</v>
      </c>
      <c r="G673" s="28">
        <f t="shared" si="126"/>
        <v>7.56</v>
      </c>
      <c r="H673" s="28">
        <f t="shared" si="127"/>
        <v>252</v>
      </c>
      <c r="I673" s="28">
        <f t="shared" si="128"/>
        <v>126</v>
      </c>
      <c r="J673" s="46"/>
      <c r="K673" s="46"/>
      <c r="L673" s="46"/>
      <c r="M673" s="46"/>
      <c r="N673" s="46"/>
      <c r="O673" s="77">
        <v>16819</v>
      </c>
      <c r="P673" s="77">
        <v>17071</v>
      </c>
      <c r="Q673" s="79"/>
      <c r="R673" s="80"/>
      <c r="S673" s="77">
        <v>1</v>
      </c>
      <c r="T673" s="28">
        <f t="shared" si="129"/>
        <v>252</v>
      </c>
      <c r="U673" s="455" t="s">
        <v>1062</v>
      </c>
      <c r="V673" s="733" t="s">
        <v>289</v>
      </c>
      <c r="W673" s="14" t="s">
        <v>48</v>
      </c>
      <c r="X673" s="7"/>
      <c r="Y673" s="7"/>
      <c r="Z673" s="7"/>
      <c r="AA673" s="7"/>
      <c r="AB673" s="7"/>
      <c r="AC673" s="7"/>
    </row>
    <row r="674" spans="1:29" ht="25.5">
      <c r="A674" s="252"/>
      <c r="B674" s="62" t="s">
        <v>612</v>
      </c>
      <c r="C674" s="28">
        <f t="shared" si="123"/>
        <v>317.79000000000002</v>
      </c>
      <c r="D674" s="77"/>
      <c r="E674" s="28">
        <f t="shared" si="124"/>
        <v>20.79</v>
      </c>
      <c r="F674" s="28">
        <f t="shared" si="125"/>
        <v>11.88</v>
      </c>
      <c r="G674" s="28">
        <f t="shared" si="126"/>
        <v>8.91</v>
      </c>
      <c r="H674" s="28">
        <f t="shared" si="127"/>
        <v>297</v>
      </c>
      <c r="I674" s="28">
        <f t="shared" si="128"/>
        <v>148.5</v>
      </c>
      <c r="J674" s="46"/>
      <c r="K674" s="46"/>
      <c r="L674" s="46"/>
      <c r="M674" s="46"/>
      <c r="N674" s="46"/>
      <c r="O674" s="77">
        <v>45425</v>
      </c>
      <c r="P674" s="77">
        <v>45722</v>
      </c>
      <c r="Q674" s="79"/>
      <c r="R674" s="80"/>
      <c r="S674" s="77">
        <v>1</v>
      </c>
      <c r="T674" s="28">
        <f t="shared" si="129"/>
        <v>297</v>
      </c>
      <c r="U674" s="455" t="s">
        <v>1063</v>
      </c>
      <c r="V674" s="733" t="s">
        <v>613</v>
      </c>
      <c r="W674" s="14" t="s">
        <v>48</v>
      </c>
      <c r="X674" s="7"/>
      <c r="Y674" s="7"/>
      <c r="Z674" s="7"/>
      <c r="AA674" s="7"/>
      <c r="AB674" s="7"/>
      <c r="AC674" s="7"/>
    </row>
    <row r="675" spans="1:29" ht="25.5">
      <c r="A675" s="252"/>
      <c r="B675" s="62" t="s">
        <v>614</v>
      </c>
      <c r="C675" s="28">
        <f t="shared" si="123"/>
        <v>358.45</v>
      </c>
      <c r="D675" s="77"/>
      <c r="E675" s="28">
        <f t="shared" si="124"/>
        <v>23.45</v>
      </c>
      <c r="F675" s="28">
        <f t="shared" si="125"/>
        <v>13.4</v>
      </c>
      <c r="G675" s="28">
        <f t="shared" si="126"/>
        <v>10.049999999999999</v>
      </c>
      <c r="H675" s="28">
        <f t="shared" si="127"/>
        <v>335</v>
      </c>
      <c r="I675" s="28">
        <f t="shared" si="128"/>
        <v>167.5</v>
      </c>
      <c r="J675" s="46"/>
      <c r="K675" s="46"/>
      <c r="L675" s="46"/>
      <c r="M675" s="46"/>
      <c r="N675" s="46"/>
      <c r="O675" s="77">
        <v>24042</v>
      </c>
      <c r="P675" s="77">
        <v>24377</v>
      </c>
      <c r="Q675" s="79"/>
      <c r="R675" s="80"/>
      <c r="S675" s="77">
        <v>1</v>
      </c>
      <c r="T675" s="28">
        <f t="shared" si="129"/>
        <v>335</v>
      </c>
      <c r="U675" s="455" t="s">
        <v>1064</v>
      </c>
      <c r="V675" s="733" t="s">
        <v>615</v>
      </c>
      <c r="W675" s="14" t="s">
        <v>48</v>
      </c>
      <c r="X675" s="7"/>
      <c r="Y675" s="7"/>
      <c r="Z675" s="7"/>
      <c r="AA675" s="7"/>
      <c r="AB675" s="7"/>
      <c r="AC675" s="7"/>
    </row>
    <row r="676" spans="1:29" ht="25.5">
      <c r="A676" s="252"/>
      <c r="B676" s="62" t="s">
        <v>616</v>
      </c>
      <c r="C676" s="28">
        <f t="shared" si="123"/>
        <v>409.81</v>
      </c>
      <c r="D676" s="77"/>
      <c r="E676" s="28">
        <f t="shared" si="124"/>
        <v>26.810000000000002</v>
      </c>
      <c r="F676" s="28">
        <f t="shared" si="125"/>
        <v>15.32</v>
      </c>
      <c r="G676" s="28">
        <f t="shared" si="126"/>
        <v>11.49</v>
      </c>
      <c r="H676" s="28">
        <f t="shared" si="127"/>
        <v>383</v>
      </c>
      <c r="I676" s="28">
        <f t="shared" si="128"/>
        <v>191.5</v>
      </c>
      <c r="J676" s="46"/>
      <c r="K676" s="46"/>
      <c r="L676" s="46"/>
      <c r="M676" s="46"/>
      <c r="N676" s="46"/>
      <c r="O676" s="77">
        <v>35364</v>
      </c>
      <c r="P676" s="77">
        <v>35747</v>
      </c>
      <c r="Q676" s="79"/>
      <c r="R676" s="80"/>
      <c r="S676" s="77">
        <v>1</v>
      </c>
      <c r="T676" s="28">
        <f t="shared" si="129"/>
        <v>383</v>
      </c>
      <c r="U676" s="455" t="s">
        <v>1065</v>
      </c>
      <c r="V676" s="733" t="s">
        <v>617</v>
      </c>
      <c r="W676" s="14" t="s">
        <v>48</v>
      </c>
      <c r="X676" s="7"/>
      <c r="Y676" s="7"/>
      <c r="Z676" s="7"/>
      <c r="AA676" s="7"/>
      <c r="AB676" s="7"/>
      <c r="AC676" s="7"/>
    </row>
    <row r="677" spans="1:29" ht="25.5">
      <c r="A677" s="252"/>
      <c r="B677" s="104" t="s">
        <v>837</v>
      </c>
      <c r="C677" s="91">
        <f t="shared" si="123"/>
        <v>0</v>
      </c>
      <c r="D677" s="92"/>
      <c r="E677" s="91">
        <f t="shared" si="124"/>
        <v>0</v>
      </c>
      <c r="F677" s="91">
        <f t="shared" si="125"/>
        <v>0</v>
      </c>
      <c r="G677" s="91">
        <f t="shared" si="126"/>
        <v>0</v>
      </c>
      <c r="H677" s="91">
        <f t="shared" si="127"/>
        <v>0</v>
      </c>
      <c r="I677" s="91">
        <f t="shared" si="128"/>
        <v>0</v>
      </c>
      <c r="J677" s="98"/>
      <c r="K677" s="98"/>
      <c r="L677" s="98"/>
      <c r="M677" s="98"/>
      <c r="N677" s="98"/>
      <c r="O677" s="648">
        <v>66445</v>
      </c>
      <c r="P677" s="648">
        <v>66445</v>
      </c>
      <c r="Q677" s="105"/>
      <c r="R677" s="106"/>
      <c r="S677" s="92">
        <v>1</v>
      </c>
      <c r="T677" s="91">
        <f t="shared" si="129"/>
        <v>0</v>
      </c>
      <c r="U677" s="644" t="s">
        <v>1066</v>
      </c>
      <c r="V677" s="710" t="s">
        <v>817</v>
      </c>
      <c r="W677" s="14" t="s">
        <v>48</v>
      </c>
      <c r="X677" s="7"/>
      <c r="Y677" s="7"/>
      <c r="Z677" s="7"/>
      <c r="AA677" s="7"/>
      <c r="AB677" s="7"/>
      <c r="AC677" s="7"/>
    </row>
    <row r="678" spans="1:29" ht="25.5">
      <c r="A678" s="252"/>
      <c r="B678" s="62" t="s">
        <v>618</v>
      </c>
      <c r="C678" s="28">
        <f t="shared" si="123"/>
        <v>949.09</v>
      </c>
      <c r="D678" s="77"/>
      <c r="E678" s="28">
        <f t="shared" si="124"/>
        <v>62.09</v>
      </c>
      <c r="F678" s="28">
        <f t="shared" si="125"/>
        <v>35.480000000000004</v>
      </c>
      <c r="G678" s="28">
        <f t="shared" si="126"/>
        <v>26.61</v>
      </c>
      <c r="H678" s="28">
        <f t="shared" si="127"/>
        <v>887</v>
      </c>
      <c r="I678" s="28">
        <f t="shared" si="128"/>
        <v>443.5</v>
      </c>
      <c r="J678" s="46"/>
      <c r="K678" s="46"/>
      <c r="L678" s="46"/>
      <c r="M678" s="46"/>
      <c r="N678" s="46"/>
      <c r="O678" s="77">
        <v>59007</v>
      </c>
      <c r="P678" s="77">
        <v>59894</v>
      </c>
      <c r="Q678" s="79"/>
      <c r="R678" s="80"/>
      <c r="S678" s="77">
        <v>1</v>
      </c>
      <c r="T678" s="28">
        <f t="shared" si="129"/>
        <v>887</v>
      </c>
      <c r="U678" s="455" t="s">
        <v>1067</v>
      </c>
      <c r="V678" s="733" t="s">
        <v>838</v>
      </c>
      <c r="W678" s="14" t="s">
        <v>48</v>
      </c>
      <c r="X678" s="7"/>
      <c r="Y678" s="7"/>
      <c r="Z678" s="7"/>
      <c r="AA678" s="7"/>
      <c r="AB678" s="7"/>
      <c r="AC678" s="7"/>
    </row>
    <row r="679" spans="1:29" ht="25.5">
      <c r="A679" s="252"/>
      <c r="B679" s="62" t="s">
        <v>619</v>
      </c>
      <c r="C679" s="28">
        <f>H679+E679</f>
        <v>1354.62</v>
      </c>
      <c r="D679" s="28"/>
      <c r="E679" s="28">
        <f>F679+G679</f>
        <v>88.62</v>
      </c>
      <c r="F679" s="28">
        <f>0.04*H679</f>
        <v>50.64</v>
      </c>
      <c r="G679" s="28">
        <f>0.03*H679</f>
        <v>37.979999999999997</v>
      </c>
      <c r="H679" s="28">
        <f>T679</f>
        <v>1266</v>
      </c>
      <c r="I679" s="28">
        <f>0.5*C679</f>
        <v>677.31</v>
      </c>
      <c r="J679" s="29"/>
      <c r="K679" s="29"/>
      <c r="L679" s="29"/>
      <c r="M679" s="29"/>
      <c r="N679" s="29"/>
      <c r="O679" s="28">
        <v>74010</v>
      </c>
      <c r="P679" s="28">
        <v>75276</v>
      </c>
      <c r="Q679" s="30"/>
      <c r="R679" s="457"/>
      <c r="S679" s="28">
        <v>1</v>
      </c>
      <c r="T679" s="28">
        <f t="shared" si="129"/>
        <v>1266</v>
      </c>
      <c r="U679" s="455" t="s">
        <v>1068</v>
      </c>
      <c r="V679" s="733" t="s">
        <v>839</v>
      </c>
      <c r="W679" s="14" t="s">
        <v>48</v>
      </c>
      <c r="X679" s="7"/>
      <c r="Y679" s="7"/>
      <c r="Z679" s="7"/>
      <c r="AA679" s="7"/>
      <c r="AB679" s="7"/>
      <c r="AC679" s="7"/>
    </row>
    <row r="680" spans="1:29" ht="25.5">
      <c r="A680" s="252"/>
      <c r="B680" s="62" t="s">
        <v>1098</v>
      </c>
      <c r="C680" s="28">
        <f t="shared" si="123"/>
        <v>1511.91</v>
      </c>
      <c r="D680" s="77"/>
      <c r="E680" s="28">
        <f t="shared" si="124"/>
        <v>98.91</v>
      </c>
      <c r="F680" s="28">
        <f t="shared" si="125"/>
        <v>56.52</v>
      </c>
      <c r="G680" s="28">
        <f t="shared" si="126"/>
        <v>42.39</v>
      </c>
      <c r="H680" s="28">
        <f t="shared" si="127"/>
        <v>1413</v>
      </c>
      <c r="I680" s="28">
        <f t="shared" si="128"/>
        <v>706.5</v>
      </c>
      <c r="J680" s="46"/>
      <c r="K680" s="46"/>
      <c r="L680" s="46"/>
      <c r="M680" s="46"/>
      <c r="N680" s="46"/>
      <c r="O680" s="77">
        <v>43134</v>
      </c>
      <c r="P680" s="77">
        <v>44547</v>
      </c>
      <c r="Q680" s="79"/>
      <c r="R680" s="80"/>
      <c r="S680" s="77">
        <v>1</v>
      </c>
      <c r="T680" s="28">
        <f t="shared" si="129"/>
        <v>1413</v>
      </c>
      <c r="U680" s="455" t="s">
        <v>1069</v>
      </c>
      <c r="V680" s="733" t="s">
        <v>620</v>
      </c>
      <c r="W680" s="14" t="s">
        <v>48</v>
      </c>
      <c r="X680" s="7"/>
      <c r="Y680" s="7"/>
      <c r="Z680" s="7"/>
      <c r="AA680" s="7"/>
      <c r="AB680" s="7"/>
      <c r="AC680" s="7"/>
    </row>
    <row r="681" spans="1:29" ht="25.5">
      <c r="A681" s="252"/>
      <c r="B681" s="62" t="s">
        <v>621</v>
      </c>
      <c r="C681" s="28">
        <f t="shared" si="123"/>
        <v>627.02</v>
      </c>
      <c r="D681" s="77"/>
      <c r="E681" s="28">
        <f t="shared" si="124"/>
        <v>41.019999999999996</v>
      </c>
      <c r="F681" s="28">
        <f t="shared" si="125"/>
        <v>23.44</v>
      </c>
      <c r="G681" s="28">
        <f t="shared" si="126"/>
        <v>17.579999999999998</v>
      </c>
      <c r="H681" s="28">
        <f t="shared" si="127"/>
        <v>586</v>
      </c>
      <c r="I681" s="28">
        <f t="shared" si="128"/>
        <v>293</v>
      </c>
      <c r="J681" s="46"/>
      <c r="K681" s="46"/>
      <c r="L681" s="46"/>
      <c r="M681" s="46"/>
      <c r="N681" s="46"/>
      <c r="O681" s="77">
        <v>55734</v>
      </c>
      <c r="P681" s="77">
        <v>56320</v>
      </c>
      <c r="Q681" s="79"/>
      <c r="R681" s="80"/>
      <c r="S681" s="77">
        <v>1</v>
      </c>
      <c r="T681" s="28">
        <f t="shared" si="129"/>
        <v>586</v>
      </c>
      <c r="U681" s="455" t="s">
        <v>1070</v>
      </c>
      <c r="V681" s="733" t="s">
        <v>622</v>
      </c>
      <c r="W681" s="14" t="s">
        <v>48</v>
      </c>
      <c r="X681" s="7"/>
      <c r="Y681" s="7"/>
      <c r="Z681" s="7"/>
      <c r="AA681" s="7"/>
      <c r="AB681" s="7"/>
      <c r="AC681" s="7"/>
    </row>
    <row r="682" spans="1:29" ht="25.5">
      <c r="A682" s="252"/>
      <c r="B682" s="62" t="s">
        <v>623</v>
      </c>
      <c r="C682" s="28">
        <f t="shared" si="123"/>
        <v>963</v>
      </c>
      <c r="D682" s="77"/>
      <c r="E682" s="28">
        <f t="shared" si="124"/>
        <v>63</v>
      </c>
      <c r="F682" s="28">
        <f t="shared" si="125"/>
        <v>36</v>
      </c>
      <c r="G682" s="28">
        <f t="shared" si="126"/>
        <v>27</v>
      </c>
      <c r="H682" s="28">
        <f t="shared" si="127"/>
        <v>900</v>
      </c>
      <c r="I682" s="28">
        <f t="shared" si="128"/>
        <v>450</v>
      </c>
      <c r="J682" s="46"/>
      <c r="K682" s="46"/>
      <c r="L682" s="46"/>
      <c r="M682" s="46"/>
      <c r="N682" s="46"/>
      <c r="O682" s="77">
        <v>178128</v>
      </c>
      <c r="P682" s="77">
        <v>179028</v>
      </c>
      <c r="Q682" s="79"/>
      <c r="R682" s="80"/>
      <c r="S682" s="77">
        <v>1</v>
      </c>
      <c r="T682" s="28">
        <f t="shared" si="129"/>
        <v>900</v>
      </c>
      <c r="U682" s="455" t="s">
        <v>1071</v>
      </c>
      <c r="V682" s="733" t="s">
        <v>624</v>
      </c>
      <c r="W682" s="14" t="s">
        <v>48</v>
      </c>
      <c r="X682" s="7"/>
      <c r="Y682" s="7"/>
      <c r="Z682" s="7"/>
      <c r="AA682" s="7"/>
      <c r="AB682" s="7"/>
      <c r="AC682" s="7"/>
    </row>
    <row r="683" spans="1:29" ht="25.5">
      <c r="A683" s="252"/>
      <c r="B683" s="62" t="s">
        <v>625</v>
      </c>
      <c r="C683" s="28">
        <f t="shared" si="123"/>
        <v>766.12</v>
      </c>
      <c r="D683" s="77"/>
      <c r="E683" s="28">
        <f t="shared" si="124"/>
        <v>50.120000000000005</v>
      </c>
      <c r="F683" s="28">
        <f t="shared" si="125"/>
        <v>28.64</v>
      </c>
      <c r="G683" s="28">
        <f t="shared" si="126"/>
        <v>21.48</v>
      </c>
      <c r="H683" s="28">
        <f t="shared" si="127"/>
        <v>716</v>
      </c>
      <c r="I683" s="28">
        <f t="shared" si="128"/>
        <v>358</v>
      </c>
      <c r="J683" s="29"/>
      <c r="K683" s="29"/>
      <c r="L683" s="29"/>
      <c r="M683" s="29"/>
      <c r="N683" s="29"/>
      <c r="O683" s="28">
        <v>58000</v>
      </c>
      <c r="P683" s="28">
        <v>58716</v>
      </c>
      <c r="Q683" s="458"/>
      <c r="R683" s="80"/>
      <c r="S683" s="54">
        <v>1</v>
      </c>
      <c r="T683" s="28">
        <f t="shared" si="129"/>
        <v>716</v>
      </c>
      <c r="U683" s="455" t="s">
        <v>1072</v>
      </c>
      <c r="V683" s="733" t="s">
        <v>626</v>
      </c>
      <c r="W683" s="14" t="s">
        <v>48</v>
      </c>
      <c r="X683" s="7"/>
      <c r="Y683" s="7"/>
      <c r="Z683" s="7"/>
      <c r="AA683" s="7"/>
      <c r="AB683" s="7"/>
      <c r="AC683" s="7"/>
    </row>
    <row r="684" spans="1:29" ht="25.5">
      <c r="A684" s="252"/>
      <c r="B684" s="62" t="s">
        <v>627</v>
      </c>
      <c r="C684" s="28">
        <f t="shared" si="123"/>
        <v>362.73</v>
      </c>
      <c r="D684" s="77"/>
      <c r="E684" s="28">
        <f t="shared" si="124"/>
        <v>23.73</v>
      </c>
      <c r="F684" s="28">
        <f t="shared" si="125"/>
        <v>13.56</v>
      </c>
      <c r="G684" s="28">
        <f t="shared" si="126"/>
        <v>10.17</v>
      </c>
      <c r="H684" s="28">
        <f t="shared" si="127"/>
        <v>339</v>
      </c>
      <c r="I684" s="28">
        <f t="shared" si="128"/>
        <v>169.5</v>
      </c>
      <c r="J684" s="29"/>
      <c r="K684" s="29"/>
      <c r="L684" s="29"/>
      <c r="M684" s="29"/>
      <c r="N684" s="29"/>
      <c r="O684" s="28">
        <v>33298</v>
      </c>
      <c r="P684" s="28">
        <v>33637</v>
      </c>
      <c r="Q684" s="458"/>
      <c r="R684" s="80"/>
      <c r="S684" s="54">
        <v>1</v>
      </c>
      <c r="T684" s="28">
        <f t="shared" si="129"/>
        <v>339</v>
      </c>
      <c r="U684" s="455" t="s">
        <v>1073</v>
      </c>
      <c r="V684" s="733" t="s">
        <v>628</v>
      </c>
      <c r="W684" s="14" t="s">
        <v>48</v>
      </c>
      <c r="X684" s="7"/>
      <c r="Y684" s="7"/>
      <c r="Z684" s="7"/>
      <c r="AA684" s="7"/>
      <c r="AB684" s="7"/>
      <c r="AC684" s="7"/>
    </row>
    <row r="685" spans="1:29" ht="25.5">
      <c r="A685" s="252"/>
      <c r="B685" s="62" t="s">
        <v>629</v>
      </c>
      <c r="C685" s="28">
        <f t="shared" si="123"/>
        <v>314.58</v>
      </c>
      <c r="D685" s="77"/>
      <c r="E685" s="28">
        <f t="shared" si="124"/>
        <v>20.58</v>
      </c>
      <c r="F685" s="28">
        <f t="shared" si="125"/>
        <v>11.76</v>
      </c>
      <c r="G685" s="28">
        <f t="shared" si="126"/>
        <v>8.82</v>
      </c>
      <c r="H685" s="28">
        <f t="shared" si="127"/>
        <v>294</v>
      </c>
      <c r="I685" s="28">
        <f t="shared" si="128"/>
        <v>147</v>
      </c>
      <c r="J685" s="29"/>
      <c r="K685" s="29"/>
      <c r="L685" s="29"/>
      <c r="M685" s="29"/>
      <c r="N685" s="29"/>
      <c r="O685" s="28">
        <v>16753</v>
      </c>
      <c r="P685" s="28">
        <v>17047</v>
      </c>
      <c r="Q685" s="458"/>
      <c r="R685" s="80"/>
      <c r="S685" s="54">
        <v>1</v>
      </c>
      <c r="T685" s="28">
        <f t="shared" si="129"/>
        <v>294</v>
      </c>
      <c r="U685" s="455" t="s">
        <v>1074</v>
      </c>
      <c r="V685" s="733" t="s">
        <v>630</v>
      </c>
      <c r="W685" s="14" t="s">
        <v>48</v>
      </c>
      <c r="X685" s="7"/>
      <c r="Y685" s="7"/>
      <c r="Z685" s="7"/>
      <c r="AA685" s="7"/>
      <c r="AB685" s="7"/>
      <c r="AC685" s="7"/>
    </row>
    <row r="686" spans="1:29" ht="25.5">
      <c r="A686" s="252"/>
      <c r="B686" s="62" t="s">
        <v>950</v>
      </c>
      <c r="C686" s="28">
        <f t="shared" si="123"/>
        <v>1029.3399999999999</v>
      </c>
      <c r="D686" s="77"/>
      <c r="E686" s="28">
        <f t="shared" si="124"/>
        <v>67.34</v>
      </c>
      <c r="F686" s="28">
        <f t="shared" si="125"/>
        <v>38.480000000000004</v>
      </c>
      <c r="G686" s="28">
        <f t="shared" si="126"/>
        <v>28.86</v>
      </c>
      <c r="H686" s="28">
        <f t="shared" si="127"/>
        <v>962</v>
      </c>
      <c r="I686" s="28">
        <f t="shared" si="128"/>
        <v>481</v>
      </c>
      <c r="J686" s="29"/>
      <c r="K686" s="29"/>
      <c r="L686" s="29"/>
      <c r="M686" s="29"/>
      <c r="N686" s="29"/>
      <c r="O686" s="28">
        <v>242539</v>
      </c>
      <c r="P686" s="28">
        <v>243501</v>
      </c>
      <c r="Q686" s="458"/>
      <c r="R686" s="80"/>
      <c r="S686" s="54">
        <v>1</v>
      </c>
      <c r="T686" s="28">
        <f t="shared" si="129"/>
        <v>962</v>
      </c>
      <c r="U686" s="455" t="s">
        <v>1075</v>
      </c>
      <c r="V686" s="733" t="s">
        <v>930</v>
      </c>
      <c r="W686" s="14" t="s">
        <v>48</v>
      </c>
      <c r="X686" s="7"/>
      <c r="Y686" s="7"/>
      <c r="Z686" s="7"/>
      <c r="AA686" s="7"/>
      <c r="AB686" s="7"/>
      <c r="AC686" s="7"/>
    </row>
    <row r="687" spans="1:29" ht="25.5">
      <c r="A687" s="252"/>
      <c r="B687" s="62"/>
      <c r="C687" s="28"/>
      <c r="D687" s="77"/>
      <c r="E687" s="28"/>
      <c r="F687" s="28"/>
      <c r="G687" s="28"/>
      <c r="H687" s="28"/>
      <c r="I687" s="28"/>
      <c r="J687" s="29"/>
      <c r="K687" s="29"/>
      <c r="L687" s="29"/>
      <c r="M687" s="29"/>
      <c r="N687" s="29"/>
      <c r="O687" s="28"/>
      <c r="P687" s="28"/>
      <c r="Q687" s="458"/>
      <c r="R687" s="80"/>
      <c r="S687" s="54"/>
      <c r="T687" s="28"/>
      <c r="U687" s="455"/>
      <c r="V687" s="733"/>
      <c r="W687" s="14" t="s">
        <v>48</v>
      </c>
      <c r="X687" s="7"/>
      <c r="Y687" s="7"/>
      <c r="Z687" s="7"/>
      <c r="AA687" s="7"/>
      <c r="AB687" s="7"/>
      <c r="AC687" s="7"/>
    </row>
    <row r="688" spans="1:29" ht="30.75" customHeight="1">
      <c r="A688" s="252"/>
      <c r="B688" s="62"/>
      <c r="C688" s="28"/>
      <c r="D688" s="77"/>
      <c r="E688" s="28"/>
      <c r="F688" s="28"/>
      <c r="G688" s="28"/>
      <c r="H688" s="28"/>
      <c r="I688" s="28"/>
      <c r="J688" s="29"/>
      <c r="K688" s="29"/>
      <c r="L688" s="29"/>
      <c r="M688" s="29"/>
      <c r="N688" s="29"/>
      <c r="O688" s="28"/>
      <c r="P688" s="28"/>
      <c r="Q688" s="458"/>
      <c r="R688" s="80"/>
      <c r="S688" s="54"/>
      <c r="T688" s="28"/>
      <c r="U688" s="455"/>
      <c r="V688" s="733"/>
      <c r="W688" s="14" t="s">
        <v>48</v>
      </c>
      <c r="X688" s="7"/>
      <c r="Y688" s="7"/>
      <c r="Z688" s="7"/>
      <c r="AA688" s="7"/>
      <c r="AB688" s="7"/>
      <c r="AC688" s="7"/>
    </row>
    <row r="689" spans="1:29" ht="25.5">
      <c r="A689" s="252"/>
      <c r="B689" s="62" t="s">
        <v>631</v>
      </c>
      <c r="C689" s="28">
        <f t="shared" si="123"/>
        <v>609.9</v>
      </c>
      <c r="D689" s="77"/>
      <c r="E689" s="28">
        <f t="shared" si="124"/>
        <v>39.9</v>
      </c>
      <c r="F689" s="28">
        <f t="shared" si="125"/>
        <v>22.8</v>
      </c>
      <c r="G689" s="28">
        <f t="shared" si="126"/>
        <v>17.099999999999998</v>
      </c>
      <c r="H689" s="28">
        <f t="shared" si="127"/>
        <v>570</v>
      </c>
      <c r="I689" s="28">
        <f t="shared" si="128"/>
        <v>285</v>
      </c>
      <c r="J689" s="29"/>
      <c r="K689" s="29"/>
      <c r="L689" s="29"/>
      <c r="M689" s="29"/>
      <c r="N689" s="29"/>
      <c r="O689" s="28">
        <v>43048</v>
      </c>
      <c r="P689" s="28">
        <v>43618</v>
      </c>
      <c r="Q689" s="458"/>
      <c r="R689" s="80"/>
      <c r="S689" s="54">
        <v>1</v>
      </c>
      <c r="T689" s="28">
        <f t="shared" si="129"/>
        <v>570</v>
      </c>
      <c r="U689" s="455" t="s">
        <v>1076</v>
      </c>
      <c r="V689" s="733" t="s">
        <v>633</v>
      </c>
      <c r="W689" s="14" t="s">
        <v>48</v>
      </c>
      <c r="X689" s="7"/>
      <c r="Y689" s="7"/>
      <c r="Z689" s="7"/>
      <c r="AA689" s="7"/>
      <c r="AB689" s="7"/>
      <c r="AC689" s="7"/>
    </row>
    <row r="690" spans="1:29" ht="25.5">
      <c r="A690" s="252"/>
      <c r="B690" s="339"/>
      <c r="C690" s="91"/>
      <c r="D690" s="92"/>
      <c r="E690" s="91"/>
      <c r="F690" s="91"/>
      <c r="G690" s="91"/>
      <c r="H690" s="91"/>
      <c r="I690" s="91"/>
      <c r="J690" s="22"/>
      <c r="K690" s="22"/>
      <c r="L690" s="22"/>
      <c r="M690" s="22"/>
      <c r="N690" s="22"/>
      <c r="O690" s="91"/>
      <c r="P690" s="91"/>
      <c r="Q690" s="244"/>
      <c r="R690" s="106"/>
      <c r="S690" s="151"/>
      <c r="T690" s="91"/>
      <c r="U690" s="644"/>
      <c r="V690" s="710"/>
      <c r="W690" s="14" t="s">
        <v>48</v>
      </c>
      <c r="X690" s="7"/>
      <c r="Y690" s="7"/>
      <c r="Z690" s="7"/>
      <c r="AA690" s="7"/>
      <c r="AB690" s="7"/>
      <c r="AC690" s="7"/>
    </row>
    <row r="691" spans="1:29" ht="25.5">
      <c r="A691" s="252"/>
      <c r="B691" s="104"/>
      <c r="C691" s="91"/>
      <c r="D691" s="92"/>
      <c r="E691" s="91"/>
      <c r="F691" s="91"/>
      <c r="G691" s="91"/>
      <c r="H691" s="91"/>
      <c r="I691" s="91"/>
      <c r="J691" s="22"/>
      <c r="K691" s="22"/>
      <c r="L691" s="22"/>
      <c r="M691" s="22"/>
      <c r="N691" s="22"/>
      <c r="O691" s="91"/>
      <c r="P691" s="91"/>
      <c r="Q691" s="244"/>
      <c r="R691" s="106"/>
      <c r="S691" s="151"/>
      <c r="T691" s="91"/>
      <c r="U691" s="644"/>
      <c r="V691" s="710"/>
      <c r="W691" s="14" t="s">
        <v>48</v>
      </c>
      <c r="X691" s="7"/>
      <c r="Y691" s="7"/>
      <c r="Z691" s="7"/>
      <c r="AA691" s="7"/>
      <c r="AB691" s="7"/>
      <c r="AC691" s="7"/>
    </row>
    <row r="692" spans="1:29" ht="25.5">
      <c r="A692" s="252"/>
      <c r="B692" s="846" t="s">
        <v>634</v>
      </c>
      <c r="C692" s="28">
        <f t="shared" ref="C692" si="130">H692+E692</f>
        <v>1899.25</v>
      </c>
      <c r="D692" s="77"/>
      <c r="E692" s="28">
        <f t="shared" ref="E692" si="131">F692+G692</f>
        <v>124.25</v>
      </c>
      <c r="F692" s="28">
        <f t="shared" ref="F692" si="132">0.04*T692</f>
        <v>71</v>
      </c>
      <c r="G692" s="28">
        <f t="shared" ref="G692" si="133">0.03*T692</f>
        <v>53.25</v>
      </c>
      <c r="H692" s="28">
        <f t="shared" ref="H692" si="134">T692</f>
        <v>1775</v>
      </c>
      <c r="I692" s="28">
        <f t="shared" ref="I692" si="135">H692*0.5</f>
        <v>887.5</v>
      </c>
      <c r="J692" s="29"/>
      <c r="K692" s="29"/>
      <c r="L692" s="29"/>
      <c r="M692" s="29"/>
      <c r="N692" s="29"/>
      <c r="O692" s="28">
        <v>23462</v>
      </c>
      <c r="P692" s="28">
        <v>25237</v>
      </c>
      <c r="Q692" s="458"/>
      <c r="R692" s="80"/>
      <c r="S692" s="54">
        <v>1</v>
      </c>
      <c r="T692" s="28">
        <f t="shared" ref="T692" si="136">(P692-O692)*S692</f>
        <v>1775</v>
      </c>
      <c r="U692" s="455" t="s">
        <v>1096</v>
      </c>
      <c r="V692" s="733" t="s">
        <v>1097</v>
      </c>
      <c r="W692" s="14" t="s">
        <v>48</v>
      </c>
      <c r="X692" s="7"/>
      <c r="Y692" s="7"/>
      <c r="Z692" s="7"/>
      <c r="AA692" s="7"/>
      <c r="AB692" s="7"/>
      <c r="AC692" s="7"/>
    </row>
    <row r="693" spans="1:29" ht="25.5">
      <c r="A693" s="252"/>
      <c r="B693" s="847"/>
      <c r="C693" s="28">
        <f t="shared" si="123"/>
        <v>1654.22</v>
      </c>
      <c r="D693" s="77"/>
      <c r="E693" s="28">
        <f t="shared" si="124"/>
        <v>108.22</v>
      </c>
      <c r="F693" s="28">
        <f t="shared" si="125"/>
        <v>61.84</v>
      </c>
      <c r="G693" s="28">
        <f t="shared" si="126"/>
        <v>46.379999999999995</v>
      </c>
      <c r="H693" s="28">
        <f t="shared" si="127"/>
        <v>1546</v>
      </c>
      <c r="I693" s="28">
        <f t="shared" si="128"/>
        <v>773</v>
      </c>
      <c r="J693" s="29"/>
      <c r="K693" s="29"/>
      <c r="L693" s="29"/>
      <c r="M693" s="29"/>
      <c r="N693" s="29"/>
      <c r="O693" s="28">
        <v>33074</v>
      </c>
      <c r="P693" s="28">
        <v>34620</v>
      </c>
      <c r="Q693" s="458"/>
      <c r="R693" s="80"/>
      <c r="S693" s="54">
        <v>1</v>
      </c>
      <c r="T693" s="28">
        <f t="shared" si="129"/>
        <v>1546</v>
      </c>
      <c r="U693" s="455" t="s">
        <v>1095</v>
      </c>
      <c r="V693" s="733" t="s">
        <v>1097</v>
      </c>
      <c r="W693" s="14" t="s">
        <v>48</v>
      </c>
      <c r="X693" s="7"/>
      <c r="Y693" s="7"/>
      <c r="Z693" s="7"/>
      <c r="AA693" s="7"/>
      <c r="AB693" s="7"/>
      <c r="AC693" s="7"/>
    </row>
    <row r="694" spans="1:29" ht="25.5">
      <c r="A694" s="252"/>
      <c r="B694" s="62" t="s">
        <v>767</v>
      </c>
      <c r="C694" s="28">
        <f t="shared" si="123"/>
        <v>7937.26</v>
      </c>
      <c r="D694" s="77"/>
      <c r="E694" s="28">
        <f t="shared" si="124"/>
        <v>519.26</v>
      </c>
      <c r="F694" s="28">
        <f t="shared" si="125"/>
        <v>296.72000000000003</v>
      </c>
      <c r="G694" s="28">
        <f t="shared" si="126"/>
        <v>222.54</v>
      </c>
      <c r="H694" s="28">
        <f t="shared" si="127"/>
        <v>7418</v>
      </c>
      <c r="I694" s="28">
        <f t="shared" si="128"/>
        <v>3709</v>
      </c>
      <c r="J694" s="29"/>
      <c r="K694" s="29"/>
      <c r="L694" s="29"/>
      <c r="M694" s="29"/>
      <c r="N694" s="29"/>
      <c r="O694" s="28">
        <v>92668</v>
      </c>
      <c r="P694" s="28">
        <v>100086</v>
      </c>
      <c r="Q694" s="458"/>
      <c r="R694" s="80"/>
      <c r="S694" s="54">
        <v>1</v>
      </c>
      <c r="T694" s="28">
        <f t="shared" si="129"/>
        <v>7418</v>
      </c>
      <c r="U694" s="455" t="s">
        <v>958</v>
      </c>
      <c r="V694" s="733" t="s">
        <v>760</v>
      </c>
      <c r="W694" s="14" t="s">
        <v>48</v>
      </c>
      <c r="X694" s="7"/>
      <c r="Y694" s="7"/>
      <c r="Z694" s="7"/>
      <c r="AA694" s="7"/>
      <c r="AB694" s="7"/>
      <c r="AC694" s="7"/>
    </row>
    <row r="695" spans="1:29" ht="25.5">
      <c r="A695" s="252"/>
      <c r="B695" s="104"/>
      <c r="C695" s="91"/>
      <c r="D695" s="92"/>
      <c r="E695" s="91"/>
      <c r="F695" s="91"/>
      <c r="G695" s="91"/>
      <c r="H695" s="91"/>
      <c r="I695" s="91"/>
      <c r="J695" s="22"/>
      <c r="K695" s="22"/>
      <c r="L695" s="22"/>
      <c r="M695" s="22"/>
      <c r="N695" s="22"/>
      <c r="O695" s="91"/>
      <c r="P695" s="91"/>
      <c r="Q695" s="244"/>
      <c r="R695" s="106"/>
      <c r="S695" s="151"/>
      <c r="T695" s="91"/>
      <c r="U695" s="644"/>
      <c r="V695" s="710"/>
      <c r="W695" s="14" t="s">
        <v>48</v>
      </c>
      <c r="X695" s="7"/>
      <c r="Y695" s="7"/>
      <c r="Z695" s="7"/>
      <c r="AA695" s="7"/>
      <c r="AB695" s="7"/>
      <c r="AC695" s="7"/>
    </row>
    <row r="696" spans="1:29" ht="25.5">
      <c r="A696" s="252"/>
      <c r="B696" s="62" t="s">
        <v>636</v>
      </c>
      <c r="C696" s="28">
        <f t="shared" si="123"/>
        <v>28.89</v>
      </c>
      <c r="D696" s="77"/>
      <c r="E696" s="28">
        <f t="shared" si="124"/>
        <v>1.8900000000000001</v>
      </c>
      <c r="F696" s="28">
        <f t="shared" si="125"/>
        <v>1.08</v>
      </c>
      <c r="G696" s="28">
        <f t="shared" si="126"/>
        <v>0.80999999999999994</v>
      </c>
      <c r="H696" s="28">
        <f t="shared" si="127"/>
        <v>27</v>
      </c>
      <c r="I696" s="28">
        <f t="shared" si="128"/>
        <v>13.5</v>
      </c>
      <c r="J696" s="29"/>
      <c r="K696" s="29"/>
      <c r="L696" s="29"/>
      <c r="M696" s="29"/>
      <c r="N696" s="29"/>
      <c r="O696" s="28">
        <v>64667</v>
      </c>
      <c r="P696" s="28">
        <v>65410</v>
      </c>
      <c r="Q696" s="458"/>
      <c r="R696" s="80"/>
      <c r="S696" s="54">
        <v>1</v>
      </c>
      <c r="T696" s="28">
        <f>(P696-O696)*S696-T683</f>
        <v>27</v>
      </c>
      <c r="U696" s="455" t="s">
        <v>1078</v>
      </c>
      <c r="V696" s="733" t="s">
        <v>638</v>
      </c>
      <c r="W696" s="14" t="s">
        <v>48</v>
      </c>
      <c r="X696" s="7"/>
      <c r="Y696" s="7"/>
      <c r="Z696" s="7"/>
      <c r="AA696" s="7"/>
      <c r="AB696" s="7"/>
      <c r="AC696" s="7"/>
    </row>
    <row r="697" spans="1:29" ht="25.5">
      <c r="A697" s="252"/>
      <c r="B697" s="430"/>
      <c r="C697" s="34"/>
      <c r="D697" s="370"/>
      <c r="E697" s="34"/>
      <c r="F697" s="34"/>
      <c r="G697" s="34"/>
      <c r="H697" s="34"/>
      <c r="I697" s="34"/>
      <c r="J697" s="36"/>
      <c r="K697" s="36"/>
      <c r="L697" s="36"/>
      <c r="M697" s="36"/>
      <c r="N697" s="36"/>
      <c r="O697" s="34"/>
      <c r="P697" s="34"/>
      <c r="Q697" s="371"/>
      <c r="R697" s="372"/>
      <c r="S697" s="373"/>
      <c r="T697" s="34"/>
      <c r="U697" s="718"/>
      <c r="V697" s="39"/>
      <c r="W697" s="14" t="s">
        <v>48</v>
      </c>
      <c r="X697" s="7"/>
      <c r="Y697" s="7"/>
      <c r="Z697" s="7"/>
      <c r="AA697" s="7"/>
      <c r="AB697" s="7"/>
      <c r="AC697" s="7"/>
    </row>
    <row r="698" spans="1:29" ht="25.5">
      <c r="A698" s="252"/>
      <c r="B698" s="430"/>
      <c r="C698" s="34"/>
      <c r="D698" s="370"/>
      <c r="E698" s="34"/>
      <c r="F698" s="34"/>
      <c r="G698" s="34"/>
      <c r="H698" s="34"/>
      <c r="I698" s="34"/>
      <c r="J698" s="36"/>
      <c r="K698" s="36"/>
      <c r="L698" s="36"/>
      <c r="M698" s="36"/>
      <c r="N698" s="36"/>
      <c r="O698" s="34"/>
      <c r="P698" s="34"/>
      <c r="Q698" s="371"/>
      <c r="R698" s="372"/>
      <c r="S698" s="373"/>
      <c r="T698" s="34"/>
      <c r="U698" s="718"/>
      <c r="V698" s="39"/>
      <c r="W698" s="14" t="s">
        <v>48</v>
      </c>
      <c r="X698" s="7"/>
      <c r="Y698" s="7"/>
      <c r="Z698" s="7"/>
      <c r="AA698" s="7"/>
      <c r="AB698" s="7"/>
      <c r="AC698" s="7"/>
    </row>
    <row r="699" spans="1:29" ht="25.5">
      <c r="A699" s="252"/>
      <c r="B699" s="314"/>
      <c r="C699" s="315"/>
      <c r="D699" s="315"/>
      <c r="E699" s="315"/>
      <c r="F699" s="315"/>
      <c r="G699" s="315"/>
      <c r="H699" s="315"/>
      <c r="I699" s="315"/>
      <c r="J699" s="316"/>
      <c r="K699" s="316"/>
      <c r="L699" s="316"/>
      <c r="M699" s="316"/>
      <c r="N699" s="316"/>
      <c r="O699" s="315"/>
      <c r="P699" s="315"/>
      <c r="Q699" s="344"/>
      <c r="R699" s="318"/>
      <c r="S699" s="315"/>
      <c r="T699" s="315"/>
      <c r="U699" s="712"/>
      <c r="V699" s="317"/>
      <c r="W699" s="14" t="s">
        <v>48</v>
      </c>
      <c r="X699" s="7"/>
      <c r="Y699" s="7"/>
      <c r="Z699" s="7"/>
      <c r="AA699" s="7"/>
      <c r="AB699" s="7"/>
      <c r="AC699" s="7"/>
    </row>
    <row r="700" spans="1:29" ht="25.5">
      <c r="A700" s="252"/>
      <c r="B700" s="459"/>
      <c r="C700" s="315"/>
      <c r="D700" s="315"/>
      <c r="E700" s="315"/>
      <c r="F700" s="315"/>
      <c r="G700" s="315"/>
      <c r="H700" s="315"/>
      <c r="I700" s="315"/>
      <c r="J700" s="316"/>
      <c r="K700" s="316"/>
      <c r="L700" s="316"/>
      <c r="M700" s="316"/>
      <c r="N700" s="316"/>
      <c r="O700" s="315"/>
      <c r="P700" s="315"/>
      <c r="Q700" s="344"/>
      <c r="R700" s="460"/>
      <c r="S700" s="315"/>
      <c r="T700" s="315"/>
      <c r="U700" s="712"/>
      <c r="V700" s="317"/>
      <c r="W700" s="14" t="s">
        <v>48</v>
      </c>
      <c r="X700" s="7"/>
      <c r="Y700" s="7"/>
      <c r="Z700" s="7"/>
      <c r="AA700" s="7"/>
      <c r="AB700" s="7"/>
      <c r="AC700" s="7"/>
    </row>
    <row r="701" spans="1:29" ht="25.5">
      <c r="A701" s="252"/>
      <c r="B701" s="430"/>
      <c r="C701" s="34"/>
      <c r="D701" s="34"/>
      <c r="E701" s="34"/>
      <c r="F701" s="34"/>
      <c r="G701" s="34"/>
      <c r="H701" s="34"/>
      <c r="I701" s="34"/>
      <c r="J701" s="36"/>
      <c r="K701" s="36"/>
      <c r="L701" s="36"/>
      <c r="M701" s="36"/>
      <c r="N701" s="36"/>
      <c r="O701" s="34"/>
      <c r="P701" s="34"/>
      <c r="Q701" s="437"/>
      <c r="R701" s="461"/>
      <c r="S701" s="373"/>
      <c r="T701" s="34"/>
      <c r="U701" s="718"/>
      <c r="V701" s="39"/>
      <c r="W701" s="14" t="s">
        <v>48</v>
      </c>
      <c r="X701" s="7"/>
      <c r="Y701" s="7"/>
      <c r="Z701" s="7"/>
      <c r="AA701" s="7"/>
      <c r="AB701" s="7"/>
      <c r="AC701" s="7"/>
    </row>
    <row r="702" spans="1:29" ht="25.5">
      <c r="A702" s="252"/>
      <c r="B702" s="430"/>
      <c r="C702" s="34"/>
      <c r="D702" s="34"/>
      <c r="E702" s="34"/>
      <c r="F702" s="34"/>
      <c r="G702" s="34"/>
      <c r="H702" s="34"/>
      <c r="I702" s="34"/>
      <c r="J702" s="36"/>
      <c r="K702" s="36"/>
      <c r="L702" s="36"/>
      <c r="M702" s="36"/>
      <c r="N702" s="36"/>
      <c r="O702" s="34"/>
      <c r="P702" s="34"/>
      <c r="Q702" s="437"/>
      <c r="R702" s="461"/>
      <c r="S702" s="373"/>
      <c r="T702" s="34"/>
      <c r="U702" s="718"/>
      <c r="V702" s="39"/>
      <c r="W702" s="14" t="s">
        <v>48</v>
      </c>
      <c r="X702" s="7"/>
      <c r="Y702" s="7"/>
      <c r="Z702" s="7"/>
      <c r="AA702" s="7"/>
      <c r="AB702" s="7"/>
      <c r="AC702" s="7"/>
    </row>
    <row r="703" spans="1:29" ht="25.5">
      <c r="A703" s="252"/>
      <c r="B703" s="430"/>
      <c r="C703" s="34"/>
      <c r="D703" s="34"/>
      <c r="E703" s="34"/>
      <c r="F703" s="34"/>
      <c r="G703" s="34"/>
      <c r="H703" s="34"/>
      <c r="I703" s="34"/>
      <c r="J703" s="36"/>
      <c r="K703" s="36"/>
      <c r="L703" s="36"/>
      <c r="M703" s="36"/>
      <c r="N703" s="36"/>
      <c r="O703" s="34"/>
      <c r="P703" s="34"/>
      <c r="Q703" s="437"/>
      <c r="R703" s="461"/>
      <c r="S703" s="373"/>
      <c r="T703" s="34"/>
      <c r="U703" s="718"/>
      <c r="V703" s="39"/>
      <c r="W703" s="14" t="s">
        <v>48</v>
      </c>
      <c r="X703" s="7"/>
      <c r="Y703" s="7"/>
      <c r="Z703" s="7"/>
      <c r="AA703" s="7"/>
      <c r="AB703" s="7"/>
      <c r="AC703" s="7"/>
    </row>
    <row r="704" spans="1:29" ht="25.5">
      <c r="A704" s="252"/>
      <c r="B704" s="430"/>
      <c r="C704" s="34"/>
      <c r="D704" s="34"/>
      <c r="E704" s="34"/>
      <c r="F704" s="34"/>
      <c r="G704" s="34"/>
      <c r="H704" s="34"/>
      <c r="I704" s="34"/>
      <c r="J704" s="36"/>
      <c r="K704" s="36"/>
      <c r="L704" s="36"/>
      <c r="M704" s="36"/>
      <c r="N704" s="36"/>
      <c r="O704" s="34"/>
      <c r="P704" s="34"/>
      <c r="Q704" s="437"/>
      <c r="R704" s="462"/>
      <c r="S704" s="34"/>
      <c r="T704" s="34"/>
      <c r="U704" s="718"/>
      <c r="V704" s="39"/>
      <c r="W704" s="14" t="s">
        <v>48</v>
      </c>
      <c r="X704" s="7"/>
      <c r="Y704" s="7"/>
      <c r="Z704" s="7"/>
      <c r="AA704" s="7"/>
      <c r="AB704" s="7"/>
      <c r="AC704" s="7"/>
    </row>
    <row r="705" spans="1:29" ht="25.5">
      <c r="A705" s="252"/>
      <c r="B705" s="104"/>
      <c r="C705" s="91"/>
      <c r="D705" s="91"/>
      <c r="E705" s="91"/>
      <c r="F705" s="91"/>
      <c r="G705" s="91"/>
      <c r="H705" s="91"/>
      <c r="I705" s="91"/>
      <c r="J705" s="22"/>
      <c r="K705" s="22"/>
      <c r="L705" s="22"/>
      <c r="M705" s="22"/>
      <c r="N705" s="22"/>
      <c r="O705" s="91"/>
      <c r="P705" s="91"/>
      <c r="Q705" s="7"/>
      <c r="R705" s="272"/>
      <c r="S705" s="151"/>
      <c r="T705" s="91"/>
      <c r="U705" s="644"/>
      <c r="V705" s="710"/>
      <c r="W705" s="14"/>
      <c r="X705" s="7"/>
      <c r="Y705" s="7"/>
      <c r="Z705" s="7"/>
      <c r="AA705" s="7"/>
      <c r="AB705" s="7"/>
      <c r="AC705" s="7"/>
    </row>
    <row r="706" spans="1:29" ht="26.25">
      <c r="A706" s="19"/>
      <c r="B706" s="143" t="s">
        <v>639</v>
      </c>
      <c r="C706" s="115">
        <f>SUM(C657:C705)</f>
        <v>32056.130000000005</v>
      </c>
      <c r="D706" s="246"/>
      <c r="E706" s="115"/>
      <c r="F706" s="115"/>
      <c r="G706" s="115"/>
      <c r="H706" s="115"/>
      <c r="I706" s="115">
        <f>SUM(I657:I691)</f>
        <v>9640.81</v>
      </c>
      <c r="J706" s="22"/>
      <c r="K706" s="22"/>
      <c r="L706" s="22"/>
      <c r="M706" s="22"/>
      <c r="N706" s="22"/>
      <c r="O706" s="91"/>
      <c r="P706" s="91"/>
      <c r="Q706" s="244"/>
      <c r="R706" s="106"/>
      <c r="S706" s="151"/>
      <c r="T706" s="91"/>
      <c r="U706" s="644"/>
      <c r="V706" s="710"/>
      <c r="W706" s="14"/>
      <c r="X706" s="7"/>
      <c r="Y706" s="7"/>
      <c r="Z706" s="7"/>
      <c r="AA706" s="7"/>
      <c r="AB706" s="7"/>
      <c r="AC706" s="7"/>
    </row>
    <row r="707" spans="1:29" ht="25.5">
      <c r="A707" s="19"/>
      <c r="B707" s="104"/>
      <c r="C707" s="91"/>
      <c r="D707" s="92"/>
      <c r="E707" s="91"/>
      <c r="F707" s="91"/>
      <c r="G707" s="91"/>
      <c r="H707" s="91"/>
      <c r="I707" s="91"/>
      <c r="J707" s="22"/>
      <c r="K707" s="22"/>
      <c r="L707" s="22"/>
      <c r="M707" s="22"/>
      <c r="N707" s="22"/>
      <c r="O707" s="91"/>
      <c r="P707" s="91"/>
      <c r="Q707" s="244"/>
      <c r="R707" s="106"/>
      <c r="S707" s="151"/>
      <c r="T707" s="91"/>
      <c r="U707" s="644"/>
      <c r="V707" s="710"/>
      <c r="W707" s="14"/>
      <c r="X707" s="7"/>
      <c r="Y707" s="7"/>
      <c r="Z707" s="7"/>
      <c r="AA707" s="7"/>
      <c r="AB707" s="7"/>
      <c r="AC707" s="7"/>
    </row>
    <row r="708" spans="1:29" ht="25.5">
      <c r="A708" s="19"/>
      <c r="B708" s="148"/>
      <c r="C708" s="91"/>
      <c r="D708" s="92"/>
      <c r="E708" s="91"/>
      <c r="F708" s="91"/>
      <c r="G708" s="91"/>
      <c r="H708" s="91"/>
      <c r="I708" s="91"/>
      <c r="J708" s="22"/>
      <c r="K708" s="22"/>
      <c r="L708" s="22"/>
      <c r="M708" s="22"/>
      <c r="N708" s="22"/>
      <c r="O708" s="91"/>
      <c r="P708" s="91"/>
      <c r="Q708" s="244"/>
      <c r="R708" s="106"/>
      <c r="S708" s="151"/>
      <c r="T708" s="91"/>
      <c r="U708" s="644"/>
      <c r="V708" s="710"/>
      <c r="W708" s="14"/>
      <c r="X708" s="7"/>
      <c r="Y708" s="7"/>
      <c r="Z708" s="7"/>
      <c r="AA708" s="7"/>
      <c r="AB708" s="7"/>
      <c r="AC708" s="7"/>
    </row>
    <row r="709" spans="1:29" ht="26.25">
      <c r="A709" s="19"/>
      <c r="B709" s="90" t="s">
        <v>640</v>
      </c>
      <c r="C709" s="115">
        <f>C85+C109+C132+C329+C379+C654+C706+C163+D142</f>
        <v>1056768.7852799988</v>
      </c>
      <c r="D709" s="115">
        <f>D109+D86+D613</f>
        <v>0</v>
      </c>
      <c r="E709" s="115" t="e">
        <f>#REF!+E86+E109+E613</f>
        <v>#REF!</v>
      </c>
      <c r="F709" s="115"/>
      <c r="G709" s="115"/>
      <c r="H709" s="115" t="e">
        <f>#REF!+H109+H92+H613+H656+#REF!+H659+H56+H663</f>
        <v>#REF!</v>
      </c>
      <c r="I709" s="115">
        <f>I654+I85+I109+I613+I706</f>
        <v>169116.2970000002</v>
      </c>
      <c r="J709" s="22"/>
      <c r="K709" s="22"/>
      <c r="L709" s="22"/>
      <c r="M709" s="22"/>
      <c r="N709" s="22"/>
      <c r="O709" s="91"/>
      <c r="P709" s="91"/>
      <c r="Q709" s="7"/>
      <c r="R709" s="228"/>
      <c r="S709" s="151"/>
      <c r="T709" s="91"/>
      <c r="U709" s="644"/>
      <c r="V709" s="710"/>
      <c r="W709" s="14"/>
      <c r="X709" s="7"/>
      <c r="Y709" s="7"/>
      <c r="Z709" s="7"/>
      <c r="AA709" s="7"/>
      <c r="AB709" s="7"/>
      <c r="AC709" s="7"/>
    </row>
    <row r="710" spans="1:29" ht="26.25">
      <c r="A710" s="19"/>
      <c r="B710" s="148"/>
      <c r="C710" s="91"/>
      <c r="D710" s="115"/>
      <c r="E710" s="91"/>
      <c r="F710" s="91"/>
      <c r="G710" s="91"/>
      <c r="H710" s="91"/>
      <c r="I710" s="91"/>
      <c r="J710" s="22"/>
      <c r="K710" s="22"/>
      <c r="L710" s="22"/>
      <c r="M710" s="22"/>
      <c r="N710" s="22"/>
      <c r="O710" s="91"/>
      <c r="P710" s="91"/>
      <c r="Q710" s="7"/>
      <c r="R710" s="228"/>
      <c r="S710" s="248"/>
      <c r="T710" s="91"/>
      <c r="U710" s="644"/>
      <c r="V710" s="710"/>
      <c r="W710" s="14"/>
      <c r="X710" s="7"/>
      <c r="Y710" s="7"/>
      <c r="Z710" s="7"/>
      <c r="AA710" s="7"/>
      <c r="AB710" s="7"/>
      <c r="AC710" s="7"/>
    </row>
    <row r="711" spans="1:29" ht="26.25">
      <c r="A711" s="19"/>
      <c r="B711" s="148"/>
      <c r="C711" s="115"/>
      <c r="D711" s="92"/>
      <c r="E711" s="91"/>
      <c r="F711" s="91"/>
      <c r="G711" s="91"/>
      <c r="H711" s="91"/>
      <c r="I711" s="91"/>
      <c r="J711" s="22"/>
      <c r="K711" s="22"/>
      <c r="L711" s="22"/>
      <c r="M711" s="22"/>
      <c r="N711" s="22"/>
      <c r="O711" s="91"/>
      <c r="P711" s="91"/>
      <c r="Q711" s="7"/>
      <c r="R711" s="228"/>
      <c r="S711" s="248"/>
      <c r="T711" s="91"/>
      <c r="U711" s="644"/>
      <c r="V711" s="710"/>
      <c r="W711" s="14"/>
      <c r="X711" s="7"/>
      <c r="Y711" s="7"/>
      <c r="Z711" s="7"/>
      <c r="AA711" s="7"/>
      <c r="AB711" s="7"/>
      <c r="AC711" s="7"/>
    </row>
    <row r="712" spans="1:29" ht="25.5">
      <c r="A712" s="19"/>
      <c r="B712" s="148"/>
      <c r="C712" s="91"/>
      <c r="D712" s="92"/>
      <c r="E712" s="91"/>
      <c r="F712" s="91"/>
      <c r="G712" s="91"/>
      <c r="H712" s="91"/>
      <c r="I712" s="91"/>
      <c r="J712" s="22"/>
      <c r="K712" s="22"/>
      <c r="L712" s="22"/>
      <c r="M712" s="22"/>
      <c r="N712" s="22"/>
      <c r="O712" s="91"/>
      <c r="P712" s="91"/>
      <c r="Q712" s="7"/>
      <c r="R712" s="228"/>
      <c r="S712" s="151"/>
      <c r="T712" s="91"/>
      <c r="U712" s="644"/>
      <c r="V712" s="710"/>
      <c r="W712" s="14"/>
      <c r="X712" s="7"/>
      <c r="Y712" s="7"/>
      <c r="Z712" s="7"/>
      <c r="AA712" s="7"/>
      <c r="AB712" s="7"/>
      <c r="AC712" s="7"/>
    </row>
    <row r="713" spans="1:29" ht="25.5">
      <c r="A713" s="19"/>
      <c r="B713" s="148"/>
      <c r="C713" s="28"/>
      <c r="D713" s="77"/>
      <c r="E713" s="28"/>
      <c r="F713" s="28"/>
      <c r="G713" s="28"/>
      <c r="H713" s="28"/>
      <c r="I713" s="28"/>
      <c r="J713" s="29"/>
      <c r="K713" s="29"/>
      <c r="L713" s="29"/>
      <c r="M713" s="29"/>
      <c r="N713" s="29"/>
      <c r="O713" s="91"/>
      <c r="P713" s="91"/>
      <c r="Q713" s="30"/>
      <c r="R713" s="256"/>
      <c r="S713" s="54"/>
      <c r="T713" s="28"/>
      <c r="U713" s="644"/>
      <c r="V713" s="710"/>
      <c r="W713" s="14"/>
      <c r="X713" s="7"/>
      <c r="Y713" s="7"/>
      <c r="Z713" s="7"/>
      <c r="AA713" s="7"/>
      <c r="AB713" s="7"/>
      <c r="AC713" s="7"/>
    </row>
    <row r="714" spans="1:29" ht="25.5">
      <c r="A714" s="19"/>
      <c r="B714" s="148"/>
      <c r="C714" s="28"/>
      <c r="D714" s="77"/>
      <c r="E714" s="28"/>
      <c r="F714" s="28"/>
      <c r="G714" s="28"/>
      <c r="H714" s="28"/>
      <c r="I714" s="28"/>
      <c r="J714" s="29"/>
      <c r="K714" s="29"/>
      <c r="L714" s="29"/>
      <c r="M714" s="29"/>
      <c r="N714" s="29"/>
      <c r="O714" s="28"/>
      <c r="P714" s="28"/>
      <c r="Q714" s="30"/>
      <c r="R714" s="256"/>
      <c r="S714" s="54"/>
      <c r="T714" s="28"/>
      <c r="U714" s="644"/>
      <c r="V714" s="710"/>
      <c r="W714" s="14"/>
      <c r="X714" s="7"/>
      <c r="Y714" s="7"/>
      <c r="Z714" s="7"/>
      <c r="AA714" s="7"/>
      <c r="AB714" s="7"/>
      <c r="AC714" s="7"/>
    </row>
    <row r="715" spans="1:29" ht="26.25">
      <c r="A715" s="19"/>
      <c r="B715" s="148"/>
      <c r="C715" s="115"/>
      <c r="D715" s="92"/>
      <c r="E715" s="91"/>
      <c r="F715" s="91"/>
      <c r="G715" s="91"/>
      <c r="H715" s="91"/>
      <c r="I715" s="91"/>
      <c r="J715" s="22"/>
      <c r="K715" s="22"/>
      <c r="L715" s="22"/>
      <c r="M715" s="22"/>
      <c r="N715" s="22"/>
      <c r="O715" s="91"/>
      <c r="P715" s="91"/>
      <c r="Q715" s="149"/>
      <c r="R715" s="150"/>
      <c r="S715" s="151"/>
      <c r="T715" s="91"/>
      <c r="U715" s="644"/>
      <c r="V715" s="710"/>
      <c r="W715" s="14"/>
      <c r="X715" s="7"/>
      <c r="Y715" s="7"/>
      <c r="Z715" s="7"/>
      <c r="AA715" s="7"/>
      <c r="AB715" s="7"/>
      <c r="AC715" s="7"/>
    </row>
    <row r="716" spans="1:29" ht="26.25">
      <c r="A716" s="19"/>
      <c r="B716" s="148"/>
      <c r="C716" s="115"/>
      <c r="D716" s="91"/>
      <c r="E716" s="91"/>
      <c r="F716" s="91"/>
      <c r="G716" s="91"/>
      <c r="H716" s="91"/>
      <c r="I716" s="91"/>
      <c r="J716" s="22"/>
      <c r="K716" s="22"/>
      <c r="L716" s="22"/>
      <c r="M716" s="22"/>
      <c r="N716" s="22"/>
      <c r="O716" s="91"/>
      <c r="P716" s="91"/>
      <c r="Q716" s="149"/>
      <c r="R716" s="150"/>
      <c r="S716" s="151"/>
      <c r="T716" s="91"/>
      <c r="U716" s="644"/>
      <c r="V716" s="710"/>
      <c r="W716" s="14"/>
      <c r="X716" s="7"/>
      <c r="Y716" s="7"/>
      <c r="Z716" s="7"/>
      <c r="AA716" s="7"/>
      <c r="AB716" s="7"/>
      <c r="AC716" s="7"/>
    </row>
    <row r="717" spans="1:29" ht="25.5">
      <c r="A717" s="19"/>
      <c r="B717" s="104"/>
      <c r="C717" s="92"/>
      <c r="D717" s="92"/>
      <c r="E717" s="92"/>
      <c r="F717" s="92"/>
      <c r="G717" s="92"/>
      <c r="H717" s="92"/>
      <c r="I717" s="92"/>
      <c r="J717" s="142"/>
      <c r="K717" s="142"/>
      <c r="L717" s="142"/>
      <c r="M717" s="142"/>
      <c r="N717" s="142"/>
      <c r="O717" s="94"/>
      <c r="P717" s="94"/>
      <c r="Q717" s="94"/>
      <c r="R717" s="94"/>
      <c r="S717" s="94"/>
      <c r="T717" s="94"/>
      <c r="U717" s="731"/>
      <c r="V717" s="274"/>
      <c r="W717" s="14"/>
      <c r="X717" s="7"/>
      <c r="Y717" s="7"/>
      <c r="Z717" s="7"/>
      <c r="AA717" s="7"/>
      <c r="AB717" s="7"/>
      <c r="AC717" s="7"/>
    </row>
    <row r="718" spans="1:29" ht="26.25">
      <c r="A718" s="19"/>
      <c r="B718" s="123" t="s">
        <v>641</v>
      </c>
      <c r="C718" s="115"/>
      <c r="D718" s="92"/>
      <c r="E718" s="91">
        <f>F718+G718</f>
        <v>0</v>
      </c>
      <c r="F718" s="91"/>
      <c r="G718" s="91"/>
      <c r="H718" s="91"/>
      <c r="I718" s="91"/>
      <c r="J718" s="22"/>
      <c r="K718" s="22"/>
      <c r="L718" s="22"/>
      <c r="M718" s="22"/>
      <c r="N718" s="22"/>
      <c r="O718" s="91"/>
      <c r="P718" s="91"/>
      <c r="Q718" s="7"/>
      <c r="R718" s="228"/>
      <c r="S718" s="151"/>
      <c r="T718" s="91"/>
      <c r="U718" s="644"/>
      <c r="V718" s="710"/>
      <c r="W718" s="14"/>
      <c r="X718" s="7"/>
      <c r="Y718" s="7"/>
      <c r="Z718" s="7"/>
      <c r="AA718" s="7"/>
      <c r="AB718" s="7"/>
      <c r="AC718" s="7"/>
    </row>
    <row r="719" spans="1:29" ht="26.25">
      <c r="A719" s="19"/>
      <c r="B719" s="148" t="s">
        <v>642</v>
      </c>
      <c r="C719" s="115">
        <f>T719</f>
        <v>51</v>
      </c>
      <c r="D719" s="92"/>
      <c r="E719" s="91"/>
      <c r="F719" s="91"/>
      <c r="G719" s="91"/>
      <c r="H719" s="91"/>
      <c r="I719" s="91"/>
      <c r="J719" s="22"/>
      <c r="K719" s="22"/>
      <c r="L719" s="22"/>
      <c r="M719" s="22"/>
      <c r="N719" s="22"/>
      <c r="O719" s="91">
        <v>8136</v>
      </c>
      <c r="P719" s="91">
        <v>8187</v>
      </c>
      <c r="Q719" s="122"/>
      <c r="R719" s="338"/>
      <c r="S719" s="151">
        <v>1</v>
      </c>
      <c r="T719" s="91">
        <f>(P719-O719)*S719</f>
        <v>51</v>
      </c>
      <c r="U719" s="644"/>
      <c r="V719" s="710"/>
      <c r="W719" s="14"/>
      <c r="X719" s="7"/>
      <c r="Y719" s="7"/>
      <c r="Z719" s="7"/>
      <c r="AA719" s="7"/>
      <c r="AB719" s="7"/>
      <c r="AC719" s="7"/>
    </row>
    <row r="720" spans="1:29" ht="26.25">
      <c r="A720" s="19"/>
      <c r="B720" s="148" t="s">
        <v>643</v>
      </c>
      <c r="C720" s="91"/>
      <c r="D720" s="115">
        <f>P720-O720</f>
        <v>630</v>
      </c>
      <c r="E720" s="91"/>
      <c r="F720" s="91"/>
      <c r="G720" s="91"/>
      <c r="H720" s="91"/>
      <c r="I720" s="91"/>
      <c r="J720" s="22"/>
      <c r="K720" s="22"/>
      <c r="L720" s="22"/>
      <c r="M720" s="22"/>
      <c r="N720" s="22"/>
      <c r="O720" s="91">
        <v>124030</v>
      </c>
      <c r="P720" s="91">
        <v>124660</v>
      </c>
      <c r="Q720" s="122"/>
      <c r="R720" s="338"/>
      <c r="S720" s="248">
        <v>1</v>
      </c>
      <c r="T720" s="91">
        <f>(P720-O720)*S720</f>
        <v>630</v>
      </c>
      <c r="U720" s="644"/>
      <c r="V720" s="710"/>
      <c r="W720" s="14"/>
      <c r="X720" s="7"/>
      <c r="Y720" s="7"/>
      <c r="Z720" s="7"/>
      <c r="AA720" s="7"/>
      <c r="AB720" s="7"/>
      <c r="AC720" s="7"/>
    </row>
    <row r="721" spans="1:29" ht="26.25">
      <c r="A721" s="19"/>
      <c r="B721" s="148" t="s">
        <v>644</v>
      </c>
      <c r="C721" s="115">
        <f>P721-O721</f>
        <v>42</v>
      </c>
      <c r="D721" s="92"/>
      <c r="E721" s="91"/>
      <c r="F721" s="91"/>
      <c r="G721" s="91"/>
      <c r="H721" s="91"/>
      <c r="I721" s="91"/>
      <c r="J721" s="22"/>
      <c r="K721" s="22"/>
      <c r="L721" s="22"/>
      <c r="M721" s="22"/>
      <c r="N721" s="22"/>
      <c r="O721" s="91">
        <v>14950</v>
      </c>
      <c r="P721" s="91">
        <v>14992</v>
      </c>
      <c r="Q721" s="122"/>
      <c r="R721" s="338"/>
      <c r="S721" s="248">
        <v>1</v>
      </c>
      <c r="T721" s="91">
        <f>(P721-O721)*S721</f>
        <v>42</v>
      </c>
      <c r="U721" s="644"/>
      <c r="V721" s="710"/>
      <c r="W721" s="14"/>
      <c r="X721" s="7"/>
      <c r="Y721" s="7"/>
      <c r="Z721" s="7"/>
      <c r="AA721" s="7"/>
      <c r="AB721" s="7"/>
      <c r="AC721" s="7"/>
    </row>
    <row r="722" spans="1:29" ht="26.25">
      <c r="A722" s="19"/>
      <c r="B722" s="148" t="s">
        <v>1099</v>
      </c>
      <c r="C722" s="115">
        <f>P722-O722</f>
        <v>761</v>
      </c>
      <c r="D722" s="92"/>
      <c r="E722" s="91"/>
      <c r="F722" s="91"/>
      <c r="G722" s="91"/>
      <c r="H722" s="91"/>
      <c r="I722" s="91"/>
      <c r="J722" s="22"/>
      <c r="K722" s="22"/>
      <c r="L722" s="22"/>
      <c r="M722" s="22"/>
      <c r="N722" s="22"/>
      <c r="O722" s="340">
        <v>90510</v>
      </c>
      <c r="P722" s="340">
        <v>91271</v>
      </c>
      <c r="Q722" s="122"/>
      <c r="R722" s="338"/>
      <c r="S722" s="248">
        <v>1</v>
      </c>
      <c r="T722" s="91">
        <f>(P722-O722)*S722</f>
        <v>761</v>
      </c>
      <c r="U722" s="644"/>
      <c r="V722" s="710"/>
      <c r="W722" s="14"/>
      <c r="X722" s="7"/>
      <c r="Y722" s="7"/>
      <c r="Z722" s="7"/>
      <c r="AA722" s="7"/>
      <c r="AB722" s="7"/>
      <c r="AC722" s="7"/>
    </row>
    <row r="723" spans="1:29" ht="25.5">
      <c r="A723" s="19"/>
      <c r="B723" s="148" t="s">
        <v>646</v>
      </c>
      <c r="C723" s="91">
        <f>T723</f>
        <v>153</v>
      </c>
      <c r="D723" s="92"/>
      <c r="E723" s="91"/>
      <c r="F723" s="91"/>
      <c r="G723" s="91"/>
      <c r="H723" s="91"/>
      <c r="I723" s="91"/>
      <c r="J723" s="22"/>
      <c r="K723" s="22"/>
      <c r="L723" s="22"/>
      <c r="M723" s="22"/>
      <c r="N723" s="22"/>
      <c r="O723" s="91">
        <v>51242</v>
      </c>
      <c r="P723" s="91">
        <v>51395</v>
      </c>
      <c r="Q723" s="122"/>
      <c r="R723" s="338"/>
      <c r="S723" s="151">
        <v>1</v>
      </c>
      <c r="T723" s="91">
        <f>(P723-O723)*S723</f>
        <v>153</v>
      </c>
      <c r="U723" s="644"/>
      <c r="V723" s="710"/>
      <c r="W723" s="14"/>
      <c r="X723" s="7"/>
      <c r="Y723" s="7"/>
      <c r="Z723" s="7"/>
      <c r="AA723" s="7"/>
      <c r="AB723" s="7"/>
      <c r="AC723" s="7"/>
    </row>
    <row r="724" spans="1:29" ht="26.25">
      <c r="A724" s="19"/>
      <c r="B724" s="148" t="s">
        <v>1100</v>
      </c>
      <c r="C724" s="115">
        <f>T724</f>
        <v>966</v>
      </c>
      <c r="D724" s="92">
        <v>0</v>
      </c>
      <c r="E724" s="91"/>
      <c r="F724" s="91"/>
      <c r="G724" s="91"/>
      <c r="H724" s="91"/>
      <c r="I724" s="91"/>
      <c r="J724" s="22"/>
      <c r="K724" s="22"/>
      <c r="L724" s="22"/>
      <c r="M724" s="22"/>
      <c r="N724" s="22"/>
      <c r="O724" s="91">
        <v>8776</v>
      </c>
      <c r="P724" s="91">
        <v>9742</v>
      </c>
      <c r="Q724" s="149"/>
      <c r="R724" s="150"/>
      <c r="S724" s="151">
        <v>1</v>
      </c>
      <c r="T724" s="91">
        <f>P724-O724</f>
        <v>966</v>
      </c>
      <c r="U724" s="644"/>
      <c r="V724" s="710"/>
      <c r="W724" s="14"/>
      <c r="X724" s="7"/>
      <c r="Y724" s="7"/>
      <c r="Z724" s="7"/>
      <c r="AA724" s="7"/>
      <c r="AB724" s="7"/>
      <c r="AC724" s="7"/>
    </row>
    <row r="725" spans="1:29" ht="26.25">
      <c r="A725" s="19"/>
      <c r="B725" s="218"/>
      <c r="C725" s="72"/>
      <c r="D725" s="77"/>
      <c r="E725" s="28"/>
      <c r="F725" s="28"/>
      <c r="G725" s="28"/>
      <c r="H725" s="28"/>
      <c r="I725" s="28"/>
      <c r="J725" s="29"/>
      <c r="K725" s="29"/>
      <c r="L725" s="29"/>
      <c r="M725" s="29"/>
      <c r="N725" s="29"/>
      <c r="O725" s="28"/>
      <c r="P725" s="28"/>
      <c r="Q725" s="146"/>
      <c r="R725" s="147"/>
      <c r="S725" s="54"/>
      <c r="T725" s="28"/>
      <c r="U725" s="644"/>
      <c r="V725" s="710"/>
      <c r="W725" s="14"/>
      <c r="X725" s="7"/>
      <c r="Y725" s="7"/>
      <c r="Z725" s="7"/>
      <c r="AA725" s="7"/>
      <c r="AB725" s="7"/>
      <c r="AC725" s="7"/>
    </row>
    <row r="726" spans="1:29" ht="26.25">
      <c r="A726" s="19"/>
      <c r="B726" s="148" t="s">
        <v>86</v>
      </c>
      <c r="C726" s="115">
        <f>C719+C721+C723+C722+C724</f>
        <v>1973</v>
      </c>
      <c r="D726" s="91">
        <f>D720+D724</f>
        <v>630</v>
      </c>
      <c r="E726" s="28"/>
      <c r="F726" s="28"/>
      <c r="G726" s="28"/>
      <c r="H726" s="28"/>
      <c r="I726" s="28"/>
      <c r="J726" s="29"/>
      <c r="K726" s="29"/>
      <c r="L726" s="29"/>
      <c r="M726" s="29"/>
      <c r="N726" s="29"/>
      <c r="O726" s="28"/>
      <c r="P726" s="28"/>
      <c r="Q726" s="146"/>
      <c r="R726" s="147"/>
      <c r="S726" s="54"/>
      <c r="T726" s="28"/>
      <c r="U726" s="644"/>
      <c r="V726" s="710"/>
      <c r="W726" s="14"/>
      <c r="X726" s="7"/>
      <c r="Y726" s="7"/>
      <c r="Z726" s="7"/>
      <c r="AA726" s="7"/>
      <c r="AB726" s="7"/>
      <c r="AC726" s="7"/>
    </row>
    <row r="727" spans="1:29" ht="25.5">
      <c r="A727" s="19"/>
      <c r="B727" s="104"/>
      <c r="C727" s="92"/>
      <c r="D727" s="92"/>
      <c r="E727" s="92"/>
      <c r="F727" s="92"/>
      <c r="G727" s="92"/>
      <c r="H727" s="92"/>
      <c r="I727" s="92"/>
      <c r="J727" s="142"/>
      <c r="K727" s="142"/>
      <c r="L727" s="142"/>
      <c r="M727" s="142"/>
      <c r="N727" s="142"/>
      <c r="O727" s="94"/>
      <c r="P727" s="91"/>
      <c r="Q727" s="94"/>
      <c r="R727" s="94"/>
      <c r="S727" s="94"/>
      <c r="T727" s="94"/>
      <c r="U727" s="731"/>
      <c r="V727" s="274"/>
      <c r="W727" s="14"/>
      <c r="X727" s="7"/>
      <c r="Y727" s="7"/>
      <c r="Z727" s="7"/>
      <c r="AA727" s="7"/>
      <c r="AB727" s="7"/>
      <c r="AC727" s="7"/>
    </row>
    <row r="728" spans="1:29" ht="26.25">
      <c r="A728" s="19"/>
      <c r="B728" s="143"/>
      <c r="C728" s="92"/>
      <c r="D728" s="92"/>
      <c r="E728" s="246"/>
      <c r="F728" s="246"/>
      <c r="G728" s="92"/>
      <c r="H728" s="92"/>
      <c r="I728" s="92"/>
      <c r="J728" s="142"/>
      <c r="K728" s="142"/>
      <c r="L728" s="142"/>
      <c r="M728" s="142"/>
      <c r="N728" s="142"/>
      <c r="O728" s="94"/>
      <c r="P728" s="94"/>
      <c r="Q728" s="94"/>
      <c r="R728" s="94"/>
      <c r="S728" s="94"/>
      <c r="T728" s="94"/>
      <c r="U728" s="731"/>
      <c r="V728" s="274"/>
      <c r="W728" s="14"/>
      <c r="X728" s="7"/>
      <c r="Y728" s="7"/>
      <c r="Z728" s="7"/>
      <c r="AA728" s="7"/>
      <c r="AB728" s="7"/>
      <c r="AC728" s="7"/>
    </row>
    <row r="729" spans="1:29" ht="26.25">
      <c r="A729" s="271"/>
      <c r="B729" s="143" t="s">
        <v>648</v>
      </c>
      <c r="C729" s="115">
        <f>C709+C92</f>
        <v>1089568.7852799988</v>
      </c>
      <c r="D729" s="115">
        <f>D709+D726</f>
        <v>630</v>
      </c>
      <c r="E729" s="115" t="e">
        <f>E709</f>
        <v>#REF!</v>
      </c>
      <c r="F729" s="91"/>
      <c r="G729" s="91"/>
      <c r="H729" s="248" t="e">
        <f>H709</f>
        <v>#REF!</v>
      </c>
      <c r="I729" s="115">
        <f>I709</f>
        <v>169116.2970000002</v>
      </c>
      <c r="J729" s="142"/>
      <c r="K729" s="142"/>
      <c r="L729" s="142"/>
      <c r="M729" s="142"/>
      <c r="N729" s="142"/>
      <c r="O729" s="94"/>
      <c r="P729" s="94"/>
      <c r="Q729" s="94"/>
      <c r="R729" s="94"/>
      <c r="S729" s="94"/>
      <c r="T729" s="94"/>
      <c r="U729" s="731"/>
      <c r="V729" s="274"/>
      <c r="W729" s="14"/>
      <c r="X729" s="7"/>
      <c r="Y729" s="7"/>
      <c r="Z729" s="7"/>
      <c r="AA729" s="7"/>
      <c r="AB729" s="7"/>
      <c r="AC729" s="7"/>
    </row>
    <row r="730" spans="1:29" ht="26.25">
      <c r="A730" s="271"/>
      <c r="B730" s="143"/>
      <c r="C730" s="246"/>
      <c r="D730" s="246"/>
      <c r="E730" s="246"/>
      <c r="F730" s="92"/>
      <c r="G730" s="92"/>
      <c r="H730" s="92"/>
      <c r="I730" s="92"/>
      <c r="J730" s="142"/>
      <c r="K730" s="142"/>
      <c r="L730" s="142"/>
      <c r="M730" s="142"/>
      <c r="N730" s="142"/>
      <c r="O730" s="94"/>
      <c r="P730" s="94"/>
      <c r="Q730" s="94"/>
      <c r="R730" s="94"/>
      <c r="S730" s="94"/>
      <c r="T730" s="94"/>
      <c r="U730" s="731"/>
      <c r="V730" s="274"/>
      <c r="W730" s="14"/>
      <c r="X730" s="7"/>
      <c r="Y730" s="7"/>
      <c r="Z730" s="7"/>
      <c r="AA730" s="7"/>
      <c r="AB730" s="7"/>
      <c r="AC730" s="7"/>
    </row>
    <row r="731" spans="1:29" ht="25.5">
      <c r="A731" s="271"/>
      <c r="B731" s="104"/>
      <c r="C731" s="92"/>
      <c r="D731" s="92"/>
      <c r="E731" s="92"/>
      <c r="F731" s="92"/>
      <c r="G731" s="92"/>
      <c r="H731" s="92"/>
      <c r="I731" s="92"/>
      <c r="J731" s="142"/>
      <c r="K731" s="142"/>
      <c r="L731" s="142"/>
      <c r="M731" s="142"/>
      <c r="N731" s="142"/>
      <c r="O731" s="94"/>
      <c r="P731" s="94"/>
      <c r="Q731" s="94"/>
      <c r="R731" s="94"/>
      <c r="S731" s="94"/>
      <c r="T731" s="94"/>
      <c r="U731" s="731"/>
      <c r="V731" s="274"/>
      <c r="W731" s="14"/>
      <c r="X731" s="7"/>
      <c r="Y731" s="7"/>
      <c r="Z731" s="7"/>
      <c r="AA731" s="7"/>
      <c r="AB731" s="7"/>
      <c r="AC731" s="7"/>
    </row>
    <row r="732" spans="1:29" ht="26.25">
      <c r="A732" s="271"/>
      <c r="B732" s="143" t="s">
        <v>649</v>
      </c>
      <c r="C732" s="246"/>
      <c r="D732" s="246"/>
      <c r="E732" s="246"/>
      <c r="F732" s="92"/>
      <c r="G732" s="275"/>
      <c r="H732" s="92"/>
      <c r="I732" s="92"/>
      <c r="J732" s="142"/>
      <c r="K732" s="142"/>
      <c r="L732" s="142"/>
      <c r="M732" s="142"/>
      <c r="N732" s="142"/>
      <c r="O732" s="94"/>
      <c r="P732" s="94"/>
      <c r="Q732" s="94"/>
      <c r="R732" s="94"/>
      <c r="S732" s="94"/>
      <c r="T732" s="94"/>
      <c r="U732" s="731"/>
      <c r="V732" s="274"/>
      <c r="W732" s="14"/>
      <c r="X732" s="7"/>
      <c r="Y732" s="7"/>
      <c r="Z732" s="7"/>
      <c r="AA732" s="7"/>
      <c r="AB732" s="7"/>
      <c r="AC732" s="7"/>
    </row>
    <row r="733" spans="1:29" ht="25.5">
      <c r="A733" s="271"/>
      <c r="B733" s="104"/>
      <c r="C733" s="92"/>
      <c r="D733" s="92"/>
      <c r="E733" s="92"/>
      <c r="F733" s="92"/>
      <c r="G733" s="275"/>
      <c r="H733" s="92"/>
      <c r="I733" s="92"/>
      <c r="J733" s="142"/>
      <c r="K733" s="142"/>
      <c r="L733" s="142"/>
      <c r="M733" s="142"/>
      <c r="N733" s="142"/>
      <c r="O733" s="94"/>
      <c r="P733" s="94"/>
      <c r="Q733" s="94"/>
      <c r="R733" s="94"/>
      <c r="S733" s="94"/>
      <c r="T733" s="94"/>
      <c r="U733" s="731"/>
      <c r="V733" s="274"/>
      <c r="W733" s="14"/>
      <c r="X733" s="7"/>
      <c r="Y733" s="7"/>
      <c r="Z733" s="7"/>
      <c r="AA733" s="7"/>
      <c r="AB733" s="7"/>
      <c r="AC733" s="7"/>
    </row>
    <row r="734" spans="1:29" ht="25.5">
      <c r="A734" s="276"/>
      <c r="B734" s="277"/>
      <c r="C734" s="105"/>
      <c r="D734" s="105"/>
      <c r="E734" s="105"/>
      <c r="F734" s="105"/>
      <c r="G734" s="105"/>
      <c r="H734" s="105"/>
      <c r="I734" s="105"/>
      <c r="J734" s="98"/>
      <c r="K734" s="98"/>
      <c r="L734" s="98"/>
      <c r="M734" s="98"/>
      <c r="N734" s="98"/>
      <c r="O734" s="227"/>
      <c r="P734" s="227"/>
      <c r="Q734" s="227"/>
      <c r="R734" s="227"/>
      <c r="S734" s="227"/>
      <c r="T734" s="227"/>
      <c r="U734" s="273"/>
      <c r="V734" s="274"/>
      <c r="W734" s="7"/>
      <c r="X734" s="7"/>
      <c r="Y734" s="7"/>
      <c r="Z734" s="7"/>
      <c r="AA734" s="7"/>
      <c r="AB734" s="7"/>
      <c r="AC734" s="7"/>
    </row>
    <row r="735" spans="1:29" ht="25.5">
      <c r="A735" s="276"/>
      <c r="B735" s="277"/>
      <c r="C735" s="105"/>
      <c r="D735" s="105"/>
      <c r="E735" s="105"/>
      <c r="F735" s="105"/>
      <c r="G735" s="105"/>
      <c r="H735" s="105"/>
      <c r="I735" s="105"/>
      <c r="J735" s="98"/>
      <c r="K735" s="98"/>
      <c r="L735" s="98"/>
      <c r="M735" s="98"/>
      <c r="N735" s="98"/>
      <c r="O735" s="227"/>
      <c r="P735" s="227"/>
      <c r="Q735" s="227"/>
      <c r="R735" s="227"/>
      <c r="S735" s="227"/>
      <c r="T735" s="227"/>
      <c r="U735" s="273"/>
      <c r="V735" s="274"/>
      <c r="W735" s="7"/>
      <c r="X735" s="7"/>
      <c r="Y735" s="7"/>
      <c r="Z735" s="7"/>
      <c r="AA735" s="7"/>
      <c r="AB735" s="7"/>
      <c r="AC735" s="7"/>
    </row>
    <row r="736" spans="1:29" ht="25.5">
      <c r="A736" s="276"/>
      <c r="B736" s="277"/>
      <c r="C736" s="105"/>
      <c r="D736" s="105"/>
      <c r="E736" s="105"/>
      <c r="F736" s="105"/>
      <c r="G736" s="105"/>
      <c r="H736" s="105"/>
      <c r="I736" s="105"/>
      <c r="J736" s="98"/>
      <c r="K736" s="98"/>
      <c r="L736" s="98"/>
      <c r="M736" s="98"/>
      <c r="N736" s="98"/>
      <c r="O736" s="227"/>
      <c r="P736" s="227"/>
      <c r="Q736" s="227"/>
      <c r="R736" s="227"/>
      <c r="S736" s="227"/>
      <c r="T736" s="227"/>
      <c r="U736" s="273"/>
      <c r="V736" s="274"/>
      <c r="W736" s="7"/>
      <c r="X736" s="7"/>
      <c r="Y736" s="7"/>
      <c r="Z736" s="7"/>
      <c r="AA736" s="7"/>
      <c r="AB736" s="7"/>
      <c r="AC736" s="7"/>
    </row>
    <row r="737" spans="1:29" ht="25.5">
      <c r="A737" s="276"/>
      <c r="B737" s="277"/>
      <c r="C737" s="105"/>
      <c r="D737" s="105"/>
      <c r="E737" s="105"/>
      <c r="F737" s="105"/>
      <c r="G737" s="105"/>
      <c r="H737" s="105"/>
      <c r="I737" s="105"/>
      <c r="J737" s="98"/>
      <c r="K737" s="98"/>
      <c r="L737" s="98"/>
      <c r="M737" s="98"/>
      <c r="N737" s="98"/>
      <c r="O737" s="227"/>
      <c r="P737" s="227"/>
      <c r="Q737" s="227"/>
      <c r="R737" s="227"/>
      <c r="S737" s="227"/>
      <c r="T737" s="227"/>
      <c r="U737" s="273"/>
      <c r="V737" s="274"/>
      <c r="W737" s="7"/>
      <c r="X737" s="7"/>
      <c r="Y737" s="7"/>
      <c r="Z737" s="7"/>
      <c r="AA737" s="7"/>
      <c r="AB737" s="7"/>
      <c r="AC737" s="7"/>
    </row>
    <row r="738" spans="1:29" ht="25.5">
      <c r="A738" s="276"/>
      <c r="B738" s="277"/>
      <c r="C738" s="105"/>
      <c r="D738" s="105"/>
      <c r="E738" s="105"/>
      <c r="F738" s="105"/>
      <c r="G738" s="105"/>
      <c r="H738" s="105"/>
      <c r="I738" s="105"/>
      <c r="J738" s="98"/>
      <c r="K738" s="98"/>
      <c r="L738" s="98"/>
      <c r="M738" s="98"/>
      <c r="N738" s="98"/>
      <c r="O738" s="227"/>
      <c r="P738" s="227"/>
      <c r="Q738" s="227"/>
      <c r="R738" s="227"/>
      <c r="S738" s="227"/>
      <c r="T738" s="227"/>
      <c r="U738" s="273"/>
      <c r="V738" s="274"/>
      <c r="W738" s="7"/>
      <c r="X738" s="7"/>
      <c r="Y738" s="7"/>
      <c r="Z738" s="7"/>
      <c r="AA738" s="7"/>
      <c r="AB738" s="7"/>
      <c r="AC738" s="7"/>
    </row>
    <row r="739" spans="1:29" ht="25.5">
      <c r="A739" s="276"/>
      <c r="B739" s="277"/>
      <c r="C739" s="105"/>
      <c r="D739" s="105"/>
      <c r="E739" s="105"/>
      <c r="F739" s="105"/>
      <c r="G739" s="105"/>
      <c r="H739" s="105"/>
      <c r="I739" s="105"/>
      <c r="J739" s="98"/>
      <c r="K739" s="98"/>
      <c r="L739" s="98"/>
      <c r="M739" s="98"/>
      <c r="N739" s="98"/>
      <c r="O739" s="227"/>
      <c r="P739" s="227"/>
      <c r="Q739" s="227"/>
      <c r="R739" s="227"/>
      <c r="S739" s="227"/>
      <c r="T739" s="227"/>
      <c r="U739" s="273"/>
      <c r="V739" s="274"/>
      <c r="W739" s="7"/>
      <c r="X739" s="7"/>
      <c r="Y739" s="7"/>
      <c r="Z739" s="7"/>
      <c r="AA739" s="7"/>
      <c r="AB739" s="7"/>
      <c r="AC739" s="7"/>
    </row>
    <row r="740" spans="1:29" ht="25.5">
      <c r="A740" s="276"/>
      <c r="B740" s="277"/>
      <c r="C740" s="105"/>
      <c r="D740" s="105"/>
      <c r="E740" s="105"/>
      <c r="F740" s="105"/>
      <c r="G740" s="105"/>
      <c r="H740" s="105"/>
      <c r="I740" s="105"/>
      <c r="J740" s="98"/>
      <c r="K740" s="98"/>
      <c r="L740" s="98"/>
      <c r="M740" s="98"/>
      <c r="N740" s="98"/>
      <c r="O740" s="227"/>
      <c r="P740" s="227"/>
      <c r="Q740" s="227"/>
      <c r="R740" s="227"/>
      <c r="S740" s="227"/>
      <c r="T740" s="227"/>
      <c r="U740" s="273"/>
      <c r="V740" s="274"/>
      <c r="W740" s="7"/>
      <c r="X740" s="7"/>
      <c r="Y740" s="7"/>
      <c r="Z740" s="7"/>
      <c r="AA740" s="7"/>
      <c r="AB740" s="7"/>
      <c r="AC740" s="7"/>
    </row>
    <row r="741" spans="1:29" ht="25.5">
      <c r="A741" s="276"/>
      <c r="B741" s="277"/>
      <c r="C741" s="105"/>
      <c r="D741" s="105"/>
      <c r="E741" s="105"/>
      <c r="F741" s="105"/>
      <c r="G741" s="105"/>
      <c r="H741" s="105"/>
      <c r="I741" s="105"/>
      <c r="J741" s="98"/>
      <c r="K741" s="98"/>
      <c r="L741" s="98"/>
      <c r="M741" s="98"/>
      <c r="N741" s="98"/>
      <c r="O741" s="227"/>
      <c r="P741" s="227"/>
      <c r="Q741" s="227"/>
      <c r="R741" s="227"/>
      <c r="S741" s="227"/>
      <c r="T741" s="227"/>
      <c r="U741" s="273"/>
      <c r="V741" s="274"/>
      <c r="W741" s="7"/>
      <c r="X741" s="7"/>
      <c r="Y741" s="7"/>
      <c r="Z741" s="7"/>
      <c r="AA741" s="7"/>
      <c r="AB741" s="7"/>
      <c r="AC741" s="7"/>
    </row>
    <row r="742" spans="1:29" ht="25.5">
      <c r="A742" s="276"/>
      <c r="B742" s="277"/>
      <c r="C742" s="105"/>
      <c r="D742" s="105"/>
      <c r="E742" s="105"/>
      <c r="F742" s="105"/>
      <c r="G742" s="105"/>
      <c r="H742" s="105"/>
      <c r="I742" s="105"/>
      <c r="J742" s="98"/>
      <c r="K742" s="98"/>
      <c r="L742" s="98"/>
      <c r="M742" s="98"/>
      <c r="N742" s="98"/>
      <c r="O742" s="227"/>
      <c r="P742" s="227"/>
      <c r="Q742" s="227"/>
      <c r="R742" s="227"/>
      <c r="S742" s="227"/>
      <c r="T742" s="227"/>
      <c r="U742" s="273"/>
      <c r="V742" s="274"/>
      <c r="W742" s="7"/>
      <c r="X742" s="7"/>
      <c r="Y742" s="7"/>
      <c r="Z742" s="7"/>
      <c r="AA742" s="7"/>
      <c r="AB742" s="7"/>
      <c r="AC742" s="7"/>
    </row>
    <row r="743" spans="1:29" ht="25.5">
      <c r="A743" s="276"/>
      <c r="B743" s="277"/>
      <c r="C743" s="105"/>
      <c r="D743" s="105"/>
      <c r="E743" s="105"/>
      <c r="F743" s="105"/>
      <c r="G743" s="105"/>
      <c r="H743" s="105"/>
      <c r="I743" s="105"/>
      <c r="J743" s="98"/>
      <c r="K743" s="98"/>
      <c r="L743" s="98"/>
      <c r="M743" s="98"/>
      <c r="N743" s="98"/>
      <c r="O743" s="227"/>
      <c r="P743" s="227"/>
      <c r="Q743" s="227"/>
      <c r="R743" s="227"/>
      <c r="S743" s="227"/>
      <c r="T743" s="227"/>
      <c r="U743" s="273"/>
      <c r="V743" s="274"/>
      <c r="W743" s="7"/>
      <c r="X743" s="7"/>
      <c r="Y743" s="7"/>
      <c r="Z743" s="7"/>
      <c r="AA743" s="7"/>
      <c r="AB743" s="7"/>
      <c r="AC743" s="7"/>
    </row>
    <row r="744" spans="1:29" ht="25.5">
      <c r="A744" s="276"/>
      <c r="B744" s="277"/>
      <c r="C744" s="105"/>
      <c r="D744" s="105"/>
      <c r="E744" s="105"/>
      <c r="F744" s="105"/>
      <c r="G744" s="105"/>
      <c r="H744" s="105"/>
      <c r="I744" s="105"/>
      <c r="J744" s="98"/>
      <c r="K744" s="98"/>
      <c r="L744" s="98"/>
      <c r="M744" s="98"/>
      <c r="N744" s="98"/>
      <c r="O744" s="227"/>
      <c r="P744" s="227"/>
      <c r="Q744" s="227"/>
      <c r="R744" s="227"/>
      <c r="S744" s="227"/>
      <c r="T744" s="227"/>
      <c r="U744" s="273"/>
      <c r="V744" s="274"/>
      <c r="W744" s="7"/>
      <c r="X744" s="7"/>
      <c r="Y744" s="7"/>
      <c r="Z744" s="7"/>
      <c r="AA744" s="7"/>
      <c r="AB744" s="7"/>
      <c r="AC744" s="7"/>
    </row>
    <row r="745" spans="1:29" ht="25.5">
      <c r="A745" s="276"/>
      <c r="B745" s="277"/>
      <c r="C745" s="105"/>
      <c r="D745" s="105"/>
      <c r="E745" s="105"/>
      <c r="F745" s="105"/>
      <c r="G745" s="105"/>
      <c r="H745" s="105"/>
      <c r="I745" s="105"/>
      <c r="J745" s="98"/>
      <c r="K745" s="98"/>
      <c r="L745" s="98"/>
      <c r="M745" s="98"/>
      <c r="N745" s="98"/>
      <c r="O745" s="227"/>
      <c r="P745" s="227"/>
      <c r="Q745" s="227"/>
      <c r="R745" s="227"/>
      <c r="S745" s="227"/>
      <c r="T745" s="227"/>
      <c r="U745" s="273"/>
      <c r="V745" s="274"/>
      <c r="W745" s="7"/>
      <c r="X745" s="7"/>
      <c r="Y745" s="7"/>
      <c r="Z745" s="7"/>
      <c r="AA745" s="7"/>
      <c r="AB745" s="7"/>
      <c r="AC745" s="7"/>
    </row>
    <row r="746" spans="1:29" ht="25.5">
      <c r="A746" s="276"/>
      <c r="B746" s="277"/>
      <c r="C746" s="105"/>
      <c r="D746" s="105"/>
      <c r="E746" s="105"/>
      <c r="F746" s="105"/>
      <c r="G746" s="105"/>
      <c r="H746" s="105"/>
      <c r="I746" s="105"/>
      <c r="J746" s="98"/>
      <c r="K746" s="98"/>
      <c r="L746" s="98"/>
      <c r="M746" s="98"/>
      <c r="N746" s="98"/>
      <c r="O746" s="227"/>
      <c r="P746" s="227"/>
      <c r="Q746" s="227"/>
      <c r="R746" s="227"/>
      <c r="S746" s="227"/>
      <c r="T746" s="227"/>
      <c r="U746" s="273"/>
      <c r="V746" s="274"/>
      <c r="W746" s="7"/>
      <c r="X746" s="7"/>
      <c r="Y746" s="7"/>
      <c r="Z746" s="7"/>
      <c r="AA746" s="7"/>
      <c r="AB746" s="7"/>
      <c r="AC746" s="7"/>
    </row>
    <row r="747" spans="1:29" ht="25.5">
      <c r="A747" s="276"/>
      <c r="B747" s="277"/>
      <c r="C747" s="105"/>
      <c r="D747" s="105"/>
      <c r="E747" s="105"/>
      <c r="F747" s="105"/>
      <c r="G747" s="105"/>
      <c r="H747" s="105"/>
      <c r="I747" s="105"/>
      <c r="J747" s="98"/>
      <c r="K747" s="98"/>
      <c r="L747" s="98"/>
      <c r="M747" s="98"/>
      <c r="N747" s="98"/>
      <c r="O747" s="227"/>
      <c r="P747" s="227"/>
      <c r="Q747" s="227"/>
      <c r="R747" s="227"/>
      <c r="S747" s="227"/>
      <c r="T747" s="227"/>
      <c r="U747" s="273"/>
      <c r="V747" s="274"/>
      <c r="W747" s="7"/>
      <c r="X747" s="7"/>
      <c r="Y747" s="7"/>
      <c r="Z747" s="7"/>
      <c r="AA747" s="7"/>
      <c r="AB747" s="7"/>
      <c r="AC747" s="7"/>
    </row>
  </sheetData>
  <mergeCells count="30">
    <mergeCell ref="A87:B87"/>
    <mergeCell ref="W650:W652"/>
    <mergeCell ref="B665:B666"/>
    <mergeCell ref="B98:B99"/>
    <mergeCell ref="B176:B177"/>
    <mergeCell ref="B187:B188"/>
    <mergeCell ref="V200:V201"/>
    <mergeCell ref="V211:V212"/>
    <mergeCell ref="B247:B248"/>
    <mergeCell ref="V247:V248"/>
    <mergeCell ref="B297:B298"/>
    <mergeCell ref="B624:B626"/>
    <mergeCell ref="B658:B659"/>
    <mergeCell ref="V283:V284"/>
    <mergeCell ref="B692:B693"/>
    <mergeCell ref="A94:B94"/>
    <mergeCell ref="AQ1:BJ1"/>
    <mergeCell ref="A3:T3"/>
    <mergeCell ref="A4:A5"/>
    <mergeCell ref="B4:B5"/>
    <mergeCell ref="C4:C5"/>
    <mergeCell ref="D4:D5"/>
    <mergeCell ref="E4:G4"/>
    <mergeCell ref="H4:H5"/>
    <mergeCell ref="I4:I5"/>
    <mergeCell ref="O4:O5"/>
    <mergeCell ref="P4:P5"/>
    <mergeCell ref="S4:S5"/>
    <mergeCell ref="T4:T5"/>
    <mergeCell ref="V61:V62"/>
  </mergeCells>
  <pageMargins left="0.27559055118110237" right="0" top="0.39370078740157483" bottom="0.39370078740157483" header="0.31496062992125984" footer="0.31496062992125984"/>
  <pageSetup paperSize="9" scale="43" orientation="landscape" r:id="rId1"/>
  <colBreaks count="1" manualBreakCount="1">
    <brk id="22" max="63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Декабрь 2020  </vt:lpstr>
      <vt:lpstr>Яблоко и ТП-7декабрь   </vt:lpstr>
      <vt:lpstr>Январь 2021  </vt:lpstr>
      <vt:lpstr>Яблоко и ТП-7январь   </vt:lpstr>
      <vt:lpstr>Февраль 2021  </vt:lpstr>
      <vt:lpstr>Яблоко и ТП-7февраль    </vt:lpstr>
      <vt:lpstr>Март 2021  </vt:lpstr>
      <vt:lpstr>Яблоко и ТП-7март</vt:lpstr>
      <vt:lpstr>Апрель 2021</vt:lpstr>
      <vt:lpstr>Яблоко и ТП-7апрель</vt:lpstr>
      <vt:lpstr>Май 2021</vt:lpstr>
      <vt:lpstr>Яблоко и ТП-7май</vt:lpstr>
      <vt:lpstr>Июнь 2021</vt:lpstr>
      <vt:lpstr>Яблоко и ТП-7июнь</vt:lpstr>
    </vt:vector>
  </TitlesOfParts>
  <Company>Musson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vuevmax</dc:creator>
  <cp:lastModifiedBy>vuivmax</cp:lastModifiedBy>
  <cp:lastPrinted>2021-07-06T07:52:58Z</cp:lastPrinted>
  <dcterms:created xsi:type="dcterms:W3CDTF">2020-01-31T05:52:45Z</dcterms:created>
  <dcterms:modified xsi:type="dcterms:W3CDTF">2021-07-12T12:11:04Z</dcterms:modified>
</cp:coreProperties>
</file>