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1"/>
  <workbookPr showInkAnnotation="0" codeName="ThisWorkbook" autoCompressPictures="0"/>
  <mc:AlternateContent xmlns:mc="http://schemas.openxmlformats.org/markup-compatibility/2006">
    <mc:Choice Requires="x15">
      <x15ac:absPath xmlns:x15ac="http://schemas.microsoft.com/office/spreadsheetml/2010/11/ac" url="/Users/apple/Desktop/UCL EEE Y3/MSIN0047 Entrepreneurial Finance /Spreadsheet/"/>
    </mc:Choice>
  </mc:AlternateContent>
  <xr:revisionPtr revIDLastSave="0" documentId="13_ncr:1_{E0B83B02-B78E-E245-B836-500176DF7CAA}" xr6:coauthVersionLast="47" xr6:coauthVersionMax="47" xr10:uidLastSave="{00000000-0000-0000-0000-000000000000}"/>
  <bookViews>
    <workbookView xWindow="0" yWindow="500" windowWidth="28800" windowHeight="16460" tabRatio="500" activeTab="7" xr2:uid="{00000000-000D-0000-FFFF-FFFF00000000}"/>
  </bookViews>
  <sheets>
    <sheet name="Introduction" sheetId="20" r:id="rId1"/>
    <sheet name="Pricing Model" sheetId="16" r:id="rId2"/>
    <sheet name="Sales Forecast" sheetId="17" r:id="rId3"/>
    <sheet name="Profit &amp; Loss" sheetId="1" r:id="rId4"/>
    <sheet name="Cash Flow" sheetId="9" r:id="rId5"/>
    <sheet name="Balance Sheet" sheetId="8" r:id="rId6"/>
    <sheet name="Summary &amp; Ratios" sheetId="2" r:id="rId7"/>
    <sheet name="Graphs" sheetId="7" r:id="rId8"/>
    <sheet name="COPYRIGHT PROTECTION" sheetId="13" state="veryHidden" r:id="rId9"/>
    <sheet name="Style Guide" sheetId="15" state="hidden" r:id="rId10"/>
  </sheets>
  <definedNames>
    <definedName name="_xlnm.Print_Area" localSheetId="4">'Cash Flow'!$A$3:$AM$124</definedName>
    <definedName name="_xlnm.Print_Area" localSheetId="7">Graphs!$A$3:$M$89</definedName>
    <definedName name="_xlnm.Print_Area" localSheetId="3">'Profit &amp; Loss'!$A$3:$AM$165</definedName>
    <definedName name="_xlnm.Print_Area" localSheetId="6">'Summary &amp; Ratios'!$A$3:$F$56</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5" i="2" l="1"/>
  <c r="S117" i="17"/>
  <c r="S78" i="17"/>
  <c r="S45" i="17"/>
  <c r="S121" i="17"/>
  <c r="F14" i="2"/>
  <c r="E14" i="2"/>
  <c r="D14" i="2"/>
  <c r="D13" i="2"/>
  <c r="F15" i="2"/>
  <c r="D15" i="2"/>
  <c r="F13" i="2"/>
  <c r="E13" i="2"/>
  <c r="B15" i="2"/>
  <c r="B17" i="2"/>
  <c r="B14" i="2"/>
  <c r="B13" i="2"/>
  <c r="S114" i="17"/>
  <c r="S113" i="17"/>
  <c r="S75" i="17"/>
  <c r="S74" i="17"/>
  <c r="AQ128" i="17"/>
  <c r="AE128" i="17"/>
  <c r="F24" i="2"/>
  <c r="F25" i="2"/>
  <c r="F26" i="2"/>
  <c r="F27" i="2"/>
  <c r="F30" i="2"/>
  <c r="F31" i="2"/>
  <c r="E31" i="2"/>
  <c r="E30" i="2"/>
  <c r="E27" i="2"/>
  <c r="E26" i="2"/>
  <c r="E25" i="2"/>
  <c r="E24" i="2"/>
  <c r="D31" i="2"/>
  <c r="D30" i="2"/>
  <c r="D29" i="2"/>
  <c r="D28" i="2"/>
  <c r="D27" i="2"/>
  <c r="D26" i="2"/>
  <c r="D25" i="2"/>
  <c r="D24" i="2"/>
  <c r="E22" i="2"/>
  <c r="F22" i="2"/>
  <c r="B23" i="2"/>
  <c r="B24" i="2"/>
  <c r="B25" i="2"/>
  <c r="B26" i="2"/>
  <c r="B27" i="2"/>
  <c r="B28" i="2"/>
  <c r="B29" i="2"/>
  <c r="B30" i="2"/>
  <c r="B31" i="2"/>
  <c r="R140" i="16"/>
  <c r="R139" i="16"/>
  <c r="G121" i="17"/>
  <c r="D121" i="9"/>
  <c r="L170" i="1"/>
  <c r="D170" i="1"/>
  <c r="L121" i="9"/>
  <c r="D120" i="9"/>
  <c r="D122" i="9" s="1"/>
  <c r="B121" i="9"/>
  <c r="B120" i="9"/>
  <c r="L122" i="9" l="1"/>
  <c r="L124" i="9" s="1"/>
  <c r="N124" i="9" s="1"/>
  <c r="B123" i="1" l="1"/>
  <c r="C63" i="1"/>
  <c r="C68" i="1"/>
  <c r="C73" i="1"/>
  <c r="C74" i="1" l="1"/>
  <c r="L73" i="1"/>
  <c r="L72" i="1"/>
  <c r="L71" i="1"/>
  <c r="L68" i="1"/>
  <c r="L67" i="1"/>
  <c r="L66" i="1"/>
  <c r="L53" i="1"/>
  <c r="L54" i="1"/>
  <c r="L55" i="1"/>
  <c r="L56" i="1"/>
  <c r="L57" i="1"/>
  <c r="L58" i="1"/>
  <c r="L59" i="1"/>
  <c r="L60" i="1"/>
  <c r="L61" i="1"/>
  <c r="L62" i="1"/>
  <c r="L63" i="1"/>
  <c r="B10" i="8"/>
  <c r="B9" i="8"/>
  <c r="D148" i="1"/>
  <c r="E150" i="1" s="1"/>
  <c r="L148" i="1"/>
  <c r="D132" i="1"/>
  <c r="E134" i="1" s="1"/>
  <c r="D125" i="1"/>
  <c r="J127" i="1" s="1"/>
  <c r="B130" i="1"/>
  <c r="D155" i="1"/>
  <c r="D157" i="1" s="1"/>
  <c r="B153" i="1"/>
  <c r="B146" i="1"/>
  <c r="D141" i="1"/>
  <c r="J143" i="1" s="1"/>
  <c r="B139" i="1"/>
  <c r="L52" i="1"/>
  <c r="K72" i="1"/>
  <c r="K73" i="1"/>
  <c r="K71" i="1"/>
  <c r="K68" i="1"/>
  <c r="K67" i="1"/>
  <c r="K66" i="1"/>
  <c r="K60" i="1"/>
  <c r="K58" i="1"/>
  <c r="K61" i="1"/>
  <c r="K63" i="1"/>
  <c r="E95" i="1"/>
  <c r="F95" i="1"/>
  <c r="G95" i="1"/>
  <c r="H95" i="1"/>
  <c r="I95" i="1"/>
  <c r="J95" i="1"/>
  <c r="K95" i="1"/>
  <c r="L95" i="1"/>
  <c r="M95" i="1"/>
  <c r="N95" i="1"/>
  <c r="O95" i="1"/>
  <c r="E94" i="1"/>
  <c r="F94" i="1"/>
  <c r="G94" i="1"/>
  <c r="H94" i="1"/>
  <c r="I94" i="1"/>
  <c r="J94" i="1"/>
  <c r="K94" i="1"/>
  <c r="L94" i="1"/>
  <c r="M94" i="1"/>
  <c r="N94" i="1"/>
  <c r="O94" i="1"/>
  <c r="K57" i="1"/>
  <c r="K52" i="1"/>
  <c r="K53" i="1"/>
  <c r="K54" i="1"/>
  <c r="K55" i="1"/>
  <c r="K56" i="1"/>
  <c r="K59" i="1"/>
  <c r="K62" i="1"/>
  <c r="S95" i="1"/>
  <c r="G43" i="1"/>
  <c r="H43" i="1" s="1"/>
  <c r="G42" i="1"/>
  <c r="X93" i="1" s="1"/>
  <c r="B90" i="1"/>
  <c r="B93" i="1"/>
  <c r="B96" i="1"/>
  <c r="B94" i="1"/>
  <c r="B95" i="1"/>
  <c r="B92" i="1"/>
  <c r="B91" i="1"/>
  <c r="B88" i="1"/>
  <c r="F37" i="1"/>
  <c r="G33" i="1"/>
  <c r="H33" i="1"/>
  <c r="G32" i="1"/>
  <c r="H32" i="1"/>
  <c r="F32" i="1"/>
  <c r="F34" i="1" s="1"/>
  <c r="D91" i="1" s="1"/>
  <c r="D10" i="1"/>
  <c r="F10" i="1" s="1"/>
  <c r="F25" i="1"/>
  <c r="H25" i="1" s="1"/>
  <c r="E27" i="1"/>
  <c r="E28" i="1"/>
  <c r="G28" i="1" s="1"/>
  <c r="AC96" i="1"/>
  <c r="AD96" i="1"/>
  <c r="AE96" i="1"/>
  <c r="AF96" i="1"/>
  <c r="AG96" i="1"/>
  <c r="AH96" i="1"/>
  <c r="AI96" i="1"/>
  <c r="AJ96" i="1"/>
  <c r="AK96" i="1"/>
  <c r="AL96" i="1"/>
  <c r="AM96" i="1"/>
  <c r="AB96" i="1"/>
  <c r="Q96" i="1"/>
  <c r="R96" i="1"/>
  <c r="S96" i="1"/>
  <c r="T96" i="1"/>
  <c r="U96" i="1"/>
  <c r="V96" i="1"/>
  <c r="W96" i="1"/>
  <c r="X96" i="1"/>
  <c r="Y96" i="1"/>
  <c r="Z96" i="1"/>
  <c r="AA96" i="1"/>
  <c r="P96" i="1"/>
  <c r="E93" i="1"/>
  <c r="F93" i="1"/>
  <c r="G93" i="1"/>
  <c r="H93" i="1"/>
  <c r="I93" i="1"/>
  <c r="J93" i="1"/>
  <c r="K93" i="1"/>
  <c r="L93" i="1"/>
  <c r="M93" i="1"/>
  <c r="N93" i="1"/>
  <c r="O93" i="1"/>
  <c r="E96" i="1"/>
  <c r="F96" i="1"/>
  <c r="G96" i="1"/>
  <c r="H96" i="1"/>
  <c r="I96" i="1"/>
  <c r="J96" i="1"/>
  <c r="K96" i="1"/>
  <c r="L96" i="1"/>
  <c r="M96" i="1"/>
  <c r="N96" i="1"/>
  <c r="O96" i="1"/>
  <c r="D93" i="1"/>
  <c r="D96" i="1"/>
  <c r="D94" i="1"/>
  <c r="D95" i="1"/>
  <c r="M28" i="1"/>
  <c r="N28" i="1" s="1"/>
  <c r="O28" i="1" s="1"/>
  <c r="E11" i="1"/>
  <c r="F11" i="1" s="1"/>
  <c r="H38" i="1" s="1"/>
  <c r="E23" i="1"/>
  <c r="E88" i="1" s="1"/>
  <c r="E14" i="1"/>
  <c r="H14" i="1" s="1"/>
  <c r="M21" i="1"/>
  <c r="D8" i="2"/>
  <c r="D153" i="2" s="1"/>
  <c r="M131" i="16"/>
  <c r="D87" i="16"/>
  <c r="AO88" i="17"/>
  <c r="AO86" i="17"/>
  <c r="AN86" i="17"/>
  <c r="AN88" i="17"/>
  <c r="AH88" i="17"/>
  <c r="AH86" i="17"/>
  <c r="AE88" i="17"/>
  <c r="AQ88" i="17" s="1"/>
  <c r="AE86" i="17"/>
  <c r="AQ86" i="17" s="1"/>
  <c r="AD88" i="17"/>
  <c r="AP88" i="17" s="1"/>
  <c r="AD86" i="17"/>
  <c r="AP86" i="17" s="1"/>
  <c r="X88" i="17"/>
  <c r="AJ88" i="17" s="1"/>
  <c r="Y88" i="17"/>
  <c r="AK88" i="17" s="1"/>
  <c r="Z88" i="17"/>
  <c r="AL88" i="17" s="1"/>
  <c r="AA88" i="17"/>
  <c r="AM88" i="17" s="1"/>
  <c r="X86" i="17"/>
  <c r="AJ86" i="17" s="1"/>
  <c r="Y86" i="17"/>
  <c r="AK86" i="17" s="1"/>
  <c r="Z86" i="17"/>
  <c r="AL86" i="17" s="1"/>
  <c r="AA86" i="17"/>
  <c r="AM86" i="17" s="1"/>
  <c r="W88" i="17"/>
  <c r="AI88" i="17" s="1"/>
  <c r="W86" i="17"/>
  <c r="U86" i="17"/>
  <c r="AG86" i="17" s="1"/>
  <c r="T86" i="17"/>
  <c r="C158" i="16"/>
  <c r="M52" i="16"/>
  <c r="M53" i="16" s="1"/>
  <c r="H52" i="16"/>
  <c r="H53" i="16" s="1"/>
  <c r="C52" i="16"/>
  <c r="C53" i="16" s="1"/>
  <c r="N51" i="16"/>
  <c r="N52" i="16" s="1"/>
  <c r="N53" i="16" s="1"/>
  <c r="I51" i="16"/>
  <c r="D51" i="16"/>
  <c r="D52" i="16" s="1"/>
  <c r="M148" i="16"/>
  <c r="M149" i="16" s="1"/>
  <c r="M140" i="16"/>
  <c r="M141" i="16" s="1"/>
  <c r="H148" i="16"/>
  <c r="H149" i="16" s="1"/>
  <c r="H140" i="16"/>
  <c r="H141" i="16" s="1"/>
  <c r="C148" i="16"/>
  <c r="C149" i="16" s="1"/>
  <c r="C140" i="16"/>
  <c r="C141" i="16" s="1"/>
  <c r="M94" i="16"/>
  <c r="M95" i="16" s="1"/>
  <c r="C94" i="16"/>
  <c r="C95" i="16" s="1"/>
  <c r="C102" i="16"/>
  <c r="C103" i="16" s="1"/>
  <c r="H94" i="16"/>
  <c r="H95" i="16" s="1"/>
  <c r="C106" i="17"/>
  <c r="C107" i="17" s="1"/>
  <c r="C108" i="17" s="1"/>
  <c r="C97" i="17"/>
  <c r="C98" i="17" s="1"/>
  <c r="C99" i="17" s="1"/>
  <c r="C88" i="17"/>
  <c r="C89" i="17" s="1"/>
  <c r="C90" i="17" s="1"/>
  <c r="C68" i="17"/>
  <c r="C69" i="17" s="1"/>
  <c r="C70" i="17" s="1"/>
  <c r="C62" i="17"/>
  <c r="C63" i="17" s="1"/>
  <c r="C64" i="17" s="1"/>
  <c r="C55" i="17"/>
  <c r="C56" i="17" s="1"/>
  <c r="C57" i="17" s="1"/>
  <c r="C35" i="17"/>
  <c r="C36" i="17" s="1"/>
  <c r="C37" i="17" s="1"/>
  <c r="C29" i="17"/>
  <c r="C30" i="17" s="1"/>
  <c r="C31" i="17" s="1"/>
  <c r="C23" i="17"/>
  <c r="C24" i="17" s="1"/>
  <c r="C25" i="17" s="1"/>
  <c r="H157" i="16"/>
  <c r="I157" i="16" s="1"/>
  <c r="J157" i="16" s="1"/>
  <c r="C157" i="16"/>
  <c r="D157" i="16" s="1"/>
  <c r="E157" i="16" s="1"/>
  <c r="M129" i="16"/>
  <c r="N129" i="16" s="1"/>
  <c r="O129" i="16" s="1"/>
  <c r="H129" i="16"/>
  <c r="I129" i="16" s="1"/>
  <c r="J129" i="16" s="1"/>
  <c r="C129" i="16"/>
  <c r="D129" i="16" s="1"/>
  <c r="E129" i="16" s="1"/>
  <c r="M82" i="16"/>
  <c r="N82" i="16" s="1"/>
  <c r="O82" i="16" s="1"/>
  <c r="H82" i="16"/>
  <c r="I82" i="16" s="1"/>
  <c r="J82" i="16" s="1"/>
  <c r="C82" i="16"/>
  <c r="D82" i="16" s="1"/>
  <c r="E82" i="16" s="1"/>
  <c r="M43" i="16"/>
  <c r="N43" i="16" s="1"/>
  <c r="O43" i="16" s="1"/>
  <c r="H43" i="16"/>
  <c r="I43" i="16" s="1"/>
  <c r="J43" i="16" s="1"/>
  <c r="C43" i="16"/>
  <c r="D43" i="16" s="1"/>
  <c r="E43" i="16" s="1"/>
  <c r="C11" i="16"/>
  <c r="D11" i="16" s="1"/>
  <c r="E11" i="16" s="1"/>
  <c r="D77" i="1"/>
  <c r="E77" i="1" s="1"/>
  <c r="D123" i="2" l="1"/>
  <c r="J62" i="1"/>
  <c r="D139" i="2"/>
  <c r="J61" i="1"/>
  <c r="J60" i="1"/>
  <c r="J54" i="1"/>
  <c r="J53" i="1"/>
  <c r="J66" i="1"/>
  <c r="D47" i="2"/>
  <c r="D105" i="2"/>
  <c r="J59" i="1"/>
  <c r="J68" i="1"/>
  <c r="J58" i="1"/>
  <c r="X141" i="1" s="1"/>
  <c r="J67" i="1"/>
  <c r="J57" i="1"/>
  <c r="J71" i="1"/>
  <c r="J52" i="1"/>
  <c r="J56" i="1"/>
  <c r="J72" i="1"/>
  <c r="J63" i="1"/>
  <c r="J55" i="1"/>
  <c r="J73" i="1"/>
  <c r="G23" i="1"/>
  <c r="AA88" i="1" s="1"/>
  <c r="F23" i="1"/>
  <c r="U88" i="1" s="1"/>
  <c r="H134" i="1"/>
  <c r="O134" i="1"/>
  <c r="G134" i="1"/>
  <c r="F127" i="1"/>
  <c r="N127" i="1"/>
  <c r="D127" i="1"/>
  <c r="O127" i="1"/>
  <c r="G127" i="1"/>
  <c r="E127" i="1"/>
  <c r="M127" i="1"/>
  <c r="L127" i="1"/>
  <c r="L134" i="1"/>
  <c r="K127" i="1"/>
  <c r="K134" i="1"/>
  <c r="I127" i="1"/>
  <c r="J134" i="1"/>
  <c r="H127" i="1"/>
  <c r="I134" i="1"/>
  <c r="N134" i="1"/>
  <c r="F134" i="1"/>
  <c r="M134" i="1"/>
  <c r="D134" i="1"/>
  <c r="T157" i="1"/>
  <c r="S157" i="1"/>
  <c r="D126" i="1"/>
  <c r="L157" i="1"/>
  <c r="K157" i="1"/>
  <c r="D156" i="1"/>
  <c r="D158" i="1" s="1"/>
  <c r="E154" i="1" s="1"/>
  <c r="E156" i="1" s="1"/>
  <c r="R157" i="1"/>
  <c r="J157" i="1"/>
  <c r="Q157" i="1"/>
  <c r="I157" i="1"/>
  <c r="P157" i="1"/>
  <c r="H157" i="1"/>
  <c r="W157" i="1"/>
  <c r="O157" i="1"/>
  <c r="G157" i="1"/>
  <c r="V157" i="1"/>
  <c r="N157" i="1"/>
  <c r="F157" i="1"/>
  <c r="U157" i="1"/>
  <c r="M157" i="1"/>
  <c r="E157" i="1"/>
  <c r="D149" i="1"/>
  <c r="K150" i="1"/>
  <c r="J150" i="1"/>
  <c r="S143" i="1"/>
  <c r="D143" i="1"/>
  <c r="I150" i="1"/>
  <c r="R143" i="1"/>
  <c r="D150" i="1"/>
  <c r="H150" i="1"/>
  <c r="K143" i="1"/>
  <c r="G150" i="1"/>
  <c r="F150" i="1"/>
  <c r="P143" i="1"/>
  <c r="W143" i="1"/>
  <c r="O143" i="1"/>
  <c r="G143" i="1"/>
  <c r="V143" i="1"/>
  <c r="N143" i="1"/>
  <c r="F143" i="1"/>
  <c r="Q143" i="1"/>
  <c r="U143" i="1"/>
  <c r="M143" i="1"/>
  <c r="E143" i="1"/>
  <c r="I143" i="1"/>
  <c r="H143" i="1"/>
  <c r="T143" i="1"/>
  <c r="L143" i="1"/>
  <c r="D57" i="2"/>
  <c r="D100" i="2"/>
  <c r="P94" i="1"/>
  <c r="Y95" i="1"/>
  <c r="X95" i="1"/>
  <c r="X94" i="1"/>
  <c r="W95" i="1"/>
  <c r="P95" i="1"/>
  <c r="E29" i="2" s="1"/>
  <c r="Y94" i="1"/>
  <c r="R94" i="1"/>
  <c r="Z95" i="1"/>
  <c r="Q94" i="1"/>
  <c r="R95" i="1"/>
  <c r="Q95" i="1"/>
  <c r="Z94" i="1"/>
  <c r="AI94" i="1"/>
  <c r="AB94" i="1"/>
  <c r="F28" i="2" s="1"/>
  <c r="AJ94" i="1"/>
  <c r="AF94" i="1"/>
  <c r="AG94" i="1"/>
  <c r="AC94" i="1"/>
  <c r="AK94" i="1"/>
  <c r="AM94" i="1"/>
  <c r="AH94" i="1"/>
  <c r="AD94" i="1"/>
  <c r="AL94" i="1"/>
  <c r="AE94" i="1"/>
  <c r="V95" i="1"/>
  <c r="V94" i="1"/>
  <c r="U95" i="1"/>
  <c r="U94" i="1"/>
  <c r="W94" i="1"/>
  <c r="T95" i="1"/>
  <c r="T94" i="1"/>
  <c r="AA95" i="1"/>
  <c r="AA94" i="1"/>
  <c r="S94" i="1"/>
  <c r="S93" i="1"/>
  <c r="P93" i="1"/>
  <c r="R93" i="1"/>
  <c r="W93" i="1"/>
  <c r="V93" i="1"/>
  <c r="U93" i="1"/>
  <c r="T93" i="1"/>
  <c r="AA93" i="1"/>
  <c r="Q93" i="1"/>
  <c r="Z93" i="1"/>
  <c r="Y93" i="1"/>
  <c r="D131" i="2"/>
  <c r="H42" i="1"/>
  <c r="AI93" i="1" s="1"/>
  <c r="N91" i="1"/>
  <c r="K91" i="1"/>
  <c r="J91" i="1"/>
  <c r="H91" i="1"/>
  <c r="G91" i="1"/>
  <c r="L91" i="1"/>
  <c r="I91" i="1"/>
  <c r="O91" i="1"/>
  <c r="F91" i="1"/>
  <c r="M91" i="1"/>
  <c r="E91" i="1"/>
  <c r="H37" i="1"/>
  <c r="H34" i="1"/>
  <c r="AJ91" i="1" s="1"/>
  <c r="F40" i="1"/>
  <c r="G39" i="1"/>
  <c r="G38" i="1"/>
  <c r="G37" i="1"/>
  <c r="H39" i="1"/>
  <c r="G34" i="1"/>
  <c r="U91" i="1" s="1"/>
  <c r="H28" i="1"/>
  <c r="G27" i="1"/>
  <c r="G29" i="1" s="1"/>
  <c r="F27" i="1"/>
  <c r="F29" i="1" s="1"/>
  <c r="L90" i="1" s="1"/>
  <c r="H27" i="1"/>
  <c r="H23" i="1"/>
  <c r="L88" i="1"/>
  <c r="K88" i="1"/>
  <c r="J88" i="1"/>
  <c r="D88" i="1"/>
  <c r="H88" i="1"/>
  <c r="O88" i="1"/>
  <c r="G88" i="1"/>
  <c r="I88" i="1"/>
  <c r="N88" i="1"/>
  <c r="F88" i="1"/>
  <c r="M88" i="1"/>
  <c r="AJ90" i="17"/>
  <c r="O54" i="17"/>
  <c r="K54" i="17"/>
  <c r="L54" i="17"/>
  <c r="M54" i="17"/>
  <c r="S54" i="17"/>
  <c r="N54" i="17"/>
  <c r="H54" i="17"/>
  <c r="Q54" i="17"/>
  <c r="I54" i="17"/>
  <c r="R54" i="17"/>
  <c r="J54" i="17"/>
  <c r="P54" i="17"/>
  <c r="I52" i="16"/>
  <c r="I53" i="16" s="1"/>
  <c r="J51" i="16"/>
  <c r="E51" i="16"/>
  <c r="O51" i="16"/>
  <c r="D53" i="16"/>
  <c r="F77" i="1"/>
  <c r="F79" i="1" s="1"/>
  <c r="E79" i="1"/>
  <c r="D79" i="1"/>
  <c r="E28" i="2" l="1"/>
  <c r="X121" i="9"/>
  <c r="X120" i="9"/>
  <c r="I63" i="1"/>
  <c r="I73" i="1"/>
  <c r="I68" i="1"/>
  <c r="X170" i="1" s="1"/>
  <c r="X155" i="1"/>
  <c r="X148" i="1"/>
  <c r="P88" i="1"/>
  <c r="V88" i="1"/>
  <c r="X125" i="1"/>
  <c r="X132" i="1"/>
  <c r="Q88" i="1"/>
  <c r="W88" i="1"/>
  <c r="X88" i="1"/>
  <c r="R88" i="1"/>
  <c r="S88" i="1"/>
  <c r="T88" i="1"/>
  <c r="Z88" i="1"/>
  <c r="Y88" i="1"/>
  <c r="I162" i="1"/>
  <c r="H162" i="1"/>
  <c r="E162" i="1"/>
  <c r="J162" i="1"/>
  <c r="G162" i="1"/>
  <c r="D162" i="1"/>
  <c r="F162" i="1"/>
  <c r="K162" i="1"/>
  <c r="D151" i="1"/>
  <c r="E147" i="1" s="1"/>
  <c r="E149" i="1" s="1"/>
  <c r="E151" i="1" s="1"/>
  <c r="F147" i="1" s="1"/>
  <c r="F149" i="1" s="1"/>
  <c r="F151" i="1" s="1"/>
  <c r="G147" i="1" s="1"/>
  <c r="G149" i="1" s="1"/>
  <c r="G151" i="1" s="1"/>
  <c r="H147" i="1" s="1"/>
  <c r="H149" i="1" s="1"/>
  <c r="H151" i="1" s="1"/>
  <c r="I147" i="1" s="1"/>
  <c r="I149" i="1" s="1"/>
  <c r="I151" i="1" s="1"/>
  <c r="J147" i="1" s="1"/>
  <c r="J149" i="1" s="1"/>
  <c r="J151" i="1" s="1"/>
  <c r="K147" i="1" s="1"/>
  <c r="K149" i="1" s="1"/>
  <c r="K151" i="1" s="1"/>
  <c r="L147" i="1" s="1"/>
  <c r="L149" i="1" s="1"/>
  <c r="D128" i="1"/>
  <c r="E158" i="1"/>
  <c r="F154" i="1" s="1"/>
  <c r="F156" i="1" s="1"/>
  <c r="F158" i="1" s="1"/>
  <c r="G154" i="1" s="1"/>
  <c r="G156" i="1" s="1"/>
  <c r="G158" i="1" s="1"/>
  <c r="H154" i="1" s="1"/>
  <c r="H156" i="1" s="1"/>
  <c r="H158" i="1" s="1"/>
  <c r="I154" i="1" s="1"/>
  <c r="I156" i="1" s="1"/>
  <c r="I158" i="1" s="1"/>
  <c r="J154" i="1" s="1"/>
  <c r="J156" i="1" s="1"/>
  <c r="J158" i="1" s="1"/>
  <c r="K154" i="1" s="1"/>
  <c r="K156" i="1" s="1"/>
  <c r="K158" i="1" s="1"/>
  <c r="L154" i="1" s="1"/>
  <c r="L156" i="1" s="1"/>
  <c r="L158" i="1" s="1"/>
  <c r="M154" i="1" s="1"/>
  <c r="M156" i="1" s="1"/>
  <c r="M158" i="1" s="1"/>
  <c r="N154" i="1" s="1"/>
  <c r="N156" i="1" s="1"/>
  <c r="N158" i="1" s="1"/>
  <c r="O154" i="1" s="1"/>
  <c r="O156" i="1" s="1"/>
  <c r="O158" i="1" s="1"/>
  <c r="P154" i="1" s="1"/>
  <c r="P156" i="1" s="1"/>
  <c r="P158" i="1" s="1"/>
  <c r="Q154" i="1" s="1"/>
  <c r="Q156" i="1" s="1"/>
  <c r="Q158" i="1" s="1"/>
  <c r="R154" i="1" s="1"/>
  <c r="R156" i="1" s="1"/>
  <c r="R158" i="1" s="1"/>
  <c r="S154" i="1" s="1"/>
  <c r="S156" i="1" s="1"/>
  <c r="S158" i="1" s="1"/>
  <c r="T154" i="1" s="1"/>
  <c r="T156" i="1" s="1"/>
  <c r="T158" i="1" s="1"/>
  <c r="U154" i="1" s="1"/>
  <c r="U156" i="1" s="1"/>
  <c r="U158" i="1" s="1"/>
  <c r="V154" i="1" s="1"/>
  <c r="V156" i="1" s="1"/>
  <c r="V158" i="1" s="1"/>
  <c r="W154" i="1" s="1"/>
  <c r="W156" i="1" s="1"/>
  <c r="W158" i="1" s="1"/>
  <c r="X154" i="1" s="1"/>
  <c r="X156" i="1" s="1"/>
  <c r="AG93" i="1"/>
  <c r="AF93" i="1"/>
  <c r="AI95" i="1"/>
  <c r="AH95" i="1"/>
  <c r="AB95" i="1"/>
  <c r="AJ95" i="1"/>
  <c r="AM95" i="1"/>
  <c r="AC95" i="1"/>
  <c r="AK95" i="1"/>
  <c r="AE95" i="1"/>
  <c r="AF95" i="1"/>
  <c r="AD95" i="1"/>
  <c r="AL95" i="1"/>
  <c r="AG95" i="1"/>
  <c r="AL93" i="1"/>
  <c r="AE93" i="1"/>
  <c r="AB93" i="1"/>
  <c r="AM93" i="1"/>
  <c r="AJ93" i="1"/>
  <c r="AD93" i="1"/>
  <c r="AC93" i="1"/>
  <c r="AK93" i="1"/>
  <c r="AH93" i="1"/>
  <c r="AD91" i="1"/>
  <c r="G40" i="1"/>
  <c r="Z92" i="1" s="1"/>
  <c r="AI91" i="1"/>
  <c r="AB91" i="1"/>
  <c r="H40" i="1"/>
  <c r="AD92" i="1" s="1"/>
  <c r="AK91" i="1"/>
  <c r="AC91" i="1"/>
  <c r="AM91" i="1"/>
  <c r="AF91" i="1"/>
  <c r="AH91" i="1"/>
  <c r="AG91" i="1"/>
  <c r="AL91" i="1"/>
  <c r="AE91" i="1"/>
  <c r="W91" i="1"/>
  <c r="Z91" i="1"/>
  <c r="R91" i="1"/>
  <c r="P91" i="1"/>
  <c r="S91" i="1"/>
  <c r="Y91" i="1"/>
  <c r="Q91" i="1"/>
  <c r="T91" i="1"/>
  <c r="X91" i="1"/>
  <c r="J92" i="1"/>
  <c r="I92" i="1"/>
  <c r="K92" i="1"/>
  <c r="F92" i="1"/>
  <c r="O92" i="1"/>
  <c r="H92" i="1"/>
  <c r="L92" i="1"/>
  <c r="N92" i="1"/>
  <c r="G92" i="1"/>
  <c r="E92" i="1"/>
  <c r="M92" i="1"/>
  <c r="D92" i="1"/>
  <c r="AA91" i="1"/>
  <c r="V91" i="1"/>
  <c r="H29" i="1"/>
  <c r="AH90" i="1" s="1"/>
  <c r="I90" i="1"/>
  <c r="N90" i="1"/>
  <c r="F90" i="1"/>
  <c r="M90" i="1"/>
  <c r="U90" i="1"/>
  <c r="H90" i="1"/>
  <c r="O90" i="1"/>
  <c r="J90" i="1"/>
  <c r="E90" i="1"/>
  <c r="D90" i="1"/>
  <c r="K90" i="1"/>
  <c r="G90" i="1"/>
  <c r="AC88" i="1"/>
  <c r="AH88" i="1"/>
  <c r="AG88" i="1"/>
  <c r="AI88" i="1"/>
  <c r="AF88" i="1"/>
  <c r="AJ88" i="1"/>
  <c r="AB88" i="1"/>
  <c r="AL88" i="1"/>
  <c r="AE88" i="1"/>
  <c r="AK88" i="1"/>
  <c r="AM88" i="1"/>
  <c r="AD88" i="1"/>
  <c r="O52" i="16"/>
  <c r="O53" i="16" s="1"/>
  <c r="E52" i="16"/>
  <c r="E53" i="16" s="1"/>
  <c r="J52" i="16"/>
  <c r="J53" i="16" s="1"/>
  <c r="G77" i="1"/>
  <c r="G79" i="1" s="1"/>
  <c r="F29" i="2" l="1"/>
  <c r="X122" i="9"/>
  <c r="M150" i="1"/>
  <c r="M162" i="1" s="1"/>
  <c r="U150" i="1"/>
  <c r="N150" i="1"/>
  <c r="N162" i="1" s="1"/>
  <c r="V150" i="1"/>
  <c r="O150" i="1"/>
  <c r="O162" i="1" s="1"/>
  <c r="W150" i="1"/>
  <c r="P150" i="1"/>
  <c r="L150" i="1"/>
  <c r="L162" i="1" s="1"/>
  <c r="Q150" i="1"/>
  <c r="R150" i="1"/>
  <c r="S150" i="1"/>
  <c r="T150" i="1"/>
  <c r="E124" i="1"/>
  <c r="E126" i="1" s="1"/>
  <c r="E128" i="1" s="1"/>
  <c r="AE157" i="1"/>
  <c r="AM157" i="1"/>
  <c r="AF157" i="1"/>
  <c r="X157" i="1"/>
  <c r="X158" i="1" s="1"/>
  <c r="Y154" i="1" s="1"/>
  <c r="Y156" i="1" s="1"/>
  <c r="Z157" i="1"/>
  <c r="AI157" i="1"/>
  <c r="AD157" i="1"/>
  <c r="Y157" i="1"/>
  <c r="AG157" i="1"/>
  <c r="AH157" i="1"/>
  <c r="AA157" i="1"/>
  <c r="AK157" i="1"/>
  <c r="AC157" i="1"/>
  <c r="AL157" i="1"/>
  <c r="AB157" i="1"/>
  <c r="AJ157" i="1"/>
  <c r="Y92" i="1"/>
  <c r="AB92" i="1"/>
  <c r="X92" i="1"/>
  <c r="T92" i="1"/>
  <c r="AJ92" i="1"/>
  <c r="W92" i="1"/>
  <c r="U92" i="1"/>
  <c r="P92" i="1"/>
  <c r="R92" i="1"/>
  <c r="AA92" i="1"/>
  <c r="AF92" i="1"/>
  <c r="Q92" i="1"/>
  <c r="V92" i="1"/>
  <c r="S92" i="1"/>
  <c r="AK92" i="1"/>
  <c r="AH92" i="1"/>
  <c r="AE92" i="1"/>
  <c r="AL92" i="1"/>
  <c r="AC92" i="1"/>
  <c r="AM92" i="1"/>
  <c r="AI92" i="1"/>
  <c r="AG92" i="1"/>
  <c r="AE90" i="1"/>
  <c r="AM90" i="1"/>
  <c r="AK90" i="1"/>
  <c r="AC90" i="1"/>
  <c r="AD90" i="1"/>
  <c r="AB90" i="1"/>
  <c r="AF90" i="1"/>
  <c r="AJ90" i="1"/>
  <c r="AL90" i="1"/>
  <c r="AG90" i="1"/>
  <c r="AI90" i="1"/>
  <c r="AA90" i="1"/>
  <c r="S90" i="1"/>
  <c r="Z90" i="1"/>
  <c r="Y90" i="1"/>
  <c r="R90" i="1"/>
  <c r="T90" i="1"/>
  <c r="Q90" i="1"/>
  <c r="W90" i="1"/>
  <c r="V90" i="1"/>
  <c r="P90" i="1"/>
  <c r="X90" i="1"/>
  <c r="L151" i="1" l="1"/>
  <c r="M147" i="1" s="1"/>
  <c r="M149" i="1" s="1"/>
  <c r="M151" i="1" s="1"/>
  <c r="N147" i="1" s="1"/>
  <c r="N149" i="1" s="1"/>
  <c r="N151" i="1" s="1"/>
  <c r="O147" i="1" s="1"/>
  <c r="O149" i="1" s="1"/>
  <c r="O151" i="1" s="1"/>
  <c r="P147" i="1" s="1"/>
  <c r="P149" i="1" s="1"/>
  <c r="P151" i="1" s="1"/>
  <c r="Q147" i="1" s="1"/>
  <c r="Q149" i="1" s="1"/>
  <c r="Q151" i="1" s="1"/>
  <c r="R147" i="1" s="1"/>
  <c r="R149" i="1" s="1"/>
  <c r="R151" i="1" s="1"/>
  <c r="S147" i="1" s="1"/>
  <c r="S149" i="1" s="1"/>
  <c r="S151" i="1" s="1"/>
  <c r="T147" i="1" s="1"/>
  <c r="T149" i="1" s="1"/>
  <c r="T151" i="1" s="1"/>
  <c r="U147" i="1" s="1"/>
  <c r="U149" i="1" s="1"/>
  <c r="U151" i="1" s="1"/>
  <c r="V147" i="1" s="1"/>
  <c r="V149" i="1" s="1"/>
  <c r="V151" i="1" s="1"/>
  <c r="W147" i="1" s="1"/>
  <c r="W149" i="1" s="1"/>
  <c r="W151" i="1" s="1"/>
  <c r="X147" i="1" s="1"/>
  <c r="X149" i="1" s="1"/>
  <c r="AB150" i="1" s="1"/>
  <c r="F124" i="1"/>
  <c r="F126" i="1" s="1"/>
  <c r="F128" i="1" s="1"/>
  <c r="Y158" i="1"/>
  <c r="Z154" i="1" s="1"/>
  <c r="Z156" i="1" s="1"/>
  <c r="Z158" i="1" s="1"/>
  <c r="AA154" i="1" s="1"/>
  <c r="AA156" i="1" s="1"/>
  <c r="AG150" i="1" l="1"/>
  <c r="AA150" i="1"/>
  <c r="AH150" i="1"/>
  <c r="AF150" i="1"/>
  <c r="AI150" i="1"/>
  <c r="Y150" i="1"/>
  <c r="AM150" i="1"/>
  <c r="AK150" i="1"/>
  <c r="AD150" i="1"/>
  <c r="AL150" i="1"/>
  <c r="AJ150" i="1"/>
  <c r="AE150" i="1"/>
  <c r="Z150" i="1"/>
  <c r="AC150" i="1"/>
  <c r="X150" i="1"/>
  <c r="X151" i="1" s="1"/>
  <c r="Y147" i="1" s="1"/>
  <c r="Y149" i="1" s="1"/>
  <c r="G124" i="1"/>
  <c r="G126" i="1" s="1"/>
  <c r="G128" i="1" s="1"/>
  <c r="AA158" i="1"/>
  <c r="AB154" i="1" s="1"/>
  <c r="AB156" i="1" s="1"/>
  <c r="AB158" i="1" s="1"/>
  <c r="AC154" i="1" s="1"/>
  <c r="AC156" i="1" s="1"/>
  <c r="Y151" i="1" l="1"/>
  <c r="Z147" i="1" s="1"/>
  <c r="Z149" i="1" s="1"/>
  <c r="Z151" i="1" s="1"/>
  <c r="AA147" i="1" s="1"/>
  <c r="AA149" i="1" s="1"/>
  <c r="AA151" i="1" s="1"/>
  <c r="AB147" i="1" s="1"/>
  <c r="AB149" i="1" s="1"/>
  <c r="AB151" i="1" s="1"/>
  <c r="AC147" i="1" s="1"/>
  <c r="AC149" i="1" s="1"/>
  <c r="AC151" i="1" s="1"/>
  <c r="AD147" i="1" s="1"/>
  <c r="AD149" i="1" s="1"/>
  <c r="AD151" i="1" s="1"/>
  <c r="AE147" i="1" s="1"/>
  <c r="AE149" i="1" s="1"/>
  <c r="AE151" i="1" s="1"/>
  <c r="AF147" i="1" s="1"/>
  <c r="AF149" i="1" s="1"/>
  <c r="AF151" i="1" s="1"/>
  <c r="AG147" i="1" s="1"/>
  <c r="AG149" i="1" s="1"/>
  <c r="AG151" i="1" s="1"/>
  <c r="AH147" i="1" s="1"/>
  <c r="AH149" i="1" s="1"/>
  <c r="AH151" i="1" s="1"/>
  <c r="AI147" i="1" s="1"/>
  <c r="AI149" i="1" s="1"/>
  <c r="AI151" i="1" s="1"/>
  <c r="AJ147" i="1" s="1"/>
  <c r="AJ149" i="1" s="1"/>
  <c r="AJ151" i="1" s="1"/>
  <c r="AK147" i="1" s="1"/>
  <c r="AK149" i="1" s="1"/>
  <c r="AK151" i="1" s="1"/>
  <c r="AL147" i="1" s="1"/>
  <c r="AL149" i="1" s="1"/>
  <c r="AL151" i="1" s="1"/>
  <c r="AM147" i="1" s="1"/>
  <c r="AM149" i="1" s="1"/>
  <c r="AM151" i="1" s="1"/>
  <c r="H124" i="1"/>
  <c r="H126" i="1" s="1"/>
  <c r="H128" i="1" s="1"/>
  <c r="AC158" i="1"/>
  <c r="AD154" i="1" s="1"/>
  <c r="AD156" i="1" s="1"/>
  <c r="I124" i="1" l="1"/>
  <c r="I126" i="1" s="1"/>
  <c r="I128" i="1" s="1"/>
  <c r="AD158" i="1"/>
  <c r="AE154" i="1" s="1"/>
  <c r="AE156" i="1" s="1"/>
  <c r="J124" i="1" l="1"/>
  <c r="J126" i="1" s="1"/>
  <c r="J128" i="1" s="1"/>
  <c r="AE158" i="1"/>
  <c r="AF154" i="1" s="1"/>
  <c r="AF156" i="1" s="1"/>
  <c r="K124" i="1" l="1"/>
  <c r="K126" i="1" s="1"/>
  <c r="K128" i="1" s="1"/>
  <c r="AF158" i="1"/>
  <c r="AG154" i="1" s="1"/>
  <c r="AG156" i="1" s="1"/>
  <c r="L124" i="1" l="1"/>
  <c r="L126" i="1" s="1"/>
  <c r="L128" i="1" s="1"/>
  <c r="AG158" i="1"/>
  <c r="AH154" i="1" s="1"/>
  <c r="AH156" i="1" s="1"/>
  <c r="M124" i="1" l="1"/>
  <c r="M126" i="1" s="1"/>
  <c r="M128" i="1" s="1"/>
  <c r="AH158" i="1"/>
  <c r="AI154" i="1" s="1"/>
  <c r="AI156" i="1" s="1"/>
  <c r="N124" i="1" l="1"/>
  <c r="N126" i="1" s="1"/>
  <c r="N128" i="1" s="1"/>
  <c r="AI158" i="1"/>
  <c r="AJ154" i="1" s="1"/>
  <c r="AJ156" i="1" s="1"/>
  <c r="O124" i="1" l="1"/>
  <c r="O126" i="1" s="1"/>
  <c r="O128" i="1" s="1"/>
  <c r="AJ158" i="1"/>
  <c r="AK154" i="1" s="1"/>
  <c r="AK156" i="1" s="1"/>
  <c r="Y127" i="1" l="1"/>
  <c r="T127" i="1"/>
  <c r="Z127" i="1"/>
  <c r="P124" i="1"/>
  <c r="P126" i="1" s="1"/>
  <c r="U127" i="1"/>
  <c r="Q127" i="1"/>
  <c r="AA127" i="1"/>
  <c r="W127" i="1"/>
  <c r="V127" i="1"/>
  <c r="R127" i="1"/>
  <c r="X127" i="1"/>
  <c r="S127" i="1"/>
  <c r="P127" i="1"/>
  <c r="AK158" i="1"/>
  <c r="AL154" i="1" s="1"/>
  <c r="AL156" i="1" s="1"/>
  <c r="P128" i="1" l="1"/>
  <c r="Q124" i="1" s="1"/>
  <c r="Q126" i="1" s="1"/>
  <c r="Q128" i="1" s="1"/>
  <c r="AL158" i="1"/>
  <c r="AM154" i="1" s="1"/>
  <c r="AM156" i="1" s="1"/>
  <c r="R124" i="1" l="1"/>
  <c r="R126" i="1" s="1"/>
  <c r="R128" i="1" s="1"/>
  <c r="AM158" i="1"/>
  <c r="S124" i="1" l="1"/>
  <c r="S126" i="1" s="1"/>
  <c r="S128" i="1" s="1"/>
  <c r="T124" i="1" l="1"/>
  <c r="T126" i="1" s="1"/>
  <c r="T128" i="1" s="1"/>
  <c r="U124" i="1" l="1"/>
  <c r="U126" i="1" s="1"/>
  <c r="U128" i="1" s="1"/>
  <c r="V124" i="1" l="1"/>
  <c r="V126" i="1" s="1"/>
  <c r="V128" i="1" s="1"/>
  <c r="W124" i="1" l="1"/>
  <c r="W126" i="1" s="1"/>
  <c r="W128" i="1" s="1"/>
  <c r="X124" i="1" l="1"/>
  <c r="X126" i="1" s="1"/>
  <c r="X128" i="1" s="1"/>
  <c r="Y124" i="1" l="1"/>
  <c r="Y126" i="1" s="1"/>
  <c r="Y128" i="1" s="1"/>
  <c r="Z124" i="1" l="1"/>
  <c r="Z126" i="1" s="1"/>
  <c r="Z128" i="1" s="1"/>
  <c r="AA124" i="1" l="1"/>
  <c r="AA126" i="1" s="1"/>
  <c r="AA128" i="1" s="1"/>
  <c r="AL127" i="1" l="1"/>
  <c r="AE127" i="1"/>
  <c r="AM127" i="1"/>
  <c r="AK127" i="1"/>
  <c r="AD127" i="1"/>
  <c r="AB124" i="1"/>
  <c r="AB126" i="1" s="1"/>
  <c r="AF127" i="1"/>
  <c r="AB127" i="1"/>
  <c r="AG127" i="1"/>
  <c r="AH127" i="1"/>
  <c r="AI127" i="1"/>
  <c r="AJ127" i="1"/>
  <c r="AC127" i="1"/>
  <c r="AB128" i="1" l="1"/>
  <c r="AC124" i="1" s="1"/>
  <c r="AC126" i="1" s="1"/>
  <c r="AC128" i="1" s="1"/>
  <c r="AD124" i="1" l="1"/>
  <c r="AD126" i="1" s="1"/>
  <c r="AD128" i="1" s="1"/>
  <c r="AE124" i="1" l="1"/>
  <c r="AE126" i="1" s="1"/>
  <c r="AE128" i="1" s="1"/>
  <c r="AF124" i="1" l="1"/>
  <c r="AF126" i="1" s="1"/>
  <c r="AF128" i="1" s="1"/>
  <c r="AG124" i="1" l="1"/>
  <c r="AG126" i="1" s="1"/>
  <c r="AG128" i="1" s="1"/>
  <c r="AH124" i="1" l="1"/>
  <c r="AH126" i="1" s="1"/>
  <c r="AH128" i="1" s="1"/>
  <c r="AI124" i="1" l="1"/>
  <c r="AI126" i="1" s="1"/>
  <c r="AI128" i="1" s="1"/>
  <c r="AJ124" i="1" l="1"/>
  <c r="AJ126" i="1" s="1"/>
  <c r="AJ128" i="1" s="1"/>
  <c r="AK124" i="1" l="1"/>
  <c r="AK126" i="1" s="1"/>
  <c r="AK128" i="1" s="1"/>
  <c r="AL124" i="1" l="1"/>
  <c r="AL126" i="1" s="1"/>
  <c r="AL128" i="1" s="1"/>
  <c r="AM124" i="1" l="1"/>
  <c r="AM126" i="1" s="1"/>
  <c r="AM128" i="1" s="1"/>
  <c r="AL35" i="17" l="1"/>
  <c r="AM35" i="17"/>
  <c r="AN35" i="17"/>
  <c r="AQ40" i="17"/>
  <c r="AD97" i="17"/>
  <c r="AE97" i="17"/>
  <c r="AF97" i="17"/>
  <c r="AH97" i="17"/>
  <c r="AI97" i="17"/>
  <c r="AJ97" i="17"/>
  <c r="AK97" i="17"/>
  <c r="AL97" i="17"/>
  <c r="AM97" i="17"/>
  <c r="AN97" i="17"/>
  <c r="AO97" i="17"/>
  <c r="AP97" i="17"/>
  <c r="AQ97" i="17"/>
  <c r="AC97" i="17"/>
  <c r="AD95" i="17"/>
  <c r="AE95" i="17"/>
  <c r="AF95" i="17"/>
  <c r="AG95" i="17"/>
  <c r="AH95" i="17"/>
  <c r="AI95" i="17"/>
  <c r="AJ95" i="17"/>
  <c r="AK95" i="17"/>
  <c r="AL95" i="17"/>
  <c r="AM95" i="17"/>
  <c r="AN95" i="17"/>
  <c r="AO95" i="17"/>
  <c r="AP95" i="17"/>
  <c r="AQ95" i="17"/>
  <c r="AC95" i="17"/>
  <c r="AB95" i="17"/>
  <c r="M57" i="17"/>
  <c r="H57" i="17"/>
  <c r="I57" i="17"/>
  <c r="J57" i="17"/>
  <c r="K57" i="17"/>
  <c r="L57" i="17"/>
  <c r="N57" i="17"/>
  <c r="O57" i="17"/>
  <c r="P57" i="17"/>
  <c r="Q57" i="17"/>
  <c r="R57" i="17"/>
  <c r="S57" i="17"/>
  <c r="T57" i="17"/>
  <c r="U57" i="17"/>
  <c r="V57" i="17"/>
  <c r="W57" i="17"/>
  <c r="X57" i="17"/>
  <c r="Y57" i="17"/>
  <c r="Z57" i="17"/>
  <c r="AA57" i="17"/>
  <c r="AB57" i="17"/>
  <c r="AC57" i="17"/>
  <c r="AD57" i="17"/>
  <c r="AE57" i="17"/>
  <c r="AF57" i="17"/>
  <c r="AG57" i="17"/>
  <c r="AH57" i="17"/>
  <c r="AI57" i="17"/>
  <c r="AJ57" i="17"/>
  <c r="AK57" i="17"/>
  <c r="AL57" i="17"/>
  <c r="AM57" i="17"/>
  <c r="AN57" i="17"/>
  <c r="AO57" i="17"/>
  <c r="AP57" i="17"/>
  <c r="AQ57" i="17"/>
  <c r="B169" i="16"/>
  <c r="G169" i="16" s="1"/>
  <c r="B167" i="16"/>
  <c r="G167" i="16" s="1"/>
  <c r="B165" i="16"/>
  <c r="G165" i="16" s="1"/>
  <c r="B164" i="16"/>
  <c r="G164" i="16" s="1"/>
  <c r="B163" i="16"/>
  <c r="G163" i="16" s="1"/>
  <c r="B161" i="16"/>
  <c r="G161" i="16" s="1"/>
  <c r="B160" i="16"/>
  <c r="G160" i="16" s="1"/>
  <c r="B159" i="16"/>
  <c r="G159" i="16" s="1"/>
  <c r="B158" i="16"/>
  <c r="G158" i="16" s="1"/>
  <c r="AB104" i="17"/>
  <c r="AB106" i="17"/>
  <c r="X108" i="17"/>
  <c r="Y108" i="17"/>
  <c r="Z108" i="17"/>
  <c r="AA108" i="17"/>
  <c r="W108" i="17"/>
  <c r="V108" i="17"/>
  <c r="AI35" i="17"/>
  <c r="AI40" i="17" s="1"/>
  <c r="AJ35" i="17"/>
  <c r="AK35" i="17"/>
  <c r="AM40" i="17"/>
  <c r="AN40" i="17"/>
  <c r="AO40" i="17"/>
  <c r="AP40" i="17"/>
  <c r="AJ40" i="17"/>
  <c r="AK40" i="17"/>
  <c r="AL40" i="17"/>
  <c r="AH35" i="17"/>
  <c r="AH40" i="17" s="1"/>
  <c r="AG35" i="17"/>
  <c r="AG40" i="17" s="1"/>
  <c r="AF35" i="17"/>
  <c r="AF40" i="17" s="1"/>
  <c r="AE35" i="17"/>
  <c r="AE40" i="17" s="1"/>
  <c r="AD35" i="17"/>
  <c r="AD40" i="17" s="1"/>
  <c r="AC35" i="17"/>
  <c r="AC40" i="17" s="1"/>
  <c r="AB35" i="17"/>
  <c r="AB40" i="17" s="1"/>
  <c r="R149" i="16"/>
  <c r="V97" i="17"/>
  <c r="W97" i="17"/>
  <c r="U95" i="17"/>
  <c r="V95" i="17"/>
  <c r="W95" i="17"/>
  <c r="T95" i="17"/>
  <c r="T88" i="17"/>
  <c r="T97" i="17" s="1"/>
  <c r="U88" i="17"/>
  <c r="X97" i="17"/>
  <c r="Y97" i="17"/>
  <c r="Z97" i="17"/>
  <c r="AA97" i="17"/>
  <c r="X95" i="17"/>
  <c r="Y95" i="17"/>
  <c r="Z95" i="17"/>
  <c r="AA95" i="17"/>
  <c r="I40" i="17"/>
  <c r="J40" i="17"/>
  <c r="K40" i="17"/>
  <c r="L40" i="17"/>
  <c r="M40" i="17"/>
  <c r="N40" i="17"/>
  <c r="O40" i="17"/>
  <c r="P40" i="17"/>
  <c r="Q40" i="17"/>
  <c r="R40" i="17"/>
  <c r="S40" i="17"/>
  <c r="T40" i="17"/>
  <c r="U40" i="17"/>
  <c r="V40" i="17"/>
  <c r="W40" i="17"/>
  <c r="X40" i="17"/>
  <c r="Y40" i="17"/>
  <c r="Z40" i="17"/>
  <c r="AA40" i="17"/>
  <c r="H40" i="17"/>
  <c r="Y52" i="17"/>
  <c r="P105" i="17"/>
  <c r="P107" i="17"/>
  <c r="P108" i="17"/>
  <c r="H96" i="17"/>
  <c r="I95" i="17"/>
  <c r="J95" i="17"/>
  <c r="K95" i="17"/>
  <c r="L95" i="17"/>
  <c r="M95" i="17"/>
  <c r="N95" i="17"/>
  <c r="O95" i="17"/>
  <c r="P95" i="17"/>
  <c r="R95" i="17"/>
  <c r="S95" i="17"/>
  <c r="H95" i="17"/>
  <c r="I97" i="17"/>
  <c r="J97" i="17"/>
  <c r="K97" i="17"/>
  <c r="L97" i="17"/>
  <c r="M97" i="17"/>
  <c r="N97" i="17"/>
  <c r="O97" i="17"/>
  <c r="P97" i="17"/>
  <c r="Q97" i="17"/>
  <c r="R97" i="17"/>
  <c r="S97" i="17"/>
  <c r="H97" i="17"/>
  <c r="U97" i="17" l="1"/>
  <c r="AG88" i="17"/>
  <c r="AG97" i="17" s="1"/>
  <c r="R148" i="16"/>
  <c r="R147" i="16" s="1"/>
  <c r="S147" i="16" s="1"/>
  <c r="S148" i="16" s="1"/>
  <c r="S149" i="16" s="1"/>
  <c r="T139" i="16"/>
  <c r="S140" i="16"/>
  <c r="S141" i="16" s="1"/>
  <c r="P109" i="17"/>
  <c r="AQ108" i="17"/>
  <c r="AP108" i="17"/>
  <c r="AO108" i="17"/>
  <c r="AN108" i="17"/>
  <c r="AM108" i="17"/>
  <c r="AL108" i="17"/>
  <c r="AK108" i="17"/>
  <c r="AJ108" i="17"/>
  <c r="AI108" i="17"/>
  <c r="AH108" i="17"/>
  <c r="AG108" i="17"/>
  <c r="AF108" i="17"/>
  <c r="AE108" i="17"/>
  <c r="AD108" i="17"/>
  <c r="AC108" i="17"/>
  <c r="AB108" i="17"/>
  <c r="U108" i="17"/>
  <c r="T108" i="17"/>
  <c r="S108" i="17"/>
  <c r="R108" i="17"/>
  <c r="Q108" i="17"/>
  <c r="AQ99" i="17"/>
  <c r="AP99" i="17"/>
  <c r="AO99" i="17"/>
  <c r="AN99" i="17"/>
  <c r="AM99" i="17"/>
  <c r="AL99" i="17"/>
  <c r="AK99" i="17"/>
  <c r="AJ99" i="17"/>
  <c r="AI99" i="17"/>
  <c r="AH99" i="17"/>
  <c r="AG99" i="17"/>
  <c r="AF99" i="17"/>
  <c r="AE99" i="17"/>
  <c r="AD99" i="17"/>
  <c r="AC99" i="17"/>
  <c r="AB99" i="17"/>
  <c r="AA99" i="17"/>
  <c r="Z99" i="17"/>
  <c r="Y99" i="17"/>
  <c r="X99" i="17"/>
  <c r="W99" i="17"/>
  <c r="V99" i="17"/>
  <c r="U99" i="17"/>
  <c r="T99" i="17"/>
  <c r="S99" i="17"/>
  <c r="R99" i="17"/>
  <c r="Q99" i="17"/>
  <c r="P99" i="17"/>
  <c r="O99" i="17"/>
  <c r="N99" i="17"/>
  <c r="M99" i="17"/>
  <c r="L99" i="17"/>
  <c r="K99" i="17"/>
  <c r="J99" i="17"/>
  <c r="I99" i="17"/>
  <c r="H99" i="17"/>
  <c r="AQ90" i="17"/>
  <c r="AP90" i="17"/>
  <c r="AO90" i="17"/>
  <c r="AN90" i="17"/>
  <c r="AM90" i="17"/>
  <c r="AL90" i="17"/>
  <c r="AK90" i="17"/>
  <c r="AI90" i="17"/>
  <c r="AH90" i="17"/>
  <c r="AG90" i="17"/>
  <c r="AF90" i="17"/>
  <c r="AE90" i="17"/>
  <c r="AD90" i="17"/>
  <c r="AC90" i="17"/>
  <c r="AB90" i="17"/>
  <c r="AA90" i="17"/>
  <c r="Z90" i="17"/>
  <c r="Y90" i="17"/>
  <c r="X90" i="17"/>
  <c r="W90" i="17"/>
  <c r="V90" i="17"/>
  <c r="U90" i="17"/>
  <c r="T90" i="17"/>
  <c r="S90" i="17"/>
  <c r="R90" i="17"/>
  <c r="Q90" i="17"/>
  <c r="P90" i="17"/>
  <c r="O90" i="17"/>
  <c r="N90" i="17"/>
  <c r="M90" i="17"/>
  <c r="L90" i="17"/>
  <c r="K90" i="17"/>
  <c r="J90" i="17"/>
  <c r="I90" i="17"/>
  <c r="H90" i="17"/>
  <c r="I73" i="17"/>
  <c r="J73" i="17"/>
  <c r="K73" i="17"/>
  <c r="L73" i="17"/>
  <c r="M73" i="17"/>
  <c r="N73" i="17"/>
  <c r="O73" i="17"/>
  <c r="P73" i="17"/>
  <c r="Q73" i="17"/>
  <c r="R73" i="17"/>
  <c r="S73" i="17"/>
  <c r="T73" i="17"/>
  <c r="U73" i="17"/>
  <c r="V73" i="17"/>
  <c r="W73" i="17"/>
  <c r="X73" i="17"/>
  <c r="Y73" i="17"/>
  <c r="Z73" i="17"/>
  <c r="AA73" i="17"/>
  <c r="AB73" i="17"/>
  <c r="AC73" i="17"/>
  <c r="AD73" i="17"/>
  <c r="AE73" i="17"/>
  <c r="AF73" i="17"/>
  <c r="AG73" i="17"/>
  <c r="AH73" i="17"/>
  <c r="AI73" i="17"/>
  <c r="AJ73" i="17"/>
  <c r="AK73" i="17"/>
  <c r="AL73" i="17"/>
  <c r="AM73" i="17"/>
  <c r="AN73" i="17"/>
  <c r="AO73" i="17"/>
  <c r="AP73" i="17"/>
  <c r="AQ73" i="17"/>
  <c r="H73" i="17"/>
  <c r="Y103" i="17"/>
  <c r="Y94" i="17"/>
  <c r="Y85" i="17"/>
  <c r="Y67" i="17"/>
  <c r="Y61" i="17"/>
  <c r="Y34" i="17"/>
  <c r="Y28" i="17"/>
  <c r="Y22" i="17"/>
  <c r="M134" i="16"/>
  <c r="Q105" i="17"/>
  <c r="R105" i="17"/>
  <c r="S105" i="17"/>
  <c r="B104" i="17"/>
  <c r="I96" i="17"/>
  <c r="J96" i="17"/>
  <c r="K96" i="17"/>
  <c r="L96" i="17"/>
  <c r="M96" i="17"/>
  <c r="N96" i="17"/>
  <c r="O96" i="17"/>
  <c r="P96" i="17"/>
  <c r="Q96" i="17"/>
  <c r="R96" i="17"/>
  <c r="S96" i="17"/>
  <c r="H98" i="17"/>
  <c r="I98" i="17"/>
  <c r="J98" i="17"/>
  <c r="K98" i="17"/>
  <c r="L98" i="17"/>
  <c r="M98" i="17"/>
  <c r="N98" i="17"/>
  <c r="O98" i="17"/>
  <c r="P98" i="17"/>
  <c r="Q98" i="17"/>
  <c r="R98" i="17"/>
  <c r="S98" i="17"/>
  <c r="I87" i="17"/>
  <c r="J87" i="17"/>
  <c r="K87" i="17"/>
  <c r="L87" i="17"/>
  <c r="M87" i="17"/>
  <c r="N87" i="17"/>
  <c r="O87" i="17"/>
  <c r="P87" i="17"/>
  <c r="Q87" i="17"/>
  <c r="R87" i="17"/>
  <c r="S87" i="17"/>
  <c r="H87" i="17"/>
  <c r="S89" i="17"/>
  <c r="R89" i="17"/>
  <c r="Q89" i="17"/>
  <c r="P89" i="17"/>
  <c r="O89" i="17"/>
  <c r="N89" i="17"/>
  <c r="M89" i="17"/>
  <c r="L89" i="17"/>
  <c r="K89" i="17"/>
  <c r="J89" i="17"/>
  <c r="I89" i="17"/>
  <c r="H89" i="17"/>
  <c r="H119" i="17"/>
  <c r="I119" i="17" s="1"/>
  <c r="J119" i="17" s="1"/>
  <c r="K119" i="17" s="1"/>
  <c r="L119" i="17" s="1"/>
  <c r="M119" i="17" s="1"/>
  <c r="N119" i="17" s="1"/>
  <c r="O119" i="17" s="1"/>
  <c r="P119" i="17" s="1"/>
  <c r="Q119" i="17" s="1"/>
  <c r="R119" i="17" s="1"/>
  <c r="S119" i="17" s="1"/>
  <c r="T119" i="17" s="1"/>
  <c r="U119" i="17" s="1"/>
  <c r="V119" i="17" s="1"/>
  <c r="W119" i="17" s="1"/>
  <c r="X119" i="17" s="1"/>
  <c r="Y119" i="17" s="1"/>
  <c r="Z119" i="17" s="1"/>
  <c r="AA119" i="17" s="1"/>
  <c r="AB119" i="17" s="1"/>
  <c r="AC119" i="17" s="1"/>
  <c r="AD119" i="17" s="1"/>
  <c r="AE119" i="17" s="1"/>
  <c r="AF119" i="17" s="1"/>
  <c r="AG119" i="17" s="1"/>
  <c r="AH119" i="17" s="1"/>
  <c r="AI119" i="17" s="1"/>
  <c r="AJ119" i="17" s="1"/>
  <c r="AK119" i="17" s="1"/>
  <c r="AL119" i="17" s="1"/>
  <c r="AM119" i="17" s="1"/>
  <c r="AN119" i="17" s="1"/>
  <c r="AO119" i="17" s="1"/>
  <c r="AP119" i="17" s="1"/>
  <c r="AQ119" i="17" s="1"/>
  <c r="Q107" i="17"/>
  <c r="R107" i="17"/>
  <c r="S107" i="17"/>
  <c r="B83" i="17"/>
  <c r="B113" i="17" s="1"/>
  <c r="B50" i="17"/>
  <c r="B74" i="17" s="1"/>
  <c r="B20" i="17"/>
  <c r="B41" i="17" s="1"/>
  <c r="B95" i="17"/>
  <c r="B86" i="17"/>
  <c r="I69" i="17"/>
  <c r="I70" i="17" s="1"/>
  <c r="J69" i="17"/>
  <c r="J70" i="17" s="1"/>
  <c r="K69" i="17"/>
  <c r="K70" i="17" s="1"/>
  <c r="L69" i="17"/>
  <c r="L70" i="17" s="1"/>
  <c r="M69" i="17"/>
  <c r="M70" i="17" s="1"/>
  <c r="N69" i="17"/>
  <c r="N70" i="17" s="1"/>
  <c r="O69" i="17"/>
  <c r="O70" i="17" s="1"/>
  <c r="P69" i="17"/>
  <c r="P70" i="17" s="1"/>
  <c r="Q69" i="17"/>
  <c r="Q70" i="17" s="1"/>
  <c r="R69" i="17"/>
  <c r="R70" i="17" s="1"/>
  <c r="S69" i="17"/>
  <c r="S70" i="17" s="1"/>
  <c r="H69" i="17"/>
  <c r="H70" i="17" s="1"/>
  <c r="I63" i="17"/>
  <c r="I64" i="17" s="1"/>
  <c r="J63" i="17"/>
  <c r="J64" i="17" s="1"/>
  <c r="K63" i="17"/>
  <c r="K64" i="17" s="1"/>
  <c r="L63" i="17"/>
  <c r="L64" i="17" s="1"/>
  <c r="M63" i="17"/>
  <c r="M64" i="17" s="1"/>
  <c r="N63" i="17"/>
  <c r="N64" i="17" s="1"/>
  <c r="O63" i="17"/>
  <c r="O64" i="17" s="1"/>
  <c r="P63" i="17"/>
  <c r="P64" i="17" s="1"/>
  <c r="Q63" i="17"/>
  <c r="Q64" i="17" s="1"/>
  <c r="R63" i="17"/>
  <c r="R64" i="17" s="1"/>
  <c r="S63" i="17"/>
  <c r="S64" i="17" s="1"/>
  <c r="H63" i="17"/>
  <c r="H64" i="17" s="1"/>
  <c r="H82" i="17"/>
  <c r="I82" i="17" s="1"/>
  <c r="J82" i="17" s="1"/>
  <c r="K82" i="17" s="1"/>
  <c r="L82" i="17" s="1"/>
  <c r="M82" i="17" s="1"/>
  <c r="N82" i="17" s="1"/>
  <c r="O82" i="17" s="1"/>
  <c r="P82" i="17" s="1"/>
  <c r="Q82" i="17" s="1"/>
  <c r="R82" i="17" s="1"/>
  <c r="S82" i="17" s="1"/>
  <c r="T82" i="17" s="1"/>
  <c r="U82" i="17" s="1"/>
  <c r="V82" i="17" s="1"/>
  <c r="W82" i="17" s="1"/>
  <c r="X82" i="17" s="1"/>
  <c r="Y82" i="17" s="1"/>
  <c r="Z82" i="17" s="1"/>
  <c r="AA82" i="17" s="1"/>
  <c r="AB82" i="17" s="1"/>
  <c r="AC82" i="17" s="1"/>
  <c r="AD82" i="17" s="1"/>
  <c r="AE82" i="17" s="1"/>
  <c r="AF82" i="17" s="1"/>
  <c r="AG82" i="17" s="1"/>
  <c r="AH82" i="17" s="1"/>
  <c r="AI82" i="17" s="1"/>
  <c r="AJ82" i="17" s="1"/>
  <c r="AK82" i="17" s="1"/>
  <c r="AL82" i="17" s="1"/>
  <c r="AM82" i="17" s="1"/>
  <c r="AN82" i="17" s="1"/>
  <c r="AO82" i="17" s="1"/>
  <c r="AP82" i="17" s="1"/>
  <c r="AQ82" i="17" s="1"/>
  <c r="H49" i="17"/>
  <c r="I49" i="17" s="1"/>
  <c r="J49" i="17" s="1"/>
  <c r="K49" i="17" s="1"/>
  <c r="L49" i="17" s="1"/>
  <c r="M49" i="17" s="1"/>
  <c r="N49" i="17" s="1"/>
  <c r="O49" i="17" s="1"/>
  <c r="P49" i="17" s="1"/>
  <c r="Q49" i="17" s="1"/>
  <c r="R49" i="17" s="1"/>
  <c r="S49" i="17" s="1"/>
  <c r="T49" i="17" s="1"/>
  <c r="U49" i="17" s="1"/>
  <c r="V49" i="17" s="1"/>
  <c r="W49" i="17" s="1"/>
  <c r="X49" i="17" s="1"/>
  <c r="Y49" i="17" s="1"/>
  <c r="Z49" i="17" s="1"/>
  <c r="AA49" i="17" s="1"/>
  <c r="AB49" i="17" s="1"/>
  <c r="AC49" i="17" s="1"/>
  <c r="AD49" i="17" s="1"/>
  <c r="AE49" i="17" s="1"/>
  <c r="AF49" i="17" s="1"/>
  <c r="AG49" i="17" s="1"/>
  <c r="AH49" i="17" s="1"/>
  <c r="AI49" i="17" s="1"/>
  <c r="AJ49" i="17" s="1"/>
  <c r="AK49" i="17" s="1"/>
  <c r="AL49" i="17" s="1"/>
  <c r="AM49" i="17" s="1"/>
  <c r="AN49" i="17" s="1"/>
  <c r="AO49" i="17" s="1"/>
  <c r="AP49" i="17" s="1"/>
  <c r="AQ49" i="17" s="1"/>
  <c r="H19" i="17"/>
  <c r="B68" i="17"/>
  <c r="B62" i="17"/>
  <c r="B53" i="17"/>
  <c r="T147" i="16" l="1"/>
  <c r="T148" i="16" s="1"/>
  <c r="T149" i="16" s="1"/>
  <c r="D139" i="16"/>
  <c r="D165" i="16" s="1"/>
  <c r="I165" i="16" s="1"/>
  <c r="C165" i="16"/>
  <c r="H165" i="16" s="1"/>
  <c r="D101" i="16"/>
  <c r="C162" i="16"/>
  <c r="H162" i="16" s="1"/>
  <c r="I139" i="16"/>
  <c r="D167" i="16" s="1"/>
  <c r="I167" i="16" s="1"/>
  <c r="C167" i="16"/>
  <c r="H167" i="16" s="1"/>
  <c r="N139" i="16"/>
  <c r="D169" i="16" s="1"/>
  <c r="I169" i="16" s="1"/>
  <c r="C169" i="16"/>
  <c r="H169" i="16" s="1"/>
  <c r="M112" i="17"/>
  <c r="V112" i="17"/>
  <c r="W112" i="17"/>
  <c r="N112" i="17"/>
  <c r="O112" i="17"/>
  <c r="T112" i="17"/>
  <c r="H112" i="17"/>
  <c r="P112" i="17"/>
  <c r="Q112" i="17"/>
  <c r="J112" i="17"/>
  <c r="I112" i="17"/>
  <c r="AE112" i="17"/>
  <c r="AM112" i="17"/>
  <c r="K112" i="17"/>
  <c r="S112" i="17"/>
  <c r="L112" i="17"/>
  <c r="AB112" i="17"/>
  <c r="R112" i="17"/>
  <c r="AK112" i="17"/>
  <c r="AL112" i="17"/>
  <c r="AJ112" i="17"/>
  <c r="AD112" i="17"/>
  <c r="AC112" i="17"/>
  <c r="T140" i="16"/>
  <c r="T141" i="16" s="1"/>
  <c r="U112" i="17"/>
  <c r="AN112" i="17"/>
  <c r="Y112" i="17"/>
  <c r="AG112" i="17"/>
  <c r="AO112" i="17"/>
  <c r="AF112" i="17"/>
  <c r="Z112" i="17"/>
  <c r="AH112" i="17"/>
  <c r="AP112" i="17"/>
  <c r="X112" i="17"/>
  <c r="AA112" i="17"/>
  <c r="AI112" i="17"/>
  <c r="AQ112" i="17"/>
  <c r="O100" i="17"/>
  <c r="N100" i="17"/>
  <c r="M100" i="17"/>
  <c r="H100" i="17"/>
  <c r="P100" i="17"/>
  <c r="R109" i="17"/>
  <c r="S109" i="17"/>
  <c r="Q109" i="17"/>
  <c r="Q100" i="17"/>
  <c r="I100" i="17"/>
  <c r="L100" i="17"/>
  <c r="S100" i="17"/>
  <c r="K100" i="17"/>
  <c r="R100" i="17"/>
  <c r="J100" i="17"/>
  <c r="P91" i="17"/>
  <c r="O91" i="17"/>
  <c r="S91" i="17"/>
  <c r="K91" i="17"/>
  <c r="R91" i="17"/>
  <c r="J91" i="17"/>
  <c r="Q91" i="17"/>
  <c r="I91" i="17"/>
  <c r="M91" i="17"/>
  <c r="N91" i="17"/>
  <c r="H91" i="17"/>
  <c r="L91" i="17"/>
  <c r="J139" i="16" l="1"/>
  <c r="E167" i="16" s="1"/>
  <c r="J167" i="16" s="1"/>
  <c r="I140" i="16"/>
  <c r="I141" i="16" s="1"/>
  <c r="U96" i="17" s="1"/>
  <c r="O139" i="16"/>
  <c r="E169" i="16" s="1"/>
  <c r="J169" i="16" s="1"/>
  <c r="N140" i="16"/>
  <c r="N141" i="16" s="1"/>
  <c r="T105" i="17" s="1"/>
  <c r="D162" i="16"/>
  <c r="I162" i="16" s="1"/>
  <c r="E139" i="16"/>
  <c r="E165" i="16" s="1"/>
  <c r="J165" i="16" s="1"/>
  <c r="E101" i="16"/>
  <c r="E162" i="16" s="1"/>
  <c r="J162" i="16" s="1"/>
  <c r="D140" i="16"/>
  <c r="D141" i="16" s="1"/>
  <c r="X87" i="17" s="1"/>
  <c r="D102" i="16"/>
  <c r="D103" i="16" s="1"/>
  <c r="V87" i="17"/>
  <c r="AB96" i="17"/>
  <c r="H113" i="17"/>
  <c r="J113" i="17"/>
  <c r="I113" i="17"/>
  <c r="O113" i="17"/>
  <c r="Q113" i="17"/>
  <c r="L113" i="17"/>
  <c r="P113" i="17"/>
  <c r="M113" i="17"/>
  <c r="N113" i="17"/>
  <c r="K113" i="17"/>
  <c r="R113" i="17"/>
  <c r="Y96" i="17" l="1"/>
  <c r="Z96" i="17"/>
  <c r="X96" i="17"/>
  <c r="J140" i="16"/>
  <c r="J141" i="16" s="1"/>
  <c r="AL96" i="17" s="1"/>
  <c r="AA96" i="17"/>
  <c r="AE96" i="17"/>
  <c r="O140" i="16"/>
  <c r="O141" i="16" s="1"/>
  <c r="AH105" i="17" s="1"/>
  <c r="AD96" i="17"/>
  <c r="W96" i="17"/>
  <c r="V96" i="17"/>
  <c r="AC96" i="17"/>
  <c r="T96" i="17"/>
  <c r="AC87" i="17"/>
  <c r="AE105" i="17"/>
  <c r="X105" i="17"/>
  <c r="AA105" i="17"/>
  <c r="Y105" i="17"/>
  <c r="AC105" i="17"/>
  <c r="AD105" i="17"/>
  <c r="U105" i="17"/>
  <c r="AB105" i="17"/>
  <c r="E140" i="16"/>
  <c r="E141" i="16" s="1"/>
  <c r="AO87" i="17" s="1"/>
  <c r="W105" i="17"/>
  <c r="T87" i="17"/>
  <c r="Z105" i="17"/>
  <c r="AD87" i="17"/>
  <c r="E102" i="16"/>
  <c r="E103" i="16" s="1"/>
  <c r="V105" i="17"/>
  <c r="AA87" i="17"/>
  <c r="U87" i="17"/>
  <c r="Z87" i="17"/>
  <c r="AB87" i="17"/>
  <c r="Y87" i="17"/>
  <c r="AE87" i="17"/>
  <c r="W87" i="17"/>
  <c r="AF96" i="17" l="1"/>
  <c r="AJ96" i="17"/>
  <c r="AG96" i="17"/>
  <c r="AI96" i="17"/>
  <c r="AL105" i="17"/>
  <c r="AK96" i="17"/>
  <c r="AK105" i="17"/>
  <c r="AH96" i="17"/>
  <c r="AN96" i="17"/>
  <c r="AQ96" i="17"/>
  <c r="AP96" i="17"/>
  <c r="AF105" i="17"/>
  <c r="AJ105" i="17"/>
  <c r="AG105" i="17"/>
  <c r="AM96" i="17"/>
  <c r="AQ105" i="17"/>
  <c r="AO96" i="17"/>
  <c r="AN105" i="17"/>
  <c r="AM105" i="17"/>
  <c r="AO105" i="17"/>
  <c r="AP105" i="17"/>
  <c r="AI105" i="17"/>
  <c r="AG87" i="17"/>
  <c r="AK87" i="17"/>
  <c r="AF87" i="17"/>
  <c r="AQ87" i="17"/>
  <c r="AI87" i="17"/>
  <c r="AJ87" i="17"/>
  <c r="AP87" i="17"/>
  <c r="AN87" i="17"/>
  <c r="AH87" i="17"/>
  <c r="AM87" i="17"/>
  <c r="AL87" i="17"/>
  <c r="N134" i="16" l="1"/>
  <c r="M133" i="16"/>
  <c r="N133" i="16" s="1"/>
  <c r="O133" i="16" s="1"/>
  <c r="H133" i="16"/>
  <c r="I133" i="16" s="1"/>
  <c r="J133" i="16" s="1"/>
  <c r="M132" i="16"/>
  <c r="N132" i="16" s="1"/>
  <c r="O132" i="16" s="1"/>
  <c r="H132" i="16"/>
  <c r="I132" i="16" s="1"/>
  <c r="J132" i="16" s="1"/>
  <c r="C132" i="16"/>
  <c r="D132" i="16" s="1"/>
  <c r="E132" i="16" s="1"/>
  <c r="N131" i="16"/>
  <c r="H131" i="16"/>
  <c r="I131" i="16" s="1"/>
  <c r="J131" i="16" s="1"/>
  <c r="C131" i="16"/>
  <c r="D131" i="16" s="1"/>
  <c r="E131" i="16" s="1"/>
  <c r="M130" i="16"/>
  <c r="H130" i="16"/>
  <c r="C130" i="16"/>
  <c r="C88" i="16"/>
  <c r="E87" i="16"/>
  <c r="M86" i="16"/>
  <c r="N86" i="16" s="1"/>
  <c r="O86" i="16" s="1"/>
  <c r="H86" i="16"/>
  <c r="I86" i="16" s="1"/>
  <c r="J86" i="16" s="1"/>
  <c r="C86" i="16"/>
  <c r="M85" i="16"/>
  <c r="N85" i="16" s="1"/>
  <c r="O85" i="16" s="1"/>
  <c r="H85" i="16"/>
  <c r="I85" i="16" s="1"/>
  <c r="J85" i="16" s="1"/>
  <c r="C85" i="16"/>
  <c r="M84" i="16"/>
  <c r="H84" i="16"/>
  <c r="I84" i="16" s="1"/>
  <c r="J84" i="16" s="1"/>
  <c r="C84" i="16"/>
  <c r="M83" i="16"/>
  <c r="N83" i="16" s="1"/>
  <c r="H83" i="16"/>
  <c r="I83" i="16" s="1"/>
  <c r="C83" i="16"/>
  <c r="D83" i="16" s="1"/>
  <c r="C161" i="16"/>
  <c r="H161" i="16" s="1"/>
  <c r="C47" i="16"/>
  <c r="D47" i="16" s="1"/>
  <c r="E47" i="16" s="1"/>
  <c r="M46" i="16"/>
  <c r="N46" i="16" s="1"/>
  <c r="O46" i="16" s="1"/>
  <c r="I46" i="16"/>
  <c r="J46" i="16" s="1"/>
  <c r="D46" i="16"/>
  <c r="E46" i="16" s="1"/>
  <c r="M45" i="16"/>
  <c r="N45" i="16" s="1"/>
  <c r="O45" i="16" s="1"/>
  <c r="H45" i="16"/>
  <c r="I45" i="16" s="1"/>
  <c r="J45" i="16" s="1"/>
  <c r="C45" i="16"/>
  <c r="M44" i="16"/>
  <c r="N44" i="16" s="1"/>
  <c r="H44" i="16"/>
  <c r="C44" i="16"/>
  <c r="D44" i="16" s="1"/>
  <c r="E44" i="16" s="1"/>
  <c r="B1" i="16"/>
  <c r="H30" i="17"/>
  <c r="H31" i="17" s="1"/>
  <c r="I30" i="17"/>
  <c r="I31" i="17" s="1"/>
  <c r="J30" i="17"/>
  <c r="J31" i="17" s="1"/>
  <c r="K30" i="17"/>
  <c r="K31" i="17" s="1"/>
  <c r="L30" i="17"/>
  <c r="L31" i="17" s="1"/>
  <c r="M30" i="17"/>
  <c r="M31" i="17" s="1"/>
  <c r="N30" i="17"/>
  <c r="N31" i="17" s="1"/>
  <c r="O30" i="17"/>
  <c r="O31" i="17" s="1"/>
  <c r="P30" i="17"/>
  <c r="P31" i="17" s="1"/>
  <c r="Q30" i="17"/>
  <c r="Q31" i="17" s="1"/>
  <c r="R30" i="17"/>
  <c r="R31" i="17" s="1"/>
  <c r="S30" i="17"/>
  <c r="S31" i="17" s="1"/>
  <c r="K36" i="17"/>
  <c r="K37" i="17" s="1"/>
  <c r="L36" i="17"/>
  <c r="L37" i="17" s="1"/>
  <c r="M36" i="17"/>
  <c r="M37" i="17" s="1"/>
  <c r="N36" i="17"/>
  <c r="N37" i="17" s="1"/>
  <c r="O36" i="17"/>
  <c r="O37" i="17" s="1"/>
  <c r="P36" i="17"/>
  <c r="P37" i="17" s="1"/>
  <c r="Q36" i="17"/>
  <c r="Q37" i="17" s="1"/>
  <c r="R36" i="17"/>
  <c r="R37" i="17" s="1"/>
  <c r="S36" i="17"/>
  <c r="S37" i="17" s="1"/>
  <c r="I36" i="17"/>
  <c r="I37" i="17" s="1"/>
  <c r="J36" i="17"/>
  <c r="J37" i="17" s="1"/>
  <c r="H36" i="17"/>
  <c r="H37" i="17" s="1"/>
  <c r="I24" i="17"/>
  <c r="I25" i="17" s="1"/>
  <c r="J24" i="17"/>
  <c r="J25" i="17" s="1"/>
  <c r="K24" i="17"/>
  <c r="K25" i="17" s="1"/>
  <c r="L24" i="17"/>
  <c r="L25" i="17" s="1"/>
  <c r="M24" i="17"/>
  <c r="M25" i="17" s="1"/>
  <c r="N24" i="17"/>
  <c r="N25" i="17" s="1"/>
  <c r="O24" i="17"/>
  <c r="O25" i="17" s="1"/>
  <c r="P24" i="17"/>
  <c r="P25" i="17" s="1"/>
  <c r="Q24" i="17"/>
  <c r="Q25" i="17" s="1"/>
  <c r="R24" i="17"/>
  <c r="R25" i="17" s="1"/>
  <c r="S24" i="17"/>
  <c r="S25" i="17" s="1"/>
  <c r="H24" i="17"/>
  <c r="H25" i="17" s="1"/>
  <c r="B35" i="17"/>
  <c r="B29" i="17"/>
  <c r="B23" i="17"/>
  <c r="M136" i="16" l="1"/>
  <c r="M135" i="16"/>
  <c r="D88" i="16"/>
  <c r="E88" i="16" s="1"/>
  <c r="D85" i="16"/>
  <c r="E85" i="16" s="1"/>
  <c r="E83" i="16"/>
  <c r="D86" i="16"/>
  <c r="E86" i="16" s="1"/>
  <c r="D84" i="16"/>
  <c r="E84" i="16" s="1"/>
  <c r="C136" i="16"/>
  <c r="D159" i="16"/>
  <c r="I159" i="16" s="1"/>
  <c r="C159" i="16"/>
  <c r="H159" i="16" s="1"/>
  <c r="D160" i="16"/>
  <c r="I160" i="16" s="1"/>
  <c r="C160" i="16"/>
  <c r="H160" i="16" s="1"/>
  <c r="H136" i="16"/>
  <c r="D130" i="16"/>
  <c r="C135" i="16"/>
  <c r="C143" i="16" s="1"/>
  <c r="I130" i="16"/>
  <c r="H135" i="16"/>
  <c r="H143" i="16" s="1"/>
  <c r="I93" i="16"/>
  <c r="D163" i="16" s="1"/>
  <c r="I163" i="16" s="1"/>
  <c r="C163" i="16"/>
  <c r="H163" i="16" s="1"/>
  <c r="D147" i="16"/>
  <c r="D166" i="16" s="1"/>
  <c r="I166" i="16" s="1"/>
  <c r="C166" i="16"/>
  <c r="H166" i="16" s="1"/>
  <c r="I147" i="16"/>
  <c r="D168" i="16" s="1"/>
  <c r="I168" i="16" s="1"/>
  <c r="C168" i="16"/>
  <c r="H168" i="16" s="1"/>
  <c r="D158" i="16"/>
  <c r="I158" i="16" s="1"/>
  <c r="H158" i="16"/>
  <c r="N147" i="16"/>
  <c r="D170" i="16" s="1"/>
  <c r="I170" i="16" s="1"/>
  <c r="C170" i="16"/>
  <c r="H170" i="16" s="1"/>
  <c r="H41" i="17"/>
  <c r="C90" i="16"/>
  <c r="C105" i="16" s="1"/>
  <c r="C89" i="16"/>
  <c r="C97" i="16" s="1"/>
  <c r="D93" i="16"/>
  <c r="D161" i="16" s="1"/>
  <c r="I161" i="16" s="1"/>
  <c r="R151" i="16"/>
  <c r="R152" i="16" s="1"/>
  <c r="O134" i="16"/>
  <c r="C48" i="16"/>
  <c r="C55" i="16" s="1"/>
  <c r="C56" i="16" s="1"/>
  <c r="E23" i="17" s="1"/>
  <c r="S26" i="17" s="1"/>
  <c r="H90" i="16"/>
  <c r="H97" i="16" s="1"/>
  <c r="H98" i="16" s="1"/>
  <c r="E62" i="17" s="1"/>
  <c r="L65" i="17" s="1"/>
  <c r="D45" i="16"/>
  <c r="E45" i="16" s="1"/>
  <c r="E48" i="16" s="1"/>
  <c r="H48" i="16"/>
  <c r="H55" i="16" s="1"/>
  <c r="H56" i="16" s="1"/>
  <c r="E29" i="17" s="1"/>
  <c r="N32" i="17" s="1"/>
  <c r="M90" i="16"/>
  <c r="M97" i="16" s="1"/>
  <c r="M98" i="16" s="1"/>
  <c r="E68" i="17" s="1"/>
  <c r="N130" i="16"/>
  <c r="N135" i="16" s="1"/>
  <c r="O131" i="16"/>
  <c r="O44" i="16"/>
  <c r="O48" i="16" s="1"/>
  <c r="N48" i="16"/>
  <c r="E159" i="16"/>
  <c r="J159" i="16" s="1"/>
  <c r="I90" i="16"/>
  <c r="M48" i="16"/>
  <c r="M55" i="16" s="1"/>
  <c r="M56" i="16" s="1"/>
  <c r="E35" i="17" s="1"/>
  <c r="S38" i="17" s="1"/>
  <c r="I44" i="16"/>
  <c r="J83" i="16"/>
  <c r="J90" i="16" s="1"/>
  <c r="O83" i="16"/>
  <c r="N84" i="16"/>
  <c r="O84" i="16" s="1"/>
  <c r="N136" i="16" l="1"/>
  <c r="D89" i="16"/>
  <c r="D90" i="16"/>
  <c r="D105" i="16" s="1"/>
  <c r="I136" i="16"/>
  <c r="Q56" i="17"/>
  <c r="Q58" i="17" s="1"/>
  <c r="Q74" i="17" s="1"/>
  <c r="I56" i="17"/>
  <c r="I58" i="17" s="1"/>
  <c r="I74" i="17" s="1"/>
  <c r="P56" i="17"/>
  <c r="P58" i="17" s="1"/>
  <c r="P74" i="17" s="1"/>
  <c r="H56" i="17"/>
  <c r="H58" i="17" s="1"/>
  <c r="H74" i="17" s="1"/>
  <c r="N56" i="17"/>
  <c r="N58" i="17" s="1"/>
  <c r="N74" i="17" s="1"/>
  <c r="K56" i="17"/>
  <c r="K58" i="17" s="1"/>
  <c r="K74" i="17" s="1"/>
  <c r="R56" i="17"/>
  <c r="R58" i="17" s="1"/>
  <c r="R74" i="17" s="1"/>
  <c r="O56" i="17"/>
  <c r="O58" i="17" s="1"/>
  <c r="O74" i="17" s="1"/>
  <c r="M56" i="17"/>
  <c r="M58" i="17" s="1"/>
  <c r="M74" i="17" s="1"/>
  <c r="L56" i="17"/>
  <c r="L58" i="17" s="1"/>
  <c r="L74" i="17" s="1"/>
  <c r="S56" i="17"/>
  <c r="S58" i="17" s="1"/>
  <c r="J56" i="17"/>
  <c r="J58" i="17" s="1"/>
  <c r="J74" i="17" s="1"/>
  <c r="I94" i="16"/>
  <c r="I95" i="16" s="1"/>
  <c r="AA63" i="17" s="1"/>
  <c r="AA64" i="17" s="1"/>
  <c r="O147" i="16"/>
  <c r="E170" i="16" s="1"/>
  <c r="J170" i="16" s="1"/>
  <c r="N148" i="16"/>
  <c r="N149" i="16" s="1"/>
  <c r="AB107" i="17" s="1"/>
  <c r="AB109" i="17" s="1"/>
  <c r="J147" i="16"/>
  <c r="E168" i="16" s="1"/>
  <c r="J168" i="16" s="1"/>
  <c r="I148" i="16"/>
  <c r="I149" i="16" s="1"/>
  <c r="U98" i="17" s="1"/>
  <c r="U100" i="17" s="1"/>
  <c r="D136" i="16"/>
  <c r="E158" i="16"/>
  <c r="J158" i="16" s="1"/>
  <c r="E93" i="16"/>
  <c r="E161" i="16" s="1"/>
  <c r="J161" i="16" s="1"/>
  <c r="D94" i="16"/>
  <c r="D95" i="16" s="1"/>
  <c r="J93" i="16"/>
  <c r="E163" i="16" s="1"/>
  <c r="J163" i="16" s="1"/>
  <c r="E160" i="16"/>
  <c r="J160" i="16" s="1"/>
  <c r="O130" i="16"/>
  <c r="O135" i="16" s="1"/>
  <c r="M143" i="16"/>
  <c r="M144" i="16" s="1"/>
  <c r="D106" i="17" s="1"/>
  <c r="E130" i="16"/>
  <c r="E135" i="16" s="1"/>
  <c r="E143" i="16" s="1"/>
  <c r="D135" i="16"/>
  <c r="D143" i="16" s="1"/>
  <c r="E147" i="16"/>
  <c r="E166" i="16" s="1"/>
  <c r="J166" i="16" s="1"/>
  <c r="D148" i="16"/>
  <c r="D149" i="16" s="1"/>
  <c r="Z89" i="17" s="1"/>
  <c r="Z91" i="17" s="1"/>
  <c r="J130" i="16"/>
  <c r="J135" i="16" s="1"/>
  <c r="J143" i="16" s="1"/>
  <c r="J144" i="16" s="1"/>
  <c r="D99" i="17" s="1"/>
  <c r="I135" i="16"/>
  <c r="I143" i="16" s="1"/>
  <c r="I144" i="16" s="1"/>
  <c r="D98" i="17" s="1"/>
  <c r="C98" i="16"/>
  <c r="D55" i="17" s="1"/>
  <c r="C106" i="16"/>
  <c r="E55" i="17" s="1"/>
  <c r="S151" i="16"/>
  <c r="S152" i="16" s="1"/>
  <c r="E109" i="17" s="1"/>
  <c r="M151" i="16"/>
  <c r="M152" i="16" s="1"/>
  <c r="E106" i="17" s="1"/>
  <c r="C151" i="16"/>
  <c r="C144" i="16"/>
  <c r="D88" i="17" s="1"/>
  <c r="H151" i="16"/>
  <c r="H152" i="16" s="1"/>
  <c r="E97" i="17" s="1"/>
  <c r="H144" i="16"/>
  <c r="D97" i="17" s="1"/>
  <c r="J65" i="17"/>
  <c r="H65" i="17"/>
  <c r="I26" i="17"/>
  <c r="L26" i="17"/>
  <c r="Q26" i="17"/>
  <c r="H26" i="17"/>
  <c r="J26" i="17"/>
  <c r="M26" i="17"/>
  <c r="R26" i="17"/>
  <c r="O26" i="17"/>
  <c r="P26" i="17"/>
  <c r="Q65" i="17"/>
  <c r="N26" i="17"/>
  <c r="K26" i="17"/>
  <c r="M32" i="17"/>
  <c r="R65" i="17"/>
  <c r="I32" i="17"/>
  <c r="S65" i="17"/>
  <c r="R32" i="17"/>
  <c r="P65" i="17"/>
  <c r="K32" i="17"/>
  <c r="M65" i="17"/>
  <c r="I65" i="17"/>
  <c r="S32" i="17"/>
  <c r="N65" i="17"/>
  <c r="O65" i="17"/>
  <c r="K65" i="17"/>
  <c r="O38" i="17"/>
  <c r="J38" i="17"/>
  <c r="Q38" i="17"/>
  <c r="L38" i="17"/>
  <c r="D48" i="16"/>
  <c r="D55" i="16" s="1"/>
  <c r="D56" i="16" s="1"/>
  <c r="E24" i="17" s="1"/>
  <c r="Q32" i="17"/>
  <c r="R38" i="17"/>
  <c r="O32" i="17"/>
  <c r="P38" i="17"/>
  <c r="L32" i="17"/>
  <c r="N38" i="17"/>
  <c r="I38" i="17"/>
  <c r="H32" i="17"/>
  <c r="M38" i="17"/>
  <c r="K38" i="17"/>
  <c r="H38" i="17"/>
  <c r="J71" i="17"/>
  <c r="S71" i="17"/>
  <c r="N71" i="17"/>
  <c r="O71" i="17"/>
  <c r="R71" i="17"/>
  <c r="K71" i="17"/>
  <c r="P71" i="17"/>
  <c r="I71" i="17"/>
  <c r="M71" i="17"/>
  <c r="H71" i="17"/>
  <c r="L71" i="17"/>
  <c r="Q71" i="17"/>
  <c r="P32" i="17"/>
  <c r="J32" i="17"/>
  <c r="T107" i="17"/>
  <c r="T109" i="17" s="1"/>
  <c r="N90" i="16"/>
  <c r="N55" i="16"/>
  <c r="N56" i="16" s="1"/>
  <c r="E36" i="17" s="1"/>
  <c r="I48" i="16"/>
  <c r="I55" i="16" s="1"/>
  <c r="I56" i="16" s="1"/>
  <c r="E30" i="17" s="1"/>
  <c r="J44" i="16"/>
  <c r="J48" i="16" s="1"/>
  <c r="E90" i="16"/>
  <c r="E105" i="16" s="1"/>
  <c r="O90" i="16"/>
  <c r="Y36" i="17"/>
  <c r="Y37" i="17" s="1"/>
  <c r="Z36" i="17"/>
  <c r="Z37" i="17" s="1"/>
  <c r="W36" i="17"/>
  <c r="W37" i="17" s="1"/>
  <c r="T36" i="17"/>
  <c r="T37" i="17" s="1"/>
  <c r="X36" i="17"/>
  <c r="X37" i="17" s="1"/>
  <c r="AA36" i="17"/>
  <c r="AA37" i="17" s="1"/>
  <c r="AB36" i="17"/>
  <c r="AB37" i="17" s="1"/>
  <c r="U36" i="17"/>
  <c r="U37" i="17" s="1"/>
  <c r="AC36" i="17"/>
  <c r="AC37" i="17" s="1"/>
  <c r="AE36" i="17"/>
  <c r="AE37" i="17" s="1"/>
  <c r="V36" i="17"/>
  <c r="V37" i="17" s="1"/>
  <c r="AD36" i="17"/>
  <c r="AD37" i="17" s="1"/>
  <c r="AB24" i="17"/>
  <c r="U24" i="17"/>
  <c r="U25" i="17" s="1"/>
  <c r="AC24" i="17"/>
  <c r="AC25" i="17" s="1"/>
  <c r="V24" i="17"/>
  <c r="V25" i="17" s="1"/>
  <c r="AD24" i="17"/>
  <c r="AD25" i="17" s="1"/>
  <c r="T24" i="17"/>
  <c r="T25" i="17" s="1"/>
  <c r="W24" i="17"/>
  <c r="W25" i="17" s="1"/>
  <c r="AE24" i="17"/>
  <c r="AE25" i="17" s="1"/>
  <c r="AA24" i="17"/>
  <c r="AA25" i="17" s="1"/>
  <c r="X24" i="17"/>
  <c r="X25" i="17" s="1"/>
  <c r="Y24" i="17"/>
  <c r="Y25" i="17" s="1"/>
  <c r="Z24" i="17"/>
  <c r="Z25" i="17" s="1"/>
  <c r="AA30" i="17"/>
  <c r="AA31" i="17" s="1"/>
  <c r="AB30" i="17"/>
  <c r="AB31" i="17" s="1"/>
  <c r="U30" i="17"/>
  <c r="U31" i="17" s="1"/>
  <c r="AC30" i="17"/>
  <c r="AC31" i="17" s="1"/>
  <c r="V30" i="17"/>
  <c r="V31" i="17" s="1"/>
  <c r="AD30" i="17"/>
  <c r="AD31" i="17" s="1"/>
  <c r="T30" i="17"/>
  <c r="T31" i="17" s="1"/>
  <c r="Y30" i="17"/>
  <c r="Y31" i="17" s="1"/>
  <c r="Z30" i="17"/>
  <c r="Z31" i="17" s="1"/>
  <c r="W30" i="17"/>
  <c r="W31" i="17" s="1"/>
  <c r="AE30" i="17"/>
  <c r="AE31" i="17" s="1"/>
  <c r="X30" i="17"/>
  <c r="X31" i="17" s="1"/>
  <c r="AD107" i="17" l="1"/>
  <c r="AD109" i="17" s="1"/>
  <c r="O136" i="16"/>
  <c r="I97" i="16"/>
  <c r="I98" i="16" s="1"/>
  <c r="E63" i="17" s="1"/>
  <c r="AA65" i="17" s="1"/>
  <c r="E136" i="16"/>
  <c r="O148" i="16"/>
  <c r="O149" i="16" s="1"/>
  <c r="AG107" i="17" s="1"/>
  <c r="AG109" i="17" s="1"/>
  <c r="AB63" i="17"/>
  <c r="AB64" i="17" s="1"/>
  <c r="AB65" i="17" s="1"/>
  <c r="X63" i="17"/>
  <c r="X64" i="17" s="1"/>
  <c r="AE63" i="17"/>
  <c r="AE64" i="17" s="1"/>
  <c r="W63" i="17"/>
  <c r="W64" i="17" s="1"/>
  <c r="AD63" i="17"/>
  <c r="AD64" i="17" s="1"/>
  <c r="V63" i="17"/>
  <c r="V64" i="17" s="1"/>
  <c r="Z63" i="17"/>
  <c r="Z64" i="17" s="1"/>
  <c r="Z65" i="17" s="1"/>
  <c r="AC63" i="17"/>
  <c r="AC64" i="17" s="1"/>
  <c r="AC65" i="17" s="1"/>
  <c r="Y63" i="17"/>
  <c r="Y64" i="17" s="1"/>
  <c r="U63" i="17"/>
  <c r="U64" i="17" s="1"/>
  <c r="T63" i="17"/>
  <c r="T64" i="17" s="1"/>
  <c r="E94" i="16"/>
  <c r="E95" i="16" s="1"/>
  <c r="AL54" i="17" s="1"/>
  <c r="V54" i="17"/>
  <c r="AD54" i="17"/>
  <c r="Z54" i="17"/>
  <c r="AA54" i="17"/>
  <c r="AB54" i="17"/>
  <c r="U54" i="17"/>
  <c r="W54" i="17"/>
  <c r="AE54" i="17"/>
  <c r="X54" i="17"/>
  <c r="T54" i="17"/>
  <c r="Y54" i="17"/>
  <c r="AC54" i="17"/>
  <c r="V107" i="17"/>
  <c r="V109" i="17" s="1"/>
  <c r="AA107" i="17"/>
  <c r="AA109" i="17" s="1"/>
  <c r="Z107" i="17"/>
  <c r="Z109" i="17" s="1"/>
  <c r="Y107" i="17"/>
  <c r="Y109" i="17" s="1"/>
  <c r="AE107" i="17"/>
  <c r="AE109" i="17" s="1"/>
  <c r="W107" i="17"/>
  <c r="W109" i="17" s="1"/>
  <c r="X107" i="17"/>
  <c r="X109" i="17" s="1"/>
  <c r="AC107" i="17"/>
  <c r="AC109" i="17" s="1"/>
  <c r="U107" i="17"/>
  <c r="U109" i="17" s="1"/>
  <c r="I151" i="16"/>
  <c r="I152" i="16" s="1"/>
  <c r="E98" i="17" s="1"/>
  <c r="J148" i="16"/>
  <c r="J149" i="16" s="1"/>
  <c r="AM98" i="17" s="1"/>
  <c r="AM100" i="17" s="1"/>
  <c r="AB89" i="17"/>
  <c r="AB91" i="17" s="1"/>
  <c r="AD98" i="17"/>
  <c r="AD100" i="17" s="1"/>
  <c r="E55" i="16"/>
  <c r="E56" i="16" s="1"/>
  <c r="E25" i="17" s="1"/>
  <c r="AA98" i="17"/>
  <c r="AA100" i="17" s="1"/>
  <c r="AC98" i="17"/>
  <c r="AC100" i="17" s="1"/>
  <c r="Y98" i="17"/>
  <c r="Y100" i="17" s="1"/>
  <c r="E148" i="16"/>
  <c r="E149" i="16" s="1"/>
  <c r="AN89" i="17" s="1"/>
  <c r="AN91" i="17" s="1"/>
  <c r="J94" i="16"/>
  <c r="J95" i="16" s="1"/>
  <c r="AK63" i="17" s="1"/>
  <c r="AK64" i="17" s="1"/>
  <c r="Z98" i="17"/>
  <c r="Z100" i="17" s="1"/>
  <c r="AB98" i="17"/>
  <c r="AB100" i="17" s="1"/>
  <c r="X98" i="17"/>
  <c r="X100" i="17" s="1"/>
  <c r="T98" i="17"/>
  <c r="T100" i="17" s="1"/>
  <c r="AE98" i="17"/>
  <c r="AE100" i="17" s="1"/>
  <c r="V98" i="17"/>
  <c r="V100" i="17" s="1"/>
  <c r="W98" i="17"/>
  <c r="W100" i="17" s="1"/>
  <c r="U89" i="17"/>
  <c r="U91" i="17" s="1"/>
  <c r="V89" i="17"/>
  <c r="V91" i="17" s="1"/>
  <c r="Y89" i="17"/>
  <c r="Y91" i="17" s="1"/>
  <c r="T89" i="17"/>
  <c r="T91" i="17" s="1"/>
  <c r="AA89" i="17"/>
  <c r="AA91" i="17" s="1"/>
  <c r="AC89" i="17"/>
  <c r="AC91" i="17" s="1"/>
  <c r="W89" i="17"/>
  <c r="W91" i="17" s="1"/>
  <c r="AE89" i="17"/>
  <c r="AE91" i="17" s="1"/>
  <c r="X89" i="17"/>
  <c r="X91" i="17" s="1"/>
  <c r="D97" i="16"/>
  <c r="O55" i="16"/>
  <c r="O56" i="16" s="1"/>
  <c r="E37" i="17" s="1"/>
  <c r="AD89" i="17"/>
  <c r="AD91" i="17" s="1"/>
  <c r="T151" i="16"/>
  <c r="T152" i="16" s="1"/>
  <c r="J136" i="16"/>
  <c r="S143" i="16"/>
  <c r="S144" i="16" s="1"/>
  <c r="D109" i="17" s="1"/>
  <c r="N143" i="16"/>
  <c r="N144" i="16" s="1"/>
  <c r="D107" i="17" s="1"/>
  <c r="T143" i="16"/>
  <c r="T144" i="16" s="1"/>
  <c r="O143" i="16"/>
  <c r="O144" i="16" s="1"/>
  <c r="D108" i="17" s="1"/>
  <c r="L59" i="17"/>
  <c r="L75" i="17" s="1"/>
  <c r="Q59" i="17"/>
  <c r="Q75" i="17" s="1"/>
  <c r="I59" i="17"/>
  <c r="I75" i="17" s="1"/>
  <c r="J59" i="17"/>
  <c r="J75" i="17" s="1"/>
  <c r="M59" i="17"/>
  <c r="M75" i="17" s="1"/>
  <c r="R59" i="17"/>
  <c r="R75" i="17" s="1"/>
  <c r="S59" i="17"/>
  <c r="O59" i="17"/>
  <c r="O75" i="17" s="1"/>
  <c r="H59" i="17"/>
  <c r="H75" i="17" s="1"/>
  <c r="N59" i="17"/>
  <c r="N75" i="17" s="1"/>
  <c r="K59" i="17"/>
  <c r="K75" i="17" s="1"/>
  <c r="P59" i="17"/>
  <c r="P75" i="17" s="1"/>
  <c r="H42" i="17"/>
  <c r="P110" i="17"/>
  <c r="E106" i="16"/>
  <c r="E57" i="17" s="1"/>
  <c r="E89" i="16"/>
  <c r="D106" i="16"/>
  <c r="E56" i="17" s="1"/>
  <c r="N101" i="17"/>
  <c r="Q101" i="17"/>
  <c r="P101" i="17"/>
  <c r="M101" i="17"/>
  <c r="H101" i="17"/>
  <c r="O101" i="17"/>
  <c r="L101" i="17"/>
  <c r="S101" i="17"/>
  <c r="K101" i="17"/>
  <c r="R101" i="17"/>
  <c r="J101" i="17"/>
  <c r="I101" i="17"/>
  <c r="Q110" i="17"/>
  <c r="S110" i="17"/>
  <c r="R110" i="17"/>
  <c r="E144" i="16"/>
  <c r="D90" i="17" s="1"/>
  <c r="Z32" i="17"/>
  <c r="AA32" i="17"/>
  <c r="N151" i="16"/>
  <c r="N152" i="16" s="1"/>
  <c r="E107" i="17" s="1"/>
  <c r="C152" i="16"/>
  <c r="E88" i="17" s="1"/>
  <c r="D151" i="16"/>
  <c r="D152" i="16" s="1"/>
  <c r="E89" i="17" s="1"/>
  <c r="D144" i="16"/>
  <c r="D89" i="17" s="1"/>
  <c r="T26" i="17"/>
  <c r="Z26" i="17"/>
  <c r="V26" i="17"/>
  <c r="Y26" i="17"/>
  <c r="AC26" i="17"/>
  <c r="U26" i="17"/>
  <c r="AA26" i="17"/>
  <c r="AD26" i="17"/>
  <c r="X26" i="17"/>
  <c r="AE26" i="17"/>
  <c r="W26" i="17"/>
  <c r="Y32" i="17"/>
  <c r="T32" i="17"/>
  <c r="V38" i="17"/>
  <c r="W38" i="17"/>
  <c r="AE38" i="17"/>
  <c r="Z38" i="17"/>
  <c r="AC38" i="17"/>
  <c r="Y38" i="17"/>
  <c r="AA38" i="17"/>
  <c r="AD38" i="17"/>
  <c r="T38" i="17"/>
  <c r="AD32" i="17"/>
  <c r="V32" i="17"/>
  <c r="AC32" i="17"/>
  <c r="U32" i="17"/>
  <c r="X32" i="17"/>
  <c r="AE32" i="17"/>
  <c r="W32" i="17"/>
  <c r="AB32" i="17"/>
  <c r="J55" i="16"/>
  <c r="J56" i="16" s="1"/>
  <c r="E31" i="17" s="1"/>
  <c r="AM107" i="17"/>
  <c r="AM109" i="17" s="1"/>
  <c r="AI107" i="17"/>
  <c r="AI109" i="17" s="1"/>
  <c r="AJ107" i="17"/>
  <c r="AJ109" i="17" s="1"/>
  <c r="AF107" i="17"/>
  <c r="AF109" i="17" s="1"/>
  <c r="U38" i="17"/>
  <c r="AB38" i="17"/>
  <c r="Y65" i="17"/>
  <c r="X38" i="17"/>
  <c r="AK36" i="17"/>
  <c r="AK37" i="17" s="1"/>
  <c r="AB25" i="17"/>
  <c r="AB26" i="17" s="1"/>
  <c r="AG30" i="17"/>
  <c r="AG31" i="17" s="1"/>
  <c r="AO30" i="17"/>
  <c r="AO31" i="17" s="1"/>
  <c r="AH30" i="17"/>
  <c r="AH31" i="17" s="1"/>
  <c r="AF30" i="17"/>
  <c r="AF31" i="17" s="1"/>
  <c r="AM30" i="17"/>
  <c r="AM31" i="17" s="1"/>
  <c r="AI30" i="17"/>
  <c r="AI31" i="17" s="1"/>
  <c r="AQ30" i="17"/>
  <c r="AQ31" i="17" s="1"/>
  <c r="AJ30" i="17"/>
  <c r="AJ31" i="17" s="1"/>
  <c r="AK30" i="17"/>
  <c r="AK31" i="17" s="1"/>
  <c r="AP30" i="17"/>
  <c r="AP31" i="17" s="1"/>
  <c r="AL30" i="17"/>
  <c r="AL31" i="17" s="1"/>
  <c r="AN30" i="17"/>
  <c r="AN31" i="17" s="1"/>
  <c r="AJ24" i="17"/>
  <c r="AJ25" i="17" s="1"/>
  <c r="AF24" i="17"/>
  <c r="AF25" i="17" s="1"/>
  <c r="AP24" i="17"/>
  <c r="AP25" i="17" s="1"/>
  <c r="AQ24" i="17"/>
  <c r="AQ25" i="17" s="1"/>
  <c r="AK24" i="17"/>
  <c r="AK25" i="17" s="1"/>
  <c r="AI24" i="17"/>
  <c r="AI25" i="17" s="1"/>
  <c r="AL24" i="17"/>
  <c r="AH24" i="17"/>
  <c r="AH25" i="17" s="1"/>
  <c r="AM24" i="17"/>
  <c r="AM25" i="17" s="1"/>
  <c r="AN24" i="17"/>
  <c r="AN25" i="17" s="1"/>
  <c r="AG24" i="17"/>
  <c r="AG25" i="17" s="1"/>
  <c r="AO24" i="17"/>
  <c r="AO25" i="17" s="1"/>
  <c r="V65" i="17" l="1"/>
  <c r="S77" i="17"/>
  <c r="P77" i="17"/>
  <c r="Q77" i="17"/>
  <c r="K77" i="17"/>
  <c r="R77" i="17"/>
  <c r="M77" i="17"/>
  <c r="J77" i="17"/>
  <c r="I77" i="17"/>
  <c r="N77" i="17"/>
  <c r="H77" i="17"/>
  <c r="L77" i="17"/>
  <c r="O77" i="17"/>
  <c r="AQ107" i="17"/>
  <c r="AQ109" i="17" s="1"/>
  <c r="AP107" i="17"/>
  <c r="AP109" i="17" s="1"/>
  <c r="AN107" i="17"/>
  <c r="AN109" i="17" s="1"/>
  <c r="AH107" i="17"/>
  <c r="AH109" i="17" s="1"/>
  <c r="AL107" i="17"/>
  <c r="AL109" i="17" s="1"/>
  <c r="AO107" i="17"/>
  <c r="AO109" i="17" s="1"/>
  <c r="AK107" i="17"/>
  <c r="AK109" i="17" s="1"/>
  <c r="AG26" i="17"/>
  <c r="AK26" i="17"/>
  <c r="AI26" i="17"/>
  <c r="AO26" i="17"/>
  <c r="AQ26" i="17"/>
  <c r="AH26" i="17"/>
  <c r="U65" i="17"/>
  <c r="T65" i="17"/>
  <c r="AE65" i="17"/>
  <c r="X65" i="17"/>
  <c r="AM26" i="17"/>
  <c r="AD65" i="17"/>
  <c r="W65" i="17"/>
  <c r="E97" i="16"/>
  <c r="AG56" i="17" s="1"/>
  <c r="AC101" i="17"/>
  <c r="AP26" i="17"/>
  <c r="AN26" i="17"/>
  <c r="AK38" i="17"/>
  <c r="AF26" i="17"/>
  <c r="AK54" i="17"/>
  <c r="AN54" i="17"/>
  <c r="AO54" i="17"/>
  <c r="AG89" i="17"/>
  <c r="AG91" i="17" s="1"/>
  <c r="AO89" i="17"/>
  <c r="AO91" i="17" s="1"/>
  <c r="AJ98" i="17"/>
  <c r="AJ100" i="17" s="1"/>
  <c r="U101" i="17"/>
  <c r="AB113" i="17"/>
  <c r="AB115" i="17" s="1"/>
  <c r="AQ54" i="17"/>
  <c r="AJ54" i="17"/>
  <c r="AI54" i="17"/>
  <c r="AP54" i="17"/>
  <c r="AG54" i="17"/>
  <c r="J151" i="16"/>
  <c r="J152" i="16" s="1"/>
  <c r="E99" i="17" s="1"/>
  <c r="AG98" i="17"/>
  <c r="AG100" i="17" s="1"/>
  <c r="E151" i="16"/>
  <c r="E152" i="16" s="1"/>
  <c r="E90" i="17" s="1"/>
  <c r="AN92" i="17" s="1"/>
  <c r="AQ63" i="17"/>
  <c r="AQ64" i="17" s="1"/>
  <c r="AL98" i="17"/>
  <c r="AL100" i="17" s="1"/>
  <c r="AP98" i="17"/>
  <c r="AP100" i="17" s="1"/>
  <c r="AL89" i="17"/>
  <c r="AL91" i="17" s="1"/>
  <c r="AH98" i="17"/>
  <c r="AH100" i="17" s="1"/>
  <c r="AI89" i="17"/>
  <c r="AI91" i="17" s="1"/>
  <c r="AH63" i="17"/>
  <c r="AH64" i="17" s="1"/>
  <c r="AF54" i="17"/>
  <c r="AM54" i="17"/>
  <c r="AH54" i="17"/>
  <c r="AO98" i="17"/>
  <c r="AO100" i="17" s="1"/>
  <c r="AK98" i="17"/>
  <c r="AK100" i="17" s="1"/>
  <c r="AN98" i="17"/>
  <c r="AN100" i="17" s="1"/>
  <c r="AQ98" i="17"/>
  <c r="AQ100" i="17" s="1"/>
  <c r="AF98" i="17"/>
  <c r="AF100" i="17" s="1"/>
  <c r="AI98" i="17"/>
  <c r="AI100" i="17" s="1"/>
  <c r="AA101" i="17"/>
  <c r="AH56" i="17"/>
  <c r="AN56" i="17"/>
  <c r="D98" i="16"/>
  <c r="D56" i="17" s="1"/>
  <c r="AD56" i="17"/>
  <c r="AD58" i="17" s="1"/>
  <c r="V56" i="17"/>
  <c r="V58" i="17" s="1"/>
  <c r="W56" i="17"/>
  <c r="W58" i="17" s="1"/>
  <c r="AC56" i="17"/>
  <c r="AC58" i="17" s="1"/>
  <c r="U56" i="17"/>
  <c r="Z56" i="17"/>
  <c r="Z58" i="17" s="1"/>
  <c r="AB56" i="17"/>
  <c r="AB58" i="17" s="1"/>
  <c r="T56" i="17"/>
  <c r="T58" i="17" s="1"/>
  <c r="AA56" i="17"/>
  <c r="AA58" i="17" s="1"/>
  <c r="Y56" i="17"/>
  <c r="Y58" i="17" s="1"/>
  <c r="X56" i="17"/>
  <c r="X58" i="17" s="1"/>
  <c r="AE56" i="17"/>
  <c r="AE58" i="17" s="1"/>
  <c r="AB101" i="17"/>
  <c r="Z113" i="17"/>
  <c r="Z115" i="17" s="1"/>
  <c r="U113" i="17"/>
  <c r="U115" i="17" s="1"/>
  <c r="AJ26" i="17"/>
  <c r="X113" i="17"/>
  <c r="X115" i="17" s="1"/>
  <c r="AH89" i="17"/>
  <c r="AH91" i="17" s="1"/>
  <c r="AP89" i="17"/>
  <c r="AP91" i="17" s="1"/>
  <c r="Y113" i="17"/>
  <c r="Y115" i="17" s="1"/>
  <c r="Y101" i="17"/>
  <c r="Z101" i="17"/>
  <c r="AD101" i="17"/>
  <c r="T113" i="17"/>
  <c r="T115" i="17" s="1"/>
  <c r="AC113" i="17"/>
  <c r="AC115" i="17" s="1"/>
  <c r="AD113" i="17"/>
  <c r="AD115" i="17" s="1"/>
  <c r="AJ89" i="17"/>
  <c r="AJ91" i="17" s="1"/>
  <c r="AK89" i="17"/>
  <c r="AK91" i="17" s="1"/>
  <c r="AA113" i="17"/>
  <c r="AA115" i="17" s="1"/>
  <c r="AF63" i="17"/>
  <c r="AF64" i="17" s="1"/>
  <c r="AI63" i="17"/>
  <c r="AI64" i="17" s="1"/>
  <c r="AO63" i="17"/>
  <c r="AO64" i="17" s="1"/>
  <c r="J97" i="16"/>
  <c r="J98" i="16" s="1"/>
  <c r="E64" i="17" s="1"/>
  <c r="AK65" i="17" s="1"/>
  <c r="AP63" i="17"/>
  <c r="AP64" i="17" s="1"/>
  <c r="AN63" i="17"/>
  <c r="AN64" i="17" s="1"/>
  <c r="AJ63" i="17"/>
  <c r="AJ64" i="17" s="1"/>
  <c r="AL63" i="17"/>
  <c r="AL64" i="17" s="1"/>
  <c r="AM63" i="17"/>
  <c r="AM64" i="17" s="1"/>
  <c r="AG63" i="17"/>
  <c r="AG64" i="17" s="1"/>
  <c r="AG36" i="17"/>
  <c r="AG37" i="17" s="1"/>
  <c r="AG38" i="17" s="1"/>
  <c r="AL36" i="17"/>
  <c r="AL37" i="17" s="1"/>
  <c r="AL38" i="17" s="1"/>
  <c r="AN36" i="17"/>
  <c r="AN37" i="17" s="1"/>
  <c r="AN38" i="17" s="1"/>
  <c r="AJ36" i="17"/>
  <c r="AJ37" i="17" s="1"/>
  <c r="AJ38" i="17" s="1"/>
  <c r="AM89" i="17"/>
  <c r="AM91" i="17" s="1"/>
  <c r="AM113" i="17" s="1"/>
  <c r="AM115" i="17" s="1"/>
  <c r="AQ89" i="17"/>
  <c r="AQ91" i="17" s="1"/>
  <c r="AF36" i="17"/>
  <c r="AF37" i="17" s="1"/>
  <c r="AF38" i="17" s="1"/>
  <c r="AH36" i="17"/>
  <c r="AH37" i="17" s="1"/>
  <c r="AH38" i="17" s="1"/>
  <c r="AF89" i="17"/>
  <c r="AF91" i="17" s="1"/>
  <c r="AO36" i="17"/>
  <c r="AO37" i="17" s="1"/>
  <c r="AO38" i="17" s="1"/>
  <c r="AE113" i="17"/>
  <c r="AE115" i="17" s="1"/>
  <c r="X101" i="17"/>
  <c r="AE101" i="17"/>
  <c r="T101" i="17"/>
  <c r="V113" i="17"/>
  <c r="V115" i="17" s="1"/>
  <c r="V101" i="17"/>
  <c r="W113" i="17"/>
  <c r="W115" i="17" s="1"/>
  <c r="W101" i="17"/>
  <c r="AQ36" i="17"/>
  <c r="AQ37" i="17" s="1"/>
  <c r="AQ38" i="17" s="1"/>
  <c r="AI36" i="17"/>
  <c r="AI37" i="17" s="1"/>
  <c r="AI38" i="17" s="1"/>
  <c r="AM36" i="17"/>
  <c r="AM37" i="17" s="1"/>
  <c r="AM38" i="17" s="1"/>
  <c r="AP36" i="17"/>
  <c r="AP37" i="17" s="1"/>
  <c r="AP38" i="17" s="1"/>
  <c r="O151" i="16"/>
  <c r="O152" i="16" s="1"/>
  <c r="E108" i="17" s="1"/>
  <c r="AM110" i="17" s="1"/>
  <c r="AB110" i="17"/>
  <c r="X110" i="17"/>
  <c r="Y110" i="17"/>
  <c r="Z110" i="17"/>
  <c r="AA110" i="17"/>
  <c r="W110" i="17"/>
  <c r="V110" i="17"/>
  <c r="AE110" i="17"/>
  <c r="AD110" i="17"/>
  <c r="AC110" i="17"/>
  <c r="U110" i="17"/>
  <c r="T110" i="17"/>
  <c r="Z92" i="17"/>
  <c r="W92" i="17"/>
  <c r="T92" i="17"/>
  <c r="AA92" i="17"/>
  <c r="U92" i="17"/>
  <c r="AB92" i="17"/>
  <c r="AC92" i="17"/>
  <c r="V92" i="17"/>
  <c r="AD92" i="17"/>
  <c r="AE92" i="17"/>
  <c r="X92" i="17"/>
  <c r="Y92" i="17"/>
  <c r="K92" i="17"/>
  <c r="K114" i="17" s="1"/>
  <c r="K116" i="17" s="1"/>
  <c r="M92" i="17"/>
  <c r="O92" i="17"/>
  <c r="P92" i="17"/>
  <c r="J92" i="17"/>
  <c r="J114" i="17" s="1"/>
  <c r="J116" i="17" s="1"/>
  <c r="S92" i="17"/>
  <c r="H92" i="17"/>
  <c r="Q92" i="17"/>
  <c r="N92" i="17"/>
  <c r="N114" i="17" s="1"/>
  <c r="N116" i="17" s="1"/>
  <c r="R92" i="17"/>
  <c r="L92" i="17"/>
  <c r="I92" i="17"/>
  <c r="I114" i="17" s="1"/>
  <c r="I116" i="17" s="1"/>
  <c r="AK32" i="17"/>
  <c r="AG32" i="17"/>
  <c r="AP32" i="17"/>
  <c r="AO32" i="17"/>
  <c r="AJ32" i="17"/>
  <c r="AQ32" i="17"/>
  <c r="AI32" i="17"/>
  <c r="AM32" i="17"/>
  <c r="AN32" i="17"/>
  <c r="AF32" i="17"/>
  <c r="AL32" i="17"/>
  <c r="AH32" i="17"/>
  <c r="AL25" i="17"/>
  <c r="AL26" i="17" s="1"/>
  <c r="AN113" i="17" l="1"/>
  <c r="AN115" i="17" s="1"/>
  <c r="AK56" i="17"/>
  <c r="AK58" i="17" s="1"/>
  <c r="AL56" i="17"/>
  <c r="AL58" i="17" s="1"/>
  <c r="AP56" i="17"/>
  <c r="AM56" i="17"/>
  <c r="AM58" i="17" s="1"/>
  <c r="AQ56" i="17"/>
  <c r="AQ58" i="17" s="1"/>
  <c r="AF56" i="17"/>
  <c r="AF58" i="17" s="1"/>
  <c r="AO56" i="17"/>
  <c r="AO58" i="17" s="1"/>
  <c r="AJ56" i="17"/>
  <c r="AJ58" i="17" s="1"/>
  <c r="AH101" i="17"/>
  <c r="AN101" i="17"/>
  <c r="E98" i="16"/>
  <c r="D57" i="17" s="1"/>
  <c r="AN59" i="17" s="1"/>
  <c r="AI56" i="17"/>
  <c r="AI58" i="17" s="1"/>
  <c r="AG92" i="17"/>
  <c r="AL113" i="17"/>
  <c r="AL115" i="17" s="1"/>
  <c r="AO113" i="17"/>
  <c r="AO115" i="17" s="1"/>
  <c r="AN58" i="17"/>
  <c r="AH58" i="17"/>
  <c r="T59" i="17"/>
  <c r="AO101" i="17"/>
  <c r="AK113" i="17"/>
  <c r="AK115" i="17" s="1"/>
  <c r="AL92" i="17"/>
  <c r="AI113" i="17"/>
  <c r="AI115" i="17" s="1"/>
  <c r="AF101" i="17"/>
  <c r="AI92" i="17"/>
  <c r="AK101" i="17"/>
  <c r="AO92" i="17"/>
  <c r="AG113" i="17"/>
  <c r="AG115" i="17" s="1"/>
  <c r="AQ113" i="17"/>
  <c r="AQ115" i="17" s="1"/>
  <c r="AJ113" i="17"/>
  <c r="AJ115" i="17" s="1"/>
  <c r="AH92" i="17"/>
  <c r="AG101" i="17"/>
  <c r="AM101" i="17"/>
  <c r="AL101" i="17"/>
  <c r="AJ101" i="17"/>
  <c r="AB59" i="17"/>
  <c r="AP58" i="17"/>
  <c r="AD59" i="17"/>
  <c r="AG58" i="17"/>
  <c r="AC59" i="17"/>
  <c r="Y59" i="17"/>
  <c r="V59" i="17"/>
  <c r="W59" i="17"/>
  <c r="Z59" i="17"/>
  <c r="X59" i="17"/>
  <c r="AP113" i="17"/>
  <c r="AP115" i="17" s="1"/>
  <c r="AM92" i="17"/>
  <c r="AH59" i="17"/>
  <c r="AP101" i="17"/>
  <c r="AH113" i="17"/>
  <c r="AH115" i="17" s="1"/>
  <c r="AH65" i="17"/>
  <c r="AI101" i="17"/>
  <c r="AF113" i="17"/>
  <c r="AF115" i="17" s="1"/>
  <c r="AQ101" i="17"/>
  <c r="AJ92" i="17"/>
  <c r="U59" i="17"/>
  <c r="AE59" i="17"/>
  <c r="AP92" i="17"/>
  <c r="U58" i="17"/>
  <c r="AA59" i="17"/>
  <c r="AI65" i="17"/>
  <c r="AC114" i="17"/>
  <c r="AC116" i="17" s="1"/>
  <c r="AK92" i="17"/>
  <c r="AF92" i="17"/>
  <c r="AF65" i="17"/>
  <c r="AJ65" i="17"/>
  <c r="AG65" i="17"/>
  <c r="AL65" i="17"/>
  <c r="AM65" i="17"/>
  <c r="AQ65" i="17"/>
  <c r="AP65" i="17"/>
  <c r="AN65" i="17"/>
  <c r="AO65" i="17"/>
  <c r="AQ92" i="17"/>
  <c r="AB114" i="17"/>
  <c r="W114" i="17"/>
  <c r="W116" i="17" s="1"/>
  <c r="AN110" i="17"/>
  <c r="AN114" i="17" s="1"/>
  <c r="AN116" i="17" s="1"/>
  <c r="AO110" i="17"/>
  <c r="AJ110" i="17"/>
  <c r="AK110" i="17"/>
  <c r="AF110" i="17"/>
  <c r="AG110" i="17"/>
  <c r="AP110" i="17"/>
  <c r="AL110" i="17"/>
  <c r="AI110" i="17"/>
  <c r="AH110" i="17"/>
  <c r="AQ110" i="17"/>
  <c r="AE114" i="17"/>
  <c r="AE116" i="17" s="1"/>
  <c r="AA114" i="17"/>
  <c r="AA116" i="17" s="1"/>
  <c r="V114" i="17"/>
  <c r="V116" i="17" s="1"/>
  <c r="AD114" i="17"/>
  <c r="AD116" i="17" s="1"/>
  <c r="X114" i="17"/>
  <c r="X116" i="17" s="1"/>
  <c r="S116" i="17"/>
  <c r="T114" i="17"/>
  <c r="T116" i="17" s="1"/>
  <c r="O114" i="17"/>
  <c r="O116" i="17" s="1"/>
  <c r="M114" i="17"/>
  <c r="M116" i="17" s="1"/>
  <c r="Q114" i="17"/>
  <c r="Q116" i="17" s="1"/>
  <c r="Z114" i="17"/>
  <c r="Z116" i="17" s="1"/>
  <c r="P114" i="17"/>
  <c r="P116" i="17" s="1"/>
  <c r="U114" i="17"/>
  <c r="U116" i="17" s="1"/>
  <c r="H114" i="17"/>
  <c r="H116" i="17" s="1"/>
  <c r="L114" i="17"/>
  <c r="L116" i="17" s="1"/>
  <c r="R114" i="17"/>
  <c r="R116" i="17" s="1"/>
  <c r="Y114" i="17"/>
  <c r="Y116" i="17" s="1"/>
  <c r="I19" i="17"/>
  <c r="J19" i="17" s="1"/>
  <c r="K19" i="17" s="1"/>
  <c r="L19" i="17" s="1"/>
  <c r="M19" i="17" s="1"/>
  <c r="N19" i="17" s="1"/>
  <c r="O19" i="17" s="1"/>
  <c r="P19" i="17" s="1"/>
  <c r="Q19" i="17" s="1"/>
  <c r="R19" i="17" s="1"/>
  <c r="S19" i="17" s="1"/>
  <c r="T19" i="17" s="1"/>
  <c r="U19" i="17" s="1"/>
  <c r="V19" i="17" s="1"/>
  <c r="W19" i="17" s="1"/>
  <c r="X19" i="17" s="1"/>
  <c r="Y19" i="17" s="1"/>
  <c r="Z19" i="17" s="1"/>
  <c r="AA19" i="17" s="1"/>
  <c r="AB19" i="17" s="1"/>
  <c r="AC19" i="17" s="1"/>
  <c r="AD19" i="17" s="1"/>
  <c r="AE19" i="17" s="1"/>
  <c r="AF19" i="17" s="1"/>
  <c r="AG19" i="17" s="1"/>
  <c r="AH19" i="17" s="1"/>
  <c r="AI19" i="17" s="1"/>
  <c r="AJ19" i="17" s="1"/>
  <c r="AK19" i="17" s="1"/>
  <c r="AL19" i="17" s="1"/>
  <c r="AM19" i="17" s="1"/>
  <c r="AN19" i="17" s="1"/>
  <c r="AO19" i="17" s="1"/>
  <c r="AP19" i="17" s="1"/>
  <c r="AQ19" i="17" s="1"/>
  <c r="AB116" i="17" l="1"/>
  <c r="AG59" i="17"/>
  <c r="AQ59" i="17"/>
  <c r="AM59" i="17"/>
  <c r="AF59" i="17"/>
  <c r="AL59" i="17"/>
  <c r="AP59" i="17"/>
  <c r="AO59" i="17"/>
  <c r="AJ59" i="17"/>
  <c r="AK59" i="17"/>
  <c r="AI59" i="17"/>
  <c r="AG114" i="17"/>
  <c r="AG116" i="17" s="1"/>
  <c r="AM114" i="17"/>
  <c r="AM116" i="17" s="1"/>
  <c r="AO114" i="17"/>
  <c r="AO116" i="17" s="1"/>
  <c r="AH114" i="17"/>
  <c r="AH116" i="17" s="1"/>
  <c r="AL114" i="17"/>
  <c r="AL116" i="17" s="1"/>
  <c r="AJ114" i="17"/>
  <c r="AJ116" i="17" s="1"/>
  <c r="AI114" i="17"/>
  <c r="AI116" i="17" s="1"/>
  <c r="AP114" i="17"/>
  <c r="AP116" i="17" s="1"/>
  <c r="AF114" i="17"/>
  <c r="AF116" i="17" s="1"/>
  <c r="AK114" i="17"/>
  <c r="AK116" i="17" s="1"/>
  <c r="AQ114" i="17"/>
  <c r="AQ116" i="17" s="1"/>
  <c r="AQ41" i="17"/>
  <c r="AC41" i="17" l="1"/>
  <c r="AH42" i="17"/>
  <c r="AN41" i="17"/>
  <c r="AN42" i="17"/>
  <c r="W42" i="17"/>
  <c r="AI41" i="17"/>
  <c r="AB42" i="17"/>
  <c r="N41" i="17"/>
  <c r="N120" i="17" s="1"/>
  <c r="N42" i="17"/>
  <c r="S42" i="17"/>
  <c r="AO42" i="17"/>
  <c r="AL42" i="17"/>
  <c r="L42" i="17"/>
  <c r="AF42" i="17"/>
  <c r="AJ42" i="17"/>
  <c r="Y42" i="17"/>
  <c r="AK42" i="17"/>
  <c r="T42" i="17"/>
  <c r="R42" i="17"/>
  <c r="O41" i="17"/>
  <c r="O120" i="17" s="1"/>
  <c r="O42" i="17"/>
  <c r="K42" i="17"/>
  <c r="U42" i="17"/>
  <c r="AA42" i="17"/>
  <c r="AE42" i="17"/>
  <c r="P42" i="17"/>
  <c r="AG42" i="17"/>
  <c r="J42" i="17"/>
  <c r="Q41" i="17"/>
  <c r="Q120" i="17" s="1"/>
  <c r="Q42" i="17"/>
  <c r="X42" i="17"/>
  <c r="I41" i="17"/>
  <c r="I120" i="17" s="1"/>
  <c r="AP41" i="17"/>
  <c r="M41" i="17"/>
  <c r="M120" i="17" s="1"/>
  <c r="AJ41" i="17"/>
  <c r="AD42" i="17"/>
  <c r="H120" i="17"/>
  <c r="H121" i="17" s="1"/>
  <c r="AO41" i="17"/>
  <c r="AO43" i="17" s="1"/>
  <c r="AM41" i="17"/>
  <c r="AM43" i="17" s="1"/>
  <c r="AA41" i="17"/>
  <c r="AH41" i="17"/>
  <c r="J41" i="17"/>
  <c r="J120" i="17" s="1"/>
  <c r="AM42" i="17"/>
  <c r="AC42" i="17"/>
  <c r="X41" i="17"/>
  <c r="X43" i="17" s="1"/>
  <c r="Z42" i="17"/>
  <c r="Z41" i="17"/>
  <c r="Z43" i="17" s="1"/>
  <c r="AK41" i="17"/>
  <c r="T41" i="17"/>
  <c r="T43" i="17" s="1"/>
  <c r="AL41" i="17"/>
  <c r="R41" i="17"/>
  <c r="R120" i="17" s="1"/>
  <c r="AG41" i="17"/>
  <c r="U41" i="17"/>
  <c r="U43" i="17" s="1"/>
  <c r="P41" i="17"/>
  <c r="P120" i="17" s="1"/>
  <c r="I42" i="17"/>
  <c r="AQ42" i="17"/>
  <c r="Y41" i="17"/>
  <c r="Y43" i="17" s="1"/>
  <c r="K41" i="17"/>
  <c r="K120" i="17" s="1"/>
  <c r="M42" i="17"/>
  <c r="AD41" i="17"/>
  <c r="AD43" i="17" s="1"/>
  <c r="W41" i="17"/>
  <c r="W43" i="17" s="1"/>
  <c r="V42" i="17"/>
  <c r="AI42" i="17"/>
  <c r="S41" i="17"/>
  <c r="S120" i="17" s="1"/>
  <c r="AP42" i="17"/>
  <c r="AB41" i="17"/>
  <c r="V41" i="17"/>
  <c r="V43" i="17" s="1"/>
  <c r="L41" i="17"/>
  <c r="L120" i="17" s="1"/>
  <c r="AF41" i="17"/>
  <c r="AF43" i="17" s="1"/>
  <c r="AE41" i="17"/>
  <c r="AE43" i="17" s="1"/>
  <c r="AI43" i="17" l="1"/>
  <c r="AG43" i="17"/>
  <c r="AN43" i="17"/>
  <c r="AJ43" i="17"/>
  <c r="AL43" i="17"/>
  <c r="AB43" i="17"/>
  <c r="AH43" i="17"/>
  <c r="AP43" i="17"/>
  <c r="AC43" i="17"/>
  <c r="AK43" i="17"/>
  <c r="AA43" i="17"/>
  <c r="AQ43" i="17"/>
  <c r="L81" i="1"/>
  <c r="P121" i="17"/>
  <c r="H81" i="1"/>
  <c r="L121" i="17"/>
  <c r="K81" i="1"/>
  <c r="O121" i="17"/>
  <c r="O81" i="1"/>
  <c r="J81" i="1"/>
  <c r="N121" i="17"/>
  <c r="D89" i="1"/>
  <c r="H122" i="17"/>
  <c r="D84" i="1" s="1"/>
  <c r="N81" i="1"/>
  <c r="R121" i="17"/>
  <c r="E81" i="1"/>
  <c r="I121" i="17"/>
  <c r="M81" i="1"/>
  <c r="Q121" i="17"/>
  <c r="G81" i="1"/>
  <c r="K121" i="17"/>
  <c r="F81" i="1"/>
  <c r="J121" i="17"/>
  <c r="I81" i="1"/>
  <c r="M121" i="17"/>
  <c r="D81" i="1"/>
  <c r="S126" i="17"/>
  <c r="AQ44" i="17"/>
  <c r="O44" i="17"/>
  <c r="AC44" i="17"/>
  <c r="M44" i="17"/>
  <c r="N44" i="17"/>
  <c r="AN44" i="17"/>
  <c r="I44" i="17"/>
  <c r="AI44" i="17"/>
  <c r="Y44" i="17"/>
  <c r="Q44" i="17"/>
  <c r="AP44" i="17"/>
  <c r="X44" i="17"/>
  <c r="U44" i="17"/>
  <c r="AB44" i="17"/>
  <c r="AG44" i="17"/>
  <c r="AO44" i="17"/>
  <c r="S44" i="17"/>
  <c r="K44" i="17"/>
  <c r="R44" i="17"/>
  <c r="H44" i="17"/>
  <c r="AJ44" i="17"/>
  <c r="AL44" i="17"/>
  <c r="J44" i="17"/>
  <c r="T44" i="17"/>
  <c r="AH44" i="17"/>
  <c r="AE44" i="17"/>
  <c r="AK44" i="17"/>
  <c r="AF44" i="17"/>
  <c r="W44" i="17"/>
  <c r="AA44" i="17"/>
  <c r="L44" i="17"/>
  <c r="P44" i="17"/>
  <c r="AD44" i="17"/>
  <c r="AM44" i="17"/>
  <c r="Z44" i="17"/>
  <c r="V44" i="17"/>
  <c r="I89" i="1" l="1"/>
  <c r="I98" i="1" s="1"/>
  <c r="M122" i="17"/>
  <c r="J89" i="1"/>
  <c r="J98" i="1" s="1"/>
  <c r="N122" i="17"/>
  <c r="F89" i="1"/>
  <c r="F98" i="1" s="1"/>
  <c r="J122" i="17"/>
  <c r="E89" i="1"/>
  <c r="E98" i="1" s="1"/>
  <c r="I122" i="17"/>
  <c r="H89" i="1"/>
  <c r="H98" i="1" s="1"/>
  <c r="L122" i="17"/>
  <c r="G89" i="1"/>
  <c r="G98" i="1" s="1"/>
  <c r="K122" i="17"/>
  <c r="O89" i="1"/>
  <c r="O98" i="1" s="1"/>
  <c r="S122" i="17"/>
  <c r="N89" i="1"/>
  <c r="N98" i="1" s="1"/>
  <c r="R122" i="17"/>
  <c r="K89" i="1"/>
  <c r="K98" i="1" s="1"/>
  <c r="O122" i="17"/>
  <c r="L89" i="1"/>
  <c r="L98" i="1" s="1"/>
  <c r="P122" i="17"/>
  <c r="M89" i="1"/>
  <c r="M98" i="1" s="1"/>
  <c r="Q122" i="17"/>
  <c r="D98" i="1"/>
  <c r="D85" i="1"/>
  <c r="H124" i="17"/>
  <c r="D32" i="2" l="1"/>
  <c r="D23" i="2"/>
  <c r="E84" i="1"/>
  <c r="I124" i="17"/>
  <c r="Q124" i="17"/>
  <c r="M84" i="1"/>
  <c r="F84" i="1"/>
  <c r="J124" i="17"/>
  <c r="J84" i="1"/>
  <c r="N124" i="17"/>
  <c r="R124" i="17"/>
  <c r="N84" i="1"/>
  <c r="O84" i="1"/>
  <c r="S124" i="17"/>
  <c r="L84" i="1"/>
  <c r="P124" i="17"/>
  <c r="O124" i="17"/>
  <c r="K84" i="1"/>
  <c r="L124" i="17"/>
  <c r="H84" i="1"/>
  <c r="H83" i="1" s="1"/>
  <c r="M124" i="17"/>
  <c r="I84" i="1"/>
  <c r="S127" i="17"/>
  <c r="S128" i="17" s="1"/>
  <c r="G84" i="1"/>
  <c r="K124" i="17"/>
  <c r="D83" i="1"/>
  <c r="G85" i="1" l="1"/>
  <c r="G83" i="1"/>
  <c r="F85" i="1"/>
  <c r="F83" i="1"/>
  <c r="E85" i="1"/>
  <c r="E83" i="1"/>
  <c r="E100" i="1"/>
  <c r="H85" i="1"/>
  <c r="I83" i="1" l="1"/>
  <c r="I85" i="1" l="1"/>
  <c r="J83" i="1" l="1"/>
  <c r="J85" i="1" l="1"/>
  <c r="K83" i="1" l="1"/>
  <c r="K85" i="1" l="1"/>
  <c r="L83" i="1" l="1"/>
  <c r="L85" i="1" l="1"/>
  <c r="M83" i="1" l="1"/>
  <c r="M85" i="1" l="1"/>
  <c r="N83" i="1" l="1"/>
  <c r="N85" i="1" l="1"/>
  <c r="O83" i="1" l="1"/>
  <c r="O85" i="1" l="1"/>
  <c r="E112" i="8" l="1"/>
  <c r="F112" i="8"/>
  <c r="G112" i="8"/>
  <c r="H112" i="8"/>
  <c r="I112" i="8"/>
  <c r="J112" i="8"/>
  <c r="K112" i="8"/>
  <c r="L112" i="8"/>
  <c r="M112" i="8"/>
  <c r="N112" i="8"/>
  <c r="O112" i="8"/>
  <c r="P112" i="8"/>
  <c r="Q112" i="8"/>
  <c r="R112" i="8"/>
  <c r="S112" i="8"/>
  <c r="T112" i="8"/>
  <c r="U112" i="8"/>
  <c r="V112" i="8"/>
  <c r="W112" i="8"/>
  <c r="X112" i="8"/>
  <c r="Y112" i="8"/>
  <c r="Z112" i="8"/>
  <c r="AA112" i="8"/>
  <c r="AB112" i="8"/>
  <c r="AC112" i="8"/>
  <c r="AD112" i="8"/>
  <c r="AE112" i="8"/>
  <c r="AF112" i="8"/>
  <c r="AG112" i="8"/>
  <c r="AH112" i="8"/>
  <c r="AI112" i="8"/>
  <c r="AJ112" i="8"/>
  <c r="AK112" i="8"/>
  <c r="AL112" i="8"/>
  <c r="AM112" i="8"/>
  <c r="D112" i="8"/>
  <c r="D71" i="9"/>
  <c r="D6" i="8"/>
  <c r="E6" i="8" s="1"/>
  <c r="F6" i="8" s="1"/>
  <c r="G6" i="8" s="1"/>
  <c r="H6" i="8" s="1"/>
  <c r="I6" i="8" s="1"/>
  <c r="J6" i="8" s="1"/>
  <c r="K6" i="8" s="1"/>
  <c r="L6" i="8" s="1"/>
  <c r="M6" i="8" s="1"/>
  <c r="N6" i="8" s="1"/>
  <c r="O6" i="8" s="1"/>
  <c r="P6" i="8" s="1"/>
  <c r="Q6" i="8" s="1"/>
  <c r="R6" i="8" s="1"/>
  <c r="S6" i="8" s="1"/>
  <c r="T6" i="8" s="1"/>
  <c r="U6" i="8" s="1"/>
  <c r="V6" i="8" s="1"/>
  <c r="W6" i="8" s="1"/>
  <c r="X6" i="8" s="1"/>
  <c r="Y6" i="8" s="1"/>
  <c r="Z6" i="8" s="1"/>
  <c r="AA6" i="8" s="1"/>
  <c r="AB6" i="8" s="1"/>
  <c r="AC6" i="8" s="1"/>
  <c r="AD6" i="8" s="1"/>
  <c r="AE6" i="8" s="1"/>
  <c r="AF6" i="8" s="1"/>
  <c r="AG6" i="8" s="1"/>
  <c r="AH6" i="8" s="1"/>
  <c r="AI6" i="8" s="1"/>
  <c r="AJ6" i="8" s="1"/>
  <c r="AK6" i="8" s="1"/>
  <c r="AL6" i="8" s="1"/>
  <c r="AM6" i="8" s="1"/>
  <c r="D7" i="9"/>
  <c r="E7" i="9" s="1"/>
  <c r="F7" i="9" s="1"/>
  <c r="G7" i="9" s="1"/>
  <c r="H7" i="9" s="1"/>
  <c r="I7" i="9" s="1"/>
  <c r="J7" i="9" s="1"/>
  <c r="K7" i="9" s="1"/>
  <c r="L7" i="9" s="1"/>
  <c r="M7" i="9" s="1"/>
  <c r="N7" i="9" s="1"/>
  <c r="O7" i="9" s="1"/>
  <c r="P7" i="9" s="1"/>
  <c r="Q7" i="9" s="1"/>
  <c r="R7" i="9" s="1"/>
  <c r="S7" i="9" s="1"/>
  <c r="T7" i="9" s="1"/>
  <c r="U7" i="9" s="1"/>
  <c r="V7" i="9" s="1"/>
  <c r="W7" i="9" s="1"/>
  <c r="X7" i="9" s="1"/>
  <c r="Y7" i="9" s="1"/>
  <c r="Z7" i="9" s="1"/>
  <c r="AA7" i="9" s="1"/>
  <c r="AB7" i="9" s="1"/>
  <c r="AC7" i="9" s="1"/>
  <c r="AD7" i="9" s="1"/>
  <c r="AE7" i="9" s="1"/>
  <c r="AF7" i="9" s="1"/>
  <c r="AG7" i="9" s="1"/>
  <c r="AH7" i="9" s="1"/>
  <c r="AI7" i="9" s="1"/>
  <c r="AJ7" i="9" s="1"/>
  <c r="AK7" i="9" s="1"/>
  <c r="AL7" i="9" s="1"/>
  <c r="H77" i="1"/>
  <c r="I77" i="1" s="1"/>
  <c r="J77" i="1" s="1"/>
  <c r="K77" i="1" s="1"/>
  <c r="L77" i="1" s="1"/>
  <c r="M77" i="1" s="1"/>
  <c r="N77" i="1" s="1"/>
  <c r="O77" i="1" s="1"/>
  <c r="P77" i="1" s="1"/>
  <c r="Q77" i="1" s="1"/>
  <c r="R77" i="1" s="1"/>
  <c r="S77" i="1" s="1"/>
  <c r="T77" i="1" s="1"/>
  <c r="U77" i="1" s="1"/>
  <c r="V77" i="1" s="1"/>
  <c r="W77" i="1" s="1"/>
  <c r="X77" i="1" s="1"/>
  <c r="Y77" i="1" s="1"/>
  <c r="Z77" i="1" s="1"/>
  <c r="AA77" i="1" s="1"/>
  <c r="AB77" i="1" s="1"/>
  <c r="AC77" i="1" s="1"/>
  <c r="AD77" i="1" s="1"/>
  <c r="AE77" i="1" s="1"/>
  <c r="AF77" i="1" s="1"/>
  <c r="AG77" i="1" s="1"/>
  <c r="AH77" i="1" s="1"/>
  <c r="AI77" i="1" s="1"/>
  <c r="AJ77" i="1" s="1"/>
  <c r="AK77" i="1" s="1"/>
  <c r="AL77" i="1" s="1"/>
  <c r="AM77" i="1" l="1"/>
  <c r="AM119" i="1" s="1"/>
  <c r="AM165" i="1" s="1"/>
  <c r="AM7" i="9"/>
  <c r="AM66" i="9" s="1"/>
  <c r="AG119" i="1"/>
  <c r="AG165" i="1" s="1"/>
  <c r="U119" i="1"/>
  <c r="U165" i="1" s="1"/>
  <c r="I119" i="1"/>
  <c r="I165" i="1" s="1"/>
  <c r="AG66" i="9"/>
  <c r="U66" i="9"/>
  <c r="I66" i="9"/>
  <c r="AF119" i="1"/>
  <c r="AF165" i="1" s="1"/>
  <c r="T119" i="1"/>
  <c r="T165" i="1" s="1"/>
  <c r="H119" i="1"/>
  <c r="H165" i="1" s="1"/>
  <c r="AF66" i="9"/>
  <c r="T66" i="9"/>
  <c r="H66" i="9"/>
  <c r="G119" i="1"/>
  <c r="G165" i="1" s="1"/>
  <c r="AE66" i="9"/>
  <c r="S66" i="9"/>
  <c r="G66" i="9"/>
  <c r="AD119" i="1"/>
  <c r="AD165" i="1" s="1"/>
  <c r="R119" i="1"/>
  <c r="R165" i="1" s="1"/>
  <c r="F119" i="1"/>
  <c r="F165" i="1" s="1"/>
  <c r="AD66" i="9"/>
  <c r="R66" i="9"/>
  <c r="F66" i="9"/>
  <c r="AC119" i="1"/>
  <c r="AC165" i="1" s="1"/>
  <c r="Q119" i="1"/>
  <c r="Q165" i="1" s="1"/>
  <c r="E119" i="1"/>
  <c r="E165" i="1" s="1"/>
  <c r="AC66" i="9"/>
  <c r="Q66" i="9"/>
  <c r="E66" i="9"/>
  <c r="D119" i="1"/>
  <c r="D165" i="1" s="1"/>
  <c r="AB119" i="1"/>
  <c r="AB165" i="1" s="1"/>
  <c r="P119" i="1"/>
  <c r="P165" i="1" s="1"/>
  <c r="D66" i="9"/>
  <c r="AB66" i="9"/>
  <c r="P66" i="9"/>
  <c r="AA119" i="1"/>
  <c r="AA165" i="1" s="1"/>
  <c r="O119" i="1"/>
  <c r="O165" i="1" s="1"/>
  <c r="AA66" i="9"/>
  <c r="O66" i="9"/>
  <c r="AJ119" i="1"/>
  <c r="AJ165" i="1" s="1"/>
  <c r="X119" i="1"/>
  <c r="X165" i="1" s="1"/>
  <c r="X66" i="9"/>
  <c r="AI119" i="1"/>
  <c r="AI165" i="1" s="1"/>
  <c r="W119" i="1"/>
  <c r="W165" i="1" s="1"/>
  <c r="K119" i="1"/>
  <c r="K165" i="1" s="1"/>
  <c r="AI66" i="9"/>
  <c r="W66" i="9"/>
  <c r="K66" i="9"/>
  <c r="AH119" i="1"/>
  <c r="AH165" i="1" s="1"/>
  <c r="V119" i="1"/>
  <c r="V165" i="1" s="1"/>
  <c r="J119" i="1"/>
  <c r="J165" i="1" s="1"/>
  <c r="AH66" i="9"/>
  <c r="V66" i="9"/>
  <c r="J66" i="9"/>
  <c r="AE119" i="1"/>
  <c r="AE165" i="1" s="1"/>
  <c r="S119" i="1"/>
  <c r="S165" i="1" s="1"/>
  <c r="AL119" i="1"/>
  <c r="AL165" i="1" s="1"/>
  <c r="Z119" i="1"/>
  <c r="Z165" i="1" s="1"/>
  <c r="N119" i="1"/>
  <c r="N165" i="1" s="1"/>
  <c r="AL66" i="9"/>
  <c r="Z66" i="9"/>
  <c r="N66" i="9"/>
  <c r="AK119" i="1"/>
  <c r="AK165" i="1" s="1"/>
  <c r="Y119" i="1"/>
  <c r="Y165" i="1" s="1"/>
  <c r="M119" i="1"/>
  <c r="M165" i="1" s="1"/>
  <c r="AK66" i="9"/>
  <c r="Y66" i="9"/>
  <c r="M66" i="9"/>
  <c r="L119" i="1"/>
  <c r="L165" i="1" s="1"/>
  <c r="AJ66" i="9"/>
  <c r="L66" i="9"/>
  <c r="C15" i="13"/>
  <c r="B1" i="17" l="1"/>
  <c r="E49" i="9"/>
  <c r="F49" i="9"/>
  <c r="G49" i="9"/>
  <c r="H49" i="9"/>
  <c r="I49" i="9"/>
  <c r="J49" i="9"/>
  <c r="K49" i="9"/>
  <c r="L49" i="9"/>
  <c r="M49" i="9"/>
  <c r="N49" i="9"/>
  <c r="O49" i="9"/>
  <c r="P49" i="9"/>
  <c r="Q49" i="9"/>
  <c r="R49" i="9"/>
  <c r="S49" i="9"/>
  <c r="T49" i="9"/>
  <c r="U49" i="9"/>
  <c r="V49" i="9"/>
  <c r="W49" i="9"/>
  <c r="X49" i="9"/>
  <c r="Y49" i="9"/>
  <c r="Z49" i="9"/>
  <c r="AA49" i="9"/>
  <c r="AB49" i="9"/>
  <c r="AC49" i="9"/>
  <c r="AD49" i="9"/>
  <c r="AE49" i="9"/>
  <c r="AF49" i="9"/>
  <c r="AG49" i="9"/>
  <c r="AH49" i="9"/>
  <c r="AI49" i="9"/>
  <c r="AJ49" i="9"/>
  <c r="AK49" i="9"/>
  <c r="AL49" i="9"/>
  <c r="AM49" i="9"/>
  <c r="D49" i="9"/>
  <c r="E48" i="9"/>
  <c r="F48" i="9"/>
  <c r="G48" i="9"/>
  <c r="H48" i="9"/>
  <c r="I48" i="9"/>
  <c r="J48" i="9"/>
  <c r="K48" i="9"/>
  <c r="L48" i="9"/>
  <c r="M48" i="9"/>
  <c r="N48" i="9"/>
  <c r="O48" i="9"/>
  <c r="P48" i="9"/>
  <c r="Q48" i="9"/>
  <c r="R48" i="9"/>
  <c r="S48" i="9"/>
  <c r="T48" i="9"/>
  <c r="U48" i="9"/>
  <c r="V48" i="9"/>
  <c r="W48" i="9"/>
  <c r="X48" i="9"/>
  <c r="Y48" i="9"/>
  <c r="Z48" i="9"/>
  <c r="AA48" i="9"/>
  <c r="AB48" i="9"/>
  <c r="AC48" i="9"/>
  <c r="AD48" i="9"/>
  <c r="AE48" i="9"/>
  <c r="AF48" i="9"/>
  <c r="AG48" i="9"/>
  <c r="AH48" i="9"/>
  <c r="AI48" i="9"/>
  <c r="AJ48" i="9"/>
  <c r="AK48" i="9"/>
  <c r="AL48" i="9"/>
  <c r="AM48" i="9"/>
  <c r="D48" i="9"/>
  <c r="E136" i="9"/>
  <c r="F136" i="9"/>
  <c r="G136" i="9"/>
  <c r="H136" i="9"/>
  <c r="I136" i="9"/>
  <c r="J136" i="9"/>
  <c r="K136" i="9"/>
  <c r="L136" i="9"/>
  <c r="M136" i="9"/>
  <c r="N136" i="9"/>
  <c r="O136" i="9"/>
  <c r="P136" i="9"/>
  <c r="Q136" i="9"/>
  <c r="R136" i="9"/>
  <c r="S136" i="9"/>
  <c r="T136" i="9"/>
  <c r="U136" i="9"/>
  <c r="V136" i="9"/>
  <c r="W136" i="9"/>
  <c r="X136" i="9"/>
  <c r="Y136" i="9"/>
  <c r="Z136" i="9"/>
  <c r="AA136" i="9"/>
  <c r="AB136" i="9"/>
  <c r="AC136" i="9"/>
  <c r="AD136" i="9"/>
  <c r="AE136" i="9"/>
  <c r="AF136" i="9"/>
  <c r="AG136" i="9"/>
  <c r="AH136" i="9"/>
  <c r="AI136" i="9"/>
  <c r="AJ136" i="9"/>
  <c r="AK136" i="9"/>
  <c r="AL136" i="9"/>
  <c r="AM136" i="9"/>
  <c r="L42" i="9"/>
  <c r="M42" i="9"/>
  <c r="N42" i="9"/>
  <c r="O42" i="9"/>
  <c r="P42" i="9"/>
  <c r="Q42" i="9"/>
  <c r="R42" i="9"/>
  <c r="S42" i="9"/>
  <c r="T42" i="9"/>
  <c r="U42" i="9"/>
  <c r="V42" i="9"/>
  <c r="W42" i="9"/>
  <c r="X42" i="9"/>
  <c r="Y42" i="9"/>
  <c r="Z42" i="9"/>
  <c r="AA42" i="9"/>
  <c r="AB42" i="9"/>
  <c r="AC42" i="9"/>
  <c r="AD42" i="9"/>
  <c r="AE42" i="9"/>
  <c r="AF42" i="9"/>
  <c r="AG42" i="9"/>
  <c r="AH42" i="9"/>
  <c r="AI42" i="9"/>
  <c r="AJ42" i="9"/>
  <c r="AK42" i="9"/>
  <c r="AL42" i="9"/>
  <c r="AM42" i="9"/>
  <c r="E42" i="9"/>
  <c r="F42" i="9"/>
  <c r="G42" i="9"/>
  <c r="H42" i="9"/>
  <c r="I42" i="9"/>
  <c r="J42" i="9"/>
  <c r="K42" i="9"/>
  <c r="E130" i="9"/>
  <c r="E41" i="9" s="1"/>
  <c r="F130" i="9"/>
  <c r="F41" i="9" s="1"/>
  <c r="G130" i="9"/>
  <c r="G41" i="9" s="1"/>
  <c r="H130" i="9"/>
  <c r="H41" i="9" s="1"/>
  <c r="I130" i="9"/>
  <c r="I41" i="9" s="1"/>
  <c r="J130" i="9"/>
  <c r="J41" i="9" s="1"/>
  <c r="K130" i="9"/>
  <c r="K41" i="9" s="1"/>
  <c r="L130" i="9"/>
  <c r="L41" i="9" s="1"/>
  <c r="M130" i="9"/>
  <c r="M41" i="9" s="1"/>
  <c r="N130" i="9"/>
  <c r="N41" i="9" s="1"/>
  <c r="O130" i="9"/>
  <c r="O41" i="9" s="1"/>
  <c r="P130" i="9"/>
  <c r="P41" i="9" s="1"/>
  <c r="Q130" i="9"/>
  <c r="Q41" i="9" s="1"/>
  <c r="R130" i="9"/>
  <c r="R41" i="9" s="1"/>
  <c r="S130" i="9"/>
  <c r="S41" i="9" s="1"/>
  <c r="T130" i="9"/>
  <c r="T41" i="9" s="1"/>
  <c r="U130" i="9"/>
  <c r="U41" i="9" s="1"/>
  <c r="V130" i="9"/>
  <c r="V41" i="9" s="1"/>
  <c r="W130" i="9"/>
  <c r="W41" i="9" s="1"/>
  <c r="X130" i="9"/>
  <c r="X41" i="9" s="1"/>
  <c r="Y130" i="9"/>
  <c r="Y41" i="9" s="1"/>
  <c r="Z130" i="9"/>
  <c r="Z41" i="9" s="1"/>
  <c r="AA130" i="9"/>
  <c r="AA41" i="9" s="1"/>
  <c r="AB130" i="9"/>
  <c r="AB41" i="9" s="1"/>
  <c r="AC130" i="9"/>
  <c r="AC41" i="9" s="1"/>
  <c r="AD130" i="9"/>
  <c r="AD41" i="9" s="1"/>
  <c r="AE130" i="9"/>
  <c r="AE41" i="9" s="1"/>
  <c r="AF130" i="9"/>
  <c r="AF41" i="9" s="1"/>
  <c r="AG130" i="9"/>
  <c r="AG41" i="9" s="1"/>
  <c r="AH130" i="9"/>
  <c r="AH41" i="9" s="1"/>
  <c r="AI130" i="9"/>
  <c r="AI41" i="9" s="1"/>
  <c r="AJ130" i="9"/>
  <c r="AJ41" i="9" s="1"/>
  <c r="AK130" i="9"/>
  <c r="AK41" i="9" s="1"/>
  <c r="AL130" i="9"/>
  <c r="AL41" i="9" s="1"/>
  <c r="AM130" i="9"/>
  <c r="AM41" i="9" s="1"/>
  <c r="D128" i="9"/>
  <c r="O131" i="9" s="1"/>
  <c r="D129" i="9"/>
  <c r="E123" i="2"/>
  <c r="F123" i="2" s="1"/>
  <c r="E105" i="2"/>
  <c r="F105" i="2" s="1"/>
  <c r="E100" i="2"/>
  <c r="F100" i="2" s="1"/>
  <c r="E57" i="2"/>
  <c r="F57" i="2" s="1"/>
  <c r="E47" i="2"/>
  <c r="F47" i="2" s="1"/>
  <c r="E8" i="2"/>
  <c r="F8" i="2" s="1"/>
  <c r="B32" i="2"/>
  <c r="B12" i="2"/>
  <c r="B10" i="2"/>
  <c r="AA131" i="9" l="1"/>
  <c r="D167" i="2"/>
  <c r="D130" i="9"/>
  <c r="D41" i="9" s="1"/>
  <c r="G19" i="9"/>
  <c r="H19" i="9"/>
  <c r="J19" i="9"/>
  <c r="K19" i="9"/>
  <c r="M19" i="9"/>
  <c r="N19" i="9"/>
  <c r="P19" i="9"/>
  <c r="Q19" i="9"/>
  <c r="S19" i="9"/>
  <c r="T19" i="9"/>
  <c r="V19" i="9"/>
  <c r="W19" i="9"/>
  <c r="Y19" i="9"/>
  <c r="Z19" i="9"/>
  <c r="AB19" i="9"/>
  <c r="AC19" i="9"/>
  <c r="AE19" i="9"/>
  <c r="AF19" i="9"/>
  <c r="AH19" i="9"/>
  <c r="AI19" i="9"/>
  <c r="AK19" i="9"/>
  <c r="AL19" i="9"/>
  <c r="E19" i="9"/>
  <c r="D19" i="9"/>
  <c r="C66" i="9"/>
  <c r="AM131" i="9" l="1"/>
  <c r="E167" i="2"/>
  <c r="D133" i="1"/>
  <c r="F167" i="2"/>
  <c r="D135" i="1"/>
  <c r="E131" i="1" l="1"/>
  <c r="E133" i="1" s="1"/>
  <c r="D137" i="1"/>
  <c r="D9" i="8" s="1"/>
  <c r="E135" i="1"/>
  <c r="F131" i="1" l="1"/>
  <c r="F133" i="1" s="1"/>
  <c r="E137" i="1"/>
  <c r="E9" i="8" s="1"/>
  <c r="F135" i="1"/>
  <c r="G131" i="1" l="1"/>
  <c r="G133" i="1" s="1"/>
  <c r="F137" i="1"/>
  <c r="F9" i="8" s="1"/>
  <c r="G135" i="1"/>
  <c r="H131" i="1" l="1"/>
  <c r="H133" i="1" s="1"/>
  <c r="G137" i="1"/>
  <c r="G9" i="8" s="1"/>
  <c r="H135" i="1"/>
  <c r="I131" i="1" l="1"/>
  <c r="I133" i="1" s="1"/>
  <c r="H137" i="1"/>
  <c r="H9" i="8" s="1"/>
  <c r="I135" i="1"/>
  <c r="J131" i="1" l="1"/>
  <c r="J133" i="1" s="1"/>
  <c r="I137" i="1"/>
  <c r="I9" i="8" s="1"/>
  <c r="J135" i="1"/>
  <c r="K131" i="1" l="1"/>
  <c r="K133" i="1" s="1"/>
  <c r="K135" i="1" s="1"/>
  <c r="J137" i="1"/>
  <c r="J9" i="8" s="1"/>
  <c r="L131" i="1" l="1"/>
  <c r="L133" i="1" s="1"/>
  <c r="K137" i="1"/>
  <c r="K9" i="8" s="1"/>
  <c r="L135" i="1"/>
  <c r="M131" i="1" l="1"/>
  <c r="M133" i="1" s="1"/>
  <c r="L137" i="1"/>
  <c r="L9" i="8" s="1"/>
  <c r="M135" i="1"/>
  <c r="N131" i="1" l="1"/>
  <c r="N133" i="1" s="1"/>
  <c r="M137" i="1"/>
  <c r="M9" i="8" s="1"/>
  <c r="N135" i="1"/>
  <c r="O131" i="1" l="1"/>
  <c r="O133" i="1" s="1"/>
  <c r="N137" i="1"/>
  <c r="N9" i="8" s="1"/>
  <c r="O135" i="1"/>
  <c r="O137" i="1" s="1"/>
  <c r="O9" i="8" s="1"/>
  <c r="P131" i="1" l="1"/>
  <c r="P133" i="1" s="1"/>
  <c r="X134" i="1"/>
  <c r="P134" i="1"/>
  <c r="U134" i="1"/>
  <c r="U162" i="1" s="1"/>
  <c r="V134" i="1"/>
  <c r="V162" i="1" s="1"/>
  <c r="Q134" i="1"/>
  <c r="Q162" i="1" s="1"/>
  <c r="W134" i="1"/>
  <c r="W162" i="1" s="1"/>
  <c r="Y134" i="1"/>
  <c r="R134" i="1"/>
  <c r="R162" i="1" s="1"/>
  <c r="Z134" i="1"/>
  <c r="S134" i="1"/>
  <c r="S162" i="1" s="1"/>
  <c r="AA134" i="1"/>
  <c r="T134" i="1"/>
  <c r="T162" i="1" s="1"/>
  <c r="P135" i="1" l="1"/>
  <c r="P162" i="1"/>
  <c r="Q131" i="1" l="1"/>
  <c r="Q133" i="1" s="1"/>
  <c r="Q135" i="1" s="1"/>
  <c r="P137" i="1"/>
  <c r="P9" i="8" s="1"/>
  <c r="R131" i="1" l="1"/>
  <c r="R133" i="1" s="1"/>
  <c r="R135" i="1" s="1"/>
  <c r="Q137" i="1"/>
  <c r="Q9" i="8" s="1"/>
  <c r="S131" i="1" l="1"/>
  <c r="S133" i="1" s="1"/>
  <c r="S135" i="1" s="1"/>
  <c r="R137" i="1"/>
  <c r="R9" i="8" s="1"/>
  <c r="T131" i="1" l="1"/>
  <c r="T133" i="1" s="1"/>
  <c r="T135" i="1" s="1"/>
  <c r="S137" i="1"/>
  <c r="S9" i="8" s="1"/>
  <c r="U131" i="1" l="1"/>
  <c r="U133" i="1" s="1"/>
  <c r="U135" i="1" s="1"/>
  <c r="T137" i="1"/>
  <c r="T9" i="8" s="1"/>
  <c r="V131" i="1" l="1"/>
  <c r="V133" i="1" s="1"/>
  <c r="V135" i="1" s="1"/>
  <c r="U137" i="1"/>
  <c r="U9" i="8" s="1"/>
  <c r="W131" i="1" l="1"/>
  <c r="W133" i="1" s="1"/>
  <c r="W135" i="1" s="1"/>
  <c r="V137" i="1"/>
  <c r="V9" i="8" s="1"/>
  <c r="X131" i="1" l="1"/>
  <c r="X133" i="1" s="1"/>
  <c r="X135" i="1" s="1"/>
  <c r="W137" i="1"/>
  <c r="W9" i="8" s="1"/>
  <c r="Y131" i="1" l="1"/>
  <c r="Y133" i="1" s="1"/>
  <c r="Y135" i="1" s="1"/>
  <c r="X137" i="1"/>
  <c r="X9" i="8" s="1"/>
  <c r="Z131" i="1" l="1"/>
  <c r="Z133" i="1" s="1"/>
  <c r="Z135" i="1" s="1"/>
  <c r="Y137" i="1"/>
  <c r="Y9" i="8" s="1"/>
  <c r="AA131" i="1" l="1"/>
  <c r="AA133" i="1" s="1"/>
  <c r="AA135" i="1" s="1"/>
  <c r="AA137" i="1" s="1"/>
  <c r="AA9" i="8" s="1"/>
  <c r="Z137" i="1"/>
  <c r="Z9" i="8" s="1"/>
  <c r="AB131" i="1"/>
  <c r="AB133" i="1" s="1"/>
  <c r="AE134" i="1"/>
  <c r="AM134" i="1"/>
  <c r="AJ134" i="1"/>
  <c r="AC134" i="1"/>
  <c r="AD134" i="1"/>
  <c r="AF134" i="1"/>
  <c r="AB134" i="1"/>
  <c r="AG134" i="1"/>
  <c r="AH134" i="1"/>
  <c r="AI134" i="1"/>
  <c r="AK134" i="1"/>
  <c r="AL134" i="1"/>
  <c r="AB135" i="1" l="1"/>
  <c r="AC131" i="1" l="1"/>
  <c r="AC133" i="1" s="1"/>
  <c r="AC135" i="1" s="1"/>
  <c r="AB137" i="1"/>
  <c r="AB9" i="8" s="1"/>
  <c r="AD131" i="1" l="1"/>
  <c r="AD133" i="1" s="1"/>
  <c r="AD135" i="1" s="1"/>
  <c r="AC137" i="1"/>
  <c r="AC9" i="8" s="1"/>
  <c r="AE131" i="1" l="1"/>
  <c r="AE133" i="1" s="1"/>
  <c r="AE135" i="1" s="1"/>
  <c r="AD137" i="1"/>
  <c r="AD9" i="8" s="1"/>
  <c r="AF131" i="1" l="1"/>
  <c r="AF133" i="1" s="1"/>
  <c r="AF135" i="1" s="1"/>
  <c r="AE137" i="1"/>
  <c r="AE9" i="8" s="1"/>
  <c r="AG131" i="1" l="1"/>
  <c r="AG133" i="1" s="1"/>
  <c r="AG135" i="1" s="1"/>
  <c r="AF137" i="1"/>
  <c r="AF9" i="8" s="1"/>
  <c r="AH131" i="1" l="1"/>
  <c r="AH133" i="1" s="1"/>
  <c r="AH135" i="1" s="1"/>
  <c r="AG137" i="1"/>
  <c r="AG9" i="8" s="1"/>
  <c r="AI131" i="1" l="1"/>
  <c r="AI133" i="1" s="1"/>
  <c r="AI135" i="1" s="1"/>
  <c r="AH137" i="1"/>
  <c r="AH9" i="8" s="1"/>
  <c r="AJ131" i="1" l="1"/>
  <c r="AJ133" i="1" s="1"/>
  <c r="AJ135" i="1" s="1"/>
  <c r="AI137" i="1"/>
  <c r="AI9" i="8" s="1"/>
  <c r="AK131" i="1" l="1"/>
  <c r="AK133" i="1" s="1"/>
  <c r="AK135" i="1" s="1"/>
  <c r="AJ137" i="1"/>
  <c r="AJ9" i="8" s="1"/>
  <c r="AL131" i="1" l="1"/>
  <c r="AL133" i="1" s="1"/>
  <c r="AL135" i="1" s="1"/>
  <c r="AK137" i="1"/>
  <c r="AK9" i="8" s="1"/>
  <c r="B61" i="2"/>
  <c r="B60" i="2"/>
  <c r="AM106" i="8"/>
  <c r="AL106" i="8"/>
  <c r="AK106" i="8"/>
  <c r="AJ106" i="8"/>
  <c r="AI106" i="8"/>
  <c r="AH106" i="8"/>
  <c r="AG106" i="8"/>
  <c r="AF106" i="8"/>
  <c r="AE106" i="8"/>
  <c r="AD106" i="8"/>
  <c r="AC106" i="8"/>
  <c r="AB106" i="8"/>
  <c r="AA106" i="8"/>
  <c r="Z106" i="8"/>
  <c r="Y106" i="8"/>
  <c r="X106" i="8"/>
  <c r="W106" i="8"/>
  <c r="V106" i="8"/>
  <c r="U106" i="8"/>
  <c r="T106" i="8"/>
  <c r="S106" i="8"/>
  <c r="R106" i="8"/>
  <c r="Q106" i="8"/>
  <c r="P106" i="8"/>
  <c r="O106" i="8"/>
  <c r="N106" i="8"/>
  <c r="M106" i="8"/>
  <c r="L106" i="8"/>
  <c r="K106" i="8"/>
  <c r="J106" i="8"/>
  <c r="I106" i="8"/>
  <c r="H106" i="8"/>
  <c r="G106" i="8"/>
  <c r="F106" i="8"/>
  <c r="E106" i="8"/>
  <c r="D57" i="8"/>
  <c r="D58" i="8" s="1"/>
  <c r="E57" i="8"/>
  <c r="F57" i="8"/>
  <c r="G57" i="8"/>
  <c r="H57" i="8"/>
  <c r="I57" i="8"/>
  <c r="J57" i="8"/>
  <c r="K57" i="8"/>
  <c r="L57" i="8"/>
  <c r="M57" i="8"/>
  <c r="N57" i="8"/>
  <c r="O57" i="8"/>
  <c r="E73" i="8"/>
  <c r="G73" i="8"/>
  <c r="H73" i="8"/>
  <c r="I73" i="8"/>
  <c r="J73" i="8"/>
  <c r="K73" i="8"/>
  <c r="L73" i="8"/>
  <c r="M73" i="8"/>
  <c r="N73" i="8"/>
  <c r="O73" i="8"/>
  <c r="P73" i="8"/>
  <c r="Q73" i="8"/>
  <c r="R73" i="8"/>
  <c r="S73" i="8"/>
  <c r="T73" i="8"/>
  <c r="U73" i="8"/>
  <c r="V73" i="8"/>
  <c r="W73" i="8"/>
  <c r="X73" i="8"/>
  <c r="Y73" i="8"/>
  <c r="Z73" i="8"/>
  <c r="AA73" i="8"/>
  <c r="AB73" i="8"/>
  <c r="AC73" i="8"/>
  <c r="AD73" i="8"/>
  <c r="AE73" i="8"/>
  <c r="AF73" i="8"/>
  <c r="AG73" i="8"/>
  <c r="AH73" i="8"/>
  <c r="AI73" i="8"/>
  <c r="AJ73" i="8"/>
  <c r="AK73" i="8"/>
  <c r="AL73" i="8"/>
  <c r="AM73" i="8"/>
  <c r="AM8" i="9"/>
  <c r="AM140" i="9" s="1"/>
  <c r="AM109" i="9"/>
  <c r="AK109" i="9"/>
  <c r="AL109" i="9"/>
  <c r="AL111" i="9" s="1"/>
  <c r="AM101" i="8"/>
  <c r="AL8" i="9"/>
  <c r="AL116" i="9" s="1"/>
  <c r="AL21" i="9" s="1"/>
  <c r="AL101" i="8"/>
  <c r="AK8" i="9"/>
  <c r="AK116" i="9" s="1"/>
  <c r="AK21" i="9" s="1"/>
  <c r="AK101" i="8"/>
  <c r="AJ8" i="9"/>
  <c r="AJ140" i="9" s="1"/>
  <c r="AJ109" i="9"/>
  <c r="AH109" i="9"/>
  <c r="AI109" i="9"/>
  <c r="AI111" i="9" s="1"/>
  <c r="AJ101" i="8"/>
  <c r="AI8" i="9"/>
  <c r="AI116" i="9" s="1"/>
  <c r="AI21" i="9" s="1"/>
  <c r="AH8" i="9"/>
  <c r="AH140" i="9" s="1"/>
  <c r="AH101" i="8"/>
  <c r="AG8" i="9"/>
  <c r="AG140" i="9" s="1"/>
  <c r="AG109" i="9"/>
  <c r="AE109" i="9"/>
  <c r="AF109" i="9"/>
  <c r="AF111" i="9" s="1"/>
  <c r="AF8" i="9"/>
  <c r="AF116" i="9" s="1"/>
  <c r="AF21" i="9" s="1"/>
  <c r="AE8" i="9"/>
  <c r="AE116" i="9" s="1"/>
  <c r="AE21" i="9" s="1"/>
  <c r="AD8" i="9"/>
  <c r="AD116" i="9" s="1"/>
  <c r="AD21" i="9" s="1"/>
  <c r="AD109" i="9"/>
  <c r="AB109" i="9"/>
  <c r="AC109" i="9"/>
  <c r="AC8" i="9"/>
  <c r="AC140" i="9" s="1"/>
  <c r="AC101" i="8"/>
  <c r="AB8" i="9"/>
  <c r="AB116" i="9" s="1"/>
  <c r="AB21" i="9" s="1"/>
  <c r="AA8" i="9"/>
  <c r="AA140" i="9" s="1"/>
  <c r="AA83" i="8" s="1"/>
  <c r="AA109" i="9"/>
  <c r="Y109" i="9"/>
  <c r="Z109" i="9"/>
  <c r="Z111" i="9" s="1"/>
  <c r="Z8" i="9"/>
  <c r="Z116" i="9" s="1"/>
  <c r="Z21" i="9" s="1"/>
  <c r="Y8" i="9"/>
  <c r="Y116" i="9" s="1"/>
  <c r="Y21" i="9" s="1"/>
  <c r="X8" i="9"/>
  <c r="X140" i="9" s="1"/>
  <c r="X109" i="9"/>
  <c r="V109" i="9"/>
  <c r="W109" i="9"/>
  <c r="W111" i="9" s="1"/>
  <c r="W8" i="9"/>
  <c r="W140" i="9" s="1"/>
  <c r="W101" i="8"/>
  <c r="V8" i="9"/>
  <c r="V140" i="9" s="1"/>
  <c r="U8" i="9"/>
  <c r="U140" i="9" s="1"/>
  <c r="U109" i="9"/>
  <c r="S109" i="9"/>
  <c r="T109" i="9"/>
  <c r="T111" i="9" s="1"/>
  <c r="T8" i="9"/>
  <c r="T116" i="9" s="1"/>
  <c r="T21" i="9" s="1"/>
  <c r="T101" i="8"/>
  <c r="S8" i="9"/>
  <c r="S140" i="9" s="1"/>
  <c r="S101" i="8"/>
  <c r="R8" i="9"/>
  <c r="R116" i="9" s="1"/>
  <c r="R21" i="9" s="1"/>
  <c r="R109" i="9"/>
  <c r="P109" i="9"/>
  <c r="Q109" i="9"/>
  <c r="Q111" i="9" s="1"/>
  <c r="Q8" i="9"/>
  <c r="Q116" i="9" s="1"/>
  <c r="Q21" i="9" s="1"/>
  <c r="P8" i="9"/>
  <c r="P116" i="9" s="1"/>
  <c r="P21" i="9" s="1"/>
  <c r="O109" i="9"/>
  <c r="M109" i="9"/>
  <c r="N109" i="9"/>
  <c r="N111" i="9" s="1"/>
  <c r="O8" i="9"/>
  <c r="O140" i="9" s="1"/>
  <c r="O101" i="8"/>
  <c r="N8" i="9"/>
  <c r="N140" i="9" s="1"/>
  <c r="M8" i="9"/>
  <c r="M140" i="9" s="1"/>
  <c r="L109" i="9"/>
  <c r="J109" i="9"/>
  <c r="K109" i="9"/>
  <c r="K111" i="9" s="1"/>
  <c r="L8" i="9"/>
  <c r="L140" i="9" s="1"/>
  <c r="K8" i="9"/>
  <c r="K140" i="9" s="1"/>
  <c r="J8" i="9"/>
  <c r="J140" i="9" s="1"/>
  <c r="I109" i="9"/>
  <c r="G109" i="9"/>
  <c r="H109" i="9"/>
  <c r="I8" i="9"/>
  <c r="I140" i="9" s="1"/>
  <c r="H8" i="9"/>
  <c r="H140" i="9" s="1"/>
  <c r="H47" i="9" s="1"/>
  <c r="H101" i="8"/>
  <c r="G8" i="9"/>
  <c r="G140" i="9" s="1"/>
  <c r="G101" i="8"/>
  <c r="F109" i="9"/>
  <c r="E109" i="9"/>
  <c r="E111" i="9" s="1"/>
  <c r="F8" i="9"/>
  <c r="F140" i="9" s="1"/>
  <c r="F47" i="9" s="1"/>
  <c r="F101" i="8"/>
  <c r="E8" i="9"/>
  <c r="E140" i="9" s="1"/>
  <c r="D83" i="9"/>
  <c r="D16" i="9" s="1"/>
  <c r="D139" i="9"/>
  <c r="D43" i="9" s="1"/>
  <c r="D8" i="9"/>
  <c r="D140" i="9" s="1"/>
  <c r="D134" i="9"/>
  <c r="D136" i="9" s="1"/>
  <c r="AM57" i="8"/>
  <c r="AL57" i="8"/>
  <c r="AK57" i="8"/>
  <c r="AJ57" i="8"/>
  <c r="AI57" i="8"/>
  <c r="AH57" i="8"/>
  <c r="AG57" i="8"/>
  <c r="AF57" i="8"/>
  <c r="AE57" i="8"/>
  <c r="AD57" i="8"/>
  <c r="AC57" i="8"/>
  <c r="AB57" i="8"/>
  <c r="AA57" i="8"/>
  <c r="Z57" i="8"/>
  <c r="Y57" i="8"/>
  <c r="X57" i="8"/>
  <c r="W57" i="8"/>
  <c r="V57" i="8"/>
  <c r="U57" i="8"/>
  <c r="T57" i="8"/>
  <c r="S57" i="8"/>
  <c r="R57" i="8"/>
  <c r="Q57" i="8"/>
  <c r="P57" i="8"/>
  <c r="K94" i="9"/>
  <c r="L17" i="9"/>
  <c r="P17" i="9"/>
  <c r="AC17" i="9"/>
  <c r="AD17" i="9"/>
  <c r="AE17" i="9"/>
  <c r="AG17" i="9"/>
  <c r="AH17" i="9"/>
  <c r="AI17" i="9"/>
  <c r="AJ17" i="9"/>
  <c r="AK17" i="9"/>
  <c r="AL17" i="9"/>
  <c r="AC89" i="9"/>
  <c r="AD89" i="9"/>
  <c r="AD91" i="9" s="1"/>
  <c r="AE89" i="9"/>
  <c r="AF89" i="9"/>
  <c r="AG89" i="9"/>
  <c r="AG91" i="9" s="1"/>
  <c r="AH89" i="9"/>
  <c r="AI89" i="9"/>
  <c r="AJ89" i="9"/>
  <c r="AJ91" i="9" s="1"/>
  <c r="AK89" i="9"/>
  <c r="AL89" i="9"/>
  <c r="AM89" i="9"/>
  <c r="AM91" i="9" s="1"/>
  <c r="AC94" i="9"/>
  <c r="AC96" i="9" s="1"/>
  <c r="AD94" i="9"/>
  <c r="AE94" i="9"/>
  <c r="AF94" i="9"/>
  <c r="AF96" i="9" s="1"/>
  <c r="AG94" i="9"/>
  <c r="AH94" i="9"/>
  <c r="AH96" i="9" s="1"/>
  <c r="AI94" i="9"/>
  <c r="AJ94" i="9"/>
  <c r="AK94" i="9"/>
  <c r="AL94" i="9"/>
  <c r="AL96" i="9" s="1"/>
  <c r="AM94" i="9"/>
  <c r="AB17" i="9"/>
  <c r="AA94" i="9"/>
  <c r="Z94" i="9"/>
  <c r="Z96" i="9" s="1"/>
  <c r="Y94" i="9"/>
  <c r="X94" i="9"/>
  <c r="W94" i="9"/>
  <c r="W96" i="9" s="1"/>
  <c r="V94" i="9"/>
  <c r="U94" i="9"/>
  <c r="T94" i="9"/>
  <c r="T96" i="9" s="1"/>
  <c r="S94" i="9"/>
  <c r="S96" i="9" s="1"/>
  <c r="R94" i="9"/>
  <c r="Q94" i="9"/>
  <c r="Q96" i="9" s="1"/>
  <c r="AA89" i="9"/>
  <c r="AA91" i="9" s="1"/>
  <c r="Z89" i="9"/>
  <c r="Z91" i="9" s="1"/>
  <c r="Y89" i="9"/>
  <c r="X89" i="9"/>
  <c r="X91" i="9" s="1"/>
  <c r="X67" i="8" s="1"/>
  <c r="W89" i="9"/>
  <c r="W91" i="9" s="1"/>
  <c r="V89" i="9"/>
  <c r="U89" i="9"/>
  <c r="U91" i="9" s="1"/>
  <c r="T89" i="9"/>
  <c r="T91" i="9" s="1"/>
  <c r="S89" i="9"/>
  <c r="R89" i="9"/>
  <c r="R91" i="9" s="1"/>
  <c r="Q89" i="9"/>
  <c r="Q91" i="9" s="1"/>
  <c r="AA17" i="9"/>
  <c r="Z17" i="9"/>
  <c r="Y17" i="9"/>
  <c r="X17" i="9"/>
  <c r="W17" i="9"/>
  <c r="V17" i="9"/>
  <c r="U17" i="9"/>
  <c r="T17" i="9"/>
  <c r="S17" i="9"/>
  <c r="R17" i="9"/>
  <c r="Q17" i="9"/>
  <c r="O94" i="9"/>
  <c r="N94" i="9"/>
  <c r="M94" i="9"/>
  <c r="M96" i="9" s="1"/>
  <c r="L94" i="9"/>
  <c r="J94" i="9"/>
  <c r="J96" i="9" s="1"/>
  <c r="I94" i="9"/>
  <c r="H94" i="9"/>
  <c r="H96" i="9" s="1"/>
  <c r="G94" i="9"/>
  <c r="G96" i="9" s="1"/>
  <c r="F94" i="9"/>
  <c r="E94" i="9"/>
  <c r="E96" i="9" s="1"/>
  <c r="O89" i="9"/>
  <c r="O91" i="9" s="1"/>
  <c r="N89" i="9"/>
  <c r="N91" i="9" s="1"/>
  <c r="M89" i="9"/>
  <c r="L89" i="9"/>
  <c r="L91" i="9" s="1"/>
  <c r="K89" i="9"/>
  <c r="K91" i="9" s="1"/>
  <c r="J89" i="9"/>
  <c r="I89" i="9"/>
  <c r="I91" i="9" s="1"/>
  <c r="H89" i="9"/>
  <c r="H91" i="9" s="1"/>
  <c r="H67" i="8" s="1"/>
  <c r="G89" i="9"/>
  <c r="F89" i="9"/>
  <c r="F91" i="9" s="1"/>
  <c r="E89" i="9"/>
  <c r="E91" i="9" s="1"/>
  <c r="N17" i="9"/>
  <c r="M17" i="9"/>
  <c r="K17" i="9"/>
  <c r="J17" i="9"/>
  <c r="I17" i="9"/>
  <c r="H17" i="9"/>
  <c r="E17" i="9"/>
  <c r="F17" i="9"/>
  <c r="G17" i="9"/>
  <c r="D105" i="1"/>
  <c r="E105" i="1"/>
  <c r="F105" i="1"/>
  <c r="G105" i="1"/>
  <c r="H105" i="1"/>
  <c r="H20" i="9" s="1"/>
  <c r="I105" i="1"/>
  <c r="I20" i="9" s="1"/>
  <c r="J105" i="1"/>
  <c r="J20" i="9" s="1"/>
  <c r="K105" i="1"/>
  <c r="K20" i="9" s="1"/>
  <c r="L105" i="1"/>
  <c r="L20" i="9" s="1"/>
  <c r="D21" i="9"/>
  <c r="E21" i="9"/>
  <c r="F21" i="9"/>
  <c r="G21" i="9"/>
  <c r="H21" i="9"/>
  <c r="I21" i="9"/>
  <c r="J21" i="9"/>
  <c r="K21" i="9"/>
  <c r="L21" i="9"/>
  <c r="H69" i="9"/>
  <c r="I44" i="9"/>
  <c r="J44" i="9"/>
  <c r="K69" i="9"/>
  <c r="L69" i="9"/>
  <c r="M105" i="1"/>
  <c r="M20" i="9" s="1"/>
  <c r="N105" i="1"/>
  <c r="N20" i="9" s="1"/>
  <c r="O69" i="9"/>
  <c r="O105" i="1"/>
  <c r="O20" i="9" s="1"/>
  <c r="P105" i="1"/>
  <c r="Q105" i="1"/>
  <c r="Q20" i="9" s="1"/>
  <c r="R105" i="1"/>
  <c r="R20" i="9" s="1"/>
  <c r="S105" i="1"/>
  <c r="S20" i="9" s="1"/>
  <c r="T105" i="1"/>
  <c r="T20" i="9" s="1"/>
  <c r="U105" i="1"/>
  <c r="U20" i="9" s="1"/>
  <c r="V105" i="1"/>
  <c r="V20" i="9" s="1"/>
  <c r="W105" i="1"/>
  <c r="W20" i="9" s="1"/>
  <c r="X105" i="1"/>
  <c r="X20" i="9" s="1"/>
  <c r="Y105" i="1"/>
  <c r="Y20" i="9" s="1"/>
  <c r="Z105" i="1"/>
  <c r="Z20" i="9" s="1"/>
  <c r="AA105" i="1"/>
  <c r="AA20" i="9" s="1"/>
  <c r="AB105" i="1"/>
  <c r="AC105" i="1"/>
  <c r="AC20" i="9" s="1"/>
  <c r="AD105" i="1"/>
  <c r="AD20" i="9" s="1"/>
  <c r="AE105" i="1"/>
  <c r="AE20" i="9" s="1"/>
  <c r="AF105" i="1"/>
  <c r="AF20" i="9" s="1"/>
  <c r="AG105" i="1"/>
  <c r="AG20" i="9" s="1"/>
  <c r="AG44" i="9"/>
  <c r="AH105" i="1"/>
  <c r="AH20" i="9" s="1"/>
  <c r="AI105" i="1"/>
  <c r="AI20" i="9" s="1"/>
  <c r="AJ105" i="1"/>
  <c r="AJ20" i="9" s="1"/>
  <c r="AK105" i="1"/>
  <c r="AK20" i="9" s="1"/>
  <c r="AL105" i="1"/>
  <c r="AL20" i="9" s="1"/>
  <c r="AM105" i="1"/>
  <c r="AM20" i="9" s="1"/>
  <c r="D82" i="8"/>
  <c r="E85" i="8"/>
  <c r="E23" i="8" s="1"/>
  <c r="F85" i="8"/>
  <c r="F23" i="8" s="1"/>
  <c r="G85" i="8"/>
  <c r="G23" i="8" s="1"/>
  <c r="H85" i="8"/>
  <c r="H23" i="8" s="1"/>
  <c r="I85" i="8"/>
  <c r="I23" i="8" s="1"/>
  <c r="J85" i="8"/>
  <c r="J23" i="8" s="1"/>
  <c r="K85" i="8"/>
  <c r="K23" i="8" s="1"/>
  <c r="L85" i="8"/>
  <c r="L23" i="8" s="1"/>
  <c r="M85" i="8"/>
  <c r="M23" i="8" s="1"/>
  <c r="N85" i="8"/>
  <c r="N23" i="8" s="1"/>
  <c r="O85" i="8"/>
  <c r="O23" i="8" s="1"/>
  <c r="D74" i="2" s="1"/>
  <c r="P85" i="8"/>
  <c r="P23" i="8" s="1"/>
  <c r="Q85" i="8"/>
  <c r="Q23" i="8" s="1"/>
  <c r="R85" i="8"/>
  <c r="R23" i="8" s="1"/>
  <c r="S85" i="8"/>
  <c r="S23" i="8" s="1"/>
  <c r="T85" i="8"/>
  <c r="T23" i="8" s="1"/>
  <c r="U85" i="8"/>
  <c r="U23" i="8" s="1"/>
  <c r="V85" i="8"/>
  <c r="V23" i="8" s="1"/>
  <c r="W85" i="8"/>
  <c r="W23" i="8" s="1"/>
  <c r="X85" i="8"/>
  <c r="X23" i="8" s="1"/>
  <c r="Y85" i="8"/>
  <c r="Y23" i="8" s="1"/>
  <c r="Z85" i="8"/>
  <c r="Z23" i="8" s="1"/>
  <c r="AA85" i="8"/>
  <c r="AA23" i="8" s="1"/>
  <c r="E74" i="2" s="1"/>
  <c r="AB85" i="8"/>
  <c r="AB23" i="8" s="1"/>
  <c r="AC85" i="8"/>
  <c r="AC23" i="8" s="1"/>
  <c r="AD85" i="8"/>
  <c r="AD23" i="8" s="1"/>
  <c r="AE85" i="8"/>
  <c r="AE23" i="8" s="1"/>
  <c r="AF85" i="8"/>
  <c r="AF23" i="8" s="1"/>
  <c r="AG85" i="8"/>
  <c r="AG23" i="8" s="1"/>
  <c r="AH85" i="8"/>
  <c r="AH23" i="8" s="1"/>
  <c r="AI85" i="8"/>
  <c r="AI23" i="8" s="1"/>
  <c r="AJ85" i="8"/>
  <c r="AJ23" i="8" s="1"/>
  <c r="AK85" i="8"/>
  <c r="AK23" i="8" s="1"/>
  <c r="AL85" i="8"/>
  <c r="AL23" i="8" s="1"/>
  <c r="AM85" i="8"/>
  <c r="AM23" i="8" s="1"/>
  <c r="F74" i="2" s="1"/>
  <c r="D85" i="8"/>
  <c r="D23" i="8" s="1"/>
  <c r="E123" i="9"/>
  <c r="E125" i="9" s="1"/>
  <c r="E34" i="9" s="1"/>
  <c r="E44" i="9"/>
  <c r="F123" i="9"/>
  <c r="F44" i="9"/>
  <c r="G123" i="9"/>
  <c r="G125" i="9" s="1"/>
  <c r="G34" i="9" s="1"/>
  <c r="G44" i="9"/>
  <c r="H123" i="9"/>
  <c r="H125" i="9" s="1"/>
  <c r="H34" i="9" s="1"/>
  <c r="H44" i="9"/>
  <c r="I123" i="9"/>
  <c r="I125" i="9" s="1"/>
  <c r="I34" i="9" s="1"/>
  <c r="J123" i="9"/>
  <c r="J125" i="9" s="1"/>
  <c r="J34" i="9" s="1"/>
  <c r="K123" i="9"/>
  <c r="K125" i="9" s="1"/>
  <c r="K34" i="9" s="1"/>
  <c r="K44" i="9"/>
  <c r="L123" i="9"/>
  <c r="L125" i="9" s="1"/>
  <c r="L34" i="9" s="1"/>
  <c r="L44" i="9"/>
  <c r="M21" i="9"/>
  <c r="M123" i="9"/>
  <c r="M125" i="9" s="1"/>
  <c r="M34" i="9" s="1"/>
  <c r="M44" i="9"/>
  <c r="N21" i="9"/>
  <c r="N123" i="9"/>
  <c r="N125" i="9" s="1"/>
  <c r="N34" i="9" s="1"/>
  <c r="N44" i="9"/>
  <c r="O21" i="9"/>
  <c r="O123" i="9"/>
  <c r="O125" i="9" s="1"/>
  <c r="O34" i="9" s="1"/>
  <c r="O44" i="9"/>
  <c r="P123" i="9"/>
  <c r="P125" i="9" s="1"/>
  <c r="P34" i="9" s="1"/>
  <c r="P44" i="9"/>
  <c r="Q123" i="9"/>
  <c r="Q125" i="9" s="1"/>
  <c r="Q34" i="9" s="1"/>
  <c r="Q44" i="9"/>
  <c r="R123" i="9"/>
  <c r="R125" i="9" s="1"/>
  <c r="R34" i="9" s="1"/>
  <c r="R44" i="9"/>
  <c r="S123" i="9"/>
  <c r="S125" i="9" s="1"/>
  <c r="S34" i="9" s="1"/>
  <c r="S44" i="9"/>
  <c r="T123" i="9"/>
  <c r="T125" i="9" s="1"/>
  <c r="T34" i="9" s="1"/>
  <c r="T44" i="9"/>
  <c r="U123" i="9"/>
  <c r="U125" i="9" s="1"/>
  <c r="U34" i="9" s="1"/>
  <c r="U44" i="9"/>
  <c r="V123" i="9"/>
  <c r="V125" i="9" s="1"/>
  <c r="V34" i="9" s="1"/>
  <c r="V44" i="9"/>
  <c r="W123" i="9"/>
  <c r="W125" i="9" s="1"/>
  <c r="W34" i="9" s="1"/>
  <c r="W44" i="9"/>
  <c r="X123" i="9"/>
  <c r="X125" i="9" s="1"/>
  <c r="X34" i="9" s="1"/>
  <c r="X44" i="9"/>
  <c r="Y123" i="9"/>
  <c r="Y125" i="9" s="1"/>
  <c r="Y34" i="9" s="1"/>
  <c r="Y44" i="9"/>
  <c r="Z123" i="9"/>
  <c r="Z125" i="9" s="1"/>
  <c r="Z34" i="9" s="1"/>
  <c r="Z44" i="9"/>
  <c r="AA123" i="9"/>
  <c r="AA125" i="9" s="1"/>
  <c r="AA34" i="9" s="1"/>
  <c r="AA44" i="9"/>
  <c r="AB123" i="9"/>
  <c r="AB125" i="9" s="1"/>
  <c r="AB34" i="9" s="1"/>
  <c r="AB44" i="9"/>
  <c r="AC123" i="9"/>
  <c r="AC125" i="9" s="1"/>
  <c r="AC34" i="9" s="1"/>
  <c r="AC44" i="9"/>
  <c r="AD123" i="9"/>
  <c r="AD125" i="9" s="1"/>
  <c r="AD34" i="9" s="1"/>
  <c r="AD44" i="9"/>
  <c r="AE123" i="9"/>
  <c r="AE125" i="9" s="1"/>
  <c r="AE34" i="9" s="1"/>
  <c r="AE44" i="9"/>
  <c r="AF123" i="9"/>
  <c r="AF125" i="9" s="1"/>
  <c r="AF34" i="9" s="1"/>
  <c r="AF44" i="9"/>
  <c r="AG123" i="9"/>
  <c r="AG125" i="9" s="1"/>
  <c r="AG34" i="9" s="1"/>
  <c r="AH123" i="9"/>
  <c r="AH125" i="9" s="1"/>
  <c r="AH34" i="9" s="1"/>
  <c r="AH44" i="9"/>
  <c r="AI123" i="9"/>
  <c r="AI125" i="9" s="1"/>
  <c r="AI34" i="9" s="1"/>
  <c r="AI44" i="9"/>
  <c r="AJ123" i="9"/>
  <c r="AJ125" i="9" s="1"/>
  <c r="AJ34" i="9" s="1"/>
  <c r="AJ44" i="9"/>
  <c r="AK123" i="9"/>
  <c r="AK125" i="9" s="1"/>
  <c r="AK34" i="9" s="1"/>
  <c r="AK44" i="9"/>
  <c r="AL123" i="9"/>
  <c r="AL125" i="9" s="1"/>
  <c r="AL34" i="9" s="1"/>
  <c r="AL44" i="9"/>
  <c r="AM123" i="9"/>
  <c r="AM125" i="9" s="1"/>
  <c r="AM34" i="9" s="1"/>
  <c r="AM44" i="9"/>
  <c r="X39" i="8"/>
  <c r="B89" i="2"/>
  <c r="B90" i="2"/>
  <c r="B91" i="2"/>
  <c r="B92" i="2"/>
  <c r="B64" i="2"/>
  <c r="B65" i="2"/>
  <c r="B66" i="2"/>
  <c r="B67" i="2"/>
  <c r="B68" i="2"/>
  <c r="B71" i="2"/>
  <c r="B72" i="2"/>
  <c r="B73" i="2"/>
  <c r="B74" i="2"/>
  <c r="B75" i="2"/>
  <c r="B76" i="2"/>
  <c r="B79" i="2"/>
  <c r="B81" i="2"/>
  <c r="B82" i="2"/>
  <c r="B83" i="2"/>
  <c r="B86" i="2"/>
  <c r="B88" i="2"/>
  <c r="B59" i="2"/>
  <c r="B34" i="2"/>
  <c r="B36" i="2"/>
  <c r="B37" i="2"/>
  <c r="B39" i="2"/>
  <c r="B40" i="2"/>
  <c r="B42" i="2"/>
  <c r="B43" i="2"/>
  <c r="C50" i="8"/>
  <c r="D50" i="8"/>
  <c r="C119" i="1"/>
  <c r="C165" i="1" s="1"/>
  <c r="B22" i="2"/>
  <c r="G30" i="9"/>
  <c r="G31" i="9" s="1"/>
  <c r="D30" i="9"/>
  <c r="D31" i="9" s="1"/>
  <c r="E30" i="9"/>
  <c r="E31" i="9" s="1"/>
  <c r="H30" i="9"/>
  <c r="H31" i="9" s="1"/>
  <c r="J30" i="9"/>
  <c r="J31" i="9" s="1"/>
  <c r="K30" i="9"/>
  <c r="K31" i="9" s="1"/>
  <c r="M30" i="9"/>
  <c r="M31" i="9" s="1"/>
  <c r="N30" i="9"/>
  <c r="N31" i="9" s="1"/>
  <c r="P30" i="9"/>
  <c r="P31" i="9" s="1"/>
  <c r="Q30" i="9"/>
  <c r="Q31" i="9" s="1"/>
  <c r="S30" i="9"/>
  <c r="S31" i="9" s="1"/>
  <c r="T30" i="9"/>
  <c r="T31" i="9" s="1"/>
  <c r="V30" i="9"/>
  <c r="V31" i="9" s="1"/>
  <c r="W30" i="9"/>
  <c r="W31" i="9" s="1"/>
  <c r="Y30" i="9"/>
  <c r="Y31" i="9" s="1"/>
  <c r="Z30" i="9"/>
  <c r="Z31" i="9" s="1"/>
  <c r="AB30" i="9"/>
  <c r="AB31" i="9" s="1"/>
  <c r="AC30" i="9"/>
  <c r="AC31" i="9" s="1"/>
  <c r="AE30" i="9"/>
  <c r="AE31" i="9" s="1"/>
  <c r="AF30" i="9"/>
  <c r="AF31" i="9" s="1"/>
  <c r="AH30" i="9"/>
  <c r="AH31" i="9" s="1"/>
  <c r="AI30" i="9"/>
  <c r="AI31" i="9" s="1"/>
  <c r="AK30" i="9"/>
  <c r="AK31" i="9" s="1"/>
  <c r="AL30" i="9"/>
  <c r="AL31" i="9" s="1"/>
  <c r="AM131" i="1" l="1"/>
  <c r="AM133" i="1" s="1"/>
  <c r="AM135" i="1" s="1"/>
  <c r="AM137" i="1" s="1"/>
  <c r="AM9" i="8" s="1"/>
  <c r="AL137" i="1"/>
  <c r="AL9" i="8" s="1"/>
  <c r="N30" i="1"/>
  <c r="O30" i="1"/>
  <c r="M31" i="1"/>
  <c r="G20" i="9"/>
  <c r="O70" i="9"/>
  <c r="P71" i="9"/>
  <c r="L70" i="9"/>
  <c r="M71" i="9"/>
  <c r="K70" i="9"/>
  <c r="L71" i="9"/>
  <c r="H70" i="9"/>
  <c r="I71" i="9"/>
  <c r="O104" i="9"/>
  <c r="F69" i="9"/>
  <c r="O17" i="9"/>
  <c r="P89" i="9"/>
  <c r="P90" i="9" s="1"/>
  <c r="P91" i="9" s="1"/>
  <c r="P67" i="8" s="1"/>
  <c r="AM17" i="9"/>
  <c r="D89" i="9"/>
  <c r="D90" i="9" s="1"/>
  <c r="D91" i="9" s="1"/>
  <c r="D94" i="9"/>
  <c r="F95" i="9" s="1"/>
  <c r="D17" i="9"/>
  <c r="P94" i="9"/>
  <c r="P96" i="9" s="1"/>
  <c r="P78" i="8" s="1"/>
  <c r="AB94" i="9"/>
  <c r="AB96" i="9" s="1"/>
  <c r="AC111" i="9"/>
  <c r="AC91" i="8" s="1"/>
  <c r="H111" i="9"/>
  <c r="H91" i="8" s="1"/>
  <c r="R110" i="9"/>
  <c r="R111" i="9" s="1"/>
  <c r="P111" i="9"/>
  <c r="P91" i="8" s="1"/>
  <c r="S111" i="9"/>
  <c r="S91" i="8" s="1"/>
  <c r="U110" i="9"/>
  <c r="U111" i="9" s="1"/>
  <c r="V111" i="9"/>
  <c r="V91" i="8" s="1"/>
  <c r="X110" i="9"/>
  <c r="X111" i="9" s="1"/>
  <c r="AA110" i="9"/>
  <c r="AA111" i="9" s="1"/>
  <c r="Y111" i="9"/>
  <c r="AD110" i="9"/>
  <c r="AD111" i="9" s="1"/>
  <c r="AB111" i="9"/>
  <c r="AB91" i="8" s="1"/>
  <c r="AE111" i="9"/>
  <c r="AE91" i="8" s="1"/>
  <c r="AG110" i="9"/>
  <c r="AG111" i="9" s="1"/>
  <c r="AJ110" i="9"/>
  <c r="AJ111" i="9" s="1"/>
  <c r="AH111" i="9"/>
  <c r="AK111" i="9"/>
  <c r="AK91" i="8" s="1"/>
  <c r="AM110" i="9"/>
  <c r="AM111" i="9" s="1"/>
  <c r="G111" i="9"/>
  <c r="G91" i="8" s="1"/>
  <c r="I110" i="9"/>
  <c r="I111" i="9" s="1"/>
  <c r="J111" i="9"/>
  <c r="J91" i="8" s="1"/>
  <c r="L110" i="9"/>
  <c r="L111" i="9" s="1"/>
  <c r="M111" i="9"/>
  <c r="M91" i="8" s="1"/>
  <c r="O110" i="9"/>
  <c r="O111" i="9" s="1"/>
  <c r="O91" i="8" s="1"/>
  <c r="H36" i="9"/>
  <c r="Q101" i="8"/>
  <c r="AH36" i="9"/>
  <c r="N101" i="8"/>
  <c r="AI140" i="9"/>
  <c r="AI83" i="8" s="1"/>
  <c r="E36" i="9"/>
  <c r="Z91" i="8"/>
  <c r="E101" i="8"/>
  <c r="X101" i="8"/>
  <c r="I101" i="8"/>
  <c r="AF91" i="8"/>
  <c r="AB101" i="8"/>
  <c r="L101" i="8"/>
  <c r="N91" i="8"/>
  <c r="R101" i="8"/>
  <c r="Z36" i="9"/>
  <c r="N36" i="9"/>
  <c r="J101" i="8"/>
  <c r="Z101" i="8"/>
  <c r="K101" i="8"/>
  <c r="AC36" i="9"/>
  <c r="P101" i="8"/>
  <c r="J36" i="9"/>
  <c r="Y101" i="8"/>
  <c r="V116" i="9"/>
  <c r="V21" i="9" s="1"/>
  <c r="AD101" i="8"/>
  <c r="AF101" i="8"/>
  <c r="T36" i="9"/>
  <c r="AF140" i="9"/>
  <c r="AF83" i="8" s="1"/>
  <c r="AI101" i="8"/>
  <c r="V101" i="8"/>
  <c r="U101" i="8"/>
  <c r="M101" i="8"/>
  <c r="S36" i="9"/>
  <c r="AE101" i="8"/>
  <c r="W36" i="9"/>
  <c r="M36" i="9"/>
  <c r="AE50" i="8"/>
  <c r="M50" i="8"/>
  <c r="E50" i="8"/>
  <c r="AB50" i="8"/>
  <c r="L50" i="8"/>
  <c r="Z50" i="8"/>
  <c r="R50" i="8"/>
  <c r="H50" i="8"/>
  <c r="K50" i="8"/>
  <c r="G50" i="8"/>
  <c r="S50" i="8"/>
  <c r="W50" i="8"/>
  <c r="V50" i="8"/>
  <c r="J50" i="8"/>
  <c r="F50" i="8"/>
  <c r="AF50" i="8"/>
  <c r="I50" i="8"/>
  <c r="N50" i="8"/>
  <c r="F83" i="8"/>
  <c r="Q78" i="8"/>
  <c r="T140" i="9"/>
  <c r="W116" i="9"/>
  <c r="W21" i="9" s="1"/>
  <c r="AG116" i="9"/>
  <c r="AG21" i="9" s="1"/>
  <c r="P140" i="9"/>
  <c r="U116" i="9"/>
  <c r="U21" i="9" s="1"/>
  <c r="Q140" i="9"/>
  <c r="AC78" i="8"/>
  <c r="D106" i="8"/>
  <c r="D107" i="8" s="1"/>
  <c r="E105" i="8" s="1"/>
  <c r="E107" i="8" s="1"/>
  <c r="E38" i="8" s="1"/>
  <c r="L67" i="8"/>
  <c r="AH116" i="9"/>
  <c r="AH21" i="9" s="1"/>
  <c r="AB140" i="9"/>
  <c r="AL140" i="9"/>
  <c r="AL83" i="8" s="1"/>
  <c r="T78" i="8"/>
  <c r="Q39" i="8"/>
  <c r="Z140" i="9"/>
  <c r="H83" i="8"/>
  <c r="AD39" i="8"/>
  <c r="AA39" i="8"/>
  <c r="E90" i="2" s="1"/>
  <c r="V39" i="8"/>
  <c r="AM39" i="8"/>
  <c r="F90" i="2" s="1"/>
  <c r="AJ39" i="8"/>
  <c r="K39" i="8"/>
  <c r="D39" i="8"/>
  <c r="R39" i="8"/>
  <c r="E39" i="8"/>
  <c r="O39" i="8"/>
  <c r="D90" i="2" s="1"/>
  <c r="U39" i="8"/>
  <c r="G39" i="8"/>
  <c r="AI39" i="8"/>
  <c r="J39" i="8"/>
  <c r="AE39" i="8"/>
  <c r="H39" i="8"/>
  <c r="I39" i="8"/>
  <c r="T39" i="8"/>
  <c r="Y39" i="8"/>
  <c r="N39" i="8"/>
  <c r="P39" i="8"/>
  <c r="AC39" i="8"/>
  <c r="AG39" i="8"/>
  <c r="AB39" i="8"/>
  <c r="L39" i="8"/>
  <c r="AC116" i="9"/>
  <c r="AC21" i="9" s="1"/>
  <c r="R140" i="9"/>
  <c r="R47" i="9" s="1"/>
  <c r="R50" i="9" s="1"/>
  <c r="R52" i="9" s="1"/>
  <c r="W39" i="8"/>
  <c r="F39" i="8"/>
  <c r="AB20" i="9"/>
  <c r="P20" i="9"/>
  <c r="AH39" i="8"/>
  <c r="AF39" i="8"/>
  <c r="M39" i="8"/>
  <c r="AK39" i="8"/>
  <c r="AD50" i="8"/>
  <c r="S39" i="8"/>
  <c r="AL39" i="8"/>
  <c r="Z39" i="8"/>
  <c r="AH50" i="8"/>
  <c r="AJ50" i="8"/>
  <c r="AJ83" i="8"/>
  <c r="AJ47" i="9"/>
  <c r="AJ50" i="9" s="1"/>
  <c r="AJ52" i="9" s="1"/>
  <c r="AE140" i="9"/>
  <c r="AE83" i="8" s="1"/>
  <c r="P50" i="8"/>
  <c r="AL50" i="8"/>
  <c r="AC50" i="8"/>
  <c r="Y50" i="8"/>
  <c r="Q50" i="8"/>
  <c r="AK50" i="8"/>
  <c r="AG50" i="8"/>
  <c r="U50" i="8"/>
  <c r="T50" i="8"/>
  <c r="X50" i="8"/>
  <c r="AI50" i="8"/>
  <c r="O50" i="8"/>
  <c r="D142" i="1"/>
  <c r="E102" i="1"/>
  <c r="Q102" i="1"/>
  <c r="Q169" i="1" s="1"/>
  <c r="F102" i="1"/>
  <c r="R102" i="1"/>
  <c r="R169" i="1" s="1"/>
  <c r="G102" i="1"/>
  <c r="S102" i="1"/>
  <c r="S169" i="1" s="1"/>
  <c r="H102" i="1"/>
  <c r="H169" i="1" s="1"/>
  <c r="I102" i="1"/>
  <c r="I169" i="1" s="1"/>
  <c r="U102" i="1"/>
  <c r="J102" i="1"/>
  <c r="J169" i="1" s="1"/>
  <c r="V102" i="1"/>
  <c r="K102" i="1"/>
  <c r="W102" i="1"/>
  <c r="L102" i="1"/>
  <c r="N102" i="1"/>
  <c r="N112" i="1" s="1"/>
  <c r="P102" i="1"/>
  <c r="T102" i="1"/>
  <c r="M102" i="1"/>
  <c r="O102" i="1"/>
  <c r="D102" i="1"/>
  <c r="B1" i="2"/>
  <c r="B1" i="8"/>
  <c r="B1" i="9"/>
  <c r="B1" i="1"/>
  <c r="B1" i="7"/>
  <c r="E91" i="8"/>
  <c r="AL91" i="8"/>
  <c r="V36" i="9"/>
  <c r="AI36" i="9"/>
  <c r="AG101" i="8"/>
  <c r="AB36" i="9"/>
  <c r="AE36" i="9"/>
  <c r="Y36" i="9"/>
  <c r="P36" i="9"/>
  <c r="K36" i="9"/>
  <c r="AK36" i="9"/>
  <c r="AA101" i="8"/>
  <c r="AI91" i="8"/>
  <c r="D14" i="8"/>
  <c r="E56" i="8"/>
  <c r="E58" i="8" s="1"/>
  <c r="K91" i="8"/>
  <c r="T91" i="8"/>
  <c r="W91" i="8"/>
  <c r="Q36" i="9"/>
  <c r="AL36" i="9"/>
  <c r="AF36" i="9"/>
  <c r="G36" i="9"/>
  <c r="Q91" i="8"/>
  <c r="F50" i="9"/>
  <c r="F52" i="9" s="1"/>
  <c r="H50" i="9"/>
  <c r="H52" i="9" s="1"/>
  <c r="O67" i="8"/>
  <c r="E78" i="8"/>
  <c r="S116" i="9"/>
  <c r="S21" i="9" s="1"/>
  <c r="D42" i="9"/>
  <c r="D44" i="9" s="1"/>
  <c r="AK140" i="9"/>
  <c r="O78" i="9"/>
  <c r="O80" i="9" s="1"/>
  <c r="V83" i="8"/>
  <c r="V47" i="9"/>
  <c r="V50" i="9" s="1"/>
  <c r="V52" i="9" s="1"/>
  <c r="N47" i="9"/>
  <c r="N50" i="9" s="1"/>
  <c r="N52" i="9" s="1"/>
  <c r="N83" i="8"/>
  <c r="D83" i="8"/>
  <c r="D84" i="8" s="1"/>
  <c r="D86" i="8" s="1"/>
  <c r="D31" i="8" s="1"/>
  <c r="M90" i="9"/>
  <c r="M91" i="9" s="1"/>
  <c r="L104" i="9"/>
  <c r="N67" i="8"/>
  <c r="AA116" i="9"/>
  <c r="AA21" i="9" s="1"/>
  <c r="E153" i="2"/>
  <c r="F153" i="2" s="1"/>
  <c r="E139" i="2"/>
  <c r="F139" i="2" s="1"/>
  <c r="W47" i="9"/>
  <c r="W50" i="9" s="1"/>
  <c r="W52" i="9" s="1"/>
  <c r="W83" i="8"/>
  <c r="Z67" i="8"/>
  <c r="AM67" i="8"/>
  <c r="K96" i="9"/>
  <c r="L95" i="9"/>
  <c r="L96" i="9" s="1"/>
  <c r="M78" i="9"/>
  <c r="M80" i="9" s="1"/>
  <c r="M69" i="9"/>
  <c r="V90" i="9"/>
  <c r="V91" i="9" s="1"/>
  <c r="AM116" i="9"/>
  <c r="AM21" i="9" s="1"/>
  <c r="AD140" i="9"/>
  <c r="Y140" i="9"/>
  <c r="M78" i="8"/>
  <c r="D101" i="8"/>
  <c r="D102" i="8" s="1"/>
  <c r="E100" i="8" s="1"/>
  <c r="V96" i="9"/>
  <c r="V78" i="8" s="1"/>
  <c r="X95" i="9"/>
  <c r="X96" i="9" s="1"/>
  <c r="AI96" i="9"/>
  <c r="AJ95" i="9"/>
  <c r="AJ96" i="9" s="1"/>
  <c r="L83" i="8"/>
  <c r="L47" i="9"/>
  <c r="L50" i="9" s="1"/>
  <c r="L52" i="9" s="1"/>
  <c r="W78" i="8"/>
  <c r="J78" i="9"/>
  <c r="J80" i="9" s="1"/>
  <c r="J81" i="9" s="1"/>
  <c r="J105" i="9" s="1"/>
  <c r="J69" i="9"/>
  <c r="H78" i="8"/>
  <c r="E47" i="9"/>
  <c r="E50" i="9" s="1"/>
  <c r="E52" i="9" s="1"/>
  <c r="E83" i="8"/>
  <c r="AF78" i="8"/>
  <c r="AH83" i="8"/>
  <c r="AH47" i="9"/>
  <c r="AH50" i="9" s="1"/>
  <c r="AH52" i="9" s="1"/>
  <c r="Q67" i="8"/>
  <c r="AF91" i="9"/>
  <c r="AE90" i="9"/>
  <c r="N96" i="9"/>
  <c r="O95" i="9"/>
  <c r="O96" i="9" s="1"/>
  <c r="E67" i="8"/>
  <c r="U67" i="8"/>
  <c r="AL78" i="8"/>
  <c r="AD67" i="8"/>
  <c r="F67" i="8"/>
  <c r="AK96" i="9"/>
  <c r="AK78" i="8" s="1"/>
  <c r="AM95" i="9"/>
  <c r="M47" i="9"/>
  <c r="M50" i="9" s="1"/>
  <c r="M52" i="9" s="1"/>
  <c r="M83" i="8"/>
  <c r="AL91" i="9"/>
  <c r="AK90" i="9"/>
  <c r="AK91" i="9" s="1"/>
  <c r="J83" i="8"/>
  <c r="J47" i="9"/>
  <c r="J50" i="9" s="1"/>
  <c r="J52" i="9" s="1"/>
  <c r="AM47" i="9"/>
  <c r="AM50" i="9" s="1"/>
  <c r="AM52" i="9" s="1"/>
  <c r="E39" i="2"/>
  <c r="U95" i="9"/>
  <c r="S90" i="9"/>
  <c r="W67" i="8"/>
  <c r="D22" i="2"/>
  <c r="D33" i="2" s="1"/>
  <c r="F78" i="9"/>
  <c r="F80" i="9" s="1"/>
  <c r="J90" i="9"/>
  <c r="AB89" i="9"/>
  <c r="AB90" i="9" s="1"/>
  <c r="AM83" i="8"/>
  <c r="AF17" i="9"/>
  <c r="K104" i="9"/>
  <c r="F39" i="2"/>
  <c r="N69" i="9"/>
  <c r="N78" i="9"/>
  <c r="N80" i="9" s="1"/>
  <c r="AG95" i="9"/>
  <c r="AE96" i="9"/>
  <c r="AG83" i="8"/>
  <c r="AG47" i="9"/>
  <c r="AG50" i="9" s="1"/>
  <c r="AG52" i="9" s="1"/>
  <c r="Y90" i="9"/>
  <c r="K47" i="9"/>
  <c r="K50" i="9" s="1"/>
  <c r="K52" i="9" s="1"/>
  <c r="K83" i="8"/>
  <c r="AG67" i="8"/>
  <c r="G90" i="9"/>
  <c r="R67" i="8"/>
  <c r="I78" i="9"/>
  <c r="I80" i="9" s="1"/>
  <c r="I69" i="9"/>
  <c r="AA67" i="8"/>
  <c r="S83" i="8"/>
  <c r="S47" i="9"/>
  <c r="S50" i="9" s="1"/>
  <c r="S52" i="9" s="1"/>
  <c r="H104" i="9"/>
  <c r="I67" i="8"/>
  <c r="G78" i="8"/>
  <c r="T67" i="8"/>
  <c r="AA95" i="9"/>
  <c r="Y96" i="9"/>
  <c r="D47" i="9"/>
  <c r="D50" i="9" s="1"/>
  <c r="AC47" i="9"/>
  <c r="AC50" i="9" s="1"/>
  <c r="AC52" i="9" s="1"/>
  <c r="AC83" i="8"/>
  <c r="G69" i="9"/>
  <c r="Z78" i="8"/>
  <c r="AH78" i="8"/>
  <c r="O83" i="8"/>
  <c r="O47" i="9"/>
  <c r="O50" i="9" s="1"/>
  <c r="O52" i="9" s="1"/>
  <c r="AA47" i="9"/>
  <c r="AA50" i="9" s="1"/>
  <c r="AA52" i="9" s="1"/>
  <c r="K67" i="8"/>
  <c r="S78" i="8"/>
  <c r="K78" i="9"/>
  <c r="K80" i="9" s="1"/>
  <c r="E69" i="9"/>
  <c r="I95" i="9"/>
  <c r="I96" i="9" s="1"/>
  <c r="AJ67" i="8"/>
  <c r="AC91" i="9"/>
  <c r="X47" i="9"/>
  <c r="X50" i="9" s="1"/>
  <c r="X52" i="9" s="1"/>
  <c r="X83" i="8"/>
  <c r="D69" i="9"/>
  <c r="D10" i="2"/>
  <c r="J78" i="8"/>
  <c r="G47" i="9"/>
  <c r="G50" i="9" s="1"/>
  <c r="G52" i="9" s="1"/>
  <c r="G83" i="8"/>
  <c r="I83" i="8"/>
  <c r="I47" i="9"/>
  <c r="I50" i="9" s="1"/>
  <c r="I52" i="9" s="1"/>
  <c r="U83" i="8"/>
  <c r="U47" i="9"/>
  <c r="U50" i="9" s="1"/>
  <c r="U52" i="9" s="1"/>
  <c r="AH90" i="9"/>
  <c r="AI91" i="9"/>
  <c r="F20" i="9"/>
  <c r="E20" i="9"/>
  <c r="D20" i="9"/>
  <c r="D155" i="2" l="1"/>
  <c r="D16" i="2"/>
  <c r="D17" i="2" s="1"/>
  <c r="D109" i="9"/>
  <c r="D111" i="9" s="1"/>
  <c r="D124" i="9"/>
  <c r="E169" i="1"/>
  <c r="E103" i="1"/>
  <c r="N31" i="1"/>
  <c r="N29" i="1" s="1"/>
  <c r="O31" i="1"/>
  <c r="O29" i="1" s="1"/>
  <c r="D96" i="9"/>
  <c r="D78" i="8" s="1"/>
  <c r="D79" i="8" s="1"/>
  <c r="P83" i="8"/>
  <c r="L75" i="9"/>
  <c r="L62" i="8" s="1"/>
  <c r="F70" i="9"/>
  <c r="G71" i="9"/>
  <c r="J71" i="9"/>
  <c r="I70" i="9"/>
  <c r="I75" i="9" s="1"/>
  <c r="I62" i="8" s="1"/>
  <c r="E70" i="9"/>
  <c r="F71" i="9"/>
  <c r="D70" i="9"/>
  <c r="D75" i="9" s="1"/>
  <c r="D62" i="8" s="1"/>
  <c r="D63" i="8" s="1"/>
  <c r="D15" i="8" s="1"/>
  <c r="E71" i="9"/>
  <c r="J70" i="9"/>
  <c r="K71" i="9"/>
  <c r="N71" i="9"/>
  <c r="M70" i="9"/>
  <c r="M75" i="9" s="1"/>
  <c r="M62" i="8" s="1"/>
  <c r="O71" i="9"/>
  <c r="N70" i="9"/>
  <c r="G70" i="9"/>
  <c r="H71" i="9"/>
  <c r="L72" i="9"/>
  <c r="L73" i="9" s="1"/>
  <c r="L74" i="9" s="1"/>
  <c r="L13" i="9" s="1"/>
  <c r="I112" i="1"/>
  <c r="D98" i="9"/>
  <c r="D100" i="9" s="1"/>
  <c r="D18" i="9" s="1"/>
  <c r="D22" i="9" s="1"/>
  <c r="O98" i="9"/>
  <c r="O100" i="9" s="1"/>
  <c r="O18" i="9" s="1"/>
  <c r="O112" i="1"/>
  <c r="H98" i="9"/>
  <c r="H100" i="9" s="1"/>
  <c r="H18" i="9" s="1"/>
  <c r="H112" i="1"/>
  <c r="K98" i="9"/>
  <c r="K100" i="9" s="1"/>
  <c r="K18" i="9" s="1"/>
  <c r="K112" i="1"/>
  <c r="E98" i="9"/>
  <c r="E100" i="9" s="1"/>
  <c r="E18" i="9" s="1"/>
  <c r="E112" i="1"/>
  <c r="F98" i="9"/>
  <c r="F100" i="9" s="1"/>
  <c r="F18" i="9" s="1"/>
  <c r="F112" i="1"/>
  <c r="M98" i="9"/>
  <c r="M100" i="9" s="1"/>
  <c r="M18" i="9" s="1"/>
  <c r="M112" i="1"/>
  <c r="G98" i="9"/>
  <c r="G100" i="9" s="1"/>
  <c r="G18" i="9" s="1"/>
  <c r="G112" i="1"/>
  <c r="J98" i="9"/>
  <c r="J100" i="9" s="1"/>
  <c r="J18" i="9" s="1"/>
  <c r="J112" i="1"/>
  <c r="AD95" i="9"/>
  <c r="AD96" i="9" s="1"/>
  <c r="R95" i="9"/>
  <c r="R96" i="9" s="1"/>
  <c r="D104" i="9"/>
  <c r="E104" i="9"/>
  <c r="F104" i="9"/>
  <c r="R30" i="9"/>
  <c r="R31" i="9" s="1"/>
  <c r="R36" i="9" s="1"/>
  <c r="L78" i="9"/>
  <c r="L80" i="9" s="1"/>
  <c r="L81" i="9" s="1"/>
  <c r="L105" i="9" s="1"/>
  <c r="AJ30" i="9"/>
  <c r="AJ31" i="9" s="1"/>
  <c r="AJ36" i="9" s="1"/>
  <c r="Y91" i="8"/>
  <c r="L30" i="9"/>
  <c r="L31" i="9" s="1"/>
  <c r="L36" i="9" s="1"/>
  <c r="AG30" i="9"/>
  <c r="AG31" i="9" s="1"/>
  <c r="AG36" i="9" s="1"/>
  <c r="X30" i="9"/>
  <c r="X31" i="9" s="1"/>
  <c r="X36" i="9" s="1"/>
  <c r="AH91" i="8"/>
  <c r="F110" i="9"/>
  <c r="F111" i="9" s="1"/>
  <c r="U30" i="9"/>
  <c r="U31" i="9" s="1"/>
  <c r="U36" i="9" s="1"/>
  <c r="AD30" i="9"/>
  <c r="AD31" i="9" s="1"/>
  <c r="AD36" i="9" s="1"/>
  <c r="AM30" i="9"/>
  <c r="AM31" i="9" s="1"/>
  <c r="AM36" i="9" s="1"/>
  <c r="AA91" i="8"/>
  <c r="AF47" i="9"/>
  <c r="AF50" i="9" s="1"/>
  <c r="AF52" i="9" s="1"/>
  <c r="AA30" i="9"/>
  <c r="AA31" i="9" s="1"/>
  <c r="AA36" i="9" s="1"/>
  <c r="E102" i="8"/>
  <c r="F100" i="8" s="1"/>
  <c r="F102" i="8" s="1"/>
  <c r="U91" i="8"/>
  <c r="AI47" i="9"/>
  <c r="AI50" i="9" s="1"/>
  <c r="AI52" i="9" s="1"/>
  <c r="D38" i="8"/>
  <c r="O30" i="9"/>
  <c r="O31" i="9" s="1"/>
  <c r="O36" i="9" s="1"/>
  <c r="R91" i="8"/>
  <c r="AJ91" i="8"/>
  <c r="AM91" i="8"/>
  <c r="L91" i="8"/>
  <c r="I30" i="9"/>
  <c r="I31" i="9" s="1"/>
  <c r="I36" i="9" s="1"/>
  <c r="AB83" i="8"/>
  <c r="D169" i="1"/>
  <c r="F169" i="1"/>
  <c r="AL47" i="9"/>
  <c r="AL50" i="9" s="1"/>
  <c r="AL52" i="9" s="1"/>
  <c r="T47" i="9"/>
  <c r="T50" i="9" s="1"/>
  <c r="T52" i="9" s="1"/>
  <c r="AB47" i="9"/>
  <c r="AB50" i="9" s="1"/>
  <c r="AB52" i="9" s="1"/>
  <c r="T83" i="8"/>
  <c r="Q47" i="9"/>
  <c r="Q50" i="9" s="1"/>
  <c r="Q52" i="9" s="1"/>
  <c r="Q83" i="8"/>
  <c r="O100" i="1"/>
  <c r="O103" i="1" s="1"/>
  <c r="O106" i="1" s="1"/>
  <c r="R83" i="8"/>
  <c r="D123" i="9"/>
  <c r="P47" i="9"/>
  <c r="P50" i="9" s="1"/>
  <c r="P52" i="9" s="1"/>
  <c r="E131" i="2"/>
  <c r="F131" i="2" s="1"/>
  <c r="Z47" i="9"/>
  <c r="Z50" i="9" s="1"/>
  <c r="Z52" i="9" s="1"/>
  <c r="Z83" i="8"/>
  <c r="D144" i="1"/>
  <c r="AA50" i="8"/>
  <c r="D52" i="9"/>
  <c r="D51" i="2" s="1"/>
  <c r="H78" i="9"/>
  <c r="H80" i="9" s="1"/>
  <c r="N78" i="8"/>
  <c r="L78" i="8"/>
  <c r="H100" i="1"/>
  <c r="H103" i="1" s="1"/>
  <c r="H106" i="1" s="1"/>
  <c r="H168" i="1" s="1"/>
  <c r="H171" i="1" s="1"/>
  <c r="AE47" i="9"/>
  <c r="AE50" i="9" s="1"/>
  <c r="AE52" i="9" s="1"/>
  <c r="M169" i="1"/>
  <c r="T169" i="1"/>
  <c r="O169" i="1"/>
  <c r="L169" i="1"/>
  <c r="W169" i="1"/>
  <c r="G169" i="1"/>
  <c r="K169" i="1"/>
  <c r="P169" i="1"/>
  <c r="D67" i="8"/>
  <c r="D68" i="8" s="1"/>
  <c r="D16" i="8" s="1"/>
  <c r="D32" i="8"/>
  <c r="D33" i="8" s="1"/>
  <c r="E14" i="8"/>
  <c r="F56" i="8"/>
  <c r="F58" i="8" s="1"/>
  <c r="AG91" i="8"/>
  <c r="AK47" i="9"/>
  <c r="AK50" i="9" s="1"/>
  <c r="AK52" i="9" s="1"/>
  <c r="AK83" i="8"/>
  <c r="AF67" i="8"/>
  <c r="F105" i="8"/>
  <c r="F107" i="8" s="1"/>
  <c r="F38" i="8" s="1"/>
  <c r="F100" i="1"/>
  <c r="F103" i="1" s="1"/>
  <c r="F106" i="1" s="1"/>
  <c r="E84" i="8"/>
  <c r="E86" i="8" s="1"/>
  <c r="E31" i="8" s="1"/>
  <c r="K78" i="8"/>
  <c r="AD47" i="9"/>
  <c r="AD50" i="9" s="1"/>
  <c r="AD52" i="9" s="1"/>
  <c r="AD83" i="8"/>
  <c r="M104" i="9"/>
  <c r="M81" i="9"/>
  <c r="M105" i="9" s="1"/>
  <c r="Y47" i="9"/>
  <c r="Y50" i="9" s="1"/>
  <c r="Y52" i="9" s="1"/>
  <c r="Y83" i="8"/>
  <c r="N169" i="1"/>
  <c r="V169" i="1"/>
  <c r="U169" i="1"/>
  <c r="AJ78" i="8"/>
  <c r="N100" i="1"/>
  <c r="N103" i="1" s="1"/>
  <c r="N106" i="1" s="1"/>
  <c r="J104" i="9"/>
  <c r="J107" i="9" s="1"/>
  <c r="AI78" i="8"/>
  <c r="X78" i="8"/>
  <c r="AK67" i="8"/>
  <c r="AL67" i="8"/>
  <c r="AM96" i="9"/>
  <c r="O78" i="8"/>
  <c r="S91" i="9"/>
  <c r="I98" i="9"/>
  <c r="I100" i="9" s="1"/>
  <c r="I18" i="9" s="1"/>
  <c r="N98" i="9"/>
  <c r="N100" i="9" s="1"/>
  <c r="N18" i="9" s="1"/>
  <c r="F81" i="9"/>
  <c r="F105" i="9" s="1"/>
  <c r="J91" i="9"/>
  <c r="U96" i="9"/>
  <c r="AE91" i="9"/>
  <c r="AI67" i="8"/>
  <c r="G78" i="9"/>
  <c r="G80" i="9" s="1"/>
  <c r="M67" i="8"/>
  <c r="Y78" i="8"/>
  <c r="F96" i="9"/>
  <c r="AE78" i="8"/>
  <c r="O81" i="9"/>
  <c r="O105" i="9" s="1"/>
  <c r="E78" i="9"/>
  <c r="E80" i="9" s="1"/>
  <c r="K81" i="9"/>
  <c r="K105" i="9" s="1"/>
  <c r="K107" i="9" s="1"/>
  <c r="AA96" i="9"/>
  <c r="Y91" i="9"/>
  <c r="AG96" i="9"/>
  <c r="AH91" i="9"/>
  <c r="G91" i="9"/>
  <c r="AB91" i="9"/>
  <c r="D78" i="9"/>
  <c r="D80" i="9" s="1"/>
  <c r="D12" i="2"/>
  <c r="I81" i="9"/>
  <c r="I105" i="9" s="1"/>
  <c r="V67" i="8"/>
  <c r="AC67" i="8"/>
  <c r="N81" i="9"/>
  <c r="N105" i="9" s="1"/>
  <c r="G104" i="9"/>
  <c r="N104" i="9"/>
  <c r="J82" i="9"/>
  <c r="AB78" i="8"/>
  <c r="I78" i="8"/>
  <c r="I104" i="9"/>
  <c r="D160" i="1" l="1"/>
  <c r="D10" i="8" s="1"/>
  <c r="D11" i="8" s="1"/>
  <c r="F168" i="1"/>
  <c r="F171" i="1" s="1"/>
  <c r="G75" i="9"/>
  <c r="G62" i="8" s="1"/>
  <c r="J75" i="9"/>
  <c r="J62" i="8" s="1"/>
  <c r="F75" i="9"/>
  <c r="F62" i="8" s="1"/>
  <c r="N75" i="9"/>
  <c r="N62" i="8" s="1"/>
  <c r="E75" i="9"/>
  <c r="E62" i="8" s="1"/>
  <c r="D125" i="9"/>
  <c r="D34" i="9" s="1"/>
  <c r="D36" i="9" s="1"/>
  <c r="M72" i="9"/>
  <c r="M73" i="9" s="1"/>
  <c r="M74" i="9" s="1"/>
  <c r="M13" i="9" s="1"/>
  <c r="I72" i="9"/>
  <c r="I73" i="9" s="1"/>
  <c r="I74" i="9" s="1"/>
  <c r="I13" i="9" s="1"/>
  <c r="E61" i="8"/>
  <c r="D72" i="9"/>
  <c r="D73" i="9" s="1"/>
  <c r="D74" i="9" s="1"/>
  <c r="D13" i="9" s="1"/>
  <c r="D24" i="9" s="1"/>
  <c r="E72" i="9"/>
  <c r="E73" i="9" s="1"/>
  <c r="E74" i="9" s="1"/>
  <c r="E13" i="9" s="1"/>
  <c r="F124" i="9"/>
  <c r="D73" i="8"/>
  <c r="F72" i="9"/>
  <c r="G72" i="9"/>
  <c r="G73" i="9" s="1"/>
  <c r="G74" i="9" s="1"/>
  <c r="G13" i="9" s="1"/>
  <c r="H75" i="9"/>
  <c r="H62" i="8" s="1"/>
  <c r="H72" i="9"/>
  <c r="H73" i="9" s="1"/>
  <c r="H74" i="9" s="1"/>
  <c r="H13" i="9" s="1"/>
  <c r="K75" i="9"/>
  <c r="K62" i="8" s="1"/>
  <c r="K72" i="9"/>
  <c r="K73" i="9" s="1"/>
  <c r="K74" i="9" s="1"/>
  <c r="K13" i="9" s="1"/>
  <c r="J72" i="9"/>
  <c r="J73" i="9" s="1"/>
  <c r="J74" i="9" s="1"/>
  <c r="J13" i="9" s="1"/>
  <c r="O75" i="9"/>
  <c r="O62" i="8" s="1"/>
  <c r="O72" i="9"/>
  <c r="O73" i="9" s="1"/>
  <c r="O74" i="9" s="1"/>
  <c r="O13" i="9" s="1"/>
  <c r="N72" i="9"/>
  <c r="N73" i="9" s="1"/>
  <c r="N74" i="9" s="1"/>
  <c r="N13" i="9" s="1"/>
  <c r="L82" i="9"/>
  <c r="M83" i="9" s="1"/>
  <c r="E50" i="2"/>
  <c r="F50" i="2"/>
  <c r="N107" i="9"/>
  <c r="M107" i="9"/>
  <c r="E32" i="8"/>
  <c r="E33" i="8" s="1"/>
  <c r="O106" i="9"/>
  <c r="O19" i="9" s="1"/>
  <c r="L106" i="9"/>
  <c r="AD91" i="8"/>
  <c r="X91" i="8"/>
  <c r="I91" i="8"/>
  <c r="E140" i="1"/>
  <c r="E142" i="1" s="1"/>
  <c r="E144" i="1" s="1"/>
  <c r="J100" i="1"/>
  <c r="J103" i="1" s="1"/>
  <c r="J106" i="1" s="1"/>
  <c r="J168" i="1" s="1"/>
  <c r="J171" i="1" s="1"/>
  <c r="E51" i="2"/>
  <c r="G105" i="8"/>
  <c r="G107" i="8" s="1"/>
  <c r="H105" i="8" s="1"/>
  <c r="H107" i="8" s="1"/>
  <c r="E66" i="8"/>
  <c r="E68" i="8" s="1"/>
  <c r="F66" i="8" s="1"/>
  <c r="F68" i="8" s="1"/>
  <c r="M100" i="1"/>
  <c r="M103" i="1" s="1"/>
  <c r="M106" i="1" s="1"/>
  <c r="M168" i="1" s="1"/>
  <c r="M171" i="1" s="1"/>
  <c r="H81" i="9"/>
  <c r="H105" i="9" s="1"/>
  <c r="H107" i="9" s="1"/>
  <c r="F82" i="9"/>
  <c r="G83" i="9" s="1"/>
  <c r="G16" i="9" s="1"/>
  <c r="G22" i="9" s="1"/>
  <c r="AM50" i="8"/>
  <c r="F84" i="8"/>
  <c r="F51" i="2"/>
  <c r="F14" i="8"/>
  <c r="G56" i="8"/>
  <c r="G58" i="8" s="1"/>
  <c r="AD78" i="8"/>
  <c r="M82" i="9"/>
  <c r="N83" i="9" s="1"/>
  <c r="N16" i="9" s="1"/>
  <c r="N22" i="9" s="1"/>
  <c r="U78" i="8"/>
  <c r="R78" i="8"/>
  <c r="AE67" i="8"/>
  <c r="J67" i="8"/>
  <c r="S67" i="8"/>
  <c r="AM78" i="8"/>
  <c r="O82" i="9"/>
  <c r="P83" i="9" s="1"/>
  <c r="P16" i="9" s="1"/>
  <c r="Y67" i="8"/>
  <c r="E106" i="1"/>
  <c r="O168" i="1"/>
  <c r="O171" i="1" s="1"/>
  <c r="I82" i="9"/>
  <c r="F78" i="8"/>
  <c r="K100" i="1"/>
  <c r="K103" i="1" s="1"/>
  <c r="K106" i="1" s="1"/>
  <c r="F32" i="8"/>
  <c r="G100" i="8"/>
  <c r="G102" i="8" s="1"/>
  <c r="F30" i="9"/>
  <c r="F31" i="9" s="1"/>
  <c r="G67" i="8"/>
  <c r="K83" i="9"/>
  <c r="K16" i="9" s="1"/>
  <c r="K22" i="9" s="1"/>
  <c r="N168" i="1"/>
  <c r="N171" i="1" s="1"/>
  <c r="D91" i="8"/>
  <c r="AH67" i="8"/>
  <c r="D100" i="1"/>
  <c r="D36" i="2" s="1"/>
  <c r="D112" i="1"/>
  <c r="AA78" i="8"/>
  <c r="E77" i="8"/>
  <c r="E79" i="8" s="1"/>
  <c r="D22" i="8"/>
  <c r="G100" i="1"/>
  <c r="G103" i="1" s="1"/>
  <c r="G106" i="1" s="1"/>
  <c r="M30" i="1" s="1"/>
  <c r="M29" i="1" s="1"/>
  <c r="I100" i="1"/>
  <c r="I103" i="1" s="1"/>
  <c r="I106" i="1" s="1"/>
  <c r="D81" i="9"/>
  <c r="D105" i="9" s="1"/>
  <c r="D107" i="9" s="1"/>
  <c r="AB67" i="8"/>
  <c r="G81" i="9"/>
  <c r="G105" i="9" s="1"/>
  <c r="E81" i="9"/>
  <c r="E105" i="9" s="1"/>
  <c r="AG78" i="8"/>
  <c r="N82" i="9"/>
  <c r="D18" i="2"/>
  <c r="K82" i="9"/>
  <c r="F140" i="1" l="1"/>
  <c r="E160" i="1"/>
  <c r="E10" i="8" s="1"/>
  <c r="E63" i="8"/>
  <c r="E15" i="8" s="1"/>
  <c r="F73" i="9"/>
  <c r="F74" i="9" s="1"/>
  <c r="F13" i="9" s="1"/>
  <c r="F73" i="8"/>
  <c r="F125" i="9"/>
  <c r="F34" i="9" s="1"/>
  <c r="F36" i="9" s="1"/>
  <c r="D50" i="2" s="1"/>
  <c r="K24" i="9"/>
  <c r="K55" i="9" s="1"/>
  <c r="E11" i="8"/>
  <c r="E107" i="9"/>
  <c r="G107" i="9"/>
  <c r="G90" i="8" s="1"/>
  <c r="L19" i="9"/>
  <c r="L107" i="9"/>
  <c r="O107" i="9"/>
  <c r="O90" i="8" s="1"/>
  <c r="F106" i="9"/>
  <c r="I106" i="9"/>
  <c r="H79" i="1"/>
  <c r="G38" i="8"/>
  <c r="E16" i="8"/>
  <c r="H82" i="9"/>
  <c r="I83" i="9" s="1"/>
  <c r="I16" i="9" s="1"/>
  <c r="J90" i="8"/>
  <c r="F86" i="8"/>
  <c r="F31" i="8" s="1"/>
  <c r="F33" i="8" s="1"/>
  <c r="G84" i="8"/>
  <c r="G14" i="8"/>
  <c r="H56" i="8"/>
  <c r="H58" i="8" s="1"/>
  <c r="E82" i="9"/>
  <c r="N24" i="9"/>
  <c r="N55" i="9" s="1"/>
  <c r="G24" i="9"/>
  <c r="G55" i="9" s="1"/>
  <c r="G82" i="9"/>
  <c r="H83" i="9" s="1"/>
  <c r="M90" i="8"/>
  <c r="F142" i="1"/>
  <c r="F144" i="1" s="1"/>
  <c r="F160" i="1" s="1"/>
  <c r="F10" i="8" s="1"/>
  <c r="H38" i="8"/>
  <c r="I105" i="8"/>
  <c r="I107" i="8" s="1"/>
  <c r="I38" i="8" s="1"/>
  <c r="D82" i="9"/>
  <c r="D84" i="9" s="1"/>
  <c r="G66" i="8"/>
  <c r="G68" i="8" s="1"/>
  <c r="H66" i="8" s="1"/>
  <c r="H68" i="8" s="1"/>
  <c r="F16" i="8"/>
  <c r="D55" i="9"/>
  <c r="D58" i="9" s="1"/>
  <c r="K168" i="1"/>
  <c r="K171" i="1" s="1"/>
  <c r="E22" i="8"/>
  <c r="F77" i="8"/>
  <c r="F79" i="8" s="1"/>
  <c r="E168" i="1"/>
  <c r="E171" i="1" s="1"/>
  <c r="F91" i="8"/>
  <c r="O83" i="9"/>
  <c r="N84" i="9"/>
  <c r="G168" i="1"/>
  <c r="G171" i="1" s="1"/>
  <c r="G32" i="8"/>
  <c r="H100" i="8"/>
  <c r="H102" i="8" s="1"/>
  <c r="L83" i="9"/>
  <c r="K84" i="9"/>
  <c r="J83" i="9"/>
  <c r="D107" i="2"/>
  <c r="D19" i="2"/>
  <c r="N90" i="8"/>
  <c r="D103" i="1"/>
  <c r="K90" i="8"/>
  <c r="M16" i="9"/>
  <c r="M22" i="9" s="1"/>
  <c r="M24" i="9" s="1"/>
  <c r="M55" i="9" s="1"/>
  <c r="M84" i="9"/>
  <c r="I168" i="1"/>
  <c r="I171" i="1" s="1"/>
  <c r="D39" i="2" l="1"/>
  <c r="F61" i="8"/>
  <c r="F63" i="8" s="1"/>
  <c r="G61" i="8" s="1"/>
  <c r="G63" i="8" s="1"/>
  <c r="H61" i="8" s="1"/>
  <c r="H63" i="8" s="1"/>
  <c r="I61" i="8" s="1"/>
  <c r="I63" i="8" s="1"/>
  <c r="I19" i="9"/>
  <c r="I22" i="9" s="1"/>
  <c r="I24" i="9" s="1"/>
  <c r="I55" i="9" s="1"/>
  <c r="I107" i="9"/>
  <c r="I90" i="8" s="1"/>
  <c r="F19" i="9"/>
  <c r="F107" i="9"/>
  <c r="F83" i="9"/>
  <c r="F84" i="9" s="1"/>
  <c r="I79" i="1"/>
  <c r="I84" i="9"/>
  <c r="I72" i="8" s="1"/>
  <c r="H90" i="8"/>
  <c r="G86" i="8"/>
  <c r="G31" i="8" s="1"/>
  <c r="G33" i="8" s="1"/>
  <c r="H84" i="8"/>
  <c r="G16" i="8"/>
  <c r="H14" i="8"/>
  <c r="I56" i="8"/>
  <c r="I58" i="8" s="1"/>
  <c r="G84" i="9"/>
  <c r="G72" i="8" s="1"/>
  <c r="E83" i="9"/>
  <c r="E16" i="9" s="1"/>
  <c r="E22" i="9" s="1"/>
  <c r="E24" i="9" s="1"/>
  <c r="E55" i="9" s="1"/>
  <c r="F11" i="8"/>
  <c r="G140" i="1"/>
  <c r="J105" i="8"/>
  <c r="J107" i="8" s="1"/>
  <c r="D106" i="1"/>
  <c r="H32" i="8"/>
  <c r="I100" i="8"/>
  <c r="I102" i="8" s="1"/>
  <c r="F22" i="8"/>
  <c r="G77" i="8"/>
  <c r="G79" i="8" s="1"/>
  <c r="L90" i="8"/>
  <c r="E90" i="8"/>
  <c r="O16" i="9"/>
  <c r="O22" i="9" s="1"/>
  <c r="O24" i="9" s="1"/>
  <c r="O55" i="9" s="1"/>
  <c r="O84" i="9"/>
  <c r="E57" i="9"/>
  <c r="D17" i="8"/>
  <c r="D18" i="8" s="1"/>
  <c r="N72" i="8"/>
  <c r="D90" i="8"/>
  <c r="D92" i="8" s="1"/>
  <c r="J16" i="9"/>
  <c r="J22" i="9" s="1"/>
  <c r="J24" i="9" s="1"/>
  <c r="J55" i="9" s="1"/>
  <c r="J84" i="9"/>
  <c r="K72" i="8"/>
  <c r="I66" i="8"/>
  <c r="I68" i="8" s="1"/>
  <c r="H16" i="8"/>
  <c r="L16" i="9"/>
  <c r="L84" i="9"/>
  <c r="M72" i="8"/>
  <c r="H16" i="9"/>
  <c r="H22" i="9" s="1"/>
  <c r="H24" i="9" s="1"/>
  <c r="H55" i="9" s="1"/>
  <c r="H84" i="9"/>
  <c r="D72" i="8"/>
  <c r="D74" i="8" s="1"/>
  <c r="H15" i="8" l="1"/>
  <c r="F15" i="8"/>
  <c r="G15" i="8"/>
  <c r="F16" i="9"/>
  <c r="F22" i="9" s="1"/>
  <c r="F24" i="9" s="1"/>
  <c r="F55" i="9" s="1"/>
  <c r="E84" i="9"/>
  <c r="E72" i="8" s="1"/>
  <c r="J79" i="1"/>
  <c r="F90" i="8"/>
  <c r="H86" i="8"/>
  <c r="H31" i="8" s="1"/>
  <c r="H33" i="8" s="1"/>
  <c r="I84" i="8"/>
  <c r="E58" i="9"/>
  <c r="E17" i="8" s="1"/>
  <c r="E18" i="8" s="1"/>
  <c r="J56" i="8"/>
  <c r="J58" i="8" s="1"/>
  <c r="I14" i="8"/>
  <c r="G142" i="1"/>
  <c r="G144" i="1" s="1"/>
  <c r="G160" i="1" s="1"/>
  <c r="G10" i="8" s="1"/>
  <c r="J61" i="8"/>
  <c r="J63" i="8" s="1"/>
  <c r="I15" i="8"/>
  <c r="J38" i="8"/>
  <c r="K105" i="8"/>
  <c r="K107" i="8" s="1"/>
  <c r="H72" i="8"/>
  <c r="H77" i="8"/>
  <c r="H79" i="8" s="1"/>
  <c r="G22" i="8"/>
  <c r="I32" i="8"/>
  <c r="J100" i="8"/>
  <c r="J102" i="8" s="1"/>
  <c r="J66" i="8"/>
  <c r="J68" i="8" s="1"/>
  <c r="I16" i="8"/>
  <c r="O72" i="8"/>
  <c r="F72" i="8"/>
  <c r="L72" i="8"/>
  <c r="E89" i="8"/>
  <c r="E92" i="8" s="1"/>
  <c r="D24" i="8"/>
  <c r="D21" i="8"/>
  <c r="E71" i="8"/>
  <c r="J72" i="8"/>
  <c r="D168" i="1"/>
  <c r="D171" i="1" s="1"/>
  <c r="K79" i="1" l="1"/>
  <c r="F57" i="9"/>
  <c r="F58" i="9" s="1"/>
  <c r="F17" i="8" s="1"/>
  <c r="F18" i="8" s="1"/>
  <c r="I86" i="8"/>
  <c r="I31" i="8" s="1"/>
  <c r="I33" i="8" s="1"/>
  <c r="J84" i="8"/>
  <c r="E74" i="8"/>
  <c r="E21" i="8" s="1"/>
  <c r="J14" i="8"/>
  <c r="K56" i="8"/>
  <c r="K58" i="8" s="1"/>
  <c r="H140" i="1"/>
  <c r="G11" i="8"/>
  <c r="J15" i="8"/>
  <c r="K61" i="8"/>
  <c r="K63" i="8" s="1"/>
  <c r="L105" i="8"/>
  <c r="L107" i="8" s="1"/>
  <c r="K38" i="8"/>
  <c r="J16" i="8"/>
  <c r="K66" i="8"/>
  <c r="K68" i="8" s="1"/>
  <c r="J32" i="8"/>
  <c r="K100" i="8"/>
  <c r="K102" i="8" s="1"/>
  <c r="E24" i="8"/>
  <c r="F89" i="8"/>
  <c r="F92" i="8" s="1"/>
  <c r="H22" i="8"/>
  <c r="I77" i="8"/>
  <c r="I79" i="8" s="1"/>
  <c r="E172" i="1"/>
  <c r="E174" i="1"/>
  <c r="D174" i="1"/>
  <c r="D172" i="1"/>
  <c r="G57" i="9" l="1"/>
  <c r="G58" i="9" s="1"/>
  <c r="G17" i="8" s="1"/>
  <c r="G18" i="8" s="1"/>
  <c r="L79" i="1"/>
  <c r="F71" i="8"/>
  <c r="F74" i="8" s="1"/>
  <c r="G71" i="8" s="1"/>
  <c r="G74" i="8" s="1"/>
  <c r="J86" i="8"/>
  <c r="J31" i="8" s="1"/>
  <c r="J33" i="8" s="1"/>
  <c r="K84" i="8"/>
  <c r="K14" i="8"/>
  <c r="L56" i="8"/>
  <c r="L58" i="8" s="1"/>
  <c r="H142" i="1"/>
  <c r="H144" i="1" s="1"/>
  <c r="H160" i="1" s="1"/>
  <c r="H10" i="8" s="1"/>
  <c r="M105" i="8"/>
  <c r="M107" i="8" s="1"/>
  <c r="L38" i="8"/>
  <c r="L61" i="8"/>
  <c r="L63" i="8" s="1"/>
  <c r="K15" i="8"/>
  <c r="I22" i="8"/>
  <c r="J77" i="8"/>
  <c r="J79" i="8" s="1"/>
  <c r="G89" i="8"/>
  <c r="G92" i="8" s="1"/>
  <c r="F24" i="8"/>
  <c r="L66" i="8"/>
  <c r="L68" i="8" s="1"/>
  <c r="K16" i="8"/>
  <c r="L100" i="8"/>
  <c r="L102" i="8" s="1"/>
  <c r="K32" i="8"/>
  <c r="H57" i="9" l="1"/>
  <c r="H58" i="9" s="1"/>
  <c r="I57" i="9" s="1"/>
  <c r="I58" i="9" s="1"/>
  <c r="F21" i="8"/>
  <c r="M79" i="1"/>
  <c r="L84" i="8"/>
  <c r="K86" i="8"/>
  <c r="K31" i="8" s="1"/>
  <c r="K33" i="8" s="1"/>
  <c r="L14" i="8"/>
  <c r="M56" i="8"/>
  <c r="M58" i="8" s="1"/>
  <c r="I140" i="1"/>
  <c r="H11" i="8"/>
  <c r="M61" i="8"/>
  <c r="M63" i="8" s="1"/>
  <c r="L15" i="8"/>
  <c r="M38" i="8"/>
  <c r="N105" i="8"/>
  <c r="N107" i="8" s="1"/>
  <c r="L32" i="8"/>
  <c r="M100" i="8"/>
  <c r="M102" i="8" s="1"/>
  <c r="H89" i="8"/>
  <c r="H92" i="8" s="1"/>
  <c r="G24" i="8"/>
  <c r="G21" i="8"/>
  <c r="H71" i="8"/>
  <c r="H74" i="8" s="1"/>
  <c r="K77" i="8"/>
  <c r="K79" i="8" s="1"/>
  <c r="J22" i="8"/>
  <c r="M66" i="8"/>
  <c r="M68" i="8" s="1"/>
  <c r="L16" i="8"/>
  <c r="H17" i="8" l="1"/>
  <c r="H18" i="8" s="1"/>
  <c r="N79" i="1"/>
  <c r="M84" i="8"/>
  <c r="L86" i="8"/>
  <c r="L31" i="8" s="1"/>
  <c r="L33" i="8" s="1"/>
  <c r="N56" i="8"/>
  <c r="N58" i="8" s="1"/>
  <c r="M14" i="8"/>
  <c r="I142" i="1"/>
  <c r="I144" i="1" s="1"/>
  <c r="I160" i="1" s="1"/>
  <c r="I10" i="8" s="1"/>
  <c r="O105" i="8"/>
  <c r="O107" i="8" s="1"/>
  <c r="N38" i="8"/>
  <c r="N61" i="8"/>
  <c r="N63" i="8" s="1"/>
  <c r="M15" i="8"/>
  <c r="M32" i="8"/>
  <c r="N100" i="8"/>
  <c r="N102" i="8" s="1"/>
  <c r="N66" i="8"/>
  <c r="N68" i="8" s="1"/>
  <c r="M16" i="8"/>
  <c r="H24" i="8"/>
  <c r="I89" i="8"/>
  <c r="I92" i="8" s="1"/>
  <c r="L77" i="8"/>
  <c r="L79" i="8" s="1"/>
  <c r="K22" i="8"/>
  <c r="I71" i="8"/>
  <c r="I74" i="8" s="1"/>
  <c r="H21" i="8"/>
  <c r="I17" i="8"/>
  <c r="I18" i="8" s="1"/>
  <c r="J57" i="9"/>
  <c r="J58" i="9" s="1"/>
  <c r="O79" i="1" l="1"/>
  <c r="M86" i="8"/>
  <c r="M31" i="8" s="1"/>
  <c r="M33" i="8" s="1"/>
  <c r="N84" i="8"/>
  <c r="N14" i="8"/>
  <c r="O56" i="8"/>
  <c r="O58" i="8" s="1"/>
  <c r="I11" i="8"/>
  <c r="J140" i="1"/>
  <c r="N15" i="8"/>
  <c r="O61" i="8"/>
  <c r="O63" i="8" s="1"/>
  <c r="D60" i="2"/>
  <c r="P105" i="8"/>
  <c r="P107" i="8" s="1"/>
  <c r="O38" i="8"/>
  <c r="D89" i="2" s="1"/>
  <c r="J71" i="8"/>
  <c r="J74" i="8" s="1"/>
  <c r="I21" i="8"/>
  <c r="O100" i="8"/>
  <c r="O102" i="8" s="1"/>
  <c r="N32" i="8"/>
  <c r="J17" i="8"/>
  <c r="J18" i="8" s="1"/>
  <c r="K57" i="9"/>
  <c r="K58" i="9" s="1"/>
  <c r="L22" i="8"/>
  <c r="M77" i="8"/>
  <c r="M79" i="8" s="1"/>
  <c r="N16" i="8"/>
  <c r="O66" i="8"/>
  <c r="O68" i="8" s="1"/>
  <c r="I24" i="8"/>
  <c r="J89" i="8"/>
  <c r="J92" i="8" s="1"/>
  <c r="P79" i="1" l="1"/>
  <c r="N86" i="8"/>
  <c r="N31" i="8" s="1"/>
  <c r="N33" i="8" s="1"/>
  <c r="O84" i="8"/>
  <c r="O14" i="8"/>
  <c r="P56" i="8"/>
  <c r="P58" i="8" s="1"/>
  <c r="J142" i="1"/>
  <c r="J144" i="1" s="1"/>
  <c r="J160" i="1" s="1"/>
  <c r="J10" i="8" s="1"/>
  <c r="P61" i="8"/>
  <c r="O15" i="8"/>
  <c r="D66" i="2" s="1"/>
  <c r="D145" i="2" s="1"/>
  <c r="Q105" i="8"/>
  <c r="Q107" i="8" s="1"/>
  <c r="P38" i="8"/>
  <c r="K89" i="8"/>
  <c r="K92" i="8" s="1"/>
  <c r="J24" i="8"/>
  <c r="P66" i="8"/>
  <c r="P68" i="8" s="1"/>
  <c r="O16" i="8"/>
  <c r="N77" i="8"/>
  <c r="N79" i="8" s="1"/>
  <c r="M22" i="8"/>
  <c r="K71" i="8"/>
  <c r="K74" i="8" s="1"/>
  <c r="J21" i="8"/>
  <c r="O32" i="8"/>
  <c r="D83" i="2" s="1"/>
  <c r="P100" i="8"/>
  <c r="P102" i="8" s="1"/>
  <c r="K17" i="8"/>
  <c r="K18" i="8" s="1"/>
  <c r="L57" i="9"/>
  <c r="Q79" i="1" l="1"/>
  <c r="P84" i="8"/>
  <c r="O86" i="8"/>
  <c r="O31" i="8" s="1"/>
  <c r="D82" i="2" s="1"/>
  <c r="P14" i="8"/>
  <c r="Q56" i="8"/>
  <c r="Q58" i="8" s="1"/>
  <c r="D65" i="2"/>
  <c r="D141" i="2"/>
  <c r="D143" i="2" s="1"/>
  <c r="J11" i="8"/>
  <c r="K140" i="1"/>
  <c r="R105" i="8"/>
  <c r="R107" i="8" s="1"/>
  <c r="Q38" i="8"/>
  <c r="K21" i="8"/>
  <c r="L71" i="8"/>
  <c r="L74" i="8" s="1"/>
  <c r="P16" i="8"/>
  <c r="Q66" i="8"/>
  <c r="Q68" i="8" s="1"/>
  <c r="D67" i="2"/>
  <c r="P32" i="8"/>
  <c r="Q100" i="8"/>
  <c r="Q102" i="8" s="1"/>
  <c r="L89" i="8"/>
  <c r="L92" i="8" s="1"/>
  <c r="K24" i="8"/>
  <c r="N22" i="8"/>
  <c r="O77" i="8"/>
  <c r="O79" i="8" s="1"/>
  <c r="R79" i="1" l="1"/>
  <c r="O33" i="8"/>
  <c r="D84" i="2" s="1"/>
  <c r="Q84" i="8"/>
  <c r="P86" i="8"/>
  <c r="P31" i="8" s="1"/>
  <c r="P33" i="8" s="1"/>
  <c r="Q14" i="8"/>
  <c r="R56" i="8"/>
  <c r="R58" i="8" s="1"/>
  <c r="K142" i="1"/>
  <c r="K144" i="1" s="1"/>
  <c r="K160" i="1" s="1"/>
  <c r="K10" i="8" s="1"/>
  <c r="S105" i="8"/>
  <c r="S107" i="8" s="1"/>
  <c r="R38" i="8"/>
  <c r="R66" i="8"/>
  <c r="R68" i="8" s="1"/>
  <c r="Q16" i="8"/>
  <c r="L24" i="8"/>
  <c r="M89" i="8"/>
  <c r="M92" i="8" s="1"/>
  <c r="Q32" i="8"/>
  <c r="R100" i="8"/>
  <c r="R102" i="8" s="1"/>
  <c r="L21" i="8"/>
  <c r="M71" i="8"/>
  <c r="M74" i="8" s="1"/>
  <c r="O22" i="8"/>
  <c r="D73" i="2" s="1"/>
  <c r="P77" i="8"/>
  <c r="P79" i="8" s="1"/>
  <c r="S79" i="1" l="1"/>
  <c r="Q86" i="8"/>
  <c r="Q31" i="8" s="1"/>
  <c r="Q33" i="8" s="1"/>
  <c r="R84" i="8"/>
  <c r="S56" i="8"/>
  <c r="S58" i="8" s="1"/>
  <c r="R14" i="8"/>
  <c r="K11" i="8"/>
  <c r="L140" i="1"/>
  <c r="S38" i="8"/>
  <c r="T105" i="8"/>
  <c r="T107" i="8" s="1"/>
  <c r="P22" i="8"/>
  <c r="Q77" i="8"/>
  <c r="Q79" i="8" s="1"/>
  <c r="S66" i="8"/>
  <c r="S68" i="8" s="1"/>
  <c r="R16" i="8"/>
  <c r="R32" i="8"/>
  <c r="S100" i="8"/>
  <c r="S102" i="8" s="1"/>
  <c r="N89" i="8"/>
  <c r="N92" i="8" s="1"/>
  <c r="M24" i="8"/>
  <c r="M21" i="8"/>
  <c r="N71" i="8"/>
  <c r="N74" i="8" s="1"/>
  <c r="T79" i="1" l="1"/>
  <c r="S84" i="8"/>
  <c r="R86" i="8"/>
  <c r="R31" i="8" s="1"/>
  <c r="R33" i="8" s="1"/>
  <c r="S14" i="8"/>
  <c r="T56" i="8"/>
  <c r="T58" i="8" s="1"/>
  <c r="L142" i="1"/>
  <c r="L144" i="1" s="1"/>
  <c r="L160" i="1" s="1"/>
  <c r="L10" i="8" s="1"/>
  <c r="T38" i="8"/>
  <c r="U105" i="8"/>
  <c r="U107" i="8" s="1"/>
  <c r="N21" i="8"/>
  <c r="O71" i="8"/>
  <c r="O74" i="8" s="1"/>
  <c r="S16" i="8"/>
  <c r="T66" i="8"/>
  <c r="T68" i="8" s="1"/>
  <c r="N24" i="8"/>
  <c r="O89" i="8"/>
  <c r="O92" i="8" s="1"/>
  <c r="T100" i="8"/>
  <c r="T102" i="8" s="1"/>
  <c r="S32" i="8"/>
  <c r="R77" i="8"/>
  <c r="R79" i="8" s="1"/>
  <c r="Q22" i="8"/>
  <c r="U79" i="1" l="1"/>
  <c r="T84" i="8"/>
  <c r="S86" i="8"/>
  <c r="S31" i="8" s="1"/>
  <c r="S33" i="8" s="1"/>
  <c r="U56" i="8"/>
  <c r="U58" i="8" s="1"/>
  <c r="T14" i="8"/>
  <c r="M140" i="1"/>
  <c r="L11" i="8"/>
  <c r="V105" i="8"/>
  <c r="V107" i="8" s="1"/>
  <c r="U38" i="8"/>
  <c r="T16" i="8"/>
  <c r="U66" i="8"/>
  <c r="U68" i="8" s="1"/>
  <c r="S77" i="8"/>
  <c r="S79" i="8" s="1"/>
  <c r="R22" i="8"/>
  <c r="U100" i="8"/>
  <c r="U102" i="8" s="1"/>
  <c r="T32" i="8"/>
  <c r="P89" i="8"/>
  <c r="O24" i="8"/>
  <c r="D75" i="2" s="1"/>
  <c r="O21" i="8"/>
  <c r="P71" i="8"/>
  <c r="V79" i="1" l="1"/>
  <c r="T86" i="8"/>
  <c r="T31" i="8" s="1"/>
  <c r="T33" i="8" s="1"/>
  <c r="U84" i="8"/>
  <c r="U14" i="8"/>
  <c r="V56" i="8"/>
  <c r="V58" i="8" s="1"/>
  <c r="M142" i="1"/>
  <c r="M144" i="1" s="1"/>
  <c r="M160" i="1" s="1"/>
  <c r="M10" i="8" s="1"/>
  <c r="V38" i="8"/>
  <c r="W105" i="8"/>
  <c r="W107" i="8" s="1"/>
  <c r="U16" i="8"/>
  <c r="V66" i="8"/>
  <c r="V68" i="8" s="1"/>
  <c r="U32" i="8"/>
  <c r="V100" i="8"/>
  <c r="V102" i="8" s="1"/>
  <c r="D72" i="2"/>
  <c r="D147" i="2" s="1"/>
  <c r="T77" i="8"/>
  <c r="T79" i="8" s="1"/>
  <c r="S22" i="8"/>
  <c r="W79" i="1" l="1"/>
  <c r="U86" i="8"/>
  <c r="U31" i="8" s="1"/>
  <c r="U33" i="8" s="1"/>
  <c r="V84" i="8"/>
  <c r="W56" i="8"/>
  <c r="W58" i="8" s="1"/>
  <c r="V14" i="8"/>
  <c r="N140" i="1"/>
  <c r="M11" i="8"/>
  <c r="W38" i="8"/>
  <c r="X105" i="8"/>
  <c r="X107" i="8" s="1"/>
  <c r="W100" i="8"/>
  <c r="W102" i="8" s="1"/>
  <c r="V32" i="8"/>
  <c r="V16" i="8"/>
  <c r="W66" i="8"/>
  <c r="W68" i="8" s="1"/>
  <c r="T22" i="8"/>
  <c r="U77" i="8"/>
  <c r="U79" i="8" s="1"/>
  <c r="X79" i="1" l="1"/>
  <c r="V86" i="8"/>
  <c r="V31" i="8" s="1"/>
  <c r="V33" i="8" s="1"/>
  <c r="W84" i="8"/>
  <c r="W14" i="8"/>
  <c r="X56" i="8"/>
  <c r="X58" i="8" s="1"/>
  <c r="N142" i="1"/>
  <c r="N144" i="1" s="1"/>
  <c r="N160" i="1" s="1"/>
  <c r="N10" i="8" s="1"/>
  <c r="X38" i="8"/>
  <c r="Y105" i="8"/>
  <c r="Y107" i="8" s="1"/>
  <c r="W16" i="8"/>
  <c r="X66" i="8"/>
  <c r="X68" i="8" s="1"/>
  <c r="W32" i="8"/>
  <c r="X100" i="8"/>
  <c r="X102" i="8" s="1"/>
  <c r="U22" i="8"/>
  <c r="V77" i="8"/>
  <c r="V79" i="8" s="1"/>
  <c r="Y79" i="1" l="1"/>
  <c r="W86" i="8"/>
  <c r="W31" i="8" s="1"/>
  <c r="W33" i="8" s="1"/>
  <c r="X84" i="8"/>
  <c r="X14" i="8"/>
  <c r="Y56" i="8"/>
  <c r="Y58" i="8" s="1"/>
  <c r="N11" i="8"/>
  <c r="O140" i="1"/>
  <c r="Z105" i="8"/>
  <c r="Z107" i="8" s="1"/>
  <c r="Y38" i="8"/>
  <c r="X32" i="8"/>
  <c r="Y100" i="8"/>
  <c r="Y102" i="8" s="1"/>
  <c r="X16" i="8"/>
  <c r="Y66" i="8"/>
  <c r="Y68" i="8" s="1"/>
  <c r="V22" i="8"/>
  <c r="W77" i="8"/>
  <c r="W79" i="8" s="1"/>
  <c r="Z79" i="1" l="1"/>
  <c r="X86" i="8"/>
  <c r="X31" i="8" s="1"/>
  <c r="X33" i="8" s="1"/>
  <c r="Y84" i="8"/>
  <c r="Y14" i="8"/>
  <c r="Z56" i="8"/>
  <c r="Z58" i="8" s="1"/>
  <c r="O142" i="1"/>
  <c r="O144" i="1" s="1"/>
  <c r="O160" i="1" s="1"/>
  <c r="O10" i="8" s="1"/>
  <c r="Z38" i="8"/>
  <c r="AA105" i="8"/>
  <c r="AA107" i="8" s="1"/>
  <c r="Y32" i="8"/>
  <c r="Z100" i="8"/>
  <c r="Z102" i="8" s="1"/>
  <c r="W22" i="8"/>
  <c r="X77" i="8"/>
  <c r="X79" i="8" s="1"/>
  <c r="Y16" i="8"/>
  <c r="Z66" i="8"/>
  <c r="Z68" i="8" s="1"/>
  <c r="AA79" i="1" l="1"/>
  <c r="Y86" i="8"/>
  <c r="Y31" i="8" s="1"/>
  <c r="Y33" i="8" s="1"/>
  <c r="Z84" i="8"/>
  <c r="AA56" i="8"/>
  <c r="AA58" i="8" s="1"/>
  <c r="Z14" i="8"/>
  <c r="P140" i="1"/>
  <c r="AB105" i="8"/>
  <c r="AB107" i="8" s="1"/>
  <c r="AA38" i="8"/>
  <c r="E89" i="2" s="1"/>
  <c r="E60" i="2"/>
  <c r="Z16" i="8"/>
  <c r="AA66" i="8"/>
  <c r="AA68" i="8" s="1"/>
  <c r="X22" i="8"/>
  <c r="Y77" i="8"/>
  <c r="Y79" i="8" s="1"/>
  <c r="AA100" i="8"/>
  <c r="AA102" i="8" s="1"/>
  <c r="Z32" i="8"/>
  <c r="AB79" i="1" l="1"/>
  <c r="AA84" i="8"/>
  <c r="Z86" i="8"/>
  <c r="Z31" i="8" s="1"/>
  <c r="Z33" i="8" s="1"/>
  <c r="AA14" i="8"/>
  <c r="AB56" i="8"/>
  <c r="AB58" i="8" s="1"/>
  <c r="D61" i="2"/>
  <c r="O11" i="8"/>
  <c r="D62" i="2" s="1"/>
  <c r="P142" i="1"/>
  <c r="P144" i="1" s="1"/>
  <c r="P160" i="1" s="1"/>
  <c r="P10" i="8" s="1"/>
  <c r="AB38" i="8"/>
  <c r="AC105" i="8"/>
  <c r="AC107" i="8" s="1"/>
  <c r="AA16" i="8"/>
  <c r="AB66" i="8"/>
  <c r="AB68" i="8" s="1"/>
  <c r="Y22" i="8"/>
  <c r="Z77" i="8"/>
  <c r="Z79" i="8" s="1"/>
  <c r="AA32" i="8"/>
  <c r="E83" i="2" s="1"/>
  <c r="AB100" i="8"/>
  <c r="AB102" i="8" s="1"/>
  <c r="AC79" i="1" l="1"/>
  <c r="AB84" i="8"/>
  <c r="AA86" i="8"/>
  <c r="AA31" i="8" s="1"/>
  <c r="E82" i="2" s="1"/>
  <c r="AC56" i="8"/>
  <c r="AC58" i="8" s="1"/>
  <c r="AB14" i="8"/>
  <c r="E65" i="2"/>
  <c r="Q140" i="1"/>
  <c r="P11" i="8"/>
  <c r="AD105" i="8"/>
  <c r="AD107" i="8" s="1"/>
  <c r="AC38" i="8"/>
  <c r="AC66" i="8"/>
  <c r="AC68" i="8" s="1"/>
  <c r="AB16" i="8"/>
  <c r="AB32" i="8"/>
  <c r="AC100" i="8"/>
  <c r="AC102" i="8" s="1"/>
  <c r="E67" i="2"/>
  <c r="Z22" i="8"/>
  <c r="AA77" i="8"/>
  <c r="AA79" i="8" s="1"/>
  <c r="AD79" i="1" l="1"/>
  <c r="AA33" i="8"/>
  <c r="E84" i="2" s="1"/>
  <c r="AB86" i="8"/>
  <c r="AB31" i="8" s="1"/>
  <c r="AB33" i="8" s="1"/>
  <c r="AC84" i="8"/>
  <c r="AD56" i="8"/>
  <c r="AD58" i="8" s="1"/>
  <c r="AC14" i="8"/>
  <c r="Q142" i="1"/>
  <c r="Q144" i="1" s="1"/>
  <c r="Q160" i="1" s="1"/>
  <c r="Q10" i="8" s="1"/>
  <c r="AE105" i="8"/>
  <c r="AE107" i="8" s="1"/>
  <c r="AD38" i="8"/>
  <c r="AB77" i="8"/>
  <c r="AB79" i="8" s="1"/>
  <c r="AA22" i="8"/>
  <c r="E73" i="2" s="1"/>
  <c r="AD100" i="8"/>
  <c r="AD102" i="8" s="1"/>
  <c r="AC32" i="8"/>
  <c r="AD66" i="8"/>
  <c r="AD68" i="8" s="1"/>
  <c r="AC16" i="8"/>
  <c r="AE79" i="1" l="1"/>
  <c r="AC86" i="8"/>
  <c r="AC31" i="8" s="1"/>
  <c r="AC33" i="8" s="1"/>
  <c r="AD84" i="8"/>
  <c r="AD14" i="8"/>
  <c r="AE56" i="8"/>
  <c r="AE58" i="8" s="1"/>
  <c r="Q11" i="8"/>
  <c r="R140" i="1"/>
  <c r="AF105" i="8"/>
  <c r="AF107" i="8" s="1"/>
  <c r="AE38" i="8"/>
  <c r="AD16" i="8"/>
  <c r="AE66" i="8"/>
  <c r="AE68" i="8" s="1"/>
  <c r="AE100" i="8"/>
  <c r="AE102" i="8" s="1"/>
  <c r="AD32" i="8"/>
  <c r="AB22" i="8"/>
  <c r="AC77" i="8"/>
  <c r="AC79" i="8" s="1"/>
  <c r="AF79" i="1" l="1"/>
  <c r="AD86" i="8"/>
  <c r="AD31" i="8" s="1"/>
  <c r="AD33" i="8" s="1"/>
  <c r="AE84" i="8"/>
  <c r="AF56" i="8"/>
  <c r="AF58" i="8" s="1"/>
  <c r="AE14" i="8"/>
  <c r="R142" i="1"/>
  <c r="R144" i="1" s="1"/>
  <c r="R160" i="1" s="1"/>
  <c r="R10" i="8" s="1"/>
  <c r="AG105" i="8"/>
  <c r="AG107" i="8" s="1"/>
  <c r="AF38" i="8"/>
  <c r="AF66" i="8"/>
  <c r="AF68" i="8" s="1"/>
  <c r="AE16" i="8"/>
  <c r="AE32" i="8"/>
  <c r="AF100" i="8"/>
  <c r="AF102" i="8" s="1"/>
  <c r="AC22" i="8"/>
  <c r="AD77" i="8"/>
  <c r="AD79" i="8" s="1"/>
  <c r="AG79" i="1" l="1"/>
  <c r="AF84" i="8"/>
  <c r="AE86" i="8"/>
  <c r="AE31" i="8" s="1"/>
  <c r="AE33" i="8" s="1"/>
  <c r="AF14" i="8"/>
  <c r="AG56" i="8"/>
  <c r="AG58" i="8" s="1"/>
  <c r="R11" i="8"/>
  <c r="S140" i="1"/>
  <c r="AG38" i="8"/>
  <c r="AH105" i="8"/>
  <c r="AH107" i="8" s="1"/>
  <c r="AG66" i="8"/>
  <c r="AG68" i="8" s="1"/>
  <c r="AF16" i="8"/>
  <c r="AD22" i="8"/>
  <c r="AE77" i="8"/>
  <c r="AE79" i="8" s="1"/>
  <c r="AF32" i="8"/>
  <c r="AG100" i="8"/>
  <c r="AG102" i="8" s="1"/>
  <c r="AH79" i="1" l="1"/>
  <c r="AF86" i="8"/>
  <c r="AF31" i="8" s="1"/>
  <c r="AF33" i="8" s="1"/>
  <c r="AG84" i="8"/>
  <c r="AH56" i="8"/>
  <c r="AH58" i="8" s="1"/>
  <c r="AG14" i="8"/>
  <c r="S142" i="1"/>
  <c r="S144" i="1" s="1"/>
  <c r="S160" i="1" s="1"/>
  <c r="S10" i="8" s="1"/>
  <c r="AH38" i="8"/>
  <c r="AI105" i="8"/>
  <c r="AI107" i="8" s="1"/>
  <c r="AH100" i="8"/>
  <c r="AH102" i="8" s="1"/>
  <c r="AG32" i="8"/>
  <c r="AF77" i="8"/>
  <c r="AF79" i="8" s="1"/>
  <c r="AE22" i="8"/>
  <c r="AG16" i="8"/>
  <c r="AH66" i="8"/>
  <c r="AH68" i="8" s="1"/>
  <c r="AI79" i="1" l="1"/>
  <c r="AG86" i="8"/>
  <c r="AG31" i="8" s="1"/>
  <c r="AG33" i="8" s="1"/>
  <c r="AH84" i="8"/>
  <c r="AI56" i="8"/>
  <c r="AI58" i="8" s="1"/>
  <c r="AH14" i="8"/>
  <c r="T140" i="1"/>
  <c r="S11" i="8"/>
  <c r="AJ105" i="8"/>
  <c r="AJ107" i="8" s="1"/>
  <c r="AI38" i="8"/>
  <c r="AH32" i="8"/>
  <c r="AI100" i="8"/>
  <c r="AI102" i="8" s="1"/>
  <c r="AI66" i="8"/>
  <c r="AI68" i="8" s="1"/>
  <c r="AH16" i="8"/>
  <c r="AF22" i="8"/>
  <c r="AG77" i="8"/>
  <c r="AG79" i="8" s="1"/>
  <c r="AJ79" i="1" l="1"/>
  <c r="AI84" i="8"/>
  <c r="AH86" i="8"/>
  <c r="AH31" i="8" s="1"/>
  <c r="AH33" i="8" s="1"/>
  <c r="AI14" i="8"/>
  <c r="AJ56" i="8"/>
  <c r="AJ58" i="8" s="1"/>
  <c r="T142" i="1"/>
  <c r="T144" i="1" s="1"/>
  <c r="T160" i="1" s="1"/>
  <c r="T10" i="8" s="1"/>
  <c r="AK105" i="8"/>
  <c r="AK107" i="8" s="1"/>
  <c r="AJ38" i="8"/>
  <c r="AJ66" i="8"/>
  <c r="AJ68" i="8" s="1"/>
  <c r="AI16" i="8"/>
  <c r="AI32" i="8"/>
  <c r="AJ100" i="8"/>
  <c r="AJ102" i="8" s="1"/>
  <c r="AG22" i="8"/>
  <c r="AH77" i="8"/>
  <c r="AH79" i="8" s="1"/>
  <c r="AK79" i="1" l="1"/>
  <c r="AJ84" i="8"/>
  <c r="AI86" i="8"/>
  <c r="AI31" i="8" s="1"/>
  <c r="AI33" i="8" s="1"/>
  <c r="AJ14" i="8"/>
  <c r="AK56" i="8"/>
  <c r="AK58" i="8" s="1"/>
  <c r="T11" i="8"/>
  <c r="U140" i="1"/>
  <c r="AK38" i="8"/>
  <c r="AL105" i="8"/>
  <c r="AL107" i="8" s="1"/>
  <c r="AK100" i="8"/>
  <c r="AK102" i="8" s="1"/>
  <c r="AJ32" i="8"/>
  <c r="AJ16" i="8"/>
  <c r="AK66" i="8"/>
  <c r="AK68" i="8" s="1"/>
  <c r="AH22" i="8"/>
  <c r="AI77" i="8"/>
  <c r="AI79" i="8" s="1"/>
  <c r="AL79" i="1" l="1"/>
  <c r="AJ86" i="8"/>
  <c r="AJ31" i="8" s="1"/>
  <c r="AJ33" i="8" s="1"/>
  <c r="AK84" i="8"/>
  <c r="AL56" i="8"/>
  <c r="AL58" i="8" s="1"/>
  <c r="AK14" i="8"/>
  <c r="U142" i="1"/>
  <c r="U144" i="1" s="1"/>
  <c r="U160" i="1" s="1"/>
  <c r="U10" i="8" s="1"/>
  <c r="F60" i="2"/>
  <c r="AL38" i="8"/>
  <c r="AM105" i="8"/>
  <c r="AM107" i="8" s="1"/>
  <c r="AM38" i="8" s="1"/>
  <c r="F89" i="2" s="1"/>
  <c r="AI22" i="8"/>
  <c r="AJ77" i="8"/>
  <c r="AJ79" i="8" s="1"/>
  <c r="AK16" i="8"/>
  <c r="AL66" i="8"/>
  <c r="AL68" i="8" s="1"/>
  <c r="AK32" i="8"/>
  <c r="AL100" i="8"/>
  <c r="AL102" i="8" s="1"/>
  <c r="AM79" i="1" l="1"/>
  <c r="AK86" i="8"/>
  <c r="AK31" i="8" s="1"/>
  <c r="AK33" i="8" s="1"/>
  <c r="AL84" i="8"/>
  <c r="AL14" i="8"/>
  <c r="AM56" i="8"/>
  <c r="AM58" i="8" s="1"/>
  <c r="AM14" i="8" s="1"/>
  <c r="U11" i="8"/>
  <c r="V140" i="1"/>
  <c r="AK77" i="8"/>
  <c r="AK79" i="8" s="1"/>
  <c r="AJ22" i="8"/>
  <c r="AM100" i="8"/>
  <c r="AM102" i="8" s="1"/>
  <c r="AM32" i="8" s="1"/>
  <c r="F83" i="2" s="1"/>
  <c r="AL32" i="8"/>
  <c r="AM66" i="8"/>
  <c r="AM68" i="8" s="1"/>
  <c r="AM16" i="8" s="1"/>
  <c r="AL16" i="8"/>
  <c r="AM84" i="8" l="1"/>
  <c r="AM86" i="8" s="1"/>
  <c r="AM31" i="8" s="1"/>
  <c r="F82" i="2" s="1"/>
  <c r="AL86" i="8"/>
  <c r="AL31" i="8" s="1"/>
  <c r="AL33" i="8" s="1"/>
  <c r="F65" i="2"/>
  <c r="V142" i="1"/>
  <c r="V144" i="1" s="1"/>
  <c r="V160" i="1" s="1"/>
  <c r="V10" i="8" s="1"/>
  <c r="AL77" i="8"/>
  <c r="AL79" i="8" s="1"/>
  <c r="AK22" i="8"/>
  <c r="F67" i="2"/>
  <c r="AM33" i="8" l="1"/>
  <c r="F84" i="2" s="1"/>
  <c r="V11" i="8"/>
  <c r="W140" i="1"/>
  <c r="AL22" i="8"/>
  <c r="AM77" i="8"/>
  <c r="AM79" i="8" s="1"/>
  <c r="AM22" i="8" s="1"/>
  <c r="F73" i="2" s="1"/>
  <c r="W142" i="1" l="1"/>
  <c r="W144" i="1" s="1"/>
  <c r="W160" i="1" s="1"/>
  <c r="W10" i="8" s="1"/>
  <c r="W11" i="8" l="1"/>
  <c r="X140" i="1"/>
  <c r="X142" i="1" l="1"/>
  <c r="AF143" i="1" l="1"/>
  <c r="AF162" i="1" s="1"/>
  <c r="AF102" i="1" s="1"/>
  <c r="AF169" i="1" s="1"/>
  <c r="Y143" i="1"/>
  <c r="Y162" i="1" s="1"/>
  <c r="Y102" i="1" s="1"/>
  <c r="Y169" i="1" s="1"/>
  <c r="AG143" i="1"/>
  <c r="AG162" i="1" s="1"/>
  <c r="AG102" i="1" s="1"/>
  <c r="AG169" i="1" s="1"/>
  <c r="X143" i="1"/>
  <c r="X162" i="1" s="1"/>
  <c r="X102" i="1" s="1"/>
  <c r="Z143" i="1"/>
  <c r="Z162" i="1" s="1"/>
  <c r="Z102" i="1" s="1"/>
  <c r="Z169" i="1" s="1"/>
  <c r="AH143" i="1"/>
  <c r="AH162" i="1" s="1"/>
  <c r="AH102" i="1" s="1"/>
  <c r="AH169" i="1" s="1"/>
  <c r="AE143" i="1"/>
  <c r="AE162" i="1" s="1"/>
  <c r="AE102" i="1" s="1"/>
  <c r="AE169" i="1" s="1"/>
  <c r="AA143" i="1"/>
  <c r="AA162" i="1" s="1"/>
  <c r="AA102" i="1" s="1"/>
  <c r="AA169" i="1" s="1"/>
  <c r="AI143" i="1"/>
  <c r="AI162" i="1" s="1"/>
  <c r="AI102" i="1" s="1"/>
  <c r="AI169" i="1" s="1"/>
  <c r="AB143" i="1"/>
  <c r="AB162" i="1" s="1"/>
  <c r="AB102" i="1" s="1"/>
  <c r="AJ143" i="1"/>
  <c r="AJ162" i="1" s="1"/>
  <c r="AJ102" i="1" s="1"/>
  <c r="AJ169" i="1" s="1"/>
  <c r="AL143" i="1"/>
  <c r="AL162" i="1" s="1"/>
  <c r="AL102" i="1" s="1"/>
  <c r="AL169" i="1" s="1"/>
  <c r="AC143" i="1"/>
  <c r="AC162" i="1" s="1"/>
  <c r="AC102" i="1" s="1"/>
  <c r="AC169" i="1" s="1"/>
  <c r="AK143" i="1"/>
  <c r="AK162" i="1" s="1"/>
  <c r="AK102" i="1" s="1"/>
  <c r="AK169" i="1" s="1"/>
  <c r="AD143" i="1"/>
  <c r="AD162" i="1" s="1"/>
  <c r="AD102" i="1" s="1"/>
  <c r="AD169" i="1" s="1"/>
  <c r="AM143" i="1"/>
  <c r="AM162" i="1" s="1"/>
  <c r="AM102" i="1" s="1"/>
  <c r="AM169" i="1" s="1"/>
  <c r="AB169" i="1" l="1"/>
  <c r="F36" i="2"/>
  <c r="X169" i="1"/>
  <c r="E36" i="2"/>
  <c r="X144" i="1"/>
  <c r="X160" i="1" s="1"/>
  <c r="X10" i="8" s="1"/>
  <c r="X11" i="8" l="1"/>
  <c r="Y140" i="1"/>
  <c r="Y142" i="1" s="1"/>
  <c r="Y144" i="1" s="1"/>
  <c r="Z140" i="1" l="1"/>
  <c r="Y160" i="1"/>
  <c r="Y10" i="8" s="1"/>
  <c r="Y11" i="8" s="1"/>
  <c r="Z142" i="1"/>
  <c r="Z144" i="1" s="1"/>
  <c r="Z160" i="1" s="1"/>
  <c r="Z10" i="8" s="1"/>
  <c r="Z11" i="8" l="1"/>
  <c r="AA140" i="1"/>
  <c r="AA142" i="1" l="1"/>
  <c r="AA144" i="1" s="1"/>
  <c r="AA160" i="1" s="1"/>
  <c r="AA10" i="8" s="1"/>
  <c r="AB140" i="1" l="1"/>
  <c r="E61" i="2" l="1"/>
  <c r="AA11" i="8"/>
  <c r="AB142" i="1"/>
  <c r="AB144" i="1" s="1"/>
  <c r="AB160" i="1" s="1"/>
  <c r="AB10" i="8" s="1"/>
  <c r="AC140" i="1" l="1"/>
  <c r="AB11" i="8"/>
  <c r="E62" i="2"/>
  <c r="AC142" i="1" l="1"/>
  <c r="AC144" i="1" s="1"/>
  <c r="AC160" i="1" s="1"/>
  <c r="AC10" i="8" s="1"/>
  <c r="AC11" i="8" l="1"/>
  <c r="AD140" i="1"/>
  <c r="AD142" i="1" l="1"/>
  <c r="AD144" i="1" s="1"/>
  <c r="AD160" i="1" s="1"/>
  <c r="AD10" i="8" s="1"/>
  <c r="AE140" i="1" l="1"/>
  <c r="AD11" i="8"/>
  <c r="AE142" i="1" l="1"/>
  <c r="AE144" i="1" s="1"/>
  <c r="AE160" i="1" s="1"/>
  <c r="AE10" i="8" s="1"/>
  <c r="AE11" i="8" l="1"/>
  <c r="AF140" i="1"/>
  <c r="AF142" i="1" l="1"/>
  <c r="AF144" i="1" s="1"/>
  <c r="AF160" i="1" s="1"/>
  <c r="AF10" i="8" s="1"/>
  <c r="AF11" i="8" l="1"/>
  <c r="AG140" i="1"/>
  <c r="AG142" i="1" l="1"/>
  <c r="AG144" i="1" s="1"/>
  <c r="AG160" i="1" s="1"/>
  <c r="AG10" i="8" s="1"/>
  <c r="AG11" i="8" l="1"/>
  <c r="AH140" i="1"/>
  <c r="AH142" i="1" l="1"/>
  <c r="AH144" i="1" s="1"/>
  <c r="AH160" i="1" s="1"/>
  <c r="AH10" i="8" s="1"/>
  <c r="AH11" i="8" l="1"/>
  <c r="AI140" i="1"/>
  <c r="AI142" i="1" l="1"/>
  <c r="AI144" i="1" s="1"/>
  <c r="AI160" i="1" s="1"/>
  <c r="AI10" i="8" s="1"/>
  <c r="AI11" i="8" l="1"/>
  <c r="AJ140" i="1"/>
  <c r="AJ142" i="1" l="1"/>
  <c r="AJ144" i="1" s="1"/>
  <c r="AJ160" i="1" s="1"/>
  <c r="AJ10" i="8" s="1"/>
  <c r="AK140" i="1" l="1"/>
  <c r="AJ11" i="8"/>
  <c r="AK142" i="1" l="1"/>
  <c r="AK144" i="1" s="1"/>
  <c r="AK160" i="1" s="1"/>
  <c r="AK10" i="8" s="1"/>
  <c r="AL140" i="1" l="1"/>
  <c r="AK11" i="8"/>
  <c r="AL142" i="1" l="1"/>
  <c r="AL144" i="1" s="1"/>
  <c r="AL160" i="1" s="1"/>
  <c r="AL10" i="8" s="1"/>
  <c r="AM140" i="1" l="1"/>
  <c r="AL11" i="8"/>
  <c r="AM142" i="1" l="1"/>
  <c r="AM144" i="1" l="1"/>
  <c r="AM160" i="1" s="1"/>
  <c r="AM10" i="8" s="1"/>
  <c r="F61" i="2" l="1"/>
  <c r="AM11" i="8"/>
  <c r="F62" i="2" s="1"/>
  <c r="N93" i="16"/>
  <c r="D164" i="16" s="1"/>
  <c r="I164" i="16" s="1"/>
  <c r="C164" i="16"/>
  <c r="H164" i="16" s="1"/>
  <c r="O93" i="16" l="1"/>
  <c r="N94" i="16"/>
  <c r="N95" i="16" s="1"/>
  <c r="Z69" i="17" l="1"/>
  <c r="Z70" i="17" s="1"/>
  <c r="Z74" i="17" s="1"/>
  <c r="X69" i="17"/>
  <c r="X70" i="17" s="1"/>
  <c r="X74" i="17" s="1"/>
  <c r="AC69" i="17"/>
  <c r="AC70" i="17" s="1"/>
  <c r="AC74" i="17" s="1"/>
  <c r="U69" i="17"/>
  <c r="U70" i="17" s="1"/>
  <c r="U74" i="17" s="1"/>
  <c r="T69" i="17"/>
  <c r="T70" i="17" s="1"/>
  <c r="T74" i="17" s="1"/>
  <c r="W69" i="17"/>
  <c r="W70" i="17" s="1"/>
  <c r="W74" i="17" s="1"/>
  <c r="AE69" i="17"/>
  <c r="AE70" i="17" s="1"/>
  <c r="AE74" i="17" s="1"/>
  <c r="AA69" i="17"/>
  <c r="AA70" i="17" s="1"/>
  <c r="AA74" i="17" s="1"/>
  <c r="AB69" i="17"/>
  <c r="AB70" i="17" s="1"/>
  <c r="AB74" i="17" s="1"/>
  <c r="V69" i="17"/>
  <c r="V70" i="17" s="1"/>
  <c r="V74" i="17" s="1"/>
  <c r="Y69" i="17"/>
  <c r="Y70" i="17" s="1"/>
  <c r="Y74" i="17" s="1"/>
  <c r="N97" i="16"/>
  <c r="N98" i="16" s="1"/>
  <c r="E69" i="17" s="1"/>
  <c r="AD69" i="17"/>
  <c r="AD70" i="17" s="1"/>
  <c r="AD74" i="17" s="1"/>
  <c r="E164" i="16"/>
  <c r="J164" i="16" s="1"/>
  <c r="O94" i="16"/>
  <c r="O95" i="16" s="1"/>
  <c r="U120" i="17" l="1"/>
  <c r="U76" i="17"/>
  <c r="AC120" i="17"/>
  <c r="AC76" i="17"/>
  <c r="W120" i="17"/>
  <c r="W76" i="17"/>
  <c r="AD120" i="17"/>
  <c r="AD76" i="17"/>
  <c r="Y120" i="17"/>
  <c r="Y76" i="17"/>
  <c r="V120" i="17"/>
  <c r="V76" i="17"/>
  <c r="X120" i="17"/>
  <c r="X76" i="17"/>
  <c r="AA120" i="17"/>
  <c r="AA76" i="17"/>
  <c r="AE120" i="17"/>
  <c r="AE76" i="17"/>
  <c r="T120" i="17"/>
  <c r="T121" i="17" s="1"/>
  <c r="T76" i="17"/>
  <c r="AB120" i="17"/>
  <c r="AB76" i="17"/>
  <c r="Z120" i="17"/>
  <c r="Z76" i="17"/>
  <c r="AP69" i="17"/>
  <c r="AP70" i="17" s="1"/>
  <c r="AP74" i="17" s="1"/>
  <c r="AM69" i="17"/>
  <c r="AM70" i="17" s="1"/>
  <c r="AM74" i="17" s="1"/>
  <c r="AG69" i="17"/>
  <c r="AG70" i="17" s="1"/>
  <c r="AG74" i="17" s="1"/>
  <c r="AQ69" i="17"/>
  <c r="AQ70" i="17" s="1"/>
  <c r="AQ74" i="17" s="1"/>
  <c r="AO69" i="17"/>
  <c r="AO70" i="17" s="1"/>
  <c r="AO74" i="17" s="1"/>
  <c r="AL69" i="17"/>
  <c r="AL70" i="17" s="1"/>
  <c r="AL74" i="17" s="1"/>
  <c r="AF69" i="17"/>
  <c r="AF70" i="17" s="1"/>
  <c r="AF74" i="17" s="1"/>
  <c r="O97" i="16"/>
  <c r="O98" i="16" s="1"/>
  <c r="E70" i="17" s="1"/>
  <c r="AN69" i="17"/>
  <c r="AN70" i="17" s="1"/>
  <c r="AN74" i="17" s="1"/>
  <c r="AK69" i="17"/>
  <c r="AK70" i="17" s="1"/>
  <c r="AK74" i="17" s="1"/>
  <c r="AH69" i="17"/>
  <c r="AH70" i="17" s="1"/>
  <c r="AH74" i="17" s="1"/>
  <c r="AJ69" i="17"/>
  <c r="AJ70" i="17" s="1"/>
  <c r="AJ74" i="17" s="1"/>
  <c r="AI69" i="17"/>
  <c r="AI70" i="17" s="1"/>
  <c r="AI74" i="17" s="1"/>
  <c r="AB71" i="17"/>
  <c r="AB75" i="17" s="1"/>
  <c r="W71" i="17"/>
  <c r="W75" i="17" s="1"/>
  <c r="V71" i="17"/>
  <c r="V75" i="17" s="1"/>
  <c r="T71" i="17"/>
  <c r="T75" i="17" s="1"/>
  <c r="AC71" i="17"/>
  <c r="AC75" i="17" s="1"/>
  <c r="X71" i="17"/>
  <c r="X75" i="17" s="1"/>
  <c r="Z71" i="17"/>
  <c r="Z75" i="17" s="1"/>
  <c r="AE71" i="17"/>
  <c r="AE75" i="17" s="1"/>
  <c r="U71" i="17"/>
  <c r="U75" i="17" s="1"/>
  <c r="AD71" i="17"/>
  <c r="AD75" i="17" s="1"/>
  <c r="Y71" i="17"/>
  <c r="Y75" i="17" s="1"/>
  <c r="AA71" i="17"/>
  <c r="AA75" i="17" s="1"/>
  <c r="T122" i="17" l="1"/>
  <c r="AQ120" i="17"/>
  <c r="AQ76" i="17"/>
  <c r="V81" i="1"/>
  <c r="V69" i="9" s="1"/>
  <c r="V104" i="9" s="1"/>
  <c r="Z121" i="17"/>
  <c r="Z122" i="17" s="1"/>
  <c r="V84" i="1" s="1"/>
  <c r="W81" i="1"/>
  <c r="W69" i="9" s="1"/>
  <c r="W70" i="9" s="1"/>
  <c r="AA121" i="17"/>
  <c r="AA122" i="17" s="1"/>
  <c r="W84" i="1" s="1"/>
  <c r="Z81" i="1"/>
  <c r="Z69" i="9" s="1"/>
  <c r="Z104" i="9" s="1"/>
  <c r="AD121" i="17"/>
  <c r="AD122" i="17" s="1"/>
  <c r="Z84" i="1" s="1"/>
  <c r="AI120" i="17"/>
  <c r="AI76" i="17"/>
  <c r="AC122" i="17"/>
  <c r="AH120" i="17"/>
  <c r="AH76" i="17"/>
  <c r="AG120" i="17"/>
  <c r="AG76" i="17"/>
  <c r="S81" i="1"/>
  <c r="S69" i="9" s="1"/>
  <c r="S70" i="9" s="1"/>
  <c r="W121" i="17"/>
  <c r="AO120" i="17"/>
  <c r="AO76" i="17"/>
  <c r="AJ120" i="17"/>
  <c r="AJ76" i="17"/>
  <c r="AM120" i="17"/>
  <c r="AM76" i="17"/>
  <c r="AE126" i="17"/>
  <c r="X81" i="1"/>
  <c r="X69" i="9" s="1"/>
  <c r="Y71" i="9" s="1"/>
  <c r="AB121" i="17"/>
  <c r="T81" i="1"/>
  <c r="T69" i="9" s="1"/>
  <c r="T70" i="9" s="1"/>
  <c r="X121" i="17"/>
  <c r="X122" i="17" s="1"/>
  <c r="T84" i="1" s="1"/>
  <c r="AN120" i="17"/>
  <c r="AN76" i="17"/>
  <c r="AP120" i="17"/>
  <c r="AP76" i="17"/>
  <c r="P81" i="1"/>
  <c r="P69" i="9" s="1"/>
  <c r="P70" i="9" s="1"/>
  <c r="P75" i="9" s="1"/>
  <c r="P62" i="8" s="1"/>
  <c r="P63" i="8" s="1"/>
  <c r="W122" i="17"/>
  <c r="T123" i="17"/>
  <c r="P89" i="1"/>
  <c r="R81" i="1"/>
  <c r="R69" i="9" s="1"/>
  <c r="R104" i="9" s="1"/>
  <c r="V121" i="17"/>
  <c r="Y81" i="1"/>
  <c r="Y69" i="9" s="1"/>
  <c r="Y104" i="9" s="1"/>
  <c r="AC121" i="17"/>
  <c r="AK120" i="17"/>
  <c r="AK76" i="17"/>
  <c r="AB122" i="17"/>
  <c r="AF120" i="17"/>
  <c r="AF121" i="17" s="1"/>
  <c r="AF76" i="17"/>
  <c r="AL120" i="17"/>
  <c r="AL76" i="17"/>
  <c r="AA81" i="1"/>
  <c r="AA69" i="9" s="1"/>
  <c r="AA104" i="9" s="1"/>
  <c r="AE121" i="17"/>
  <c r="AE122" i="17" s="1"/>
  <c r="AA84" i="1" s="1"/>
  <c r="U81" i="1"/>
  <c r="U69" i="9" s="1"/>
  <c r="U104" i="9" s="1"/>
  <c r="Y121" i="17"/>
  <c r="Y122" i="17" s="1"/>
  <c r="U84" i="1" s="1"/>
  <c r="Q81" i="1"/>
  <c r="Q69" i="9" s="1"/>
  <c r="Q70" i="9" s="1"/>
  <c r="U121" i="17"/>
  <c r="AI71" i="17"/>
  <c r="AI75" i="17" s="1"/>
  <c r="AH71" i="17"/>
  <c r="AH75" i="17" s="1"/>
  <c r="AJ71" i="17"/>
  <c r="AJ75" i="17" s="1"/>
  <c r="AF71" i="17"/>
  <c r="AF75" i="17" s="1"/>
  <c r="AF122" i="17" s="1"/>
  <c r="AN71" i="17"/>
  <c r="AN75" i="17" s="1"/>
  <c r="AL71" i="17"/>
  <c r="AL75" i="17" s="1"/>
  <c r="AP71" i="17"/>
  <c r="AP75" i="17" s="1"/>
  <c r="AK71" i="17"/>
  <c r="AK75" i="17" s="1"/>
  <c r="AG71" i="17"/>
  <c r="AG75" i="17" s="1"/>
  <c r="AQ71" i="17"/>
  <c r="AQ75" i="17" s="1"/>
  <c r="AO71" i="17"/>
  <c r="AO75" i="17" s="1"/>
  <c r="AM71" i="17"/>
  <c r="AM75" i="17" s="1"/>
  <c r="X77" i="17"/>
  <c r="S84" i="1"/>
  <c r="W77" i="17"/>
  <c r="U77" i="17"/>
  <c r="Z77" i="17"/>
  <c r="X84" i="1"/>
  <c r="AB77" i="17"/>
  <c r="AE77" i="17"/>
  <c r="AA77" i="17"/>
  <c r="AD77" i="17"/>
  <c r="AC77" i="17"/>
  <c r="Y84" i="1"/>
  <c r="P84" i="1"/>
  <c r="T77" i="17"/>
  <c r="Y77" i="17"/>
  <c r="V77" i="17"/>
  <c r="X104" i="9" l="1"/>
  <c r="X70" i="9"/>
  <c r="V70" i="9"/>
  <c r="W71" i="9"/>
  <c r="P98" i="1"/>
  <c r="U71" i="9"/>
  <c r="X71" i="9"/>
  <c r="X75" i="9" s="1"/>
  <c r="X62" i="8" s="1"/>
  <c r="Q104" i="9"/>
  <c r="R71" i="9"/>
  <c r="U70" i="9"/>
  <c r="Z71" i="9"/>
  <c r="S71" i="9"/>
  <c r="S75" i="9" s="1"/>
  <c r="S62" i="8" s="1"/>
  <c r="Y70" i="9"/>
  <c r="Y75" i="9" s="1"/>
  <c r="Y62" i="8" s="1"/>
  <c r="R70" i="9"/>
  <c r="V71" i="9"/>
  <c r="V75" i="9" s="1"/>
  <c r="V62" i="8" s="1"/>
  <c r="AQ126" i="17"/>
  <c r="W104" i="9"/>
  <c r="T104" i="9"/>
  <c r="V123" i="17"/>
  <c r="R89" i="1"/>
  <c r="R98" i="1" s="1"/>
  <c r="AB71" i="9"/>
  <c r="AH81" i="1"/>
  <c r="AH69" i="9" s="1"/>
  <c r="AH70" i="9" s="1"/>
  <c r="AL121" i="17"/>
  <c r="AG81" i="1"/>
  <c r="AG69" i="9" s="1"/>
  <c r="AH71" i="9" s="1"/>
  <c r="AK121" i="17"/>
  <c r="V122" i="17"/>
  <c r="R84" i="1" s="1"/>
  <c r="AI81" i="1"/>
  <c r="AI69" i="9" s="1"/>
  <c r="AJ71" i="9" s="1"/>
  <c r="AM121" i="17"/>
  <c r="AC81" i="1"/>
  <c r="AC69" i="9" s="1"/>
  <c r="AC104" i="9" s="1"/>
  <c r="AG121" i="17"/>
  <c r="AG122" i="17" s="1"/>
  <c r="AC84" i="1" s="1"/>
  <c r="AA123" i="17"/>
  <c r="W89" i="1"/>
  <c r="W98" i="1" s="1"/>
  <c r="AA70" i="9"/>
  <c r="U123" i="17"/>
  <c r="Q89" i="1"/>
  <c r="Q98" i="1" s="1"/>
  <c r="T71" i="9"/>
  <c r="T75" i="9" s="1"/>
  <c r="T62" i="8" s="1"/>
  <c r="Z70" i="9"/>
  <c r="AB81" i="1"/>
  <c r="AB69" i="9" s="1"/>
  <c r="AB104" i="9" s="1"/>
  <c r="X123" i="17"/>
  <c r="T89" i="1"/>
  <c r="T98" i="1" s="1"/>
  <c r="AF81" i="1"/>
  <c r="AF69" i="9" s="1"/>
  <c r="AF104" i="9" s="1"/>
  <c r="AJ121" i="17"/>
  <c r="AJ122" i="17" s="1"/>
  <c r="AF84" i="1" s="1"/>
  <c r="AD81" i="1"/>
  <c r="AD69" i="9" s="1"/>
  <c r="AD104" i="9" s="1"/>
  <c r="AH121" i="17"/>
  <c r="AH122" i="17" s="1"/>
  <c r="AD84" i="1" s="1"/>
  <c r="Z123" i="17"/>
  <c r="V89" i="1"/>
  <c r="V98" i="1" s="1"/>
  <c r="AD123" i="17"/>
  <c r="Z89" i="1"/>
  <c r="Z98" i="1" s="1"/>
  <c r="AA71" i="9"/>
  <c r="AA75" i="9" s="1"/>
  <c r="AA62" i="8" s="1"/>
  <c r="S104" i="9"/>
  <c r="E10" i="2"/>
  <c r="Y123" i="17"/>
  <c r="U89" i="1"/>
  <c r="U98" i="1" s="1"/>
  <c r="AF123" i="17"/>
  <c r="AB89" i="1"/>
  <c r="AJ81" i="1"/>
  <c r="AJ69" i="9" s="1"/>
  <c r="AK71" i="9" s="1"/>
  <c r="AN121" i="17"/>
  <c r="AN122" i="17" s="1"/>
  <c r="AJ84" i="1" s="1"/>
  <c r="AC123" i="17"/>
  <c r="Y89" i="1"/>
  <c r="Y98" i="1" s="1"/>
  <c r="AB123" i="17"/>
  <c r="X89" i="1"/>
  <c r="X98" i="1" s="1"/>
  <c r="AK81" i="1"/>
  <c r="AK69" i="9" s="1"/>
  <c r="AK104" i="9" s="1"/>
  <c r="AO121" i="17"/>
  <c r="AO122" i="17" s="1"/>
  <c r="AK84" i="1" s="1"/>
  <c r="AK122" i="17"/>
  <c r="AG84" i="1" s="1"/>
  <c r="AE123" i="17"/>
  <c r="AA89" i="1"/>
  <c r="AA98" i="1" s="1"/>
  <c r="U122" i="17"/>
  <c r="Q84" i="1" s="1"/>
  <c r="AL81" i="1"/>
  <c r="AL69" i="9" s="1"/>
  <c r="AL104" i="9" s="1"/>
  <c r="AP121" i="17"/>
  <c r="W123" i="17"/>
  <c r="S89" i="1"/>
  <c r="S98" i="1" s="1"/>
  <c r="AE81" i="1"/>
  <c r="AE69" i="9" s="1"/>
  <c r="AF71" i="9" s="1"/>
  <c r="AI121" i="17"/>
  <c r="AI122" i="17" s="1"/>
  <c r="AE84" i="1" s="1"/>
  <c r="AM81" i="1"/>
  <c r="AM69" i="9" s="1"/>
  <c r="AM104" i="9" s="1"/>
  <c r="AQ121" i="17"/>
  <c r="AQ122" i="17" s="1"/>
  <c r="AM84" i="1" s="1"/>
  <c r="Q71" i="9"/>
  <c r="Q75" i="9" s="1"/>
  <c r="Q62" i="8" s="1"/>
  <c r="P104" i="9"/>
  <c r="W75" i="9"/>
  <c r="W62" i="8" s="1"/>
  <c r="P72" i="9"/>
  <c r="P73" i="9" s="1"/>
  <c r="P74" i="9" s="1"/>
  <c r="P13" i="9" s="1"/>
  <c r="W72" i="9"/>
  <c r="W73" i="9" s="1"/>
  <c r="W74" i="9" s="1"/>
  <c r="W13" i="9" s="1"/>
  <c r="AL77" i="17"/>
  <c r="AA124" i="17"/>
  <c r="AP77" i="17"/>
  <c r="AN77" i="17"/>
  <c r="Y124" i="17"/>
  <c r="AG71" i="9"/>
  <c r="U124" i="17"/>
  <c r="AC124" i="17"/>
  <c r="Z124" i="17"/>
  <c r="W124" i="17"/>
  <c r="AD124" i="17"/>
  <c r="AE124" i="17"/>
  <c r="AF77" i="17"/>
  <c r="AB84" i="1"/>
  <c r="AJ77" i="17"/>
  <c r="AQ77" i="17"/>
  <c r="AH77" i="17"/>
  <c r="X124" i="17"/>
  <c r="AI104" i="9"/>
  <c r="AM77" i="17"/>
  <c r="P15" i="8"/>
  <c r="Q61" i="8"/>
  <c r="V124" i="17"/>
  <c r="AG77" i="17"/>
  <c r="T124" i="17"/>
  <c r="AB124" i="17"/>
  <c r="AO77" i="17"/>
  <c r="AI77" i="17"/>
  <c r="AK77" i="17"/>
  <c r="E155" i="2" l="1"/>
  <c r="E16" i="2"/>
  <c r="E17" i="2" s="1"/>
  <c r="S72" i="9"/>
  <c r="AE71" i="9"/>
  <c r="V72" i="9"/>
  <c r="V73" i="9" s="1"/>
  <c r="V74" i="9" s="1"/>
  <c r="V13" i="9" s="1"/>
  <c r="AJ104" i="9"/>
  <c r="X72" i="9"/>
  <c r="X73" i="9" s="1"/>
  <c r="X74" i="9" s="1"/>
  <c r="X13" i="9" s="1"/>
  <c r="U72" i="9"/>
  <c r="U73" i="9" s="1"/>
  <c r="U74" i="9" s="1"/>
  <c r="U13" i="9" s="1"/>
  <c r="T72" i="9"/>
  <c r="T73" i="9" s="1"/>
  <c r="T74" i="9" s="1"/>
  <c r="T13" i="9" s="1"/>
  <c r="AG70" i="9"/>
  <c r="AG75" i="9" s="1"/>
  <c r="AG62" i="8" s="1"/>
  <c r="U75" i="9"/>
  <c r="U62" i="8" s="1"/>
  <c r="AH104" i="9"/>
  <c r="AI71" i="9"/>
  <c r="AJ70" i="9"/>
  <c r="AJ72" i="9" s="1"/>
  <c r="AJ73" i="9" s="1"/>
  <c r="AJ74" i="9" s="1"/>
  <c r="AJ13" i="9" s="1"/>
  <c r="Z75" i="9"/>
  <c r="Z62" i="8" s="1"/>
  <c r="AI70" i="9"/>
  <c r="AI72" i="9" s="1"/>
  <c r="AI73" i="9" s="1"/>
  <c r="AI74" i="9" s="1"/>
  <c r="AI13" i="9" s="1"/>
  <c r="AF70" i="9"/>
  <c r="AF72" i="9" s="1"/>
  <c r="AF73" i="9" s="1"/>
  <c r="AF74" i="9" s="1"/>
  <c r="AF13" i="9" s="1"/>
  <c r="R72" i="9"/>
  <c r="R73" i="9" s="1"/>
  <c r="R74" i="9" s="1"/>
  <c r="R13" i="9" s="1"/>
  <c r="AL71" i="9"/>
  <c r="AK70" i="9"/>
  <c r="AK72" i="9" s="1"/>
  <c r="AK73" i="9" s="1"/>
  <c r="AK74" i="9" s="1"/>
  <c r="AK13" i="9" s="1"/>
  <c r="Z72" i="9"/>
  <c r="Z73" i="9" s="1"/>
  <c r="Z74" i="9" s="1"/>
  <c r="Z13" i="9" s="1"/>
  <c r="E23" i="2"/>
  <c r="E33" i="2" s="1"/>
  <c r="AE104" i="9"/>
  <c r="E32" i="2"/>
  <c r="AL70" i="9"/>
  <c r="AD70" i="9"/>
  <c r="Y72" i="9"/>
  <c r="Y73" i="9" s="1"/>
  <c r="Y74" i="9" s="1"/>
  <c r="Y13" i="9" s="1"/>
  <c r="AB70" i="9"/>
  <c r="AB75" i="9" s="1"/>
  <c r="AB62" i="8" s="1"/>
  <c r="AM70" i="9"/>
  <c r="AC70" i="9"/>
  <c r="R75" i="9"/>
  <c r="R62" i="8" s="1"/>
  <c r="AD71" i="9"/>
  <c r="AM71" i="9"/>
  <c r="AC71" i="9"/>
  <c r="AA72" i="9"/>
  <c r="AA73" i="9" s="1"/>
  <c r="AA74" i="9" s="1"/>
  <c r="AA13" i="9" s="1"/>
  <c r="AG123" i="17"/>
  <c r="AC89" i="1"/>
  <c r="AC98" i="1" s="1"/>
  <c r="F10" i="2"/>
  <c r="AP123" i="17"/>
  <c r="AL89" i="1"/>
  <c r="AL98" i="1" s="1"/>
  <c r="AJ123" i="17"/>
  <c r="AF89" i="1"/>
  <c r="AF98" i="1" s="1"/>
  <c r="AG104" i="9"/>
  <c r="AL123" i="17"/>
  <c r="AH89" i="1"/>
  <c r="AH98" i="1" s="1"/>
  <c r="AL122" i="17"/>
  <c r="AH84" i="1" s="1"/>
  <c r="AO123" i="17"/>
  <c r="AK89" i="1"/>
  <c r="AK98" i="1" s="1"/>
  <c r="AN123" i="17"/>
  <c r="AJ89" i="1"/>
  <c r="AJ98" i="1" s="1"/>
  <c r="AM123" i="17"/>
  <c r="AI89" i="1"/>
  <c r="AI98" i="1" s="1"/>
  <c r="AH123" i="17"/>
  <c r="AD89" i="1"/>
  <c r="AD98" i="1" s="1"/>
  <c r="AQ123" i="17"/>
  <c r="AM89" i="1"/>
  <c r="AM98" i="1" s="1"/>
  <c r="AM122" i="17"/>
  <c r="AI84" i="1" s="1"/>
  <c r="AE70" i="9"/>
  <c r="AE72" i="9" s="1"/>
  <c r="AE73" i="9" s="1"/>
  <c r="AE74" i="9" s="1"/>
  <c r="AE13" i="9" s="1"/>
  <c r="AE127" i="17"/>
  <c r="AI123" i="17"/>
  <c r="AE89" i="1"/>
  <c r="AE98" i="1" s="1"/>
  <c r="AK123" i="17"/>
  <c r="AG89" i="1"/>
  <c r="AG98" i="1" s="1"/>
  <c r="AP122" i="17"/>
  <c r="AL84" i="1" s="1"/>
  <c r="AB98" i="1"/>
  <c r="Q72" i="9"/>
  <c r="Q73" i="9" s="1"/>
  <c r="Q74" i="9" s="1"/>
  <c r="Q13" i="9" s="1"/>
  <c r="Q63" i="8"/>
  <c r="Q15" i="8" s="1"/>
  <c r="AH75" i="9"/>
  <c r="AH62" i="8" s="1"/>
  <c r="AF124" i="17"/>
  <c r="AM124" i="17"/>
  <c r="AG124" i="17"/>
  <c r="AJ124" i="17"/>
  <c r="AA85" i="1"/>
  <c r="AA83" i="1"/>
  <c r="S85" i="1"/>
  <c r="S83" i="1"/>
  <c r="R85" i="1"/>
  <c r="R83" i="1"/>
  <c r="Q85" i="1"/>
  <c r="Q83" i="1"/>
  <c r="AI124" i="17"/>
  <c r="Z85" i="1"/>
  <c r="Z83" i="1"/>
  <c r="AN124" i="17"/>
  <c r="V85" i="1"/>
  <c r="V83" i="1"/>
  <c r="AK124" i="17"/>
  <c r="Y85" i="1"/>
  <c r="Y83" i="1"/>
  <c r="P85" i="1"/>
  <c r="P83" i="1"/>
  <c r="AO124" i="17"/>
  <c r="W85" i="1"/>
  <c r="W83" i="1"/>
  <c r="X85" i="1"/>
  <c r="X83" i="1"/>
  <c r="AQ124" i="17"/>
  <c r="S73" i="9"/>
  <c r="S74" i="9" s="1"/>
  <c r="S13" i="9" s="1"/>
  <c r="AH72" i="9"/>
  <c r="T85" i="1"/>
  <c r="T83" i="1"/>
  <c r="AH124" i="17"/>
  <c r="U85" i="1"/>
  <c r="U83" i="1"/>
  <c r="F155" i="2" l="1"/>
  <c r="F16" i="2"/>
  <c r="F17" i="2" s="1"/>
  <c r="AJ75" i="9"/>
  <c r="AJ62" i="8" s="1"/>
  <c r="AL72" i="9"/>
  <c r="AI75" i="9"/>
  <c r="AI62" i="8" s="1"/>
  <c r="AG72" i="9"/>
  <c r="AG73" i="9" s="1"/>
  <c r="AG74" i="9" s="1"/>
  <c r="AG13" i="9" s="1"/>
  <c r="AF75" i="9"/>
  <c r="AF62" i="8" s="1"/>
  <c r="AL75" i="9"/>
  <c r="AL62" i="8" s="1"/>
  <c r="AM72" i="9"/>
  <c r="AM73" i="9" s="1"/>
  <c r="AM74" i="9" s="1"/>
  <c r="AM13" i="9" s="1"/>
  <c r="AB72" i="9"/>
  <c r="AB73" i="9" s="1"/>
  <c r="AB74" i="9" s="1"/>
  <c r="AB13" i="9" s="1"/>
  <c r="AC72" i="9"/>
  <c r="AC73" i="9" s="1"/>
  <c r="AC74" i="9" s="1"/>
  <c r="AC13" i="9" s="1"/>
  <c r="AC75" i="9"/>
  <c r="AC62" i="8" s="1"/>
  <c r="AK75" i="9"/>
  <c r="AK62" i="8" s="1"/>
  <c r="F32" i="2"/>
  <c r="AD72" i="9"/>
  <c r="AD73" i="9" s="1"/>
  <c r="AD74" i="9" s="1"/>
  <c r="AD13" i="9" s="1"/>
  <c r="F23" i="2"/>
  <c r="F33" i="2" s="1"/>
  <c r="AD75" i="9"/>
  <c r="AD62" i="8" s="1"/>
  <c r="AM75" i="9"/>
  <c r="AM62" i="8" s="1"/>
  <c r="AQ127" i="17"/>
  <c r="AE75" i="9"/>
  <c r="AE62" i="8" s="1"/>
  <c r="AP124" i="17"/>
  <c r="AL124" i="17"/>
  <c r="P100" i="1"/>
  <c r="P103" i="1" s="1"/>
  <c r="S78" i="9"/>
  <c r="S80" i="9" s="1"/>
  <c r="S81" i="9" s="1"/>
  <c r="S105" i="9" s="1"/>
  <c r="S112" i="1"/>
  <c r="X78" i="9"/>
  <c r="X80" i="9" s="1"/>
  <c r="X81" i="9" s="1"/>
  <c r="X105" i="9" s="1"/>
  <c r="X112" i="1"/>
  <c r="U78" i="9"/>
  <c r="U80" i="9" s="1"/>
  <c r="U81" i="9" s="1"/>
  <c r="U105" i="9" s="1"/>
  <c r="U112" i="1"/>
  <c r="V78" i="9"/>
  <c r="V80" i="9" s="1"/>
  <c r="V81" i="9" s="1"/>
  <c r="V105" i="9" s="1"/>
  <c r="V112" i="1"/>
  <c r="AA112" i="1"/>
  <c r="P98" i="9"/>
  <c r="P100" i="9" s="1"/>
  <c r="P18" i="9" s="1"/>
  <c r="P22" i="9" s="1"/>
  <c r="P24" i="9" s="1"/>
  <c r="P55" i="9" s="1"/>
  <c r="P112" i="1"/>
  <c r="W78" i="9"/>
  <c r="W80" i="9" s="1"/>
  <c r="W81" i="9" s="1"/>
  <c r="W105" i="9" s="1"/>
  <c r="W107" i="9" s="1"/>
  <c r="W90" i="8" s="1"/>
  <c r="W112" i="1"/>
  <c r="AA78" i="9"/>
  <c r="AA80" i="9" s="1"/>
  <c r="AA81" i="9" s="1"/>
  <c r="AA105" i="9" s="1"/>
  <c r="R78" i="9"/>
  <c r="R80" i="9" s="1"/>
  <c r="R81" i="9" s="1"/>
  <c r="R105" i="9" s="1"/>
  <c r="R112" i="1"/>
  <c r="Y78" i="9"/>
  <c r="Y80" i="9" s="1"/>
  <c r="Y81" i="9" s="1"/>
  <c r="Y105" i="9" s="1"/>
  <c r="Y112" i="1"/>
  <c r="T78" i="9"/>
  <c r="T80" i="9" s="1"/>
  <c r="T81" i="9" s="1"/>
  <c r="T105" i="9" s="1"/>
  <c r="T107" i="9" s="1"/>
  <c r="T90" i="8" s="1"/>
  <c r="Z78" i="9"/>
  <c r="Z80" i="9" s="1"/>
  <c r="Z81" i="9" s="1"/>
  <c r="Z105" i="9" s="1"/>
  <c r="Z107" i="9" s="1"/>
  <c r="Z90" i="8" s="1"/>
  <c r="Z112" i="1"/>
  <c r="Q78" i="9"/>
  <c r="Q80" i="9" s="1"/>
  <c r="Q81" i="9" s="1"/>
  <c r="Q105" i="9" s="1"/>
  <c r="Q107" i="9" s="1"/>
  <c r="Q90" i="8" s="1"/>
  <c r="Q112" i="1"/>
  <c r="R61" i="8"/>
  <c r="R63" i="8" s="1"/>
  <c r="S61" i="8" s="1"/>
  <c r="S63" i="8" s="1"/>
  <c r="AE85" i="1"/>
  <c r="AE83" i="1"/>
  <c r="AH73" i="9"/>
  <c r="AH74" i="9" s="1"/>
  <c r="AH13" i="9" s="1"/>
  <c r="E19" i="2"/>
  <c r="E107" i="2"/>
  <c r="AJ85" i="1"/>
  <c r="AJ83" i="1"/>
  <c r="AG85" i="1"/>
  <c r="AG83" i="1"/>
  <c r="AH85" i="1"/>
  <c r="AH83" i="1"/>
  <c r="AL85" i="1"/>
  <c r="AL83" i="1"/>
  <c r="AC85" i="1"/>
  <c r="AC83" i="1"/>
  <c r="AB85" i="1"/>
  <c r="AB83" i="1"/>
  <c r="AD85" i="1"/>
  <c r="AD83" i="1"/>
  <c r="AK85" i="1"/>
  <c r="AK83" i="1"/>
  <c r="AF85" i="1"/>
  <c r="AF83" i="1"/>
  <c r="E12" i="2"/>
  <c r="P78" i="9"/>
  <c r="P80" i="9" s="1"/>
  <c r="AM85" i="1"/>
  <c r="AM83" i="1"/>
  <c r="AL73" i="9"/>
  <c r="AL74" i="9" s="1"/>
  <c r="AL13" i="9" s="1"/>
  <c r="AI85" i="1"/>
  <c r="AI83" i="1"/>
  <c r="R15" i="8" l="1"/>
  <c r="AJ78" i="9"/>
  <c r="AJ80" i="9" s="1"/>
  <c r="AJ81" i="9" s="1"/>
  <c r="AJ105" i="9" s="1"/>
  <c r="AJ112" i="1"/>
  <c r="AL78" i="9"/>
  <c r="AL80" i="9" s="1"/>
  <c r="AL81" i="9" s="1"/>
  <c r="AL105" i="9" s="1"/>
  <c r="AL107" i="9" s="1"/>
  <c r="AL90" i="8" s="1"/>
  <c r="AL112" i="1"/>
  <c r="T98" i="9"/>
  <c r="T100" i="9" s="1"/>
  <c r="T18" i="9" s="1"/>
  <c r="T100" i="1"/>
  <c r="T103" i="1" s="1"/>
  <c r="T106" i="1" s="1"/>
  <c r="T168" i="1" s="1"/>
  <c r="T171" i="1" s="1"/>
  <c r="AB98" i="9"/>
  <c r="AB100" i="9" s="1"/>
  <c r="AB18" i="9" s="1"/>
  <c r="AM78" i="9"/>
  <c r="AM80" i="9" s="1"/>
  <c r="AM81" i="9" s="1"/>
  <c r="AM105" i="9" s="1"/>
  <c r="AB112" i="1"/>
  <c r="Y98" i="9"/>
  <c r="Y100" i="9" s="1"/>
  <c r="Y18" i="9" s="1"/>
  <c r="Y100" i="1"/>
  <c r="Y103" i="1" s="1"/>
  <c r="Y106" i="1" s="1"/>
  <c r="Y168" i="1" s="1"/>
  <c r="Y171" i="1" s="1"/>
  <c r="AA98" i="9"/>
  <c r="AA100" i="9" s="1"/>
  <c r="AA18" i="9" s="1"/>
  <c r="AA100" i="1"/>
  <c r="AA103" i="1" s="1"/>
  <c r="AA106" i="1" s="1"/>
  <c r="AA168" i="1" s="1"/>
  <c r="AA171" i="1" s="1"/>
  <c r="X98" i="9"/>
  <c r="X100" i="9" s="1"/>
  <c r="X18" i="9" s="1"/>
  <c r="X100" i="1"/>
  <c r="X103" i="1" s="1"/>
  <c r="X106" i="1" s="1"/>
  <c r="X168" i="1" s="1"/>
  <c r="X171" i="1" s="1"/>
  <c r="AF78" i="9"/>
  <c r="AF80" i="9" s="1"/>
  <c r="AF112" i="1"/>
  <c r="AI78" i="9"/>
  <c r="AI80" i="9" s="1"/>
  <c r="AI81" i="9" s="1"/>
  <c r="AI105" i="9" s="1"/>
  <c r="AI107" i="9" s="1"/>
  <c r="AI90" i="8" s="1"/>
  <c r="AE78" i="9"/>
  <c r="AE80" i="9" s="1"/>
  <c r="AE81" i="9" s="1"/>
  <c r="AE105" i="9" s="1"/>
  <c r="AE112" i="1"/>
  <c r="R98" i="9"/>
  <c r="R100" i="9" s="1"/>
  <c r="R18" i="9" s="1"/>
  <c r="R100" i="1"/>
  <c r="R103" i="1" s="1"/>
  <c r="R106" i="1" s="1"/>
  <c r="R168" i="1" s="1"/>
  <c r="R171" i="1" s="1"/>
  <c r="W98" i="9"/>
  <c r="W100" i="9" s="1"/>
  <c r="W18" i="9" s="1"/>
  <c r="W100" i="1"/>
  <c r="W103" i="1" s="1"/>
  <c r="W106" i="1" s="1"/>
  <c r="W168" i="1" s="1"/>
  <c r="W171" i="1" s="1"/>
  <c r="V98" i="9"/>
  <c r="V100" i="9" s="1"/>
  <c r="V18" i="9" s="1"/>
  <c r="V100" i="1"/>
  <c r="V103" i="1" s="1"/>
  <c r="V106" i="1" s="1"/>
  <c r="V168" i="1" s="1"/>
  <c r="V171" i="1" s="1"/>
  <c r="S98" i="9"/>
  <c r="S100" i="9" s="1"/>
  <c r="S18" i="9" s="1"/>
  <c r="S100" i="1"/>
  <c r="S103" i="1" s="1"/>
  <c r="S106" i="1" s="1"/>
  <c r="S168" i="1" s="1"/>
  <c r="S171" i="1" s="1"/>
  <c r="AG78" i="9"/>
  <c r="AG80" i="9" s="1"/>
  <c r="AG81" i="9" s="1"/>
  <c r="AG105" i="9" s="1"/>
  <c r="AG112" i="1"/>
  <c r="Q98" i="9"/>
  <c r="Q100" i="9" s="1"/>
  <c r="Q18" i="9" s="1"/>
  <c r="Q100" i="1"/>
  <c r="AK78" i="9"/>
  <c r="AK80" i="9" s="1"/>
  <c r="AK81" i="9" s="1"/>
  <c r="AK105" i="9" s="1"/>
  <c r="AK112" i="1"/>
  <c r="AC78" i="9"/>
  <c r="AC80" i="9" s="1"/>
  <c r="AC81" i="9" s="1"/>
  <c r="AC105" i="9" s="1"/>
  <c r="AC107" i="9" s="1"/>
  <c r="AC90" i="8" s="1"/>
  <c r="AH78" i="9"/>
  <c r="AH80" i="9" s="1"/>
  <c r="AH81" i="9" s="1"/>
  <c r="AH105" i="9" s="1"/>
  <c r="AH112" i="1"/>
  <c r="Z98" i="9"/>
  <c r="Z100" i="9" s="1"/>
  <c r="Z18" i="9" s="1"/>
  <c r="Z100" i="1"/>
  <c r="Z103" i="1" s="1"/>
  <c r="Z106" i="1" s="1"/>
  <c r="Z168" i="1" s="1"/>
  <c r="Z171" i="1" s="1"/>
  <c r="AM112" i="1"/>
  <c r="AB100" i="1"/>
  <c r="AB103" i="1" s="1"/>
  <c r="AD78" i="9"/>
  <c r="AD80" i="9" s="1"/>
  <c r="AD81" i="9" s="1"/>
  <c r="AD105" i="9" s="1"/>
  <c r="AD112" i="1"/>
  <c r="AC112" i="1"/>
  <c r="U98" i="9"/>
  <c r="U100" i="9" s="1"/>
  <c r="U18" i="9" s="1"/>
  <c r="U100" i="1"/>
  <c r="U103" i="1" s="1"/>
  <c r="U106" i="1" s="1"/>
  <c r="U168" i="1" s="1"/>
  <c r="U171" i="1" s="1"/>
  <c r="T112" i="1"/>
  <c r="U82" i="9"/>
  <c r="V83" i="9" s="1"/>
  <c r="V16" i="9" s="1"/>
  <c r="T82" i="9"/>
  <c r="U83" i="9" s="1"/>
  <c r="U16" i="9" s="1"/>
  <c r="X82" i="9"/>
  <c r="Y83" i="9" s="1"/>
  <c r="Y16" i="9" s="1"/>
  <c r="Y82" i="9"/>
  <c r="Z83" i="9" s="1"/>
  <c r="Z16" i="9" s="1"/>
  <c r="E141" i="2"/>
  <c r="E143" i="2" s="1"/>
  <c r="E18" i="2"/>
  <c r="F19" i="2"/>
  <c r="F107" i="2"/>
  <c r="S107" i="9"/>
  <c r="S90" i="8" s="1"/>
  <c r="U106" i="9"/>
  <c r="U19" i="9" s="1"/>
  <c r="AF81" i="9"/>
  <c r="AF105" i="9" s="1"/>
  <c r="AF107" i="9" s="1"/>
  <c r="AF90" i="8" s="1"/>
  <c r="W82" i="9"/>
  <c r="P106" i="1"/>
  <c r="V82" i="9"/>
  <c r="AA82" i="9"/>
  <c r="Z82" i="9"/>
  <c r="X106" i="9"/>
  <c r="X19" i="9" s="1"/>
  <c r="V107" i="9"/>
  <c r="V90" i="8" s="1"/>
  <c r="Y107" i="9"/>
  <c r="Y90" i="8" s="1"/>
  <c r="AA106" i="9"/>
  <c r="AA19" i="9" s="1"/>
  <c r="F12" i="2"/>
  <c r="AB78" i="9"/>
  <c r="AB80" i="9" s="1"/>
  <c r="R82" i="9"/>
  <c r="S15" i="8"/>
  <c r="T61" i="8"/>
  <c r="T63" i="8" s="1"/>
  <c r="P81" i="9"/>
  <c r="P105" i="9" s="1"/>
  <c r="Q82" i="9"/>
  <c r="S82" i="9"/>
  <c r="Y22" i="9" l="1"/>
  <c r="Y24" i="9" s="1"/>
  <c r="Y55" i="9" s="1"/>
  <c r="Z22" i="9"/>
  <c r="Z24" i="9" s="1"/>
  <c r="Z55" i="9" s="1"/>
  <c r="Q103" i="1"/>
  <c r="E34" i="2"/>
  <c r="E109" i="2" s="1"/>
  <c r="AI98" i="9"/>
  <c r="AI100" i="9" s="1"/>
  <c r="AI18" i="9" s="1"/>
  <c r="AI100" i="1"/>
  <c r="AI103" i="1" s="1"/>
  <c r="AI106" i="1" s="1"/>
  <c r="AI168" i="1" s="1"/>
  <c r="AI171" i="1" s="1"/>
  <c r="AH98" i="9"/>
  <c r="AH100" i="9" s="1"/>
  <c r="AH18" i="9" s="1"/>
  <c r="AH100" i="1"/>
  <c r="AH103" i="1" s="1"/>
  <c r="AH106" i="1" s="1"/>
  <c r="AH168" i="1" s="1"/>
  <c r="AH171" i="1" s="1"/>
  <c r="AD98" i="9"/>
  <c r="AD100" i="9" s="1"/>
  <c r="AD18" i="9" s="1"/>
  <c r="AD100" i="1"/>
  <c r="AD103" i="1" s="1"/>
  <c r="AD106" i="1" s="1"/>
  <c r="AD168" i="1" s="1"/>
  <c r="AD171" i="1" s="1"/>
  <c r="AC98" i="9"/>
  <c r="AC100" i="9" s="1"/>
  <c r="AC18" i="9" s="1"/>
  <c r="AC100" i="1"/>
  <c r="AC103" i="1" s="1"/>
  <c r="AC106" i="1" s="1"/>
  <c r="AC168" i="1" s="1"/>
  <c r="AC171" i="1" s="1"/>
  <c r="AG98" i="9"/>
  <c r="AG100" i="9" s="1"/>
  <c r="AG18" i="9" s="1"/>
  <c r="AG100" i="1"/>
  <c r="AG103" i="1" s="1"/>
  <c r="AG106" i="1" s="1"/>
  <c r="AG168" i="1" s="1"/>
  <c r="AG171" i="1" s="1"/>
  <c r="V22" i="9"/>
  <c r="V24" i="9" s="1"/>
  <c r="V55" i="9" s="1"/>
  <c r="AF98" i="9"/>
  <c r="AF100" i="9" s="1"/>
  <c r="AF18" i="9" s="1"/>
  <c r="AF100" i="1"/>
  <c r="AF103" i="1" s="1"/>
  <c r="AF106" i="1" s="1"/>
  <c r="AF168" i="1" s="1"/>
  <c r="AF171" i="1" s="1"/>
  <c r="AL98" i="9"/>
  <c r="AL100" i="9" s="1"/>
  <c r="AL18" i="9" s="1"/>
  <c r="AL100" i="1"/>
  <c r="AL103" i="1" s="1"/>
  <c r="AL106" i="1" s="1"/>
  <c r="AL168" i="1" s="1"/>
  <c r="AL171" i="1" s="1"/>
  <c r="AI112" i="1"/>
  <c r="AM98" i="9"/>
  <c r="AM100" i="9" s="1"/>
  <c r="AM18" i="9" s="1"/>
  <c r="AM100" i="1"/>
  <c r="AM103" i="1" s="1"/>
  <c r="AM106" i="1" s="1"/>
  <c r="AM168" i="1" s="1"/>
  <c r="AM171" i="1" s="1"/>
  <c r="AK98" i="9"/>
  <c r="AK100" i="9" s="1"/>
  <c r="AK18" i="9" s="1"/>
  <c r="AK100" i="1"/>
  <c r="AK103" i="1" s="1"/>
  <c r="AK106" i="1" s="1"/>
  <c r="AK168" i="1" s="1"/>
  <c r="AK171" i="1" s="1"/>
  <c r="AE98" i="9"/>
  <c r="AE100" i="9" s="1"/>
  <c r="AE18" i="9" s="1"/>
  <c r="AE100" i="1"/>
  <c r="AE103" i="1" s="1"/>
  <c r="AE106" i="1" s="1"/>
  <c r="AE168" i="1" s="1"/>
  <c r="AE171" i="1" s="1"/>
  <c r="AJ98" i="9"/>
  <c r="AJ100" i="9" s="1"/>
  <c r="AJ18" i="9" s="1"/>
  <c r="AJ100" i="1"/>
  <c r="AJ103" i="1" s="1"/>
  <c r="AJ106" i="1" s="1"/>
  <c r="AJ168" i="1" s="1"/>
  <c r="AJ171" i="1" s="1"/>
  <c r="U22" i="9"/>
  <c r="U24" i="9" s="1"/>
  <c r="U55" i="9" s="1"/>
  <c r="U107" i="9"/>
  <c r="U90" i="8" s="1"/>
  <c r="AA107" i="9"/>
  <c r="AA90" i="8" s="1"/>
  <c r="U84" i="9"/>
  <c r="U72" i="8" s="1"/>
  <c r="AH82" i="9"/>
  <c r="AI83" i="9" s="1"/>
  <c r="AI16" i="9" s="1"/>
  <c r="AE82" i="9"/>
  <c r="AF83" i="9" s="1"/>
  <c r="AF16" i="9" s="1"/>
  <c r="AF82" i="9"/>
  <c r="AG83" i="9" s="1"/>
  <c r="AG16" i="9" s="1"/>
  <c r="AK82" i="9"/>
  <c r="AL83" i="9" s="1"/>
  <c r="AL16" i="9" s="1"/>
  <c r="AL82" i="9"/>
  <c r="AM83" i="9" s="1"/>
  <c r="AM16" i="9" s="1"/>
  <c r="AG82" i="9"/>
  <c r="AH83" i="9" s="1"/>
  <c r="AH16" i="9" s="1"/>
  <c r="P82" i="9"/>
  <c r="AC82" i="9"/>
  <c r="AB83" i="9"/>
  <c r="AB16" i="9" s="1"/>
  <c r="AB22" i="9" s="1"/>
  <c r="AB24" i="9" s="1"/>
  <c r="AB106" i="1"/>
  <c r="AE107" i="9"/>
  <c r="AE90" i="8" s="1"/>
  <c r="AG106" i="9"/>
  <c r="AG19" i="9" s="1"/>
  <c r="P168" i="1"/>
  <c r="P171" i="1" s="1"/>
  <c r="P107" i="9"/>
  <c r="P90" i="8" s="1"/>
  <c r="P92" i="8" s="1"/>
  <c r="R106" i="9"/>
  <c r="AJ82" i="9"/>
  <c r="Y84" i="9"/>
  <c r="Y72" i="8" s="1"/>
  <c r="AD82" i="9"/>
  <c r="AJ106" i="9"/>
  <c r="AJ19" i="9" s="1"/>
  <c r="AH107" i="9"/>
  <c r="AH90" i="8" s="1"/>
  <c r="AK107" i="9"/>
  <c r="AK90" i="8" s="1"/>
  <c r="AM106" i="9"/>
  <c r="AM19" i="9" s="1"/>
  <c r="T15" i="8"/>
  <c r="U61" i="8"/>
  <c r="U63" i="8" s="1"/>
  <c r="S83" i="9"/>
  <c r="S16" i="9" s="1"/>
  <c r="S22" i="9" s="1"/>
  <c r="S24" i="9" s="1"/>
  <c r="S55" i="9" s="1"/>
  <c r="X107" i="9"/>
  <c r="X90" i="8" s="1"/>
  <c r="AB81" i="9"/>
  <c r="AB105" i="9" s="1"/>
  <c r="F141" i="2"/>
  <c r="F143" i="2" s="1"/>
  <c r="F18" i="2"/>
  <c r="V84" i="9"/>
  <c r="V72" i="8" s="1"/>
  <c r="W83" i="9"/>
  <c r="W16" i="9" s="1"/>
  <c r="W22" i="9" s="1"/>
  <c r="W24" i="9" s="1"/>
  <c r="W55" i="9" s="1"/>
  <c r="T83" i="9"/>
  <c r="R83" i="9"/>
  <c r="R16" i="9" s="1"/>
  <c r="X83" i="9"/>
  <c r="AI82" i="9"/>
  <c r="AA83" i="9"/>
  <c r="AA16" i="9" s="1"/>
  <c r="AA22" i="9" s="1"/>
  <c r="AA24" i="9" s="1"/>
  <c r="AA55" i="9" s="1"/>
  <c r="Z84" i="9"/>
  <c r="Z72" i="8" s="1"/>
  <c r="AM82" i="9"/>
  <c r="AL22" i="9" l="1"/>
  <c r="AL24" i="9" s="1"/>
  <c r="AL55" i="9" s="1"/>
  <c r="AH22" i="9"/>
  <c r="AH24" i="9" s="1"/>
  <c r="AH55" i="9" s="1"/>
  <c r="AI22" i="9"/>
  <c r="AI24" i="9" s="1"/>
  <c r="AI55" i="9" s="1"/>
  <c r="Q106" i="1"/>
  <c r="E37" i="2"/>
  <c r="F37" i="2"/>
  <c r="AF22" i="9"/>
  <c r="AF24" i="9" s="1"/>
  <c r="AF55" i="9" s="1"/>
  <c r="F34" i="2"/>
  <c r="F109" i="2" s="1"/>
  <c r="AA84" i="9"/>
  <c r="AA72" i="8" s="1"/>
  <c r="AF84" i="9"/>
  <c r="AF72" i="8" s="1"/>
  <c r="AH84" i="9"/>
  <c r="AH72" i="8" s="1"/>
  <c r="AM84" i="9"/>
  <c r="AM72" i="8" s="1"/>
  <c r="AM107" i="9"/>
  <c r="AM90" i="8" s="1"/>
  <c r="R84" i="9"/>
  <c r="R72" i="8" s="1"/>
  <c r="X16" i="9"/>
  <c r="X84" i="9"/>
  <c r="X72" i="8" s="1"/>
  <c r="Q89" i="8"/>
  <c r="Q92" i="8" s="1"/>
  <c r="P24" i="8"/>
  <c r="AB168" i="1"/>
  <c r="AB171" i="1" s="1"/>
  <c r="F40" i="2"/>
  <c r="F41" i="2" s="1"/>
  <c r="U15" i="8"/>
  <c r="V61" i="8"/>
  <c r="V63" i="8" s="1"/>
  <c r="R19" i="9"/>
  <c r="R22" i="9" s="1"/>
  <c r="R24" i="9" s="1"/>
  <c r="R55" i="9" s="1"/>
  <c r="R107" i="9"/>
  <c r="R90" i="8" s="1"/>
  <c r="AG22" i="9"/>
  <c r="AG24" i="9" s="1"/>
  <c r="AG55" i="9" s="1"/>
  <c r="AJ83" i="9"/>
  <c r="AJ16" i="9" s="1"/>
  <c r="AI84" i="9"/>
  <c r="AI72" i="8" s="1"/>
  <c r="AB107" i="9"/>
  <c r="AB90" i="8" s="1"/>
  <c r="AD106" i="9"/>
  <c r="AB82" i="9"/>
  <c r="AB55" i="9"/>
  <c r="AM22" i="9"/>
  <c r="AM24" i="9" s="1"/>
  <c r="AM55" i="9" s="1"/>
  <c r="AG107" i="9"/>
  <c r="AG90" i="8" s="1"/>
  <c r="AE83" i="9"/>
  <c r="AG84" i="9"/>
  <c r="AG72" i="8" s="1"/>
  <c r="T16" i="9"/>
  <c r="T22" i="9" s="1"/>
  <c r="T24" i="9" s="1"/>
  <c r="T55" i="9" s="1"/>
  <c r="T84" i="9"/>
  <c r="T72" i="8" s="1"/>
  <c r="AK83" i="9"/>
  <c r="AD83" i="9"/>
  <c r="AD16" i="9" s="1"/>
  <c r="W84" i="9"/>
  <c r="W72" i="8" s="1"/>
  <c r="S84" i="9"/>
  <c r="S72" i="8" s="1"/>
  <c r="AJ107" i="9"/>
  <c r="AJ90" i="8" s="1"/>
  <c r="AL84" i="9"/>
  <c r="AL72" i="8" s="1"/>
  <c r="P84" i="9"/>
  <c r="P72" i="8" s="1"/>
  <c r="P74" i="8" s="1"/>
  <c r="Q83" i="9"/>
  <c r="E111" i="2" l="1"/>
  <c r="E127" i="2"/>
  <c r="F111" i="2"/>
  <c r="F127" i="2"/>
  <c r="E12" i="16"/>
  <c r="E13" i="16" s="1" a="1"/>
  <c r="E13" i="16" s="1"/>
  <c r="Q168" i="1"/>
  <c r="Q171" i="1" s="1"/>
  <c r="E40" i="2"/>
  <c r="E41" i="2" s="1"/>
  <c r="AD84" i="9"/>
  <c r="AD72" i="8" s="1"/>
  <c r="AJ84" i="9"/>
  <c r="AJ72" i="8" s="1"/>
  <c r="Q16" i="9"/>
  <c r="Q22" i="9" s="1"/>
  <c r="Q24" i="9" s="1"/>
  <c r="Q84" i="9"/>
  <c r="Q72" i="8" s="1"/>
  <c r="Q71" i="8"/>
  <c r="P21" i="8"/>
  <c r="F113" i="2"/>
  <c r="F157" i="2"/>
  <c r="R89" i="8"/>
  <c r="R92" i="8" s="1"/>
  <c r="Q24" i="8"/>
  <c r="AK16" i="9"/>
  <c r="AK22" i="9" s="1"/>
  <c r="AK24" i="9" s="1"/>
  <c r="AK55" i="9" s="1"/>
  <c r="AK84" i="9"/>
  <c r="AK72" i="8" s="1"/>
  <c r="AB84" i="9"/>
  <c r="AB72" i="8" s="1"/>
  <c r="AC83" i="9"/>
  <c r="AD19" i="9"/>
  <c r="AD22" i="9" s="1"/>
  <c r="AD24" i="9" s="1"/>
  <c r="AD55" i="9" s="1"/>
  <c r="AD107" i="9"/>
  <c r="AD90" i="8" s="1"/>
  <c r="AE16" i="9"/>
  <c r="AE22" i="9" s="1"/>
  <c r="AE24" i="9" s="1"/>
  <c r="AE55" i="9" s="1"/>
  <c r="AE84" i="9"/>
  <c r="AE72" i="8" s="1"/>
  <c r="W61" i="8"/>
  <c r="W63" i="8" s="1"/>
  <c r="V15" i="8"/>
  <c r="D12" i="16" l="1"/>
  <c r="D13" i="16" s="1" a="1"/>
  <c r="D13" i="16" s="1"/>
  <c r="E113" i="2"/>
  <c r="E157" i="2"/>
  <c r="Q74" i="8"/>
  <c r="W15" i="8"/>
  <c r="X61" i="8"/>
  <c r="X63" i="8" s="1"/>
  <c r="AC16" i="9"/>
  <c r="AC22" i="9" s="1"/>
  <c r="AC24" i="9" s="1"/>
  <c r="AC84" i="9"/>
  <c r="AC72" i="8" s="1"/>
  <c r="S89" i="8"/>
  <c r="S92" i="8" s="1"/>
  <c r="R24" i="8"/>
  <c r="Q55" i="9"/>
  <c r="T89" i="8" l="1"/>
  <c r="T92" i="8" s="1"/>
  <c r="S24" i="8"/>
  <c r="R71" i="8"/>
  <c r="R74" i="8" s="1"/>
  <c r="Q21" i="8"/>
  <c r="AC55" i="9"/>
  <c r="X15" i="8"/>
  <c r="Y61" i="8"/>
  <c r="Y63" i="8" s="1"/>
  <c r="T24" i="8" l="1"/>
  <c r="U89" i="8"/>
  <c r="U92" i="8" s="1"/>
  <c r="R21" i="8"/>
  <c r="S71" i="8"/>
  <c r="S74" i="8" s="1"/>
  <c r="Y15" i="8"/>
  <c r="Z61" i="8"/>
  <c r="Z63" i="8" s="1"/>
  <c r="T71" i="8" l="1"/>
  <c r="T74" i="8" s="1"/>
  <c r="S21" i="8"/>
  <c r="V89" i="8"/>
  <c r="V92" i="8" s="1"/>
  <c r="U24" i="8"/>
  <c r="Z15" i="8"/>
  <c r="AA61" i="8"/>
  <c r="AA63" i="8" s="1"/>
  <c r="AB61" i="8" l="1"/>
  <c r="AB63" i="8" s="1"/>
  <c r="AA15" i="8"/>
  <c r="V24" i="8"/>
  <c r="W89" i="8"/>
  <c r="W92" i="8" s="1"/>
  <c r="T21" i="8"/>
  <c r="U71" i="8"/>
  <c r="U74" i="8" s="1"/>
  <c r="W24" i="8" l="1"/>
  <c r="X89" i="8"/>
  <c r="X92" i="8" s="1"/>
  <c r="V71" i="8"/>
  <c r="V74" i="8" s="1"/>
  <c r="U21" i="8"/>
  <c r="E66" i="2"/>
  <c r="E145" i="2" s="1"/>
  <c r="AB15" i="8"/>
  <c r="AC61" i="8"/>
  <c r="AC63" i="8" s="1"/>
  <c r="AC15" i="8" l="1"/>
  <c r="AD61" i="8"/>
  <c r="AD63" i="8" s="1"/>
  <c r="W71" i="8"/>
  <c r="W74" i="8" s="1"/>
  <c r="V21" i="8"/>
  <c r="Y89" i="8"/>
  <c r="Y92" i="8" s="1"/>
  <c r="X24" i="8"/>
  <c r="Y24" i="8" l="1"/>
  <c r="Z89" i="8"/>
  <c r="Z92" i="8" s="1"/>
  <c r="X71" i="8"/>
  <c r="X74" i="8" s="1"/>
  <c r="W21" i="8"/>
  <c r="AE61" i="8"/>
  <c r="AE63" i="8" s="1"/>
  <c r="AD15" i="8"/>
  <c r="AF61" i="8" l="1"/>
  <c r="AF63" i="8" s="1"/>
  <c r="AE15" i="8"/>
  <c r="X21" i="8"/>
  <c r="Y71" i="8"/>
  <c r="Y74" i="8" s="1"/>
  <c r="Z24" i="8"/>
  <c r="AA89" i="8"/>
  <c r="AA92" i="8" s="1"/>
  <c r="AB89" i="8" l="1"/>
  <c r="AB92" i="8" s="1"/>
  <c r="AA24" i="8"/>
  <c r="E75" i="2" s="1"/>
  <c r="AG61" i="8"/>
  <c r="AG63" i="8" s="1"/>
  <c r="AF15" i="8"/>
  <c r="Y21" i="8"/>
  <c r="Z71" i="8"/>
  <c r="Z74" i="8" s="1"/>
  <c r="AA71" i="8" l="1"/>
  <c r="AA74" i="8" s="1"/>
  <c r="Z21" i="8"/>
  <c r="AG15" i="8"/>
  <c r="AH61" i="8"/>
  <c r="AH63" i="8" s="1"/>
  <c r="AC89" i="8"/>
  <c r="AC92" i="8" s="1"/>
  <c r="AB24" i="8"/>
  <c r="AD89" i="8" l="1"/>
  <c r="AD92" i="8" s="1"/>
  <c r="AC24" i="8"/>
  <c r="AB71" i="8"/>
  <c r="AB74" i="8" s="1"/>
  <c r="AA21" i="8"/>
  <c r="AI61" i="8"/>
  <c r="AI63" i="8" s="1"/>
  <c r="AH15" i="8"/>
  <c r="AJ61" i="8" l="1"/>
  <c r="AJ63" i="8" s="1"/>
  <c r="AI15" i="8"/>
  <c r="E72" i="2"/>
  <c r="E147" i="2" s="1"/>
  <c r="AB21" i="8"/>
  <c r="AC71" i="8"/>
  <c r="AC74" i="8" s="1"/>
  <c r="AE89" i="8"/>
  <c r="AE92" i="8" s="1"/>
  <c r="AD24" i="8"/>
  <c r="AK61" i="8" l="1"/>
  <c r="AK63" i="8" s="1"/>
  <c r="AJ15" i="8"/>
  <c r="AF89" i="8"/>
  <c r="AF92" i="8" s="1"/>
  <c r="AE24" i="8"/>
  <c r="AC21" i="8"/>
  <c r="AD71" i="8"/>
  <c r="AD74" i="8" s="1"/>
  <c r="AK15" i="8" l="1"/>
  <c r="AL61" i="8"/>
  <c r="AL63" i="8" s="1"/>
  <c r="AG89" i="8"/>
  <c r="AG92" i="8" s="1"/>
  <c r="AF24" i="8"/>
  <c r="AE71" i="8"/>
  <c r="AE74" i="8" s="1"/>
  <c r="AD21" i="8"/>
  <c r="AM61" i="8" l="1"/>
  <c r="AM63" i="8" s="1"/>
  <c r="AM15" i="8" s="1"/>
  <c r="AL15" i="8"/>
  <c r="AH89" i="8"/>
  <c r="AH92" i="8" s="1"/>
  <c r="AG24" i="8"/>
  <c r="AF71" i="8"/>
  <c r="AF74" i="8" s="1"/>
  <c r="AE21" i="8"/>
  <c r="AI89" i="8" l="1"/>
  <c r="AI92" i="8" s="1"/>
  <c r="AH24" i="8"/>
  <c r="AG71" i="8"/>
  <c r="AG74" i="8" s="1"/>
  <c r="AF21" i="8"/>
  <c r="F66" i="2"/>
  <c r="F145" i="2" s="1"/>
  <c r="AJ89" i="8" l="1"/>
  <c r="AJ92" i="8" s="1"/>
  <c r="AI24" i="8"/>
  <c r="AG21" i="8"/>
  <c r="AH71" i="8"/>
  <c r="AH74" i="8" s="1"/>
  <c r="AK89" i="8" l="1"/>
  <c r="AK92" i="8" s="1"/>
  <c r="AJ24" i="8"/>
  <c r="AI71" i="8"/>
  <c r="AI74" i="8" s="1"/>
  <c r="AH21" i="8"/>
  <c r="AI21" i="8" l="1"/>
  <c r="AJ71" i="8"/>
  <c r="AJ74" i="8" s="1"/>
  <c r="AK24" i="8"/>
  <c r="AL89" i="8"/>
  <c r="AL92" i="8" s="1"/>
  <c r="AM89" i="8" l="1"/>
  <c r="AM92" i="8" s="1"/>
  <c r="AM24" i="8" s="1"/>
  <c r="F75" i="2" s="1"/>
  <c r="AL24" i="8"/>
  <c r="AK71" i="8"/>
  <c r="AK74" i="8" s="1"/>
  <c r="AJ21" i="8"/>
  <c r="AK21" i="8" l="1"/>
  <c r="AL71" i="8"/>
  <c r="AL74" i="8" s="1"/>
  <c r="AL21" i="8" l="1"/>
  <c r="AM71" i="8"/>
  <c r="AM74" i="8" s="1"/>
  <c r="AM21" i="8" s="1"/>
  <c r="F72" i="2" l="1"/>
  <c r="F147" i="2" s="1"/>
  <c r="L98" i="9"/>
  <c r="L100" i="9" s="1"/>
  <c r="L18" i="9" s="1"/>
  <c r="L22" i="9" s="1"/>
  <c r="L24" i="9" s="1"/>
  <c r="L112" i="1" l="1"/>
  <c r="L100" i="1"/>
  <c r="L103" i="1" s="1"/>
  <c r="D37" i="2" s="1"/>
  <c r="D49" i="2"/>
  <c r="D52" i="2" s="1"/>
  <c r="L55" i="9"/>
  <c r="L58" i="9" s="1"/>
  <c r="D111" i="2" l="1"/>
  <c r="D127" i="2"/>
  <c r="L106" i="1"/>
  <c r="L168" i="1" s="1"/>
  <c r="L171" i="1" s="1"/>
  <c r="D34" i="2"/>
  <c r="D109" i="2" s="1"/>
  <c r="M57" i="9"/>
  <c r="M58" i="9" s="1"/>
  <c r="L17" i="8"/>
  <c r="L18" i="8" s="1"/>
  <c r="D40" i="2" l="1"/>
  <c r="N57" i="9"/>
  <c r="N58" i="9" s="1"/>
  <c r="M17" i="8"/>
  <c r="M18" i="8" s="1"/>
  <c r="C12" i="16" l="1"/>
  <c r="C13" i="16" s="1" a="1"/>
  <c r="C13" i="16" s="1"/>
  <c r="D176" i="1" s="1"/>
  <c r="D41" i="2"/>
  <c r="D157" i="2"/>
  <c r="D113" i="2"/>
  <c r="O57" i="9"/>
  <c r="O58" i="9" s="1"/>
  <c r="N17" i="8"/>
  <c r="N18" i="8" s="1"/>
  <c r="E176" i="1" l="1"/>
  <c r="E114" i="9" s="1"/>
  <c r="E117" i="9" s="1"/>
  <c r="E96" i="8" s="1"/>
  <c r="D108" i="1"/>
  <c r="D109" i="1" s="1"/>
  <c r="D111" i="8" s="1"/>
  <c r="D113" i="8" s="1"/>
  <c r="D114" i="9"/>
  <c r="D117" i="9" s="1"/>
  <c r="D96" i="8" s="1"/>
  <c r="D97" i="8" s="1"/>
  <c r="O17" i="8"/>
  <c r="D54" i="2"/>
  <c r="P57" i="9"/>
  <c r="P58" i="9" s="1"/>
  <c r="E108" i="1" l="1"/>
  <c r="E109" i="1" s="1"/>
  <c r="E111" i="8" s="1"/>
  <c r="E95" i="8"/>
  <c r="E97" i="8" s="1"/>
  <c r="D25" i="8"/>
  <c r="D26" i="8" s="1"/>
  <c r="D28" i="8" s="1"/>
  <c r="D35" i="8" s="1"/>
  <c r="D40" i="8"/>
  <c r="D41" i="8" s="1"/>
  <c r="E110" i="8"/>
  <c r="E113" i="8" s="1"/>
  <c r="O18" i="8"/>
  <c r="D69" i="2" s="1"/>
  <c r="D68" i="2"/>
  <c r="Q57" i="9"/>
  <c r="Q58" i="9" s="1"/>
  <c r="P17" i="8"/>
  <c r="P18" i="8" s="1"/>
  <c r="D43" i="8" l="1"/>
  <c r="D60" i="9" s="1"/>
  <c r="E40" i="8"/>
  <c r="E41" i="8" s="1"/>
  <c r="F110" i="8"/>
  <c r="E25" i="8"/>
  <c r="E26" i="8" s="1"/>
  <c r="E28" i="8" s="1"/>
  <c r="E35" i="8" s="1"/>
  <c r="F95" i="8"/>
  <c r="R57" i="9"/>
  <c r="R58" i="9" s="1"/>
  <c r="Q17" i="8"/>
  <c r="Q18" i="8" s="1"/>
  <c r="E43" i="8" l="1"/>
  <c r="E60" i="9" s="1"/>
  <c r="R17" i="8"/>
  <c r="R18" i="8" s="1"/>
  <c r="S57" i="9"/>
  <c r="S58" i="9" s="1"/>
  <c r="S17" i="8" l="1"/>
  <c r="S18" i="8" s="1"/>
  <c r="T57" i="9"/>
  <c r="T58" i="9" s="1"/>
  <c r="T17" i="8" l="1"/>
  <c r="T18" i="8" s="1"/>
  <c r="U57" i="9"/>
  <c r="U58" i="9" s="1"/>
  <c r="V57" i="9" l="1"/>
  <c r="V58" i="9" s="1"/>
  <c r="U17" i="8"/>
  <c r="U18" i="8" s="1"/>
  <c r="W57" i="9" l="1"/>
  <c r="W58" i="9" s="1"/>
  <c r="V17" i="8"/>
  <c r="V18" i="8" s="1"/>
  <c r="W17" i="8" l="1"/>
  <c r="W18" i="8" s="1"/>
  <c r="X57" i="9"/>
  <c r="T174" i="1"/>
  <c r="T176" i="1" s="1"/>
  <c r="W174" i="1"/>
  <c r="W176" i="1" s="1"/>
  <c r="L174" i="1"/>
  <c r="L176" i="1" s="1"/>
  <c r="Z174" i="1"/>
  <c r="Z176" i="1" s="1"/>
  <c r="AE174" i="1"/>
  <c r="AE176" i="1" s="1"/>
  <c r="AB174" i="1"/>
  <c r="AB176" i="1" s="1"/>
  <c r="AA174" i="1"/>
  <c r="AA176" i="1" s="1"/>
  <c r="AK174" i="1"/>
  <c r="AK176" i="1" s="1"/>
  <c r="Y174" i="1"/>
  <c r="Y176" i="1" s="1"/>
  <c r="AL174" i="1"/>
  <c r="AL176" i="1" s="1"/>
  <c r="AM174" i="1"/>
  <c r="AM176" i="1" s="1"/>
  <c r="AJ174" i="1"/>
  <c r="AJ176" i="1" s="1"/>
  <c r="AF174" i="1"/>
  <c r="AF176" i="1" s="1"/>
  <c r="R174" i="1"/>
  <c r="R176" i="1" s="1"/>
  <c r="AH174" i="1"/>
  <c r="AH176" i="1" s="1"/>
  <c r="AD174" i="1"/>
  <c r="AD176" i="1" s="1"/>
  <c r="X174" i="1"/>
  <c r="X176" i="1" s="1"/>
  <c r="X114" i="9" s="1"/>
  <c r="Q174" i="1"/>
  <c r="Q176" i="1" s="1"/>
  <c r="AI174" i="1"/>
  <c r="U174" i="1"/>
  <c r="U176" i="1" s="1"/>
  <c r="AG174" i="1"/>
  <c r="S174" i="1"/>
  <c r="S176" i="1" s="1"/>
  <c r="P174" i="1"/>
  <c r="P176" i="1" s="1"/>
  <c r="P114" i="9" s="1"/>
  <c r="V174" i="1"/>
  <c r="V176" i="1" s="1"/>
  <c r="V108" i="1" s="1"/>
  <c r="V109" i="1" s="1"/>
  <c r="V111" i="8" s="1"/>
  <c r="AC174" i="1"/>
  <c r="AC176" i="1" s="1"/>
  <c r="N174" i="1"/>
  <c r="N176" i="1" s="1"/>
  <c r="O174" i="1"/>
  <c r="M174" i="1"/>
  <c r="G174" i="1"/>
  <c r="G176" i="1" s="1"/>
  <c r="F174" i="1"/>
  <c r="F176" i="1" s="1"/>
  <c r="I174" i="1"/>
  <c r="I176" i="1" s="1"/>
  <c r="K174" i="1"/>
  <c r="J174" i="1"/>
  <c r="H174" i="1"/>
  <c r="H176" i="1" s="1"/>
  <c r="AA172" i="1"/>
  <c r="X172" i="1"/>
  <c r="R172" i="1"/>
  <c r="V172" i="1"/>
  <c r="AI172" i="1"/>
  <c r="AG172" i="1"/>
  <c r="Y172" i="1"/>
  <c r="W172" i="1"/>
  <c r="AB172" i="1"/>
  <c r="Z172" i="1"/>
  <c r="AF172" i="1"/>
  <c r="AD172" i="1"/>
  <c r="AJ172" i="1"/>
  <c r="S172" i="1"/>
  <c r="T172" i="1"/>
  <c r="AM172" i="1"/>
  <c r="P172" i="1"/>
  <c r="AE172" i="1"/>
  <c r="U172" i="1"/>
  <c r="AH172" i="1"/>
  <c r="Q172" i="1"/>
  <c r="AK172" i="1"/>
  <c r="AL172" i="1"/>
  <c r="AC172" i="1"/>
  <c r="O172" i="1"/>
  <c r="N172" i="1"/>
  <c r="M172" i="1"/>
  <c r="L172" i="1"/>
  <c r="H172" i="1"/>
  <c r="J172" i="1"/>
  <c r="I172" i="1"/>
  <c r="G172" i="1"/>
  <c r="F172" i="1"/>
  <c r="K172" i="1"/>
  <c r="AG176" i="1" l="1"/>
  <c r="AG114" i="9" s="1"/>
  <c r="AG117" i="9" s="1"/>
  <c r="AG96" i="8" s="1"/>
  <c r="M176" i="1"/>
  <c r="M114" i="9" s="1"/>
  <c r="M117" i="9" s="1"/>
  <c r="M96" i="8" s="1"/>
  <c r="O176" i="1"/>
  <c r="O114" i="9" s="1"/>
  <c r="O117" i="9" s="1"/>
  <c r="O96" i="8" s="1"/>
  <c r="AI176" i="1"/>
  <c r="AI108" i="1" s="1"/>
  <c r="AI109" i="1" s="1"/>
  <c r="AI111" i="8" s="1"/>
  <c r="J176" i="1"/>
  <c r="J108" i="1" s="1"/>
  <c r="J109" i="1" s="1"/>
  <c r="J111" i="8" s="1"/>
  <c r="K176" i="1"/>
  <c r="K108" i="1" s="1"/>
  <c r="K109" i="1" s="1"/>
  <c r="K111" i="8" s="1"/>
  <c r="U108" i="1"/>
  <c r="U109" i="1" s="1"/>
  <c r="U111" i="8" s="1"/>
  <c r="U114" i="9"/>
  <c r="U117" i="9" s="1"/>
  <c r="U96" i="8" s="1"/>
  <c r="L108" i="1"/>
  <c r="L109" i="1" s="1"/>
  <c r="L111" i="8" s="1"/>
  <c r="L114" i="9"/>
  <c r="L117" i="9" s="1"/>
  <c r="L96" i="8" s="1"/>
  <c r="N114" i="9"/>
  <c r="N117" i="9" s="1"/>
  <c r="N96" i="8" s="1"/>
  <c r="N108" i="1"/>
  <c r="N109" i="1" s="1"/>
  <c r="N111" i="8" s="1"/>
  <c r="I108" i="1"/>
  <c r="I109" i="1" s="1"/>
  <c r="I111" i="8" s="1"/>
  <c r="I114" i="9"/>
  <c r="I117" i="9" s="1"/>
  <c r="I96" i="8" s="1"/>
  <c r="Q114" i="9"/>
  <c r="Q117" i="9" s="1"/>
  <c r="Q96" i="8" s="1"/>
  <c r="Q108" i="1"/>
  <c r="Q109" i="1" s="1"/>
  <c r="Q111" i="8" s="1"/>
  <c r="S108" i="1"/>
  <c r="S109" i="1" s="1"/>
  <c r="S111" i="8" s="1"/>
  <c r="S114" i="9"/>
  <c r="S117" i="9" s="1"/>
  <c r="S96" i="8" s="1"/>
  <c r="AC108" i="1"/>
  <c r="AC109" i="1" s="1"/>
  <c r="AC111" i="8" s="1"/>
  <c r="AC114" i="9"/>
  <c r="AC117" i="9" s="1"/>
  <c r="AC96" i="8" s="1"/>
  <c r="M108" i="1"/>
  <c r="M109" i="1" s="1"/>
  <c r="M111" i="8" s="1"/>
  <c r="P117" i="9"/>
  <c r="P96" i="8" s="1"/>
  <c r="F114" i="9"/>
  <c r="F108" i="1"/>
  <c r="H108" i="1"/>
  <c r="H109" i="1" s="1"/>
  <c r="H111" i="8" s="1"/>
  <c r="H114" i="9"/>
  <c r="H117" i="9" s="1"/>
  <c r="H96" i="8" s="1"/>
  <c r="G108" i="1"/>
  <c r="G109" i="1" s="1"/>
  <c r="G111" i="8" s="1"/>
  <c r="G114" i="9"/>
  <c r="G117" i="9" s="1"/>
  <c r="G96" i="8" s="1"/>
  <c r="AE108" i="1"/>
  <c r="AE109" i="1" s="1"/>
  <c r="AE111" i="8" s="1"/>
  <c r="AE114" i="9"/>
  <c r="AE117" i="9" s="1"/>
  <c r="AE96" i="8" s="1"/>
  <c r="AK108" i="1"/>
  <c r="AK109" i="1" s="1"/>
  <c r="AK111" i="8" s="1"/>
  <c r="AK114" i="9"/>
  <c r="AK117" i="9" s="1"/>
  <c r="AK96" i="8" s="1"/>
  <c r="AF114" i="9"/>
  <c r="AF117" i="9" s="1"/>
  <c r="AF96" i="8" s="1"/>
  <c r="AF108" i="1"/>
  <c r="AF109" i="1" s="1"/>
  <c r="AF111" i="8" s="1"/>
  <c r="AG108" i="1"/>
  <c r="AG109" i="1" s="1"/>
  <c r="AG111" i="8" s="1"/>
  <c r="AD108" i="1"/>
  <c r="AD109" i="1" s="1"/>
  <c r="AD111" i="8" s="1"/>
  <c r="AD114" i="9"/>
  <c r="AD117" i="9" s="1"/>
  <c r="AD96" i="8" s="1"/>
  <c r="AM114" i="9"/>
  <c r="AM117" i="9" s="1"/>
  <c r="AM96" i="8" s="1"/>
  <c r="AM108" i="1"/>
  <c r="AM109" i="1" s="1"/>
  <c r="AM111" i="8" s="1"/>
  <c r="P108" i="1"/>
  <c r="W114" i="9"/>
  <c r="W117" i="9" s="1"/>
  <c r="W96" i="8" s="1"/>
  <c r="W108" i="1"/>
  <c r="W109" i="1" s="1"/>
  <c r="W111" i="8" s="1"/>
  <c r="AH114" i="9"/>
  <c r="AH117" i="9" s="1"/>
  <c r="AH96" i="8" s="1"/>
  <c r="AH108" i="1"/>
  <c r="AH109" i="1" s="1"/>
  <c r="AH111" i="8" s="1"/>
  <c r="V114" i="9"/>
  <c r="V117" i="9" s="1"/>
  <c r="V96" i="8" s="1"/>
  <c r="R114" i="9"/>
  <c r="R117" i="9" s="1"/>
  <c r="R96" i="8" s="1"/>
  <c r="R108" i="1"/>
  <c r="R109" i="1" s="1"/>
  <c r="R111" i="8" s="1"/>
  <c r="Y108" i="1"/>
  <c r="Y109" i="1" s="1"/>
  <c r="Y111" i="8" s="1"/>
  <c r="Y114" i="9"/>
  <c r="Y117" i="9" s="1"/>
  <c r="Y96" i="8" s="1"/>
  <c r="AB108" i="1"/>
  <c r="AB114" i="9"/>
  <c r="AB117" i="9" s="1"/>
  <c r="AB96" i="8" s="1"/>
  <c r="Z114" i="9"/>
  <c r="Z117" i="9" s="1"/>
  <c r="Z96" i="8" s="1"/>
  <c r="Z108" i="1"/>
  <c r="Z109" i="1" s="1"/>
  <c r="Z111" i="8" s="1"/>
  <c r="AL108" i="1"/>
  <c r="AL109" i="1" s="1"/>
  <c r="AL111" i="8" s="1"/>
  <c r="AL114" i="9"/>
  <c r="AL117" i="9" s="1"/>
  <c r="AL96" i="8" s="1"/>
  <c r="T108" i="1"/>
  <c r="T109" i="1" s="1"/>
  <c r="T111" i="8" s="1"/>
  <c r="T114" i="9"/>
  <c r="T117" i="9" s="1"/>
  <c r="T96" i="8" s="1"/>
  <c r="X108" i="1"/>
  <c r="X109" i="1" s="1"/>
  <c r="X111" i="8" s="1"/>
  <c r="AJ108" i="1"/>
  <c r="AJ109" i="1" s="1"/>
  <c r="AJ111" i="8" s="1"/>
  <c r="AJ114" i="9"/>
  <c r="AA108" i="1"/>
  <c r="AA109" i="1" s="1"/>
  <c r="AA111" i="8" s="1"/>
  <c r="AA114" i="9"/>
  <c r="AA117" i="9" s="1"/>
  <c r="AA96" i="8" s="1"/>
  <c r="O108" i="1" l="1"/>
  <c r="O109" i="1" s="1"/>
  <c r="O111" i="8" s="1"/>
  <c r="J114" i="9"/>
  <c r="J117" i="9" s="1"/>
  <c r="J96" i="8" s="1"/>
  <c r="K114" i="9"/>
  <c r="K117" i="9" s="1"/>
  <c r="K96" i="8" s="1"/>
  <c r="AI114" i="9"/>
  <c r="AI117" i="9" s="1"/>
  <c r="AI96" i="8" s="1"/>
  <c r="AE115" i="9"/>
  <c r="AC115" i="9"/>
  <c r="F42" i="2"/>
  <c r="F44" i="2" s="1"/>
  <c r="AB109" i="1"/>
  <c r="AH115" i="9"/>
  <c r="AD115" i="9"/>
  <c r="F109" i="1"/>
  <c r="D42" i="2"/>
  <c r="D44" i="2" s="1"/>
  <c r="AK115" i="9"/>
  <c r="AG115" i="9"/>
  <c r="AI115" i="9"/>
  <c r="P109" i="1"/>
  <c r="E42" i="2"/>
  <c r="E44" i="2" s="1"/>
  <c r="F117" i="9"/>
  <c r="F96" i="8" s="1"/>
  <c r="F97" i="8" s="1"/>
  <c r="AA115" i="9"/>
  <c r="AF115" i="9"/>
  <c r="AL115" i="9"/>
  <c r="AM115" i="9"/>
  <c r="AJ115" i="9"/>
  <c r="AJ116" i="9" s="1"/>
  <c r="AJ21" i="9" s="1"/>
  <c r="AJ22" i="9" s="1"/>
  <c r="AJ24" i="9" s="1"/>
  <c r="AB115" i="9"/>
  <c r="W115" i="9" l="1"/>
  <c r="P115" i="9"/>
  <c r="V115" i="9"/>
  <c r="S115" i="9"/>
  <c r="R115" i="9"/>
  <c r="Q115" i="9"/>
  <c r="T115" i="9"/>
  <c r="Y115" i="9"/>
  <c r="U115" i="9"/>
  <c r="Z115" i="9"/>
  <c r="X115" i="9"/>
  <c r="X116" i="9" s="1"/>
  <c r="X21" i="9" s="1"/>
  <c r="X22" i="9" s="1"/>
  <c r="X24" i="9" s="1"/>
  <c r="AJ117" i="9"/>
  <c r="AJ96" i="8" s="1"/>
  <c r="E43" i="2"/>
  <c r="P111" i="8"/>
  <c r="F25" i="8"/>
  <c r="F26" i="8" s="1"/>
  <c r="F28" i="8" s="1"/>
  <c r="F35" i="8" s="1"/>
  <c r="G95" i="8"/>
  <c r="G97" i="8" s="1"/>
  <c r="F49" i="2"/>
  <c r="F52" i="2" s="1"/>
  <c r="AJ55" i="9"/>
  <c r="D43" i="2"/>
  <c r="F111" i="8"/>
  <c r="F113" i="8" s="1"/>
  <c r="F43" i="2"/>
  <c r="AB111" i="8"/>
  <c r="E45" i="2" l="1"/>
  <c r="E159" i="2"/>
  <c r="E161" i="2" s="1"/>
  <c r="F45" i="2"/>
  <c r="F159" i="2"/>
  <c r="F161" i="2" s="1"/>
  <c r="D45" i="2"/>
  <c r="D159" i="2"/>
  <c r="D161" i="2" s="1"/>
  <c r="X117" i="9"/>
  <c r="X96" i="8" s="1"/>
  <c r="G25" i="8"/>
  <c r="G26" i="8" s="1"/>
  <c r="G28" i="8" s="1"/>
  <c r="G35" i="8" s="1"/>
  <c r="H95" i="8"/>
  <c r="H97" i="8" s="1"/>
  <c r="F115" i="2"/>
  <c r="E115" i="2"/>
  <c r="G110" i="8"/>
  <c r="G113" i="8" s="1"/>
  <c r="F40" i="8"/>
  <c r="F41" i="8" s="1"/>
  <c r="F43" i="8" s="1"/>
  <c r="F60" i="9" s="1"/>
  <c r="D115" i="2"/>
  <c r="X55" i="9"/>
  <c r="X58" i="9" s="1"/>
  <c r="E49" i="2"/>
  <c r="E52" i="2" s="1"/>
  <c r="Y57" i="9" l="1"/>
  <c r="Y58" i="9" s="1"/>
  <c r="X17" i="8"/>
  <c r="X18" i="8" s="1"/>
  <c r="I95" i="8"/>
  <c r="I97" i="8" s="1"/>
  <c r="H25" i="8"/>
  <c r="H26" i="8" s="1"/>
  <c r="H28" i="8" s="1"/>
  <c r="H35" i="8" s="1"/>
  <c r="G40" i="8"/>
  <c r="G41" i="8" s="1"/>
  <c r="G43" i="8" s="1"/>
  <c r="G60" i="9" s="1"/>
  <c r="H110" i="8"/>
  <c r="H113" i="8" s="1"/>
  <c r="J95" i="8" l="1"/>
  <c r="J97" i="8" s="1"/>
  <c r="I25" i="8"/>
  <c r="I26" i="8" s="1"/>
  <c r="I28" i="8" s="1"/>
  <c r="I35" i="8" s="1"/>
  <c r="H40" i="8"/>
  <c r="H41" i="8" s="1"/>
  <c r="H43" i="8" s="1"/>
  <c r="H60" i="9" s="1"/>
  <c r="I110" i="8"/>
  <c r="I113" i="8" s="1"/>
  <c r="Y17" i="8"/>
  <c r="Y18" i="8" s="1"/>
  <c r="Z57" i="9"/>
  <c r="Z58" i="9" s="1"/>
  <c r="Z17" i="8" l="1"/>
  <c r="Z18" i="8" s="1"/>
  <c r="AA57" i="9"/>
  <c r="AA58" i="9" s="1"/>
  <c r="I40" i="8"/>
  <c r="I41" i="8" s="1"/>
  <c r="I43" i="8" s="1"/>
  <c r="I60" i="9" s="1"/>
  <c r="J110" i="8"/>
  <c r="J113" i="8" s="1"/>
  <c r="K95" i="8"/>
  <c r="K97" i="8" s="1"/>
  <c r="J25" i="8"/>
  <c r="J26" i="8" s="1"/>
  <c r="J28" i="8" s="1"/>
  <c r="J35" i="8" s="1"/>
  <c r="E54" i="2" l="1"/>
  <c r="AB57" i="9"/>
  <c r="AB58" i="9" s="1"/>
  <c r="AA17" i="8"/>
  <c r="L95" i="8"/>
  <c r="L97" i="8" s="1"/>
  <c r="K25" i="8"/>
  <c r="K26" i="8" s="1"/>
  <c r="K28" i="8" s="1"/>
  <c r="K35" i="8" s="1"/>
  <c r="J40" i="8"/>
  <c r="J41" i="8" s="1"/>
  <c r="J43" i="8" s="1"/>
  <c r="J60" i="9" s="1"/>
  <c r="K110" i="8"/>
  <c r="K113" i="8" s="1"/>
  <c r="L110" i="8" l="1"/>
  <c r="L113" i="8" s="1"/>
  <c r="K40" i="8"/>
  <c r="K41" i="8" s="1"/>
  <c r="K43" i="8" s="1"/>
  <c r="K60" i="9" s="1"/>
  <c r="L25" i="8"/>
  <c r="L26" i="8" s="1"/>
  <c r="L28" i="8" s="1"/>
  <c r="L35" i="8" s="1"/>
  <c r="M95" i="8"/>
  <c r="M97" i="8" s="1"/>
  <c r="E68" i="2"/>
  <c r="AA18" i="8"/>
  <c r="AC57" i="9"/>
  <c r="AC58" i="9" s="1"/>
  <c r="AB17" i="8"/>
  <c r="AB18" i="8" s="1"/>
  <c r="AC17" i="8" l="1"/>
  <c r="AC18" i="8" s="1"/>
  <c r="AD57" i="9"/>
  <c r="AD58" i="9" s="1"/>
  <c r="E69" i="2"/>
  <c r="M25" i="8"/>
  <c r="M26" i="8" s="1"/>
  <c r="M28" i="8" s="1"/>
  <c r="M35" i="8" s="1"/>
  <c r="N95" i="8"/>
  <c r="N97" i="8" s="1"/>
  <c r="L40" i="8"/>
  <c r="L41" i="8" s="1"/>
  <c r="L43" i="8" s="1"/>
  <c r="L60" i="9" s="1"/>
  <c r="M110" i="8"/>
  <c r="M113" i="8" s="1"/>
  <c r="O95" i="8" l="1"/>
  <c r="O97" i="8" s="1"/>
  <c r="N25" i="8"/>
  <c r="N26" i="8" s="1"/>
  <c r="N28" i="8" s="1"/>
  <c r="N35" i="8" s="1"/>
  <c r="AD17" i="8"/>
  <c r="AD18" i="8" s="1"/>
  <c r="AE57" i="9"/>
  <c r="AE58" i="9" s="1"/>
  <c r="N110" i="8"/>
  <c r="N113" i="8" s="1"/>
  <c r="M40" i="8"/>
  <c r="M41" i="8" s="1"/>
  <c r="M43" i="8" s="1"/>
  <c r="M60" i="9" s="1"/>
  <c r="N40" i="8" l="1"/>
  <c r="N41" i="8" s="1"/>
  <c r="N43" i="8" s="1"/>
  <c r="N60" i="9" s="1"/>
  <c r="O110" i="8"/>
  <c r="O113" i="8" s="1"/>
  <c r="AE17" i="8"/>
  <c r="AE18" i="8" s="1"/>
  <c r="AF57" i="9"/>
  <c r="AF58" i="9" s="1"/>
  <c r="O25" i="8"/>
  <c r="P95" i="8"/>
  <c r="P97" i="8" s="1"/>
  <c r="O40" i="8" l="1"/>
  <c r="P110" i="8"/>
  <c r="P113" i="8" s="1"/>
  <c r="P25" i="8"/>
  <c r="P26" i="8" s="1"/>
  <c r="P28" i="8" s="1"/>
  <c r="P35" i="8" s="1"/>
  <c r="Q95" i="8"/>
  <c r="Q97" i="8" s="1"/>
  <c r="O26" i="8"/>
  <c r="D76" i="2"/>
  <c r="AF17" i="8"/>
  <c r="AF18" i="8" s="1"/>
  <c r="AG57" i="9"/>
  <c r="AG58" i="9" s="1"/>
  <c r="D77" i="2" l="1"/>
  <c r="D133" i="2" s="1"/>
  <c r="O28" i="8"/>
  <c r="Q25" i="8"/>
  <c r="Q26" i="8" s="1"/>
  <c r="Q28" i="8" s="1"/>
  <c r="Q35" i="8" s="1"/>
  <c r="R95" i="8"/>
  <c r="R97" i="8" s="1"/>
  <c r="Q110" i="8"/>
  <c r="Q113" i="8" s="1"/>
  <c r="P40" i="8"/>
  <c r="P41" i="8" s="1"/>
  <c r="P43" i="8" s="1"/>
  <c r="P60" i="9" s="1"/>
  <c r="D91" i="2"/>
  <c r="O41" i="8"/>
  <c r="D92" i="2" s="1"/>
  <c r="D119" i="2" s="1"/>
  <c r="AH57" i="9"/>
  <c r="AH58" i="9" s="1"/>
  <c r="AG17" i="8"/>
  <c r="AG18" i="8" s="1"/>
  <c r="D135" i="2" l="1"/>
  <c r="R110" i="8"/>
  <c r="R113" i="8" s="1"/>
  <c r="Q40" i="8"/>
  <c r="Q41" i="8" s="1"/>
  <c r="Q43" i="8" s="1"/>
  <c r="Q60" i="9" s="1"/>
  <c r="R25" i="8"/>
  <c r="R26" i="8" s="1"/>
  <c r="R28" i="8" s="1"/>
  <c r="R35" i="8" s="1"/>
  <c r="S95" i="8"/>
  <c r="S97" i="8" s="1"/>
  <c r="O35" i="8"/>
  <c r="D79" i="2"/>
  <c r="AH17" i="8"/>
  <c r="AH18" i="8" s="1"/>
  <c r="AI57" i="9"/>
  <c r="AI58" i="9" s="1"/>
  <c r="D125" i="2"/>
  <c r="D102" i="2"/>
  <c r="D117" i="2" s="1"/>
  <c r="O43" i="8" l="1"/>
  <c r="O60" i="9" s="1"/>
  <c r="D86" i="2"/>
  <c r="D149" i="2" s="1"/>
  <c r="S25" i="8"/>
  <c r="S26" i="8" s="1"/>
  <c r="S28" i="8" s="1"/>
  <c r="S35" i="8" s="1"/>
  <c r="T95" i="8"/>
  <c r="T97" i="8" s="1"/>
  <c r="AI17" i="8"/>
  <c r="AI18" i="8" s="1"/>
  <c r="AJ57" i="9"/>
  <c r="AJ58" i="9" s="1"/>
  <c r="S110" i="8"/>
  <c r="S113" i="8" s="1"/>
  <c r="R40" i="8"/>
  <c r="R41" i="8" s="1"/>
  <c r="R43" i="8" s="1"/>
  <c r="R60" i="9" s="1"/>
  <c r="T25" i="8" l="1"/>
  <c r="T26" i="8" s="1"/>
  <c r="T28" i="8" s="1"/>
  <c r="T35" i="8" s="1"/>
  <c r="U95" i="8"/>
  <c r="U97" i="8" s="1"/>
  <c r="AJ17" i="8"/>
  <c r="AJ18" i="8" s="1"/>
  <c r="AK57" i="9"/>
  <c r="AK58" i="9" s="1"/>
  <c r="S40" i="8"/>
  <c r="S41" i="8" s="1"/>
  <c r="S43" i="8" s="1"/>
  <c r="S60" i="9" s="1"/>
  <c r="T110" i="8"/>
  <c r="T113" i="8" s="1"/>
  <c r="T40" i="8" l="1"/>
  <c r="T41" i="8" s="1"/>
  <c r="T43" i="8" s="1"/>
  <c r="T60" i="9" s="1"/>
  <c r="U110" i="8"/>
  <c r="U113" i="8" s="1"/>
  <c r="AL57" i="9"/>
  <c r="AL58" i="9" s="1"/>
  <c r="AK17" i="8"/>
  <c r="AK18" i="8" s="1"/>
  <c r="U25" i="8"/>
  <c r="U26" i="8" s="1"/>
  <c r="U28" i="8" s="1"/>
  <c r="U35" i="8" s="1"/>
  <c r="V95" i="8"/>
  <c r="V97" i="8" s="1"/>
  <c r="V25" i="8" l="1"/>
  <c r="V26" i="8" s="1"/>
  <c r="V28" i="8" s="1"/>
  <c r="V35" i="8" s="1"/>
  <c r="W95" i="8"/>
  <c r="W97" i="8" s="1"/>
  <c r="AL17" i="8"/>
  <c r="AL18" i="8" s="1"/>
  <c r="AM57" i="9"/>
  <c r="AM58" i="9" s="1"/>
  <c r="U40" i="8"/>
  <c r="U41" i="8" s="1"/>
  <c r="U43" i="8" s="1"/>
  <c r="U60" i="9" s="1"/>
  <c r="V110" i="8"/>
  <c r="V113" i="8" s="1"/>
  <c r="AM17" i="8" l="1"/>
  <c r="F54" i="2"/>
  <c r="V40" i="8"/>
  <c r="V41" i="8" s="1"/>
  <c r="V43" i="8" s="1"/>
  <c r="V60" i="9" s="1"/>
  <c r="W110" i="8"/>
  <c r="W113" i="8" s="1"/>
  <c r="X95" i="8"/>
  <c r="X97" i="8" s="1"/>
  <c r="W25" i="8"/>
  <c r="W26" i="8" s="1"/>
  <c r="W28" i="8" s="1"/>
  <c r="W35" i="8" s="1"/>
  <c r="Y95" i="8" l="1"/>
  <c r="Y97" i="8" s="1"/>
  <c r="X25" i="8"/>
  <c r="X26" i="8" s="1"/>
  <c r="X28" i="8" s="1"/>
  <c r="X35" i="8" s="1"/>
  <c r="X110" i="8"/>
  <c r="X113" i="8" s="1"/>
  <c r="W40" i="8"/>
  <c r="W41" i="8" s="1"/>
  <c r="W43" i="8" s="1"/>
  <c r="W60" i="9" s="1"/>
  <c r="AM18" i="8"/>
  <c r="F68" i="2"/>
  <c r="Y110" i="8" l="1"/>
  <c r="Y113" i="8" s="1"/>
  <c r="X40" i="8"/>
  <c r="X41" i="8" s="1"/>
  <c r="X43" i="8" s="1"/>
  <c r="X60" i="9" s="1"/>
  <c r="Y25" i="8"/>
  <c r="Y26" i="8" s="1"/>
  <c r="Y28" i="8" s="1"/>
  <c r="Y35" i="8" s="1"/>
  <c r="Z95" i="8"/>
  <c r="Z97" i="8" s="1"/>
  <c r="F69" i="2"/>
  <c r="AA95" i="8" l="1"/>
  <c r="AA97" i="8" s="1"/>
  <c r="Z25" i="8"/>
  <c r="Z26" i="8" s="1"/>
  <c r="Z28" i="8" s="1"/>
  <c r="Z35" i="8" s="1"/>
  <c r="Y40" i="8"/>
  <c r="Y41" i="8" s="1"/>
  <c r="Y43" i="8" s="1"/>
  <c r="Y60" i="9" s="1"/>
  <c r="Z110" i="8"/>
  <c r="Z113" i="8" s="1"/>
  <c r="AA25" i="8" l="1"/>
  <c r="AB95" i="8"/>
  <c r="AB97" i="8" s="1"/>
  <c r="AA110" i="8"/>
  <c r="AA113" i="8" s="1"/>
  <c r="Z40" i="8"/>
  <c r="Z41" i="8" s="1"/>
  <c r="Z43" i="8" s="1"/>
  <c r="Z60" i="9" s="1"/>
  <c r="AA40" i="8" l="1"/>
  <c r="AB110" i="8"/>
  <c r="AB113" i="8" s="1"/>
  <c r="AB25" i="8"/>
  <c r="AB26" i="8" s="1"/>
  <c r="AB28" i="8" s="1"/>
  <c r="AB35" i="8" s="1"/>
  <c r="AC95" i="8"/>
  <c r="AC97" i="8" s="1"/>
  <c r="E76" i="2"/>
  <c r="AA26" i="8"/>
  <c r="E77" i="2" l="1"/>
  <c r="AA28" i="8"/>
  <c r="AD95" i="8"/>
  <c r="AD97" i="8" s="1"/>
  <c r="AC25" i="8"/>
  <c r="AC26" i="8" s="1"/>
  <c r="AC28" i="8" s="1"/>
  <c r="AC35" i="8" s="1"/>
  <c r="AB40" i="8"/>
  <c r="AB41" i="8" s="1"/>
  <c r="AB43" i="8" s="1"/>
  <c r="AB60" i="9" s="1"/>
  <c r="AC110" i="8"/>
  <c r="AC113" i="8" s="1"/>
  <c r="AA41" i="8"/>
  <c r="E92" i="2" s="1"/>
  <c r="E119" i="2" s="1"/>
  <c r="E91" i="2"/>
  <c r="E133" i="2" l="1"/>
  <c r="E135" i="2"/>
  <c r="AD110" i="8"/>
  <c r="AD113" i="8" s="1"/>
  <c r="AC40" i="8"/>
  <c r="AC41" i="8" s="1"/>
  <c r="AC43" i="8" s="1"/>
  <c r="AC60" i="9" s="1"/>
  <c r="AD25" i="8"/>
  <c r="AD26" i="8" s="1"/>
  <c r="AD28" i="8" s="1"/>
  <c r="AD35" i="8" s="1"/>
  <c r="AE95" i="8"/>
  <c r="AE97" i="8" s="1"/>
  <c r="AA35" i="8"/>
  <c r="E79" i="2"/>
  <c r="E102" i="2"/>
  <c r="E117" i="2" s="1"/>
  <c r="E125" i="2"/>
  <c r="E86" i="2" l="1"/>
  <c r="E149" i="2" s="1"/>
  <c r="AA43" i="8"/>
  <c r="AA60" i="9" s="1"/>
  <c r="AE25" i="8"/>
  <c r="AE26" i="8" s="1"/>
  <c r="AE28" i="8" s="1"/>
  <c r="AE35" i="8" s="1"/>
  <c r="AF95" i="8"/>
  <c r="AF97" i="8" s="1"/>
  <c r="AD40" i="8"/>
  <c r="AD41" i="8" s="1"/>
  <c r="AD43" i="8" s="1"/>
  <c r="AD60" i="9" s="1"/>
  <c r="AE110" i="8"/>
  <c r="AE113" i="8" s="1"/>
  <c r="AE40" i="8" l="1"/>
  <c r="AE41" i="8" s="1"/>
  <c r="AE43" i="8" s="1"/>
  <c r="AE60" i="9" s="1"/>
  <c r="AF110" i="8"/>
  <c r="AF113" i="8" s="1"/>
  <c r="AF25" i="8"/>
  <c r="AF26" i="8" s="1"/>
  <c r="AF28" i="8" s="1"/>
  <c r="AF35" i="8" s="1"/>
  <c r="AG95" i="8"/>
  <c r="AG97" i="8" s="1"/>
  <c r="AG25" i="8" l="1"/>
  <c r="AG26" i="8" s="1"/>
  <c r="AG28" i="8" s="1"/>
  <c r="AG35" i="8" s="1"/>
  <c r="AH95" i="8"/>
  <c r="AH97" i="8" s="1"/>
  <c r="AF40" i="8"/>
  <c r="AF41" i="8" s="1"/>
  <c r="AF43" i="8" s="1"/>
  <c r="AF60" i="9" s="1"/>
  <c r="AG110" i="8"/>
  <c r="AG113" i="8" s="1"/>
  <c r="AH110" i="8" l="1"/>
  <c r="AH113" i="8" s="1"/>
  <c r="AG40" i="8"/>
  <c r="AG41" i="8" s="1"/>
  <c r="AG43" i="8" s="1"/>
  <c r="AG60" i="9" s="1"/>
  <c r="AH25" i="8"/>
  <c r="AH26" i="8" s="1"/>
  <c r="AH28" i="8" s="1"/>
  <c r="AH35" i="8" s="1"/>
  <c r="AI95" i="8"/>
  <c r="AI97" i="8" s="1"/>
  <c r="AJ95" i="8" l="1"/>
  <c r="AJ97" i="8" s="1"/>
  <c r="AI25" i="8"/>
  <c r="AI26" i="8" s="1"/>
  <c r="AI28" i="8" s="1"/>
  <c r="AI35" i="8" s="1"/>
  <c r="AH40" i="8"/>
  <c r="AH41" i="8" s="1"/>
  <c r="AH43" i="8" s="1"/>
  <c r="AH60" i="9" s="1"/>
  <c r="AI110" i="8"/>
  <c r="AI113" i="8" s="1"/>
  <c r="AI40" i="8" l="1"/>
  <c r="AI41" i="8" s="1"/>
  <c r="AI43" i="8" s="1"/>
  <c r="AI60" i="9" s="1"/>
  <c r="AJ110" i="8"/>
  <c r="AJ113" i="8" s="1"/>
  <c r="AJ25" i="8"/>
  <c r="AJ26" i="8" s="1"/>
  <c r="AJ28" i="8" s="1"/>
  <c r="AJ35" i="8" s="1"/>
  <c r="AK95" i="8"/>
  <c r="AK97" i="8" s="1"/>
  <c r="AL95" i="8" l="1"/>
  <c r="AL97" i="8" s="1"/>
  <c r="AK25" i="8"/>
  <c r="AK26" i="8" s="1"/>
  <c r="AK28" i="8" s="1"/>
  <c r="AK35" i="8" s="1"/>
  <c r="AK110" i="8"/>
  <c r="AK113" i="8" s="1"/>
  <c r="AJ40" i="8"/>
  <c r="AJ41" i="8" s="1"/>
  <c r="AJ43" i="8" s="1"/>
  <c r="AJ60" i="9" s="1"/>
  <c r="AK40" i="8" l="1"/>
  <c r="AK41" i="8" s="1"/>
  <c r="AK43" i="8" s="1"/>
  <c r="AK60" i="9" s="1"/>
  <c r="AL110" i="8"/>
  <c r="AL113" i="8" s="1"/>
  <c r="AL25" i="8"/>
  <c r="AL26" i="8" s="1"/>
  <c r="AL28" i="8" s="1"/>
  <c r="AL35" i="8" s="1"/>
  <c r="AM95" i="8"/>
  <c r="AM97" i="8" s="1"/>
  <c r="AM25" i="8" s="1"/>
  <c r="AM26" i="8" l="1"/>
  <c r="F76" i="2"/>
  <c r="AL40" i="8"/>
  <c r="AL41" i="8" s="1"/>
  <c r="AL43" i="8" s="1"/>
  <c r="AL60" i="9" s="1"/>
  <c r="AM110" i="8"/>
  <c r="AM113" i="8" s="1"/>
  <c r="AM40" i="8" s="1"/>
  <c r="F77" i="2" l="1"/>
  <c r="AM28" i="8"/>
  <c r="AM41" i="8"/>
  <c r="F92" i="2" s="1"/>
  <c r="F119" i="2" s="1"/>
  <c r="F91" i="2"/>
  <c r="F133" i="2" l="1"/>
  <c r="F135" i="2"/>
  <c r="F125" i="2"/>
  <c r="F102" i="2"/>
  <c r="F117" i="2" s="1"/>
  <c r="AM35" i="8"/>
  <c r="F79" i="2"/>
  <c r="F86" i="2" l="1"/>
  <c r="F149" i="2" s="1"/>
  <c r="AM43" i="8"/>
  <c r="AM60" i="9" s="1"/>
  <c r="S139" i="16" l="1"/>
  <c r="R141" i="16"/>
  <c r="R143" i="16" s="1"/>
  <c r="R144"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Hulme</author>
    <author>Microsoft Office User</author>
  </authors>
  <commentList>
    <comment ref="B13" authorId="0" shapeId="0" xr:uid="{A3A8F641-034A-FE44-AC15-68CB7AF2D691}">
      <text>
        <r>
          <rPr>
            <sz val="10"/>
            <color rgb="FF000000"/>
            <rFont val="Calibri"/>
            <family val="2"/>
          </rPr>
          <t xml:space="preserve">Check HMRC website for exact rate.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
</t>
        </r>
        <r>
          <rPr>
            <sz val="10"/>
            <color rgb="FF000000"/>
            <rFont val="Calibri"/>
            <family val="2"/>
          </rPr>
          <t xml:space="preserve">2025.1
</t>
        </r>
      </text>
    </comment>
    <comment ref="Q138" authorId="1" shapeId="0" xr:uid="{77C0DF4A-EB97-5547-A95F-356D5FE9333A}">
      <text>
        <r>
          <rPr>
            <sz val="10"/>
            <color rgb="FF000000"/>
            <rFont val="Tahoma"/>
            <family val="2"/>
          </rPr>
          <t xml:space="preserve">Buy 1 Get 1 Free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B105" authorId="0" shapeId="0" xr:uid="{2A512846-62AC-774C-ADF9-A2241D4BED64}">
      <text>
        <r>
          <rPr>
            <b/>
            <sz val="12"/>
            <color rgb="FF000000"/>
            <rFont val="Calibri"/>
            <family val="34"/>
          </rPr>
          <t>Buy 1 Get 1 Free</t>
        </r>
      </text>
    </comment>
    <comment ref="C109" authorId="0" shapeId="0" xr:uid="{6F6769B3-FD63-7A42-ACC8-CF71882E07CC}">
      <text>
        <r>
          <rPr>
            <b/>
            <sz val="10"/>
            <color rgb="FF000000"/>
            <rFont val="Tahoma"/>
            <family val="2"/>
          </rPr>
          <t xml:space="preserve">Buy One Get One Free
</t>
        </r>
      </text>
    </comment>
    <comment ref="AB109" authorId="0" shapeId="0" xr:uid="{708D4442-2AC3-A043-9C2C-94F9D37F58AC}">
      <text>
        <r>
          <rPr>
            <sz val="10"/>
            <color rgb="FF000000"/>
            <rFont val="Tahoma"/>
            <family val="2"/>
          </rPr>
          <t>4/9 customers at original price
5/9 customers at half price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Simon Hulme</author>
    <author>Microsoft Office User</author>
  </authors>
  <commentList>
    <comment ref="C9" authorId="0" shapeId="0" xr:uid="{EF382C01-A7B7-554C-8427-EAC0663674F4}">
      <text>
        <r>
          <rPr>
            <sz val="9"/>
            <color rgb="FF000000"/>
            <rFont val="Calibri"/>
            <family val="2"/>
          </rPr>
          <t>These are assumptions that are fixed for each year.</t>
        </r>
      </text>
    </comment>
    <comment ref="B31" authorId="0" shapeId="0" xr:uid="{08DEEF3C-0834-8944-BDFC-C2F58078D0EF}">
      <text>
        <r>
          <rPr>
            <sz val="9"/>
            <color rgb="FF000000"/>
            <rFont val="+mn-lt"/>
            <charset val="1"/>
          </rPr>
          <t>Business rates are a property tax for local Government services and vary according to the value of a property. They apply regardless of whether the property is owned or rented.</t>
        </r>
      </text>
    </comment>
    <comment ref="E32" authorId="1" shapeId="0" xr:uid="{B3E1011B-880D-DA49-8086-9F3D3F211622}">
      <text>
        <r>
          <rPr>
            <sz val="10"/>
            <color rgb="FF000000"/>
            <rFont val="Cambria"/>
            <family val="18"/>
          </rPr>
          <t xml:space="preserve">Additional </t>
        </r>
        <r>
          <rPr>
            <sz val="10"/>
            <color rgb="FF000000"/>
            <rFont val="Calibri"/>
            <family val="2"/>
            <scheme val="minor"/>
          </rPr>
          <t>£</t>
        </r>
        <r>
          <rPr>
            <sz val="10"/>
            <color rgb="FF000000"/>
            <rFont val="Cambria"/>
            <family val="18"/>
          </rPr>
          <t xml:space="preserve">0.02 for City of London
</t>
        </r>
      </text>
    </comment>
    <comment ref="B43" authorId="0" shapeId="0" xr:uid="{384AB35B-FF93-8A4A-B60A-406000642D1D}">
      <text>
        <r>
          <rPr>
            <sz val="9"/>
            <color rgb="FF000000"/>
            <rFont val="Calibri"/>
            <family val="2"/>
          </rPr>
          <t xml:space="preserve">You can add some of new ones of your own.
</t>
        </r>
        <r>
          <rPr>
            <sz val="9"/>
            <color rgb="FF000000"/>
            <rFont val="Calibri"/>
            <family val="2"/>
          </rPr>
          <t xml:space="preserve">
</t>
        </r>
        <r>
          <rPr>
            <sz val="9"/>
            <color rgb="FF000000"/>
            <rFont val="Calibri"/>
            <family val="2"/>
          </rPr>
          <t xml:space="preserve">Overtype the titles (Other 1, 2 etc) and they will appear below in the P&amp;L with your new titles.
</t>
        </r>
      </text>
    </comment>
    <comment ref="B49" authorId="0" shapeId="0" xr:uid="{00000000-0006-0000-0100-000006000000}">
      <text>
        <r>
          <rPr>
            <sz val="9"/>
            <color rgb="FF000000"/>
            <rFont val="Calibri"/>
            <family val="2"/>
          </rPr>
          <t xml:space="preserve">These numbers will be used to calculate the monthly depreciation charge.
</t>
        </r>
        <r>
          <rPr>
            <sz val="9"/>
            <color rgb="FF000000"/>
            <rFont val="Calibri"/>
            <family val="2"/>
          </rPr>
          <t xml:space="preserve">
</t>
        </r>
        <r>
          <rPr>
            <sz val="9"/>
            <color rgb="FF000000"/>
            <rFont val="Calibri"/>
            <family val="2"/>
          </rPr>
          <t>Note inputs only for Straight Line depreciation.</t>
        </r>
      </text>
    </comment>
    <comment ref="B77" authorId="0" shapeId="0" xr:uid="{F1206E6F-4D39-164F-92C6-834DB05C0746}">
      <text>
        <r>
          <rPr>
            <sz val="9"/>
            <color rgb="FF000000"/>
            <rFont val="+mn-lt"/>
            <charset val="1"/>
          </rPr>
          <t>With the exception of the yellow lines, this is entirely worked out by formulas driven from the input assumptions above.</t>
        </r>
      </text>
    </comment>
    <comment ref="B81" authorId="0" shapeId="0" xr:uid="{00000000-0006-0000-0100-00000E000000}">
      <text>
        <r>
          <rPr>
            <sz val="9"/>
            <color rgb="FF000000"/>
            <rFont val="Calibri"/>
            <family val="2"/>
          </rPr>
          <t xml:space="preserve">Sales in the P&amp;L always </t>
        </r>
        <r>
          <rPr>
            <b/>
            <sz val="9"/>
            <color rgb="FF000000"/>
            <rFont val="Calibri"/>
            <family val="2"/>
          </rPr>
          <t>exclude</t>
        </r>
        <r>
          <rPr>
            <sz val="9"/>
            <color rgb="FF000000"/>
            <rFont val="Calibri"/>
            <family val="2"/>
          </rPr>
          <t xml:space="preserve"> VAT.
</t>
        </r>
        <r>
          <rPr>
            <sz val="9"/>
            <color rgb="FF000000"/>
            <rFont val="Calibri"/>
            <family val="2"/>
          </rPr>
          <t xml:space="preserve">
</t>
        </r>
      </text>
    </comment>
    <comment ref="B86" authorId="0" shapeId="0" xr:uid="{00000000-0006-0000-0100-00000F000000}">
      <text>
        <r>
          <rPr>
            <sz val="9"/>
            <color rgb="FF000000"/>
            <rFont val="Calibri"/>
            <family val="2"/>
          </rPr>
          <t xml:space="preserve">All Overhead figures are calculated from formulas above. 
</t>
        </r>
        <r>
          <rPr>
            <sz val="9"/>
            <color rgb="FF000000"/>
            <rFont val="Calibri"/>
            <family val="2"/>
          </rPr>
          <t xml:space="preserve">
</t>
        </r>
        <r>
          <rPr>
            <sz val="9"/>
            <color rgb="FF000000"/>
            <rFont val="Calibri"/>
            <family val="2"/>
          </rPr>
          <t xml:space="preserve">But you could, if you prefer,  input directly into the rows. 
</t>
        </r>
        <r>
          <rPr>
            <sz val="9"/>
            <color rgb="FF000000"/>
            <rFont val="Calibri"/>
            <family val="2"/>
          </rPr>
          <t xml:space="preserve">
</t>
        </r>
        <r>
          <rPr>
            <sz val="9"/>
            <color rgb="FF000000"/>
            <rFont val="Calibri"/>
            <family val="2"/>
          </rPr>
          <t xml:space="preserve">Don't forget to colour the cells in yellow!
</t>
        </r>
        <r>
          <rPr>
            <sz val="9"/>
            <color rgb="FF000000"/>
            <rFont val="Calibri"/>
            <family val="2"/>
          </rPr>
          <t xml:space="preserve">
</t>
        </r>
      </text>
    </comment>
    <comment ref="B97" authorId="0" shapeId="0" xr:uid="{FB753787-7AAE-E84B-9C26-361EDE9322C2}">
      <text>
        <r>
          <rPr>
            <sz val="9"/>
            <color rgb="FF000000"/>
            <rFont val="Calibri"/>
            <family val="2"/>
          </rPr>
          <t xml:space="preserve">This row, and the one below, is here as example to show that you can input directly into the P&amp;L sheet month by month if you prefer, rather than using the formula system above. It's your choice.
</t>
        </r>
        <r>
          <rPr>
            <sz val="9"/>
            <color rgb="FF000000"/>
            <rFont val="Calibri"/>
            <family val="2"/>
          </rPr>
          <t xml:space="preserve">
</t>
        </r>
        <r>
          <rPr>
            <sz val="9"/>
            <color rgb="FF000000"/>
            <rFont val="Calibri"/>
            <family val="2"/>
          </rPr>
          <t>This will make sense if costs are very seasonal in nature.</t>
        </r>
      </text>
    </comment>
    <comment ref="B100" authorId="0" shapeId="0" xr:uid="{00000000-0006-0000-0100-000011000000}">
      <text>
        <r>
          <rPr>
            <b/>
            <sz val="9"/>
            <color rgb="FF000000"/>
            <rFont val="Calibri"/>
            <family val="2"/>
          </rPr>
          <t xml:space="preserve">Earnings Before Interest Tax Depreciation &amp; Amortisation (EBITDA).
</t>
        </r>
        <r>
          <rPr>
            <sz val="9"/>
            <color rgb="FF000000"/>
            <rFont val="Calibri"/>
            <family val="2"/>
          </rPr>
          <t xml:space="preserve">
</t>
        </r>
        <r>
          <rPr>
            <sz val="9"/>
            <color rgb="FF000000"/>
            <rFont val="Calibri"/>
            <family val="2"/>
          </rPr>
          <t xml:space="preserve">EBITDA is now widely used in the real world as a second definition of profit, especially by venture capital  community. 
</t>
        </r>
        <r>
          <rPr>
            <sz val="9"/>
            <color rgb="FF000000"/>
            <rFont val="Calibri"/>
            <family val="2"/>
          </rPr>
          <t xml:space="preserve">
</t>
        </r>
        <r>
          <rPr>
            <sz val="9"/>
            <color rgb="FF000000"/>
            <rFont val="Calibri"/>
            <family val="2"/>
          </rPr>
          <t>As a profit definition it certainly has limitations, however, especially if the business is capital intensive.</t>
        </r>
      </text>
    </comment>
    <comment ref="B103" authorId="0" shapeId="0" xr:uid="{00000000-0006-0000-0100-000012000000}">
      <text>
        <r>
          <rPr>
            <sz val="9"/>
            <color rgb="FF000000"/>
            <rFont val="+mn-lt"/>
            <charset val="1"/>
          </rPr>
          <t xml:space="preserve">Operating profit is also known as Earnings Before Interest &amp; Tax Depreciation (EBIT).
</t>
        </r>
        <r>
          <rPr>
            <sz val="9"/>
            <color rgb="FF000000"/>
            <rFont val="+mn-lt"/>
            <charset val="1"/>
          </rPr>
          <t xml:space="preserve">
</t>
        </r>
        <r>
          <rPr>
            <sz val="9"/>
            <color rgb="FF000000"/>
            <rFont val="+mn-lt"/>
            <charset val="1"/>
          </rPr>
          <t>This is an excellent profit measure as it shows the profitability of the business without the distortion of interest.  In some cases a business may have high Interest costs as a result of historic problems, which then disto</t>
        </r>
        <r>
          <rPr>
            <sz val="9"/>
            <color rgb="FF000000"/>
            <rFont val="Calibri"/>
            <family val="2"/>
          </rPr>
          <t xml:space="preserve">rt how profitable the underlying business really is.
</t>
        </r>
        <r>
          <rPr>
            <sz val="9"/>
            <color rgb="FF000000"/>
            <rFont val="Calibri"/>
            <family val="2"/>
          </rPr>
          <t xml:space="preserve">
</t>
        </r>
        <r>
          <rPr>
            <sz val="9"/>
            <color rgb="FF000000"/>
            <rFont val="Calibri"/>
            <family val="2"/>
          </rPr>
          <t>So this is generally regarded as a good measure.</t>
        </r>
      </text>
    </comment>
    <comment ref="B105" authorId="0" shapeId="0" xr:uid="{00000000-0006-0000-0100-000013000000}">
      <text>
        <r>
          <rPr>
            <sz val="9"/>
            <color rgb="FF000000"/>
            <rFont val="Calibri"/>
            <family val="2"/>
          </rPr>
          <t>Loan interest is a P&amp;L item, whilst loan capital  repayments are only a Cash Flow item.</t>
        </r>
      </text>
    </comment>
    <comment ref="B108" authorId="0" shapeId="0" xr:uid="{00000000-0006-0000-0100-000014000000}">
      <text>
        <r>
          <rPr>
            <sz val="9"/>
            <color rgb="FF000000"/>
            <rFont val="Calibri"/>
            <family val="2"/>
          </rPr>
          <t xml:space="preserve">Check exact rate of tax on HMRC website. Varies from year to year and is dependent on size of business.
</t>
        </r>
        <r>
          <rPr>
            <sz val="9"/>
            <color rgb="FF000000"/>
            <rFont val="Calibri"/>
            <family val="2"/>
          </rPr>
          <t xml:space="preserve">
</t>
        </r>
        <r>
          <rPr>
            <sz val="9"/>
            <color rgb="FF000000"/>
            <rFont val="Calibri"/>
            <family val="2"/>
          </rPr>
          <t>To calculate Corporation Tax see notes and workings below.</t>
        </r>
      </text>
    </comment>
    <comment ref="B121" authorId="0" shapeId="0" xr:uid="{B3DDA8AF-0C2D-104F-92F3-B14EED66DECD}">
      <text>
        <r>
          <rPr>
            <sz val="9"/>
            <color rgb="FF000000"/>
            <rFont val="Calibri"/>
            <family val="2"/>
          </rPr>
          <t xml:space="preserve">Fixed assets, unless they are freehold property, will be subject to depreciation*.  As the P&amp;L is charged the monthly depreciation of the asset, so the value of the asset is written down. This is a superb example of how the P&amp;L and balance sheet are so perfectly linked.
</t>
        </r>
        <r>
          <rPr>
            <sz val="9"/>
            <color rgb="FF000000"/>
            <rFont val="Calibri"/>
            <family val="2"/>
          </rPr>
          <t xml:space="preserve">
</t>
        </r>
        <r>
          <rPr>
            <sz val="9"/>
            <color rgb="FF000000"/>
            <rFont val="Calibri"/>
            <family val="2"/>
          </rPr>
          <t xml:space="preserve">There are two methods of depreciation - straight line and reducing balance.  The examples below use straight line depreciation.
</t>
        </r>
        <r>
          <rPr>
            <sz val="9"/>
            <color rgb="FF000000"/>
            <rFont val="Calibri"/>
            <family val="2"/>
          </rPr>
          <t xml:space="preserve">
</t>
        </r>
        <r>
          <rPr>
            <sz val="9"/>
            <color rgb="FF000000"/>
            <rFont val="Calibri"/>
            <family val="2"/>
          </rPr>
          <t>* note that strictly speaking a freehold building should be depreciated at the rate of 2.5% a year whilst the land element is not depreciated. For the purposes of a simple financial model it is OK to ignore depreciation on freehold property.</t>
        </r>
      </text>
    </comment>
    <comment ref="B166" authorId="0" shapeId="0" xr:uid="{00000000-0006-0000-0100-000015000000}">
      <text>
        <r>
          <rPr>
            <sz val="9"/>
            <color rgb="FF000000"/>
            <rFont val="Calibri"/>
            <family val="2"/>
          </rPr>
          <t xml:space="preserve">The proper calculation of Corporation Tax will require the assistance of a professional accountant.
</t>
        </r>
        <r>
          <rPr>
            <sz val="9"/>
            <color rgb="FF000000"/>
            <rFont val="Calibri"/>
            <family val="2"/>
          </rPr>
          <t xml:space="preserve">
</t>
        </r>
        <r>
          <rPr>
            <sz val="9"/>
            <color rgb="FF000000"/>
            <rFont val="Calibri"/>
            <family val="2"/>
          </rPr>
          <t xml:space="preserve">In simplistic terms, the Taxable Profit is calculated by adding back depreciation (which is not an allowable expense).  However, some allowance needs to be made for capital costs, so there's a Capital Allowance. The rules have changed over the years, but in certain cases you're allowed to deduct 100% of certain defined types of expenditure - typically plant &amp; machinery and fixtures &amp; fittings. 
</t>
        </r>
        <r>
          <rPr>
            <sz val="9"/>
            <color rgb="FF000000"/>
            <rFont val="Calibri"/>
            <family val="2"/>
          </rPr>
          <t xml:space="preserve">
</t>
        </r>
        <r>
          <rPr>
            <sz val="9"/>
            <color rgb="FF000000"/>
            <rFont val="Calibri"/>
            <family val="2"/>
          </rPr>
          <t xml:space="preserve">This is actually much more favourable than allowing depreciation, since potentially the entire cost of this expenditure can be offset against the current Corporation Tax liability.
</t>
        </r>
        <r>
          <rPr>
            <sz val="9"/>
            <color rgb="FF000000"/>
            <rFont val="Calibri"/>
            <family val="2"/>
          </rPr>
          <t xml:space="preserve">
</t>
        </r>
        <r>
          <rPr>
            <sz val="9"/>
            <color rgb="FF000000"/>
            <rFont val="Calibri"/>
            <family val="2"/>
          </rPr>
          <t>Please refer to the HMRC website, or an accountant, for more detailed information.</t>
        </r>
      </text>
    </comment>
    <comment ref="B172" authorId="0" shapeId="0" xr:uid="{C8B007D2-677C-9048-9E1B-4471097F9C01}">
      <text>
        <r>
          <rPr>
            <sz val="9"/>
            <color rgb="FF000000"/>
            <rFont val="+mn-lt"/>
            <charset val="1"/>
          </rPr>
          <t xml:space="preserve">All the accumulated losses can be offset against future profits. Once these are used up, then will corporation tax become payable.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2025.1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Simon Hulme</author>
    <author>Microsoft Office User</author>
  </authors>
  <commentList>
    <comment ref="B55" authorId="0" shapeId="0" xr:uid="{00000000-0006-0000-0200-000001000000}">
      <text>
        <r>
          <rPr>
            <sz val="9"/>
            <color rgb="FF000000"/>
            <rFont val="Calibri"/>
            <family val="2"/>
          </rPr>
          <t>The cash business is generating or consuming in each month!</t>
        </r>
      </text>
    </comment>
    <comment ref="B60" authorId="0" shapeId="0" xr:uid="{00C9B53A-5D0B-0242-9143-6AA26C0CF7CD}">
      <text>
        <r>
          <rPr>
            <sz val="9"/>
            <color rgb="FF000000"/>
            <rFont val="Calibri"/>
            <family val="2"/>
          </rPr>
          <t xml:space="preserve">This row of numbers should always be zero. If it is not, the balance sheet is not in balance and there is an error. 
</t>
        </r>
        <r>
          <rPr>
            <sz val="9"/>
            <color rgb="FF000000"/>
            <rFont val="Calibri"/>
            <family val="2"/>
          </rPr>
          <t xml:space="preserve">
</t>
        </r>
        <r>
          <rPr>
            <sz val="9"/>
            <color rgb="FF000000"/>
            <rFont val="Calibri"/>
            <family val="2"/>
          </rPr>
          <t xml:space="preserve">This is duplicated from the balance sheet sheet so you can keep an eye on it while changing the cash flow. Changes here can cause imbalances if not done correctly.
</t>
        </r>
        <r>
          <rPr>
            <sz val="9"/>
            <color rgb="FF000000"/>
            <rFont val="Calibri"/>
            <family val="2"/>
          </rPr>
          <t xml:space="preserve">
</t>
        </r>
        <r>
          <rPr>
            <sz val="9"/>
            <color rgb="FF000000"/>
            <rFont val="Calibri"/>
            <family val="2"/>
          </rPr>
          <t xml:space="preserve">To find the error, look at </t>
        </r>
        <r>
          <rPr>
            <b/>
            <sz val="9"/>
            <color rgb="FF000000"/>
            <rFont val="Calibri"/>
            <family val="2"/>
          </rPr>
          <t>when</t>
        </r>
        <r>
          <rPr>
            <sz val="9"/>
            <color rgb="FF000000"/>
            <rFont val="Calibri"/>
            <family val="2"/>
          </rPr>
          <t xml:space="preserve"> it goes out of balance… the problem probably starts in this particular month. Work through every line one by one.
</t>
        </r>
        <r>
          <rPr>
            <sz val="9"/>
            <color rgb="FF000000"/>
            <rFont val="Calibri"/>
            <family val="2"/>
          </rPr>
          <t xml:space="preserve">
</t>
        </r>
        <r>
          <rPr>
            <sz val="9"/>
            <color rgb="FF000000"/>
            <rFont val="Calibri"/>
            <family val="2"/>
          </rPr>
          <t xml:space="preserve">Also what is the difference in £'s? That's also a clue as to where your error may be hiding.
</t>
        </r>
        <r>
          <rPr>
            <sz val="9"/>
            <color rgb="FF000000"/>
            <rFont val="Calibri"/>
            <family val="2"/>
          </rPr>
          <t xml:space="preserve">
</t>
        </r>
        <r>
          <rPr>
            <sz val="9"/>
            <color rgb="FF000000"/>
            <rFont val="Calibri"/>
            <family val="2"/>
          </rPr>
          <t xml:space="preserve">Further guidance on how to resolve an imbalance can be found in my book.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Beckley
</t>
        </r>
        <r>
          <rPr>
            <sz val="9"/>
            <color rgb="FF000000"/>
            <rFont val="Calibri"/>
            <family val="2"/>
          </rPr>
          <t xml:space="preserve">
</t>
        </r>
      </text>
    </comment>
    <comment ref="B70" authorId="0" shapeId="0" xr:uid="{00000000-0006-0000-0200-000002000000}">
      <text>
        <r>
          <rPr>
            <sz val="9"/>
            <color rgb="FF000000"/>
            <rFont val="+mn-lt"/>
            <charset val="1"/>
          </rPr>
          <t xml:space="preserve">The model assumes that 30 days credit is given. This line, and the line immediately below, adjust for the delayed receipt of payment. 
</t>
        </r>
        <r>
          <rPr>
            <sz val="9"/>
            <color rgb="FF000000"/>
            <rFont val="+mn-lt"/>
            <charset val="1"/>
          </rPr>
          <t xml:space="preserve">
</t>
        </r>
        <r>
          <rPr>
            <sz val="9"/>
            <color rgb="FF000000"/>
            <rFont val="+mn-lt"/>
            <charset val="1"/>
          </rPr>
          <t>The payments that they are awaiting are trade debtors, and feature in the balance sheet as debtors.</t>
        </r>
      </text>
    </comment>
    <comment ref="B73" authorId="0" shapeId="0" xr:uid="{6A778672-7DF1-4147-9264-4A8F591DD200}">
      <text>
        <r>
          <rPr>
            <sz val="9"/>
            <color rgb="FF000000"/>
            <rFont val="+mn-lt"/>
            <charset val="1"/>
          </rPr>
          <t>Although VAT doesn't feature in the P&amp;L we collect this money in from our sales so it affects the cash flow.</t>
        </r>
      </text>
    </comment>
    <comment ref="B79" authorId="0" shapeId="0" xr:uid="{00000000-0006-0000-0200-000003000000}">
      <text>
        <r>
          <rPr>
            <sz val="9"/>
            <color rgb="FF000000"/>
            <rFont val="+mn-lt"/>
            <charset val="1"/>
          </rPr>
          <t>Enter any changes in stock levels here. Positive numbers will represent an increase in stock and negative numbers a decrease.</t>
        </r>
      </text>
    </comment>
    <comment ref="B81" authorId="0" shapeId="0" xr:uid="{5E24B671-B302-AB4B-9793-31782B3439E5}">
      <text>
        <r>
          <rPr>
            <sz val="9"/>
            <color rgb="FF000000"/>
            <rFont val="+mn-lt"/>
            <charset val="1"/>
          </rPr>
          <t xml:space="preserve">Whilst the VAT does not feature in the P&amp;L we have to pay it on all our purchases, hence it affects the cash flow statement. It will be offset against the VAT collected in the quarterly return to HMRC, the calculation of which is shown below.
</t>
        </r>
      </text>
    </comment>
    <comment ref="B90" authorId="0" shapeId="0" xr:uid="{00000000-0006-0000-0200-000004000000}">
      <text/>
    </comment>
    <comment ref="B95" authorId="0" shapeId="0" xr:uid="{00000000-0006-0000-0200-000005000000}">
      <text>
        <r>
          <rPr>
            <sz val="9"/>
            <color rgb="FF000000"/>
            <rFont val="+mn-lt"/>
            <charset val="1"/>
          </rPr>
          <t xml:space="preserve">This is when the payment is actually made, which is different to the accruals made in the P&amp;L.
</t>
        </r>
      </text>
    </comment>
    <comment ref="B98" authorId="0" shapeId="0" xr:uid="{51CB1884-6002-7A41-BDC4-FF88C202CFC8}">
      <text>
        <r>
          <rPr>
            <sz val="9"/>
            <color rgb="FF000000"/>
            <rFont val="+mn-lt"/>
            <charset val="1"/>
          </rPr>
          <t>This is simply the Total Operating Expenses (from P&amp;L) less the items already counted in the lines immediately above.</t>
        </r>
      </text>
    </comment>
    <comment ref="B104" authorId="0" shapeId="0" xr:uid="{00000000-0006-0000-0200-000006000000}">
      <text>
        <r>
          <rPr>
            <sz val="9"/>
            <color rgb="FF000000"/>
            <rFont val="+mn-lt"/>
            <charset val="1"/>
          </rPr>
          <t xml:space="preserve">Output VAT is the VAT charged on the sales made to customers, i.e. on goods going out.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text>
    </comment>
    <comment ref="B105" authorId="0" shapeId="0" xr:uid="{00000000-0006-0000-0200-000007000000}">
      <text>
        <r>
          <rPr>
            <sz val="9"/>
            <color rgb="FF000000"/>
            <rFont val="+mn-lt"/>
            <charset val="1"/>
          </rPr>
          <t xml:space="preserve">Input VAT is the VAT paid on goods coming into the business. 
</t>
        </r>
        <r>
          <rPr>
            <sz val="9"/>
            <color rgb="FF000000"/>
            <rFont val="+mn-lt"/>
            <charset val="1"/>
          </rPr>
          <t xml:space="preserve">
</t>
        </r>
        <r>
          <rPr>
            <sz val="9"/>
            <color rgb="FF000000"/>
            <rFont val="+mn-lt"/>
            <charset val="1"/>
          </rPr>
          <t xml:space="preserve">Generally this can be reclaimed by offsetting it against the output VAT figure.
</t>
        </r>
      </text>
    </comment>
    <comment ref="B124" authorId="0" shapeId="0" xr:uid="{00000000-0006-0000-0200-000008000000}">
      <text>
        <r>
          <rPr>
            <sz val="9"/>
            <color rgb="FF000000"/>
            <rFont val="+mn-lt"/>
            <charset val="1"/>
          </rPr>
          <t xml:space="preserve">Manually add any credit taken or (payments made) for capital equipment purchases. This line should add up to zero otherwise balance sheet won't balance.
</t>
        </r>
        <r>
          <rPr>
            <sz val="9"/>
            <color rgb="FF000000"/>
            <rFont val="+mn-lt"/>
            <charset val="1"/>
          </rPr>
          <t xml:space="preserve">
</t>
        </r>
        <r>
          <rPr>
            <sz val="9"/>
            <color rgb="FF000000"/>
            <rFont val="+mn-lt"/>
            <charset val="1"/>
          </rPr>
          <t xml:space="preserve">To explain this, when the asset is purchased fixed assets are debited (the application). Because the asset has not yet been paid for you cannot credit cash (the source) so you need to credit creditors (i.e. people who you owe money to). They are the source of the funding for the asset until it is paid for, and then the source becomes cash.
</t>
        </r>
        <r>
          <rPr>
            <sz val="9"/>
            <color rgb="FF000000"/>
            <rFont val="+mn-lt"/>
            <charset val="1"/>
          </rPr>
          <t xml:space="preserve">
</t>
        </r>
        <r>
          <rPr>
            <sz val="9"/>
            <color rgb="FF000000"/>
            <rFont val="+mn-lt"/>
            <charset val="1"/>
          </rPr>
          <t>Entry here will be taken into the creditors workings in the balance sheet.</t>
        </r>
      </text>
    </comment>
    <comment ref="B129" authorId="0" shapeId="0" xr:uid="{A4F3D0D1-ADA0-8B49-8CD7-F1A5AF43B790}">
      <text>
        <r>
          <rPr>
            <sz val="9"/>
            <color rgb="FF000000"/>
            <rFont val="+mn-lt"/>
            <charset val="1"/>
          </rPr>
          <t>The share prices in subsequent rounds may be very substantially higher than the initial nominal share price. This is known as the 'share premium' . See book for more details about share capital.</t>
        </r>
      </text>
    </comment>
    <comment ref="T130" authorId="1" shapeId="0" xr:uid="{32413920-7B20-A443-B1E6-4FA71948EACD}">
      <text>
        <r>
          <rPr>
            <sz val="12"/>
            <color rgb="FF000000"/>
            <rFont val="Cambria"/>
            <family val="18"/>
          </rPr>
          <t xml:space="preserve">Investment on Second shop opening for 12% of shares
</t>
        </r>
        <r>
          <rPr>
            <sz val="12"/>
            <color rgb="FF000000"/>
            <rFont val="Cambria"/>
            <family val="18"/>
          </rPr>
          <t xml:space="preserve">
</t>
        </r>
      </text>
    </comment>
    <comment ref="B135" authorId="0" shapeId="0" xr:uid="{00000000-0006-0000-0200-000009000000}">
      <text>
        <r>
          <rPr>
            <sz val="9"/>
            <color rgb="FF000000"/>
            <rFont val="+mn-lt"/>
            <charset val="1"/>
          </rPr>
          <t xml:space="preserve">Enter any repayments of directors' loans. Note cannot exceed total amount of loan outstanding.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2025.1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r>
          <rPr>
            <sz val="9"/>
            <color rgb="FF000000"/>
            <rFont val="+mn-lt"/>
            <charset val="1"/>
          </rPr>
          <t xml:space="preserve">
</t>
        </r>
      </text>
    </comment>
    <comment ref="B143" authorId="0" shapeId="0" xr:uid="{00000000-0006-0000-0200-00000A000000}">
      <text>
        <r>
          <rPr>
            <sz val="9"/>
            <color rgb="FF000000"/>
            <rFont val="+mn-lt"/>
            <charset val="1"/>
          </rPr>
          <t xml:space="preserve">Manually enter any dividends paid out of the business. Cannot exceed the amount of retained earnings available.
</t>
        </r>
        <r>
          <rPr>
            <sz val="9"/>
            <color rgb="FF000000"/>
            <rFont val="+mn-lt"/>
            <charset val="1"/>
          </rPr>
          <t xml:space="preserve">
</t>
        </r>
        <r>
          <rPr>
            <sz val="9"/>
            <color rgb="FF000000"/>
            <rFont val="+mn-lt"/>
            <charset val="1"/>
          </rPr>
          <t>Note as this is the cash flow these are displayed as negative numbers as they are outflows.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Simon Hulme</author>
  </authors>
  <commentList>
    <comment ref="B8" authorId="0" shapeId="0" xr:uid="{00000000-0006-0000-0300-000001000000}">
      <text>
        <r>
          <rPr>
            <sz val="9"/>
            <color rgb="FF000000"/>
            <rFont val="Calibri"/>
            <family val="2"/>
          </rPr>
          <t xml:space="preserve">Fixed assets (which are part of the non-current assets) fall in value each month as they are depreciated in the P&amp;L.
</t>
        </r>
        <r>
          <rPr>
            <sz val="9"/>
            <color rgb="FF000000"/>
            <rFont val="Calibri"/>
            <family val="2"/>
          </rPr>
          <t xml:space="preserve">
</t>
        </r>
        <r>
          <rPr>
            <sz val="9"/>
            <color rgb="FF000000"/>
            <rFont val="Calibri"/>
            <family val="2"/>
          </rPr>
          <t xml:space="preserve">In the UK, freehold buildings are not normally depreciated.
</t>
        </r>
        <r>
          <rPr>
            <sz val="9"/>
            <color rgb="FF000000"/>
            <rFont val="Calibri"/>
            <family val="2"/>
          </rPr>
          <t xml:space="preserve">
</t>
        </r>
        <r>
          <rPr>
            <sz val="9"/>
            <color rgb="FF000000"/>
            <rFont val="Calibri"/>
            <family val="2"/>
          </rPr>
          <t>See Workings section below the P&amp;L for the detailed calculations.</t>
        </r>
      </text>
    </comment>
    <comment ref="B32" authorId="0" shapeId="0" xr:uid="{00000000-0006-0000-0300-000002000000}">
      <text>
        <r>
          <rPr>
            <sz val="9"/>
            <color rgb="FF000000"/>
            <rFont val="Calibri"/>
            <family val="2"/>
          </rPr>
          <t xml:space="preserve">For simplicity the directors' loan has been treated as a long term liability with no repayment date set.
</t>
        </r>
        <r>
          <rPr>
            <sz val="9"/>
            <color rgb="FF000000"/>
            <rFont val="Calibri"/>
            <family val="2"/>
          </rPr>
          <t xml:space="preserve">
</t>
        </r>
        <r>
          <rPr>
            <sz val="9"/>
            <color rgb="FF000000"/>
            <rFont val="Calibri"/>
            <family val="2"/>
          </rPr>
          <t xml:space="preserve">If the repayment was scheduled for the next 12 months, it would then become a current liability.
</t>
        </r>
        <r>
          <rPr>
            <sz val="9"/>
            <color rgb="FF000000"/>
            <rFont val="Calibri"/>
            <family val="2"/>
          </rPr>
          <t xml:space="preserve">
</t>
        </r>
      </text>
    </comment>
    <comment ref="B38" authorId="0" shapeId="0" xr:uid="{3F9AC602-CEE1-514A-959E-AC15BDB45219}">
      <text>
        <r>
          <rPr>
            <sz val="9"/>
            <color rgb="FF000000"/>
            <rFont val="+mn-lt"/>
            <charset val="1"/>
          </rPr>
          <t>This has been simplified and includes any 'share premium'. See book for more details on share capital.</t>
        </r>
      </text>
    </comment>
    <comment ref="B43" authorId="0" shapeId="0" xr:uid="{9CB6D61C-E2CE-7744-AF37-38F48260232C}">
      <text>
        <r>
          <rPr>
            <sz val="9"/>
            <color rgb="FF000000"/>
            <rFont val="Calibri"/>
            <family val="2"/>
          </rPr>
          <t xml:space="preserve">This row of numbers should always be zero. If it is not, the balance sheet is not in balance and there is an error. 
</t>
        </r>
        <r>
          <rPr>
            <sz val="9"/>
            <color rgb="FF000000"/>
            <rFont val="Calibri"/>
            <family val="2"/>
          </rPr>
          <t xml:space="preserve">
</t>
        </r>
        <r>
          <rPr>
            <sz val="9"/>
            <color rgb="FF000000"/>
            <rFont val="Calibri"/>
            <family val="2"/>
          </rPr>
          <t xml:space="preserve">To find the error, look at </t>
        </r>
        <r>
          <rPr>
            <b/>
            <sz val="9"/>
            <color rgb="FF000000"/>
            <rFont val="Calibri"/>
            <family val="2"/>
          </rPr>
          <t>when</t>
        </r>
        <r>
          <rPr>
            <sz val="9"/>
            <color rgb="FF000000"/>
            <rFont val="Calibri"/>
            <family val="2"/>
          </rPr>
          <t xml:space="preserve"> it goes out of balance… the problem probably starts in this particular month. Work through every line one by one.
</t>
        </r>
        <r>
          <rPr>
            <sz val="9"/>
            <color rgb="FF000000"/>
            <rFont val="Calibri"/>
            <family val="2"/>
          </rPr>
          <t xml:space="preserve">
</t>
        </r>
        <r>
          <rPr>
            <sz val="9"/>
            <color rgb="FF000000"/>
            <rFont val="Calibri"/>
            <family val="2"/>
          </rPr>
          <t xml:space="preserve">Also what is the difference in £'s? That's also a clue as to where your error may be hiding.
</t>
        </r>
        <r>
          <rPr>
            <sz val="9"/>
            <color rgb="FF000000"/>
            <rFont val="Calibri"/>
            <family val="2"/>
          </rPr>
          <t xml:space="preserve">
</t>
        </r>
        <r>
          <rPr>
            <sz val="9"/>
            <color rgb="FF000000"/>
            <rFont val="Calibri"/>
            <family val="2"/>
          </rPr>
          <t xml:space="preserve">Further guidance on how to resolve an imbalance can be found in my book.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Beckley
</t>
        </r>
        <r>
          <rPr>
            <sz val="9"/>
            <color rgb="FF000000"/>
            <rFont val="Calibri"/>
            <family val="2"/>
          </rPr>
          <t xml:space="preserve">
</t>
        </r>
      </text>
    </comment>
    <comment ref="B65" authorId="0" shapeId="0" xr:uid="{00000000-0006-0000-0300-000005000000}">
      <text>
        <r>
          <rPr>
            <sz val="9"/>
            <color rgb="FF000000"/>
            <rFont val="Calibri"/>
            <family val="2"/>
          </rPr>
          <t xml:space="preserve">This is the reverse of an Accrural (see note below).  Here you have paid for something, but not yet 'consumed ' it. Hence it is an asset.
</t>
        </r>
        <r>
          <rPr>
            <sz val="9"/>
            <color rgb="FF000000"/>
            <rFont val="Calibri"/>
            <family val="2"/>
          </rPr>
          <t xml:space="preserve">
</t>
        </r>
        <r>
          <rPr>
            <sz val="9"/>
            <color rgb="FF000000"/>
            <rFont val="Calibri"/>
            <family val="2"/>
          </rPr>
          <t xml:space="preserve">In this example the rent has been paid, but it is not until the end of the quarter that the rent has been fully 'consumed'.  Hence it is a form of asset - a Prepayment - in the BS. </t>
        </r>
      </text>
    </comment>
    <comment ref="B76" authorId="0" shapeId="0" xr:uid="{00000000-0006-0000-0300-000006000000}">
      <text>
        <r>
          <rPr>
            <sz val="9"/>
            <color rgb="FF000000"/>
            <rFont val="Calibri"/>
            <family val="2"/>
          </rPr>
          <t xml:space="preserve">Accurals take into account that you have consumed something yet not paid for it. Therefore it is a liability that has to be taken into account.  Again, it is a great illustration of the fact that nothing is 'forgotten' in a balance sheet. Every asset and every liability should turn up somewhere.
</t>
        </r>
        <r>
          <rPr>
            <sz val="9"/>
            <color rgb="FF000000"/>
            <rFont val="Calibri"/>
            <family val="2"/>
          </rPr>
          <t xml:space="preserve">
</t>
        </r>
        <r>
          <rPr>
            <sz val="9"/>
            <color rgb="FF000000"/>
            <rFont val="Calibri"/>
            <family val="2"/>
          </rPr>
          <t>In this case heat &amp; light have been consumed, and the outstanding bill or liability grows every month until it is paid at the end of the quarter. Then the liability is zero.</t>
        </r>
      </text>
    </comment>
    <comment ref="B81" authorId="0" shapeId="0" xr:uid="{00000000-0006-0000-0300-000007000000}">
      <text>
        <r>
          <rPr>
            <sz val="9"/>
            <color rgb="FF000000"/>
            <rFont val="Calibri"/>
            <family val="2"/>
          </rPr>
          <t xml:space="preserve">Some of the formulas below are highly complex. This model works out precisely the split between Current and Long Term bank liabilities.  Note that the Current element (ie next 12 months) grows very slightly each month.  
</t>
        </r>
        <r>
          <rPr>
            <sz val="9"/>
            <color rgb="FF000000"/>
            <rFont val="Calibri"/>
            <family val="2"/>
          </rPr>
          <t xml:space="preserve">
</t>
        </r>
        <r>
          <rPr>
            <sz val="9"/>
            <color rgb="FF000000"/>
            <rFont val="Calibri"/>
            <family val="2"/>
          </rPr>
          <t xml:space="preserve">This is because although the monthly payments on a loan may remain constant, the proportion that relates to capital repayment gradually rises, and the proportion that relates to interest payments gradually falls.  This makes perfect sense, of course, since as time goes on there is less capital outstanding, so the amount of interest will gradually fall. But the repayments are kept constant by the bank - hence a greater amount is now allocated by them to repaying the capital.
</t>
        </r>
        <r>
          <rPr>
            <sz val="9"/>
            <color rgb="FF000000"/>
            <rFont val="Calibri"/>
            <family val="2"/>
          </rPr>
          <t xml:space="preserve">
</t>
        </r>
        <r>
          <rPr>
            <sz val="9"/>
            <color rgb="FF000000"/>
            <rFont val="Calibri"/>
            <family val="2"/>
          </rPr>
          <t xml:space="preserve">The formula in this model has to cope with a loan of just a few months to several years, and still allocate the amounts correctly. If you are writing it yourself, it is ok to work it out on a more manual basis and to simplify the calculations, although they will only then be an estimate.
</t>
        </r>
        <r>
          <rPr>
            <sz val="9"/>
            <color rgb="FF000000"/>
            <rFont val="Calibri"/>
            <family val="2"/>
          </rPr>
          <t xml:space="preserve">
</t>
        </r>
        <r>
          <rPr>
            <sz val="9"/>
            <color rgb="FF000000"/>
            <rFont val="Calibri"/>
            <family val="2"/>
          </rPr>
          <t>Take a look at the cells on the P&amp;L sheet beneath the loan input cells. You can see how the proportions change each year of the loan.</t>
        </r>
      </text>
    </comment>
    <comment ref="C94" authorId="0" shapeId="0" xr:uid="{00000000-0006-0000-0300-000008000000}">
      <text>
        <r>
          <rPr>
            <sz val="9"/>
            <color rgb="FF000000"/>
            <rFont val="Calibri"/>
            <family val="2"/>
          </rPr>
          <t xml:space="preserve">Corporation Tax is another complicated item!  In the Cash Flow models the BEFORE tax profit is used as the starting point. 
</t>
        </r>
        <r>
          <rPr>
            <sz val="9"/>
            <color rgb="FF000000"/>
            <rFont val="Calibri"/>
            <family val="2"/>
          </rPr>
          <t xml:space="preserve">
</t>
        </r>
        <r>
          <rPr>
            <sz val="9"/>
            <color rgb="FF000000"/>
            <rFont val="Calibri"/>
            <family val="2"/>
          </rPr>
          <t xml:space="preserve">The simplest way of doing this is to take the Corporation Tax line of the P&amp;L and show each month CUMULATIVELY as a Current Liability. Then in the following January when it is paid, the accumulated liability will go to zero, and the Cash will drop by the same amount.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text>
    </comment>
    <comment ref="C109" authorId="0" shapeId="0" xr:uid="{00000000-0006-0000-0300-000009000000}">
      <text>
        <r>
          <rPr>
            <sz val="9"/>
            <color rgb="FF000000"/>
            <rFont val="Calibri"/>
            <family val="2"/>
          </rPr>
          <t xml:space="preserve">This is the balancing line and is calculated by taking the profit make CUMULATIVELY, after Corporation Tax and after dividends.  It should then make the balance sheet balance! This is a great test of your balance sheet's data integrity - if it doesn't work out neatly some item has been missed.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Version 22 June 2019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Simon Hulme</author>
  </authors>
  <commentList>
    <comment ref="B8" authorId="0" shapeId="0" xr:uid="{00000000-0006-0000-0400-000002000000}">
      <text>
        <r>
          <rPr>
            <sz val="9"/>
            <color rgb="FF000000"/>
            <rFont val="Calibri"/>
            <family val="2"/>
          </rPr>
          <t>All these numbers are the sum of their respective 12 month periods from the P&amp;L sheet.</t>
        </r>
      </text>
    </comment>
    <comment ref="B18" authorId="0" shapeId="0" xr:uid="{00000000-0006-0000-0400-000004000000}">
      <text>
        <r>
          <rPr>
            <b/>
            <sz val="9"/>
            <color rgb="FF000000"/>
            <rFont val="Calibri"/>
            <family val="2"/>
          </rPr>
          <t>Useful check:</t>
        </r>
        <r>
          <rPr>
            <sz val="9"/>
            <color rgb="FF000000"/>
            <rFont val="Calibri"/>
            <family val="2"/>
          </rPr>
          <t xml:space="preserve">
</t>
        </r>
        <r>
          <rPr>
            <sz val="9"/>
            <color rgb="FF000000"/>
            <rFont val="Calibri"/>
            <family val="2"/>
          </rPr>
          <t>This row must have the same numbers as in the row above. If not there is likely to be a formula error in the way the number has been added up from the P&amp;L sheet.</t>
        </r>
      </text>
    </comment>
    <comment ref="B33" authorId="0" shapeId="0" xr:uid="{00000000-0006-0000-0400-000005000000}">
      <text>
        <r>
          <rPr>
            <b/>
            <sz val="9"/>
            <color rgb="FF000000"/>
            <rFont val="Calibri"/>
            <family val="2"/>
          </rPr>
          <t>Useful check:</t>
        </r>
        <r>
          <rPr>
            <sz val="9"/>
            <color rgb="FF000000"/>
            <rFont val="Calibri"/>
            <family val="2"/>
          </rPr>
          <t xml:space="preserve">
</t>
        </r>
        <r>
          <rPr>
            <sz val="9"/>
            <color rgb="FF000000"/>
            <rFont val="Calibri"/>
            <family val="2"/>
          </rPr>
          <t>This row must have the same numbers as in the row above. If not there is likely to be a formula error in the way the number has been added up from the P&amp;L sheet.</t>
        </r>
      </text>
    </comment>
    <comment ref="B44" authorId="0" shapeId="0" xr:uid="{00000000-0006-0000-0400-000006000000}">
      <text>
        <r>
          <rPr>
            <b/>
            <sz val="9"/>
            <color rgb="FF000000"/>
            <rFont val="Calibri"/>
            <family val="2"/>
          </rPr>
          <t>Useful check:</t>
        </r>
        <r>
          <rPr>
            <sz val="9"/>
            <color rgb="FF000000"/>
            <rFont val="Calibri"/>
            <family val="2"/>
          </rPr>
          <t xml:space="preserve">
</t>
        </r>
        <r>
          <rPr>
            <sz val="9"/>
            <color rgb="FF000000"/>
            <rFont val="Calibri"/>
            <family val="2"/>
          </rPr>
          <t>This row must have the same numbers as in the row above. If not there is likely to be a formula error in the way the number has been added up from the P&amp;L sheet.</t>
        </r>
      </text>
    </comment>
    <comment ref="B57" authorId="0" shapeId="0" xr:uid="{00000000-0006-0000-0400-000007000000}">
      <text>
        <r>
          <rPr>
            <sz val="9"/>
            <color rgb="FF000000"/>
            <rFont val="Calibri"/>
            <family val="2"/>
          </rPr>
          <t xml:space="preserve">The balance sheet is a 'photograph' of the assets and liabilities of a business on a particular day (e.g. 31 December 2025).
</t>
        </r>
        <r>
          <rPr>
            <sz val="9"/>
            <color rgb="FF000000"/>
            <rFont val="Calibri"/>
            <family val="2"/>
          </rPr>
          <t xml:space="preserve">
</t>
        </r>
        <r>
          <rPr>
            <sz val="9"/>
            <color rgb="FF000000"/>
            <rFont val="Calibri"/>
            <family val="2"/>
          </rPr>
          <t>When expressed as a month and year, it means the last day of that month.</t>
        </r>
      </text>
    </comment>
    <comment ref="B100" authorId="0" shapeId="0" xr:uid="{9F1E5DEB-1042-6249-A394-01C876C62573}">
      <text>
        <r>
          <rPr>
            <sz val="9"/>
            <color rgb="FF000000"/>
            <rFont val="Calibri"/>
            <family val="2"/>
          </rPr>
          <t xml:space="preserve">This can be difficult to calculate from the figures above because some of the numbers are shown as a negative figure. These are </t>
        </r>
        <r>
          <rPr>
            <b/>
            <sz val="9"/>
            <color rgb="FF000000"/>
            <rFont val="Calibri"/>
            <family val="2"/>
          </rPr>
          <t xml:space="preserve">not </t>
        </r>
        <r>
          <rPr>
            <sz val="9"/>
            <color rgb="FF000000"/>
            <rFont val="Calibri"/>
            <family val="2"/>
          </rPr>
          <t xml:space="preserve">negative figures in reality (eg the bank loan is a positive number owed to the bank) but is shown as a </t>
        </r>
        <r>
          <rPr>
            <b/>
            <sz val="9"/>
            <color rgb="FF000000"/>
            <rFont val="Calibri"/>
            <family val="2"/>
          </rPr>
          <t>deduction</t>
        </r>
        <r>
          <rPr>
            <sz val="9"/>
            <color rgb="FF000000"/>
            <rFont val="Calibri"/>
            <family val="2"/>
          </rPr>
          <t xml:space="preserve"> in the spreadsheet. 
</t>
        </r>
        <r>
          <rPr>
            <sz val="9"/>
            <color rgb="FF000000"/>
            <rFont val="Calibri"/>
            <family val="2"/>
          </rPr>
          <t xml:space="preserve">
</t>
        </r>
        <r>
          <rPr>
            <sz val="9"/>
            <color rgb="FF000000"/>
            <rFont val="Calibri"/>
            <family val="2"/>
          </rPr>
          <t xml:space="preserve">We've calculated it for you here. Look at the formula to see how we did it by putting a minus in front of the negative numbers. Also, look in the Appendices of the book to understand capital employed.
</t>
        </r>
        <r>
          <rPr>
            <sz val="9"/>
            <color rgb="FF000000"/>
            <rFont val="Calibri"/>
            <family val="2"/>
          </rPr>
          <t xml:space="preserve">
</t>
        </r>
        <r>
          <rPr>
            <sz val="9"/>
            <color rgb="FF000000"/>
            <rFont val="Calibri"/>
            <family val="2"/>
          </rPr>
          <t xml:space="preserve">You will need this number to work of return on capital employed, which is one of the most critical numbers you could ever calculate.
</t>
        </r>
        <r>
          <rPr>
            <sz val="9"/>
            <color rgb="FF000000"/>
            <rFont val="Calibri"/>
            <family val="2"/>
          </rPr>
          <t xml:space="preserve">
</t>
        </r>
        <r>
          <rPr>
            <sz val="9"/>
            <color rgb="FF000000"/>
            <rFont val="Calibri"/>
            <family val="2"/>
          </rPr>
          <t xml:space="preserve">Note if you had a bank overdraft (ie a negative bank account) this figure would need to be included in the bank debt figure.
</t>
        </r>
      </text>
    </comment>
    <comment ref="B105" authorId="0" shapeId="0" xr:uid="{00000000-0006-0000-0400-000008000000}">
      <text>
        <r>
          <rPr>
            <b/>
            <sz val="9"/>
            <color rgb="FF000000"/>
            <rFont val="Calibri"/>
            <family val="2"/>
          </rPr>
          <t>Grow Your Own Cash!</t>
        </r>
        <r>
          <rPr>
            <sz val="9"/>
            <color rgb="FF000000"/>
            <rFont val="Calibri"/>
            <family val="2"/>
          </rPr>
          <t xml:space="preserve">
</t>
        </r>
        <r>
          <rPr>
            <sz val="9"/>
            <color rgb="FF000000"/>
            <rFont val="Calibri"/>
            <family val="2"/>
          </rPr>
          <t xml:space="preserve">
</t>
        </r>
        <r>
          <rPr>
            <sz val="9"/>
            <color rgb="FF000000"/>
            <rFont val="Calibri"/>
            <family val="2"/>
          </rPr>
          <t xml:space="preserve">The best source of cash is derived from your own profits. By being fanatical about these numbers, and tracking them against budget and last year, it is possible to really drive the profitability of a business forward.  In most cases this will lead to a healthy cash flow, and if funding is required, it will be considerably easier to obtain.
</t>
        </r>
      </text>
    </comment>
    <comment ref="B123" authorId="0" shapeId="0" xr:uid="{00000000-0006-0000-0400-00000A000000}">
      <text>
        <r>
          <rPr>
            <b/>
            <sz val="9"/>
            <color rgb="FF000000"/>
            <rFont val="Calibri"/>
            <family val="2"/>
          </rPr>
          <t xml:space="preserve">Banks Love These Ratios!
</t>
        </r>
        <r>
          <rPr>
            <sz val="9"/>
            <color rgb="FF000000"/>
            <rFont val="Calibri"/>
            <family val="2"/>
          </rPr>
          <t xml:space="preserve">
</t>
        </r>
        <r>
          <rPr>
            <sz val="9"/>
            <color rgb="FF000000"/>
            <rFont val="Calibri"/>
            <family val="2"/>
          </rPr>
          <t xml:space="preserve">Banks love these ratios as they measure how much of a burden the debt is to a business.  This then gives them a clear indication of the risks they are facing when lending a company money.
</t>
        </r>
      </text>
    </comment>
    <comment ref="B131" authorId="0" shapeId="0" xr:uid="{00000000-0006-0000-0400-00000B000000}">
      <text>
        <r>
          <rPr>
            <b/>
            <sz val="9"/>
            <color rgb="FF000000"/>
            <rFont val="Calibri"/>
            <family val="2"/>
          </rPr>
          <t>Beware of 'Black Swan' Events</t>
        </r>
        <r>
          <rPr>
            <sz val="9"/>
            <color rgb="FF000000"/>
            <rFont val="Calibri"/>
            <family val="2"/>
          </rPr>
          <t xml:space="preserve">
</t>
        </r>
        <r>
          <rPr>
            <sz val="9"/>
            <color rgb="FF000000"/>
            <rFont val="Calibri"/>
            <family val="2"/>
          </rPr>
          <t xml:space="preserve">
</t>
        </r>
        <r>
          <rPr>
            <sz val="9"/>
            <color rgb="FF000000"/>
            <rFont val="Calibri"/>
            <family val="2"/>
          </rPr>
          <t xml:space="preserve">Over a 10 year period, you can almost guarantee that some nasty thing is going to come along amd happen to a business. This could be loss of a major customer, your key supplier going bust, a big downturn in consumer spending, or even theft within your company. Nothing probably came close to the Covid 19 global pandemic, which was completely unexpected and on an alarming scale.  
</t>
        </r>
        <r>
          <rPr>
            <sz val="9"/>
            <color rgb="FF000000"/>
            <rFont val="Calibri"/>
            <family val="2"/>
          </rPr>
          <t xml:space="preserve">
</t>
        </r>
        <r>
          <rPr>
            <sz val="9"/>
            <color rgb="FF000000"/>
            <rFont val="Calibri"/>
            <family val="2"/>
          </rPr>
          <t xml:space="preserve">Now here’s the point: if the ratios above are very weak (i.e. less than 1 or close to 1) a company may not survive this type of event. On the other hand, if they are very high it is likely that they will be able to sail through the crisis and even come out stronger (for example if some competitors did not survive).  But what you can be certain of, is something is bound to come along to challenge a business over a 10 year period, so be ready! This is why these ratios are so vital.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
</t>
        </r>
        <r>
          <rPr>
            <sz val="9"/>
            <color rgb="FF000000"/>
            <rFont val="Calibri"/>
            <family val="2"/>
          </rPr>
          <t xml:space="preserve">2025.1
</t>
        </r>
        <r>
          <rPr>
            <sz val="9"/>
            <color rgb="FF000000"/>
            <rFont val="Calibri"/>
            <family val="2"/>
          </rPr>
          <t xml:space="preserve">
</t>
        </r>
        <r>
          <rPr>
            <sz val="9"/>
            <color rgb="FF000000"/>
            <rFont val="Calibri"/>
            <family val="2"/>
          </rPr>
          <t xml:space="preserve">
</t>
        </r>
      </text>
    </comment>
    <comment ref="B139" authorId="0" shapeId="0" xr:uid="{00000000-0006-0000-0400-00000C000000}">
      <text>
        <r>
          <rPr>
            <b/>
            <sz val="9"/>
            <color rgb="FF000000"/>
            <rFont val="Calibri"/>
            <family val="2"/>
          </rPr>
          <t xml:space="preserve">Efficiency is a Key Driver of Long-Term Profitability
</t>
        </r>
        <r>
          <rPr>
            <sz val="9"/>
            <color rgb="FF000000"/>
            <rFont val="Calibri"/>
            <family val="2"/>
          </rPr>
          <t xml:space="preserve">
</t>
        </r>
        <r>
          <rPr>
            <sz val="9"/>
            <color rgb="FF000000"/>
            <rFont val="Calibri"/>
            <family val="2"/>
          </rPr>
          <t>The more efficient you can be in every aspect of your business, the more profit and cash you will generate. Don’t be disillusioned if it takes a while to become efficient in all areas of your business. This can understandably take years. However, knowing where you are inefficient is a first vital step in putting things right. This is why these measures are so useful.</t>
        </r>
        <r>
          <rPr>
            <b/>
            <sz val="9"/>
            <color rgb="FF000000"/>
            <rFont val="Calibri"/>
            <family val="2"/>
          </rPr>
          <t xml:space="preserve">
</t>
        </r>
        <r>
          <rPr>
            <sz val="9"/>
            <color rgb="FF000000"/>
            <rFont val="Calibri"/>
            <family val="2"/>
          </rPr>
          <t xml:space="preserve">
</t>
        </r>
        <r>
          <rPr>
            <sz val="9"/>
            <color rgb="FF000000"/>
            <rFont val="Calibri"/>
            <family val="2"/>
          </rPr>
          <t xml:space="preserve">
</t>
        </r>
      </text>
    </comment>
    <comment ref="C141" authorId="0" shapeId="0" xr:uid="{00000000-0006-0000-0400-00000D000000}">
      <text>
        <r>
          <rPr>
            <sz val="9"/>
            <color rgb="FF000000"/>
            <rFont val="Calibri"/>
            <family val="2"/>
          </rPr>
          <t xml:space="preserve">An </t>
        </r>
        <r>
          <rPr>
            <b/>
            <sz val="9"/>
            <color rgb="FF000000"/>
            <rFont val="Calibri"/>
            <family val="2"/>
          </rPr>
          <t>average</t>
        </r>
        <r>
          <rPr>
            <sz val="9"/>
            <color rgb="FF000000"/>
            <rFont val="Calibri"/>
            <family val="2"/>
          </rPr>
          <t xml:space="preserve"> of the stock level throughout the year is used here, then divided by cost of sales per day. If the average was not possible to calculated, the year-end figure could be used.
</t>
        </r>
      </text>
    </comment>
    <comment ref="C145" authorId="0" shapeId="0" xr:uid="{00000000-0006-0000-0400-00000E000000}">
      <text>
        <r>
          <rPr>
            <sz val="9"/>
            <color rgb="FF000000"/>
            <rFont val="Calibri"/>
            <family val="2"/>
          </rPr>
          <t xml:space="preserve">For simplicity the year-end debtors figure in the balance sheet above has been used, then divided by sales per day. However, if debtor levels varied considerably thoughout the year, then the average debtors  would be more </t>
        </r>
        <r>
          <rPr>
            <sz val="9"/>
            <color rgb="FF000000"/>
            <rFont val="+mn-lt"/>
            <charset val="1"/>
          </rPr>
          <t xml:space="preserve">applicable to use.
</t>
        </r>
        <r>
          <rPr>
            <sz val="9"/>
            <color rgb="FF000000"/>
            <rFont val="+mn-lt"/>
            <charset val="1"/>
          </rPr>
          <t xml:space="preserve">
</t>
        </r>
      </text>
    </comment>
    <comment ref="B155" authorId="0" shapeId="0" xr:uid="{00000000-0006-0000-0400-00000F000000}">
      <text>
        <r>
          <rPr>
            <sz val="9"/>
            <color rgb="FF000000"/>
            <rFont val="+mn-lt"/>
            <charset val="1"/>
          </rPr>
          <t>The</t>
        </r>
        <r>
          <rPr>
            <b/>
            <sz val="9"/>
            <color rgb="FF000000"/>
            <rFont val="+mn-lt"/>
            <charset val="1"/>
          </rPr>
          <t xml:space="preserve"> average </t>
        </r>
        <r>
          <rPr>
            <sz val="9"/>
            <color rgb="FF000000"/>
            <rFont val="+mn-lt"/>
            <charset val="1"/>
          </rPr>
          <t xml:space="preserve">number of employees during the year is udes here. Again, should this detail on employees not be available, the year-end figure could be used instead.
</t>
        </r>
        <r>
          <rPr>
            <sz val="9"/>
            <color rgb="FF000000"/>
            <rFont val="+mn-lt"/>
            <charset val="1"/>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<sst xmlns="http://schemas.openxmlformats.org/spreadsheetml/2006/main" count="771" uniqueCount="480">
  <si>
    <t>Corporation Tax</t>
  </si>
  <si>
    <t>CHECK LINE:</t>
  </si>
  <si>
    <t>Performance Graphs</t>
  </si>
  <si>
    <t>Cash</t>
  </si>
  <si>
    <t>Total</t>
  </si>
  <si>
    <t>DIFFERENCE CHECK LINE</t>
  </si>
  <si>
    <t>Depreciation</t>
  </si>
  <si>
    <t>Month:</t>
  </si>
  <si>
    <t>Net Cash Flow</t>
  </si>
  <si>
    <t>Closing Bank Account</t>
  </si>
  <si>
    <t>Carl's Cafe Financial Model</t>
  </si>
  <si>
    <t>VAT Payments</t>
  </si>
  <si>
    <t xml:space="preserve"> </t>
    <phoneticPr fontId="10" type="noConversion"/>
  </si>
  <si>
    <t>Workings</t>
  </si>
  <si>
    <t>Directors' Loans</t>
  </si>
  <si>
    <t>EBITDA</t>
  </si>
  <si>
    <t>Profitability Ratios</t>
  </si>
  <si>
    <t>Gearing Ratios</t>
  </si>
  <si>
    <t>Liquidity Ratios</t>
  </si>
  <si>
    <t>Efficiency Ratios</t>
  </si>
  <si>
    <t>Other Ratios</t>
  </si>
  <si>
    <t>&lt;--- Close for short version</t>
  </si>
  <si>
    <t>&lt;--- Open for checking data</t>
  </si>
  <si>
    <t>Summaries</t>
  </si>
  <si>
    <t>Year:</t>
  </si>
  <si>
    <t>Sales (excl VAT)</t>
  </si>
  <si>
    <t>Retained Earnings</t>
  </si>
  <si>
    <t>Totals</t>
  </si>
  <si>
    <t>Advertising</t>
  </si>
  <si>
    <t>Cash Flow From Operating Activities</t>
  </si>
  <si>
    <t>Opening Balance</t>
  </si>
  <si>
    <t>Payments to Suppliers</t>
  </si>
  <si>
    <t>Payments for Other Expenses</t>
  </si>
  <si>
    <t>Rent (prepayment)</t>
  </si>
  <si>
    <t>Receipts from Customers</t>
  </si>
  <si>
    <t>Cash Flow From Investing Activities</t>
  </si>
  <si>
    <t>VAT on Capital Expenditure</t>
  </si>
  <si>
    <t>Capital Expenditure</t>
  </si>
  <si>
    <t>Cash Flow From Financing Activities</t>
  </si>
  <si>
    <t>Prepayments</t>
  </si>
  <si>
    <t>Accruals</t>
  </si>
  <si>
    <t>Share Capital</t>
  </si>
  <si>
    <t>Operations</t>
  </si>
  <si>
    <t>Investments</t>
  </si>
  <si>
    <t>Financing</t>
  </si>
  <si>
    <t>VAT</t>
  </si>
  <si>
    <t>Payments for Purchase of Assets</t>
  </si>
  <si>
    <t>Copyright</t>
  </si>
  <si>
    <t>Operating Expenses</t>
  </si>
  <si>
    <t>Type</t>
  </si>
  <si>
    <t>Straight Line</t>
  </si>
  <si>
    <t>See workings in Profit &amp; Loss</t>
  </si>
  <si>
    <t>Depreciation Calculations</t>
  </si>
  <si>
    <t>Capital Employed</t>
  </si>
  <si>
    <t>ANY ATTEMPT TO DELETE IT WILL INVALIDATE YOUR LICENCE TO USE THE MODEL FOR ANY PURPOSES</t>
  </si>
  <si>
    <t>Version</t>
  </si>
  <si>
    <t>Notes</t>
  </si>
  <si>
    <t>Year</t>
  </si>
  <si>
    <t>Number</t>
  </si>
  <si>
    <t>Date Created</t>
  </si>
  <si>
    <t>THIS SHEET IS DESIGNED FOR INTERNAL USE ONLY</t>
  </si>
  <si>
    <t>Fixed Cost &amp; Financing Assumptions</t>
  </si>
  <si>
    <t>Assumptions</t>
  </si>
  <si>
    <t>Directors' loans</t>
  </si>
  <si>
    <t xml:space="preserve">Bank loan </t>
  </si>
  <si>
    <t>Loan period (months)</t>
  </si>
  <si>
    <t>Interest rate on loan (annual)</t>
  </si>
  <si>
    <t>Total annual payment</t>
  </si>
  <si>
    <t>Annual interest payment</t>
  </si>
  <si>
    <t>Annual loan repayment</t>
  </si>
  <si>
    <t>Plant &amp; equipment</t>
  </si>
  <si>
    <t>Profit &amp; Loss</t>
  </si>
  <si>
    <t>Finance costs</t>
  </si>
  <si>
    <t>VAT rate</t>
  </si>
  <si>
    <t>Starting year of model</t>
  </si>
  <si>
    <t>Gross margin</t>
  </si>
  <si>
    <t>Opening balance</t>
  </si>
  <si>
    <t>Additions (reductions)</t>
  </si>
  <si>
    <t>Monthly depreciation</t>
  </si>
  <si>
    <t>Loan interest</t>
  </si>
  <si>
    <t>Profit before tax</t>
  </si>
  <si>
    <t>Corporation tax</t>
  </si>
  <si>
    <t>Profit after tax</t>
  </si>
  <si>
    <t>Break-even point (sales excl VAT)</t>
  </si>
  <si>
    <t>Operating expenses (annual totals)</t>
  </si>
  <si>
    <t>Taxable profit after losses c/f</t>
  </si>
  <si>
    <t>Add back depreciation</t>
  </si>
  <si>
    <t>Deduct capex</t>
  </si>
  <si>
    <t>Adjusted taxable profit/(loss)</t>
  </si>
  <si>
    <t>Unused losses carried forward</t>
  </si>
  <si>
    <t>Corporation Tax Calculations</t>
  </si>
  <si>
    <t>Cash Flow (Direct Method)</t>
  </si>
  <si>
    <t>Money in:</t>
  </si>
  <si>
    <t>Receipts from customers</t>
  </si>
  <si>
    <t>Money out:</t>
  </si>
  <si>
    <t>Payments to suppliers for stock</t>
  </si>
  <si>
    <t>Payroll payments</t>
  </si>
  <si>
    <t>Payments for other expenses</t>
  </si>
  <si>
    <t>VAT payments to HMRC</t>
  </si>
  <si>
    <t>Interest payments</t>
  </si>
  <si>
    <t>Corporation tax payments</t>
  </si>
  <si>
    <t>Net cash flow from operating activities</t>
  </si>
  <si>
    <t>Receipts from sale of assets</t>
  </si>
  <si>
    <t>VAT refund on purchase of assets</t>
  </si>
  <si>
    <t>Net cash flow from investing activities</t>
  </si>
  <si>
    <t>Net cash flow from financing activities</t>
  </si>
  <si>
    <t>Net cash flow totals</t>
  </si>
  <si>
    <t>Opening bank balance</t>
  </si>
  <si>
    <t>Accrued sales turnover (from P&amp;L)</t>
  </si>
  <si>
    <t>Total net receipts</t>
  </si>
  <si>
    <t>VAT on receipts</t>
  </si>
  <si>
    <t>Cost of sales (from P&amp;L)</t>
  </si>
  <si>
    <t>Additions/(reductions) to stock</t>
  </si>
  <si>
    <t>Total purchases of stock (net of VAT)</t>
  </si>
  <si>
    <t>VAT on purchases</t>
  </si>
  <si>
    <t>Total purchases of stock (inc VAT)</t>
  </si>
  <si>
    <t>Rent accrued (from P&amp;L)</t>
  </si>
  <si>
    <t>Quarterly rent payments (in advance)</t>
  </si>
  <si>
    <t>Heat &amp; light (accrual)</t>
  </si>
  <si>
    <t>Heat &amp; light accrued (from P&amp;L)</t>
  </si>
  <si>
    <t>Quarterly H&amp;L payments (in arrears)</t>
  </si>
  <si>
    <t>Headings</t>
  </si>
  <si>
    <t>Regular text</t>
  </si>
  <si>
    <t>Title Case</t>
  </si>
  <si>
    <t>Sentence case</t>
  </si>
  <si>
    <t>Line Spacing</t>
  </si>
  <si>
    <t>Allignment bottom</t>
  </si>
  <si>
    <t>Allignment centre</t>
  </si>
  <si>
    <t>Regular line</t>
  </si>
  <si>
    <t>Total payments for capex</t>
  </si>
  <si>
    <t>Small blank line spacing</t>
  </si>
  <si>
    <t>Regular blank line spacing</t>
  </si>
  <si>
    <t>Large blank line spacing</t>
  </si>
  <si>
    <t>Other expenses</t>
  </si>
  <si>
    <t>Output VAT (on sales)</t>
  </si>
  <si>
    <t>Input VAT (on operating purchases)</t>
  </si>
  <si>
    <t>Input VAT (on capex purchases)</t>
  </si>
  <si>
    <t>Movement on accruals (applied to BS)</t>
  </si>
  <si>
    <t>Movement on prepayments (applied to BS)</t>
  </si>
  <si>
    <t>Movement on operating activity VAT (applied to BS)</t>
  </si>
  <si>
    <t>Movement on investing activities VAT (applied to BS)</t>
  </si>
  <si>
    <t>Potential liability incurred in month</t>
  </si>
  <si>
    <t>Tax payable from previous financial year</t>
  </si>
  <si>
    <t>Movement on corporation tax (applied to BS)</t>
  </si>
  <si>
    <t>Debtor movements (applied to balance sheet workings)</t>
  </si>
  <si>
    <t>Repayment of directors' loans</t>
  </si>
  <si>
    <t>Payment of dividends</t>
  </si>
  <si>
    <t>Receipt of directors' loans</t>
  </si>
  <si>
    <t>Receipt of bank loans</t>
  </si>
  <si>
    <t>Repayment of bank loans</t>
  </si>
  <si>
    <t>Issue of shares</t>
  </si>
  <si>
    <t>Receipt (applied to CF)</t>
  </si>
  <si>
    <t>Repayment (applied to CF)</t>
  </si>
  <si>
    <t>Drawdown (applied to CF)</t>
  </si>
  <si>
    <t>Monthly repayments (applied to CF)</t>
  </si>
  <si>
    <t>Dividends</t>
  </si>
  <si>
    <t>Operating expenses</t>
  </si>
  <si>
    <t>Balance Sheet</t>
  </si>
  <si>
    <t>Net current liabilities</t>
  </si>
  <si>
    <t>Stocks (inventory)</t>
  </si>
  <si>
    <t>Debtors (receivables)</t>
  </si>
  <si>
    <t>Creditors (payables)</t>
  </si>
  <si>
    <t>Operating profit (EBIT)</t>
  </si>
  <si>
    <t>Gross profit</t>
  </si>
  <si>
    <t>Size</t>
  </si>
  <si>
    <t>Case/Allignment</t>
  </si>
  <si>
    <t>Current assets</t>
  </si>
  <si>
    <t>Long term liabilities (&gt; 1 year)</t>
  </si>
  <si>
    <t>Bank loans (&gt; 1 year)</t>
  </si>
  <si>
    <t>Net assets</t>
  </si>
  <si>
    <t>Capital &amp; reserves</t>
  </si>
  <si>
    <t xml:space="preserve">Revaluation reserve </t>
  </si>
  <si>
    <t>Retained earnings</t>
  </si>
  <si>
    <t>Shareholders' equity</t>
  </si>
  <si>
    <t>Non-current assets</t>
  </si>
  <si>
    <t xml:space="preserve">Stock (Inventory) </t>
  </si>
  <si>
    <t xml:space="preserve">Debtor (Receiveables) </t>
  </si>
  <si>
    <t xml:space="preserve">Creditors (Payables) </t>
  </si>
  <si>
    <t xml:space="preserve">Accruals </t>
  </si>
  <si>
    <t>Opening bank loan</t>
  </si>
  <si>
    <t>Outstanding balance</t>
  </si>
  <si>
    <t xml:space="preserve">Opening balance </t>
  </si>
  <si>
    <t>Creditor movements - operating (applied to BS workings)</t>
  </si>
  <si>
    <t>Movement (from cash flow workings)</t>
  </si>
  <si>
    <t>Movement re investments (from CF)</t>
  </si>
  <si>
    <t>Movement re operations (from CF)</t>
  </si>
  <si>
    <t>Monthly capital repayments (from CF)</t>
  </si>
  <si>
    <t>Monthly profit after tax (from P&amp;L)</t>
  </si>
  <si>
    <t>Bank Loans</t>
  </si>
  <si>
    <t>Director's Loans</t>
  </si>
  <si>
    <t xml:space="preserve">VAT </t>
  </si>
  <si>
    <t>Extra large blank line spacing</t>
  </si>
  <si>
    <t>Cash Flow</t>
  </si>
  <si>
    <t>Cost of sales</t>
  </si>
  <si>
    <t>Bank loans (&lt; 1 year)</t>
  </si>
  <si>
    <t>Current liabilities (&lt; 1 year)</t>
  </si>
  <si>
    <t>Sales per employee</t>
  </si>
  <si>
    <t>Profit (loss) per employee</t>
  </si>
  <si>
    <t>Earnings per share</t>
  </si>
  <si>
    <t>P/E ratio</t>
  </si>
  <si>
    <t xml:space="preserve">Assumed share price </t>
  </si>
  <si>
    <t>Your Comments</t>
  </si>
  <si>
    <t>Dividends paid (from cash flow workings)</t>
  </si>
  <si>
    <t>Shares issued (from assumptions &amp; CF)</t>
  </si>
  <si>
    <t>Movement (from assumptions &amp; CF)</t>
  </si>
  <si>
    <t>No. days stock (inventory)</t>
  </si>
  <si>
    <t>Stock turn per annum</t>
  </si>
  <si>
    <t xml:space="preserve">Debtor (receivables) days </t>
  </si>
  <si>
    <t xml:space="preserve">Creditor (payables) days </t>
  </si>
  <si>
    <t>Total asset turnover</t>
  </si>
  <si>
    <t xml:space="preserve">This style guide is used on our model, but you can amend or creat your own. By have a point of reference it can save time and maintain consistency. </t>
  </si>
  <si>
    <t>Style Guide</t>
  </si>
  <si>
    <t>Price per share</t>
  </si>
  <si>
    <t xml:space="preserve">Share capital </t>
  </si>
  <si>
    <t>New share Issues</t>
  </si>
  <si>
    <t>No shares issued (initially from assumptions)</t>
  </si>
  <si>
    <t>Accounting services</t>
  </si>
  <si>
    <t>No shares issued (from CF)</t>
  </si>
  <si>
    <t>Initial investment capital</t>
  </si>
  <si>
    <t xml:space="preserve">Working seperation </t>
  </si>
  <si>
    <t>Solid green</t>
  </si>
  <si>
    <t>Cumulative no shares in issue (at year end &amp; applied to ratios)</t>
  </si>
  <si>
    <t xml:space="preserve">Called-up share capital </t>
  </si>
  <si>
    <t>Margins</t>
  </si>
  <si>
    <t>Rows 1 and 2</t>
  </si>
  <si>
    <t>Working division line</t>
  </si>
  <si>
    <t xml:space="preserve">Column 1 </t>
  </si>
  <si>
    <t>Total capital employed</t>
  </si>
  <si>
    <t>Return on capital employed</t>
  </si>
  <si>
    <t>Return on equity</t>
  </si>
  <si>
    <t>Debt to equity</t>
  </si>
  <si>
    <t>Interest cover</t>
  </si>
  <si>
    <t>Current ratio</t>
  </si>
  <si>
    <t>Quick ratio (acid test)</t>
  </si>
  <si>
    <t>Credit received/(paid) on capex (applied to BS)</t>
  </si>
  <si>
    <t>Selling price (excl VAT)</t>
  </si>
  <si>
    <t>Selling price (incl VAT)</t>
  </si>
  <si>
    <t>030117</t>
  </si>
  <si>
    <t>Average gross margin %</t>
  </si>
  <si>
    <t>Gross Profit</t>
  </si>
  <si>
    <t>Average product gross margin %</t>
  </si>
  <si>
    <t>Total product gross profit</t>
  </si>
  <si>
    <t>Total product sales</t>
  </si>
  <si>
    <t>Average number of employees</t>
  </si>
  <si>
    <t>Profit before tax margin</t>
  </si>
  <si>
    <t>Profit after tax margin</t>
  </si>
  <si>
    <t>Operating profit (EBIT) margin</t>
  </si>
  <si>
    <t>EBITDA margin</t>
  </si>
  <si>
    <t xml:space="preserve">© Simon Hulme and Chris Drew, 2011-2025     IF PART OF AN ACADEMIC ASSIGNMENT, PLEASE DO NOT DELETE THIS SINGLE LINE.  DELETING IT MAY INVALIDATE YOUR SUBMISSION. </t>
  </si>
  <si>
    <t>Jasmine Rice</t>
  </si>
  <si>
    <t>King Prawn</t>
  </si>
  <si>
    <t>Egg</t>
  </si>
  <si>
    <t>BBQ Pork</t>
  </si>
  <si>
    <t>Seasoning</t>
  </si>
  <si>
    <t>Main Dishes</t>
  </si>
  <si>
    <t>Rice Noodles</t>
  </si>
  <si>
    <t>Beef</t>
  </si>
  <si>
    <t>Pork Belly</t>
  </si>
  <si>
    <t>Vegetables</t>
  </si>
  <si>
    <t>Total Cost</t>
  </si>
  <si>
    <t>Deep Fried Tofu</t>
  </si>
  <si>
    <t>Drinks</t>
  </si>
  <si>
    <t>Lemon</t>
  </si>
  <si>
    <t>Tea</t>
  </si>
  <si>
    <t>Sugar</t>
  </si>
  <si>
    <t>Coffee</t>
  </si>
  <si>
    <t>Milk</t>
  </si>
  <si>
    <t>Ingredients</t>
  </si>
  <si>
    <t>General Assumptions</t>
  </si>
  <si>
    <t>Base year</t>
  </si>
  <si>
    <t>Gross Margin %</t>
  </si>
  <si>
    <t>VAT Calculation</t>
  </si>
  <si>
    <t>Stir-Fried Noodles with Sliced Beef</t>
  </si>
  <si>
    <t xml:space="preserve">Crispy Roast Pork Belly with Rice </t>
  </si>
  <si>
    <t>Starch</t>
  </si>
  <si>
    <t>Brown Sugar Bubble Tea</t>
  </si>
  <si>
    <t>Whipping Cream</t>
  </si>
  <si>
    <t>Sesame Prawn Toast</t>
  </si>
  <si>
    <t>Prawns</t>
  </si>
  <si>
    <t>Bread</t>
  </si>
  <si>
    <t>Chinese Beef with Broccoli</t>
  </si>
  <si>
    <t>Hong Kong Style Coffee-Milk Tea</t>
  </si>
  <si>
    <t>Tofu</t>
  </si>
  <si>
    <t>Appetisers</t>
  </si>
  <si>
    <t>Sales Revenue</t>
  </si>
  <si>
    <t>Net Price</t>
  </si>
  <si>
    <t>Gross Product Margin</t>
  </si>
  <si>
    <t>Start date:</t>
  </si>
  <si>
    <t>Products price change</t>
  </si>
  <si>
    <t>Lemon Tea</t>
  </si>
  <si>
    <t>Iced Drink</t>
  </si>
  <si>
    <t>Hot Drink</t>
  </si>
  <si>
    <t>Net Price (Hot)</t>
  </si>
  <si>
    <t>Net Price (Iced)</t>
  </si>
  <si>
    <t>Hot</t>
  </si>
  <si>
    <t>Iced</t>
  </si>
  <si>
    <t>Units sold (Hot)</t>
  </si>
  <si>
    <t>Units sold (Iced)</t>
  </si>
  <si>
    <r>
      <t>Total sales</t>
    </r>
    <r>
      <rPr>
        <sz val="12"/>
        <color theme="1"/>
        <rFont val="Cambria"/>
        <family val="1"/>
      </rPr>
      <t xml:space="preserve"> </t>
    </r>
  </si>
  <si>
    <t>Total gross profit</t>
  </si>
  <si>
    <t>Grand Total (Applied to P&amp;L)</t>
  </si>
  <si>
    <t>Vegetable Fried Rice</t>
  </si>
  <si>
    <t>Meat</t>
  </si>
  <si>
    <t>Veg</t>
  </si>
  <si>
    <t>Units sold (Meat)</t>
  </si>
  <si>
    <t>Units sold (Veg)</t>
  </si>
  <si>
    <t>Net Price (Meat)</t>
  </si>
  <si>
    <t>Net Price (Veg)</t>
  </si>
  <si>
    <t>15-25/day in 2025</t>
  </si>
  <si>
    <t>10-20/day in 2025</t>
  </si>
  <si>
    <t>30-40/day in 2026</t>
  </si>
  <si>
    <t>25-35/day in 2026</t>
  </si>
  <si>
    <t>25-40/day in 2026</t>
  </si>
  <si>
    <t>20-30/day in 2026</t>
  </si>
  <si>
    <t>20-25/day in 2026</t>
  </si>
  <si>
    <t>More demand in winter</t>
  </si>
  <si>
    <t>Less demand in winter</t>
  </si>
  <si>
    <t>8-15/day in 2025</t>
  </si>
  <si>
    <t>20-35/day in 2026</t>
  </si>
  <si>
    <t>20-30/day in 2025</t>
  </si>
  <si>
    <t>Special Fried Rice</t>
  </si>
  <si>
    <t>Total Cost (Vegetable)</t>
  </si>
  <si>
    <t>Total Cost (Hot)</t>
  </si>
  <si>
    <t>Total Cost (Iced)</t>
  </si>
  <si>
    <t>25-40/day in 2025</t>
  </si>
  <si>
    <t>45-60/day in 2026</t>
  </si>
  <si>
    <t>15-20/day in 2025</t>
  </si>
  <si>
    <t>Total Sold</t>
  </si>
  <si>
    <t>Start selling in September 2025</t>
  </si>
  <si>
    <t>New Store!</t>
  </si>
  <si>
    <t>In general people prefer cold bubble tea more than hot ones</t>
  </si>
  <si>
    <t>15-25 extra/day in new store</t>
  </si>
  <si>
    <t>10-20 extra/day in new store</t>
  </si>
  <si>
    <t>8-15 extra/day in new store</t>
  </si>
  <si>
    <t>20-30 extra/day in new store</t>
  </si>
  <si>
    <t>15-20 extra/day in new store</t>
  </si>
  <si>
    <t>25-40 extra/day in new store</t>
  </si>
  <si>
    <t>Delivery Avaliable!</t>
  </si>
  <si>
    <t>35-50/day</t>
  </si>
  <si>
    <t>25-30/day</t>
  </si>
  <si>
    <t>30-45/day</t>
  </si>
  <si>
    <t>55-70/day</t>
  </si>
  <si>
    <t>35-45/day</t>
  </si>
  <si>
    <t>30-40/day</t>
  </si>
  <si>
    <t>Bubble Tea Out!</t>
  </si>
  <si>
    <t>35-50/day in 2027</t>
  </si>
  <si>
    <t>65-80/day in 2027</t>
  </si>
  <si>
    <t>40-50/day in 2027</t>
  </si>
  <si>
    <t>50-60/day in 2027</t>
  </si>
  <si>
    <t>Total Units</t>
  </si>
  <si>
    <t>More hot drinks in winter and vice versa</t>
  </si>
  <si>
    <t>55-70/day in 2027</t>
  </si>
  <si>
    <t>100-120/day in 2027</t>
  </si>
  <si>
    <t>Units Sold</t>
  </si>
  <si>
    <t>30-50/day in 2026</t>
  </si>
  <si>
    <t>70-80/day in 2027</t>
  </si>
  <si>
    <t>60-80/day in 2027</t>
  </si>
  <si>
    <t>Hot Drink (BOGO)</t>
  </si>
  <si>
    <t>Iced Drink (BOGO)</t>
  </si>
  <si>
    <t>BOGO</t>
  </si>
  <si>
    <t>Selling Price (excl VAT)</t>
  </si>
  <si>
    <t>Operating expenses (with inflation)</t>
  </si>
  <si>
    <t>Employee Type</t>
  </si>
  <si>
    <t>Number of Employees</t>
  </si>
  <si>
    <t>Annual Salary</t>
  </si>
  <si>
    <t>National Inflation Rate</t>
  </si>
  <si>
    <t>Corporation Tax Rate</t>
  </si>
  <si>
    <t>Cashier/Waiter</t>
  </si>
  <si>
    <t>Chef</t>
  </si>
  <si>
    <t>Dishwasher</t>
  </si>
  <si>
    <t>Dishwasher operator</t>
  </si>
  <si>
    <t>Cleaner</t>
  </si>
  <si>
    <t>Prep Chef</t>
  </si>
  <si>
    <t>Bartender</t>
  </si>
  <si>
    <t>Employee Wages</t>
  </si>
  <si>
    <t>Annual gross profit</t>
  </si>
  <si>
    <t>Service Charge</t>
  </si>
  <si>
    <t>Annual sales revenue</t>
  </si>
  <si>
    <t>Selling Price (incl VAT) / Sample Menu</t>
  </si>
  <si>
    <t>Property Rent</t>
  </si>
  <si>
    <t>Size (sq.ft)</t>
  </si>
  <si>
    <t>Camden (Launch)</t>
  </si>
  <si>
    <t>(Jan - Aug)</t>
  </si>
  <si>
    <t>(Sep - Dec)</t>
  </si>
  <si>
    <t>Hammersmith (Expansion)</t>
  </si>
  <si>
    <t>Camden</t>
  </si>
  <si>
    <t>Multiplier</t>
  </si>
  <si>
    <t>Rateable Value</t>
  </si>
  <si>
    <t>Hammersmith</t>
  </si>
  <si>
    <t>Electricity</t>
  </si>
  <si>
    <t>Utilities</t>
  </si>
  <si>
    <t>Water</t>
  </si>
  <si>
    <t>Gas</t>
  </si>
  <si>
    <t>Inflation Rate Increase (from 2025)</t>
  </si>
  <si>
    <t>Total Rent</t>
  </si>
  <si>
    <t>Total Rate</t>
  </si>
  <si>
    <t>Business Rates</t>
  </si>
  <si>
    <t>No. shares issued</t>
  </si>
  <si>
    <t>Kitchen Equipment</t>
  </si>
  <si>
    <t>Chinese Wok Station</t>
  </si>
  <si>
    <t>Gas Stove + Oven</t>
  </si>
  <si>
    <t>Dinnerware</t>
  </si>
  <si>
    <t>Cookware</t>
  </si>
  <si>
    <t>Large Rice Cooker (x2)</t>
  </si>
  <si>
    <t>Fridge (x3)</t>
  </si>
  <si>
    <t>Prep Tables (x4)</t>
  </si>
  <si>
    <t>Freezer</t>
  </si>
  <si>
    <t>Ventilation Hood</t>
  </si>
  <si>
    <t>POS System (x2)</t>
  </si>
  <si>
    <t>Tables (x12)</t>
  </si>
  <si>
    <t>Chairs (x36)</t>
  </si>
  <si>
    <t>In-house Items</t>
  </si>
  <si>
    <t>CCTV System</t>
  </si>
  <si>
    <t>Fire Safety System</t>
  </si>
  <si>
    <t>Cleaning Equipment</t>
  </si>
  <si>
    <t>Reducing Balance</t>
  </si>
  <si>
    <t>Ice Machine</t>
  </si>
  <si>
    <t>Hot Water Dispenser</t>
  </si>
  <si>
    <t>Tea Brewing Pot + Strainers (x2)</t>
  </si>
  <si>
    <t>Staff Tips (From Service Charge)</t>
  </si>
  <si>
    <t>Other misc. costs (stationery, menu)</t>
  </si>
  <si>
    <t>Expansion open:</t>
  </si>
  <si>
    <t>Cup Sealer Machine (from Sep 2025)</t>
  </si>
  <si>
    <t>Hammersmith (from Sep 2026)</t>
  </si>
  <si>
    <r>
      <t>Prawn / Vegetable Fried Rice</t>
    </r>
    <r>
      <rPr>
        <sz val="16"/>
        <color rgb="FF000000"/>
        <rFont val="Cambria"/>
        <family val="1"/>
      </rPr>
      <t xml:space="preserve"> </t>
    </r>
  </si>
  <si>
    <t>Total Cost (Prawn)</t>
  </si>
  <si>
    <r>
      <t xml:space="preserve">Estimated tax liability in month </t>
    </r>
    <r>
      <rPr>
        <sz val="12"/>
        <color theme="1"/>
        <rFont val="Cambria"/>
        <family val="1"/>
      </rPr>
      <t>(to BS)</t>
    </r>
  </si>
  <si>
    <r>
      <t xml:space="preserve">Total depreciation </t>
    </r>
    <r>
      <rPr>
        <sz val="12"/>
        <color theme="1"/>
        <rFont val="Cambria"/>
        <family val="1"/>
      </rPr>
      <t>(to P&amp;L above)</t>
    </r>
  </si>
  <si>
    <t>*A/C &amp; Heating Units paid by landowner</t>
  </si>
  <si>
    <t>Profit before Tax</t>
  </si>
  <si>
    <t>Fast-Wearing Equipment</t>
  </si>
  <si>
    <t>Long-Lasting Equipment</t>
  </si>
  <si>
    <t xml:space="preserve">Closing balance </t>
  </si>
  <si>
    <t>Closing balance</t>
  </si>
  <si>
    <t>Price per sq.ft</t>
  </si>
  <si>
    <t>Fixtures and Fittings</t>
  </si>
  <si>
    <t>YoY  Sales Growth</t>
  </si>
  <si>
    <r>
      <t xml:space="preserve">Closing bank balance </t>
    </r>
    <r>
      <rPr>
        <sz val="12"/>
        <color theme="1"/>
        <rFont val="Cambria"/>
        <family val="1"/>
      </rPr>
      <t>(applied to balance sheet))</t>
    </r>
  </si>
  <si>
    <r>
      <rPr>
        <i/>
        <sz val="12"/>
        <color theme="1"/>
        <rFont val="Cambria"/>
        <family val="1"/>
      </rPr>
      <t>less</t>
    </r>
    <r>
      <rPr>
        <sz val="12"/>
        <color theme="1"/>
        <rFont val="Cambria"/>
        <family val="1"/>
      </rPr>
      <t xml:space="preserve"> sales on credit</t>
    </r>
  </si>
  <si>
    <r>
      <rPr>
        <i/>
        <sz val="12"/>
        <color theme="1"/>
        <rFont val="Cambria"/>
        <family val="1"/>
      </rPr>
      <t>plus</t>
    </r>
    <r>
      <rPr>
        <sz val="12"/>
        <color theme="1"/>
        <rFont val="Cambria"/>
        <family val="1"/>
      </rPr>
      <t xml:space="preserve"> receipts from sales on credit</t>
    </r>
  </si>
  <si>
    <r>
      <t xml:space="preserve">Total gross receipts </t>
    </r>
    <r>
      <rPr>
        <sz val="12"/>
        <color theme="1"/>
        <rFont val="Cambria"/>
        <family val="1"/>
      </rPr>
      <t>(applied to cash flow above)</t>
    </r>
  </si>
  <si>
    <r>
      <t xml:space="preserve">Total payments for stock </t>
    </r>
    <r>
      <rPr>
        <sz val="12"/>
        <color theme="1"/>
        <rFont val="Cambria"/>
        <family val="1"/>
      </rPr>
      <t>(applied to CF above)</t>
    </r>
  </si>
  <si>
    <r>
      <t xml:space="preserve">Total payments for other expenses </t>
    </r>
    <r>
      <rPr>
        <sz val="12"/>
        <color theme="1"/>
        <rFont val="Cambria"/>
        <family val="1"/>
      </rPr>
      <t>(applied to CF)</t>
    </r>
  </si>
  <si>
    <r>
      <t>VAT payment re operating activities</t>
    </r>
    <r>
      <rPr>
        <sz val="12"/>
        <color theme="1"/>
        <rFont val="Cambria"/>
        <family val="1"/>
      </rPr>
      <t xml:space="preserve"> (applied to CF)</t>
    </r>
  </si>
  <si>
    <r>
      <t xml:space="preserve">VAT refund re investing activities </t>
    </r>
    <r>
      <rPr>
        <sz val="12"/>
        <color theme="1"/>
        <rFont val="Cambria"/>
        <family val="1"/>
      </rPr>
      <t>(applied to CF)</t>
    </r>
  </si>
  <si>
    <r>
      <t>Corporation tax paid</t>
    </r>
    <r>
      <rPr>
        <sz val="12"/>
        <color theme="1"/>
        <rFont val="Cambria"/>
        <family val="1"/>
      </rPr>
      <t xml:space="preserve"> (applied to CF)</t>
    </r>
  </si>
  <si>
    <r>
      <t>Addition of new share capital</t>
    </r>
    <r>
      <rPr>
        <sz val="12"/>
        <color theme="1"/>
        <rFont val="Cambria"/>
        <family val="1"/>
      </rPr>
      <t xml:space="preserve"> (applied to CF &amp; BS)</t>
    </r>
  </si>
  <si>
    <r>
      <t xml:space="preserve">Movement on directors' loans </t>
    </r>
    <r>
      <rPr>
        <sz val="12"/>
        <color theme="1"/>
        <rFont val="Cambria"/>
        <family val="1"/>
      </rPr>
      <t>(applied to BS)</t>
    </r>
  </si>
  <si>
    <t>Dividend payments (applied to CF &amp; BS)</t>
  </si>
  <si>
    <r>
      <t xml:space="preserve">Closing balance </t>
    </r>
    <r>
      <rPr>
        <sz val="12"/>
        <color theme="1"/>
        <rFont val="Cambria"/>
        <family val="1"/>
      </rPr>
      <t>(applied to BS above)</t>
    </r>
  </si>
  <si>
    <r>
      <t>Amount repayable &lt; 1 year</t>
    </r>
    <r>
      <rPr>
        <sz val="12"/>
        <color theme="1"/>
        <rFont val="Cambria"/>
        <family val="1"/>
      </rPr>
      <t xml:space="preserve"> (applied to BS)</t>
    </r>
  </si>
  <si>
    <r>
      <t>Amount repayable &gt; 1 year</t>
    </r>
    <r>
      <rPr>
        <sz val="12"/>
        <color theme="1"/>
        <rFont val="Cambria"/>
        <family val="1"/>
      </rPr>
      <t xml:space="preserve"> (applied to BS)</t>
    </r>
  </si>
  <si>
    <t>&lt;--- Open for gross profit details</t>
  </si>
  <si>
    <t>Jade Palace</t>
  </si>
  <si>
    <t>Our restaurant is dedicated to bring you the finest and freshest Chinese dishes, made from traditional recipes passed down through generations, and fused with contemporary flavors to present diverse tastes.</t>
  </si>
  <si>
    <t>Company Mission</t>
  </si>
  <si>
    <t>About Jade Palace</t>
  </si>
  <si>
    <t>Latest News!</t>
  </si>
  <si>
    <t>Buy 1 Get 1 Free Boba Tea</t>
  </si>
  <si>
    <t>Date: 15 August 2026</t>
  </si>
  <si>
    <t>Promotion Date: Sep 1 to Sep 20</t>
  </si>
  <si>
    <t>Terms and Conditions:
Hammersmith Store and Dine-In only
A minimum spend of £10 per person required for Buy 1 Get 1 Free</t>
  </si>
  <si>
    <t xml:space="preserve">Jade Palace is a fictional Chinese restaurant in London, United Kingdom. Founded in 2025, the first shop was opened in Camden. Favoured by the local community and tourists from all over the world, Jade Palace will be   opening their new shop at Hammersmith in Sep 2026. Jade Palace offers a variety of Chinese dishes as we aim to make you feel just like home.  </t>
  </si>
  <si>
    <t>Coffee or Tea, why not both? Come try our signature drink - Hong Kong Style Coffee Milk Tea -  a beloved drink in Hong Kong. At its heart, the drink combines the boldness of coffee with the distinct flavor of  black tea, two beverages that are deeply familiar to British people, yet with a distinct twist. Don't trust the critics, come try it yourself!</t>
  </si>
  <si>
    <t xml:space="preserve">All photos have been generated by ChatGPT. </t>
  </si>
  <si>
    <t>Disclaimer</t>
  </si>
  <si>
    <t xml:space="preserve">Following our new restaurant opening in Hammersmith, we will be having a Buy 1 Get 1 Free Promotion for bubble tea (Hammersmith Store Only). Bring your friends and family to enjoy this discount with delicious food and weather in Hammersmith!
</t>
  </si>
  <si>
    <t>Opening hours: 
12:00-14:30 and 17:00 to 22:00</t>
  </si>
  <si>
    <t>Overall the gross margin has been very good for the three years. All other margins have been rising from a negative value to a positive value, with a profit after tax margin greater than 10%. This shows a modest and healthy profile for our restaurant.</t>
  </si>
  <si>
    <t>Debt to equity is high but expected during our first year, but then drops to values under 1, as we are able to pay back bank loan and director fundings.</t>
  </si>
  <si>
    <t xml:space="preserve">Interest cover raises from a negative value to an almost 3-digit value. </t>
  </si>
  <si>
    <t>Rapidly decreasing liquidity ratios indicate that we might need to purchase more assets or reduce our liabilities. Unfortunately as business goes well the corporation tax also rises rapidly to 25%.</t>
  </si>
  <si>
    <t>Sales per employee shows an increasing trend. Our profit per employee also rises from a loss to an increasing value.</t>
  </si>
  <si>
    <t xml:space="preserve">Our earnings per share has been rapidly increasing from negative to a healthy 3 digit figure, also allowing a healthy P/E ratio within the range of 5 and 20. </t>
  </si>
  <si>
    <t>Our return values both on capital and equity has been rising to around 30%, showing that we have healthy EBIT and profit revenue.</t>
  </si>
  <si>
    <t>Our no.days stock has also rapidly decreased from more than a year to around 4 to 5 months, showing a 66% decrease.</t>
  </si>
  <si>
    <t>Our stock turn per annum increases, showing that we have more sales than before and the company is on a good side.</t>
  </si>
  <si>
    <t xml:space="preserve">The debtor days have been slowly decreasing to around a month, showing that our company has been more efficient in managing our receivables. </t>
  </si>
  <si>
    <t>Our company has also been fast on paying our suppliers for the goods and services, averaging 5 days, gaining more trust from suppliers.</t>
  </si>
  <si>
    <t>Jade Palace Financial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</si>
</sst>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5" formatCode="&quot;£&quot;#,##0_);\(&quot;£&quot;#,##0\)"/>
    <numFmt numFmtId="6" formatCode="&quot;£&quot;#,##0_);[Red]\(&quot;£&quot;#,##0\)"/>
    <numFmt numFmtId="8" formatCode="&quot;£&quot;#,##0.00_);[Red]\(&quot;£&quot;#,##0.00\)"/>
    <numFmt numFmtId="44" formatCode="_(&quot;£&quot;* #,##0.00_);_(&quot;£&quot;* \(#,##0.00\);_(&quot;£&quot;* &quot;-&quot;??_);_(@_)"/>
    <numFmt numFmtId="43" formatCode="_(* #,##0.00_);_(* \(#,##0.00\);_(* &quot;-&quot;??_);_(@_)"/>
    <numFmt numFmtId="164" formatCode="_-* #,##0.0_-;\-* #,##0.0_-;_-* &quot;-&quot;??_-;_-@_-"/>
    <numFmt numFmtId="165" formatCode="_-* #,##0_-;\-* #,##0_-;_-* &quot;-&quot;??_-;_-@_-"/>
    <numFmt numFmtId="166" formatCode="0.0%"/>
    <numFmt numFmtId="167" formatCode="0.0"/>
    <numFmt numFmtId="168" formatCode="#,##0_ ;[Red]\-#,##0\ "/>
    <numFmt numFmtId="169" formatCode="&quot;£&quot;#,##0;[Red]&quot;£&quot;#,##0"/>
    <numFmt numFmtId="170" formatCode="_(* #,##0_);_(* \(#,##0\);_(* &quot;-&quot;??_);_(@_)"/>
    <numFmt numFmtId="171" formatCode="&quot;£&quot;#,##0"/>
    <numFmt numFmtId="172" formatCode="&quot;£&quot;#,##0;[Red]\-&quot;£&quot;#,##0"/>
    <numFmt numFmtId="173" formatCode="&quot;£&quot;#,##0.00;[Red]\-&quot;£&quot;#,##0.00"/>
    <numFmt numFmtId="174" formatCode="_(&quot;£&quot;* #,##0_);_(&quot;£&quot;* \(#,##0\);_(&quot;£&quot;* &quot;-&quot;??_);_(@_)"/>
    <numFmt numFmtId="175" formatCode="_(&quot;£&quot;* #,##0.000_);_(&quot;£&quot;* \(#,##0.000\);_(&quot;£&quot;* &quot;-&quot;??_);_(@_)"/>
  </numFmts>
  <fonts count="81">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6"/>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20"/>
      <color theme="1"/>
      <name val="Calibri"/>
      <family val="2"/>
      <scheme val="minor"/>
    </font>
    <font>
      <b/>
      <sz val="14"/>
      <color theme="1"/>
      <name val="Calibri"/>
      <family val="2"/>
      <scheme val="minor"/>
    </font>
    <font>
      <sz val="8"/>
      <name val="Calibri"/>
      <family val="2"/>
      <scheme val="minor"/>
    </font>
    <font>
      <b/>
      <sz val="22"/>
      <color theme="1"/>
      <name val="Calibri"/>
      <family val="2"/>
      <scheme val="minor"/>
    </font>
    <font>
      <sz val="9"/>
      <color rgb="FF000000"/>
      <name val="Calibri"/>
      <family val="2"/>
    </font>
    <font>
      <sz val="9"/>
      <color rgb="FF000000"/>
      <name val="+mn-lt"/>
      <charset val="1"/>
    </font>
    <font>
      <b/>
      <sz val="9"/>
      <color rgb="FF000000"/>
      <name val="Calibri"/>
      <family val="2"/>
    </font>
    <font>
      <sz val="14"/>
      <color theme="1"/>
      <name val="Calibri"/>
      <family val="2"/>
      <scheme val="minor"/>
    </font>
    <font>
      <b/>
      <sz val="18"/>
      <color theme="1"/>
      <name val="Calibri"/>
      <family val="2"/>
      <scheme val="minor"/>
    </font>
    <font>
      <sz val="12"/>
      <color theme="0"/>
      <name val="Calibri"/>
      <family val="2"/>
      <scheme val="minor"/>
    </font>
    <font>
      <b/>
      <sz val="9"/>
      <color rgb="FF000000"/>
      <name val="+mn-lt"/>
      <charset val="1"/>
    </font>
    <font>
      <sz val="10"/>
      <color rgb="FF000000"/>
      <name val="Calibri"/>
      <family val="2"/>
    </font>
    <font>
      <sz val="12"/>
      <color theme="1"/>
      <name val="Cambria"/>
      <family val="1"/>
    </font>
    <font>
      <b/>
      <sz val="12"/>
      <color theme="1"/>
      <name val="Cambria"/>
      <family val="1"/>
    </font>
    <font>
      <sz val="12"/>
      <color rgb="FF000000"/>
      <name val="Cambria"/>
      <family val="1"/>
    </font>
    <font>
      <i/>
      <sz val="12"/>
      <color rgb="FFFF0000"/>
      <name val="Cambria"/>
      <family val="1"/>
    </font>
    <font>
      <b/>
      <sz val="16"/>
      <color rgb="FF000000"/>
      <name val="Cambria"/>
      <family val="1"/>
    </font>
    <font>
      <sz val="16"/>
      <color rgb="FF000000"/>
      <name val="Cambria"/>
      <family val="1"/>
    </font>
    <font>
      <b/>
      <sz val="20"/>
      <color theme="1"/>
      <name val="Cambria"/>
      <family val="1"/>
    </font>
    <font>
      <b/>
      <sz val="22"/>
      <color theme="1"/>
      <name val="Cambria"/>
      <family val="1"/>
    </font>
    <font>
      <b/>
      <sz val="12"/>
      <color rgb="FF000000"/>
      <name val="Cambria"/>
      <family val="1"/>
    </font>
    <font>
      <b/>
      <sz val="14"/>
      <color theme="1"/>
      <name val="Cambria"/>
      <family val="1"/>
    </font>
    <font>
      <b/>
      <sz val="18"/>
      <color theme="1"/>
      <name val="Cambria"/>
      <family val="1"/>
    </font>
    <font>
      <sz val="12"/>
      <color rgb="FFFFFF00"/>
      <name val="Cambria"/>
      <family val="1"/>
    </font>
    <font>
      <b/>
      <sz val="16"/>
      <color theme="1"/>
      <name val="Cambria"/>
      <family val="1"/>
    </font>
    <font>
      <i/>
      <sz val="12"/>
      <color theme="1"/>
      <name val="Cambria"/>
      <family val="1"/>
    </font>
    <font>
      <sz val="12"/>
      <color rgb="FFFF0000"/>
      <name val="Cambria"/>
      <family val="1"/>
    </font>
    <font>
      <sz val="12"/>
      <color rgb="FF0070C0"/>
      <name val="Cambria"/>
      <family val="1"/>
    </font>
    <font>
      <b/>
      <sz val="12"/>
      <color rgb="FFFF0000"/>
      <name val="Cambria"/>
      <family val="1"/>
    </font>
    <font>
      <b/>
      <sz val="12"/>
      <color rgb="FF0070C0"/>
      <name val="Cambria"/>
      <family val="1"/>
    </font>
    <font>
      <sz val="18"/>
      <color rgb="FF000000"/>
      <name val="Cambria"/>
      <family val="1"/>
    </font>
    <font>
      <b/>
      <sz val="12"/>
      <color rgb="FF00B050"/>
      <name val="Cambria"/>
      <family val="1"/>
    </font>
    <font>
      <b/>
      <sz val="14"/>
      <color rgb="FFFF0000"/>
      <name val="Cambria"/>
      <family val="1"/>
    </font>
    <font>
      <b/>
      <sz val="12"/>
      <color rgb="FF00B0F0"/>
      <name val="Cambria"/>
      <family val="1"/>
    </font>
    <font>
      <b/>
      <i/>
      <sz val="14"/>
      <color theme="1"/>
      <name val="Cambria"/>
      <family val="1"/>
    </font>
    <font>
      <b/>
      <sz val="12"/>
      <color theme="0"/>
      <name val="Cambria"/>
      <family val="1"/>
    </font>
    <font>
      <sz val="10"/>
      <color rgb="FF000000"/>
      <name val="Tahoma"/>
      <family val="2"/>
    </font>
    <font>
      <b/>
      <sz val="10"/>
      <color rgb="FF000000"/>
      <name val="Tahoma"/>
      <family val="2"/>
    </font>
    <font>
      <b/>
      <sz val="12"/>
      <color rgb="FF000000"/>
      <name val="Calibri"/>
      <family val="34"/>
    </font>
    <font>
      <b/>
      <sz val="12"/>
      <color theme="7"/>
      <name val="Cambria"/>
      <family val="1"/>
    </font>
    <font>
      <i/>
      <sz val="10"/>
      <color rgb="FFFF0000"/>
      <name val="Cambria"/>
      <family val="1"/>
    </font>
    <font>
      <b/>
      <sz val="11"/>
      <color theme="1"/>
      <name val="Cambria"/>
      <family val="1"/>
    </font>
    <font>
      <sz val="10"/>
      <color theme="1"/>
      <name val="Cambria"/>
      <family val="1"/>
    </font>
    <font>
      <sz val="12"/>
      <name val="Cambria"/>
      <family val="1"/>
    </font>
    <font>
      <sz val="12"/>
      <color rgb="FFFF6600"/>
      <name val="Cambria"/>
      <family val="1"/>
    </font>
    <font>
      <b/>
      <sz val="12"/>
      <color indexed="8"/>
      <name val="Cambria"/>
      <family val="1"/>
    </font>
    <font>
      <sz val="12"/>
      <color indexed="23"/>
      <name val="Cambria"/>
      <family val="1"/>
    </font>
    <font>
      <b/>
      <sz val="12"/>
      <name val="Cambria"/>
      <family val="1"/>
    </font>
    <font>
      <i/>
      <sz val="12"/>
      <color theme="0" tint="-0.499984740745262"/>
      <name val="Cambria"/>
      <family val="1"/>
    </font>
    <font>
      <i/>
      <sz val="8"/>
      <color theme="1"/>
      <name val="Cambria"/>
      <family val="1"/>
    </font>
    <font>
      <sz val="10"/>
      <color rgb="FF000000"/>
      <name val="Cambria"/>
      <family val="18"/>
    </font>
    <font>
      <sz val="10"/>
      <color rgb="FF000000"/>
      <name val="Calibri"/>
      <family val="2"/>
      <scheme val="minor"/>
    </font>
    <font>
      <sz val="11"/>
      <color theme="1"/>
      <name val="Cambria"/>
      <family val="1"/>
    </font>
    <font>
      <b/>
      <sz val="12"/>
      <color theme="10"/>
      <name val="Cambria"/>
      <family val="1"/>
    </font>
    <font>
      <b/>
      <sz val="14"/>
      <color rgb="FF000000"/>
      <name val="Cambria"/>
      <family val="1"/>
    </font>
    <font>
      <sz val="12"/>
      <color theme="0" tint="-0.34998626667073579"/>
      <name val="Cambria"/>
      <family val="1"/>
    </font>
    <font>
      <sz val="12"/>
      <color theme="0" tint="-0.499984740745262"/>
      <name val="Cambria"/>
      <family val="1"/>
    </font>
    <font>
      <sz val="12"/>
      <color rgb="FF000000"/>
      <name val="Cambria"/>
      <family val="18"/>
    </font>
    <font>
      <sz val="16"/>
      <color theme="1"/>
      <name val="Cambria"/>
      <family val="1"/>
    </font>
    <font>
      <i/>
      <sz val="10"/>
      <color rgb="FF0000FF"/>
      <name val="Cambria"/>
      <family val="1"/>
    </font>
    <font>
      <i/>
      <sz val="12"/>
      <color rgb="FF000000"/>
      <name val="Cambria"/>
      <family val="1"/>
    </font>
    <font>
      <sz val="10"/>
      <color rgb="FFFF0000"/>
      <name val="Cambria"/>
      <family val="1"/>
    </font>
    <font>
      <sz val="18"/>
      <color rgb="FFE0C076"/>
      <name val="Cambria"/>
      <family val="1"/>
    </font>
    <font>
      <b/>
      <sz val="16"/>
      <color rgb="FFE0C076"/>
      <name val="Cambria"/>
      <family val="1"/>
    </font>
    <font>
      <sz val="12"/>
      <color rgb="FFE0C076"/>
      <name val="Cambria"/>
      <family val="1"/>
    </font>
    <font>
      <b/>
      <sz val="28"/>
      <color rgb="FFE0C076"/>
      <name val="Cambria"/>
      <family val="1"/>
    </font>
    <font>
      <sz val="14"/>
      <color rgb="FFE0C076"/>
      <name val="Cambria"/>
      <family val="1"/>
    </font>
    <font>
      <b/>
      <sz val="14"/>
      <color rgb="FFE0C076"/>
      <name val="Cambria"/>
      <family val="1"/>
    </font>
    <font>
      <b/>
      <sz val="20"/>
      <color rgb="FF000000"/>
      <name val="Cambria"/>
      <family val="1"/>
    </font>
    <font>
      <sz val="20"/>
      <color theme="1"/>
      <name val="Cambria"/>
      <family val="1"/>
    </font>
    <font>
      <b/>
      <sz val="18"/>
      <color rgb="FF000000"/>
      <name val="Cambria"/>
      <family val="1"/>
    </font>
    <font>
      <i/>
      <sz val="18"/>
      <color rgb="FFFF0000"/>
      <name val="Cambria"/>
      <family val="1"/>
    </font>
    <font>
      <sz val="18"/>
      <color theme="1"/>
      <name val="Cambria"/>
      <family val="1"/>
    </font>
  </fonts>
  <fills count="2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FD78"/>
        <bgColor indexed="64"/>
      </patternFill>
    </fill>
    <fill>
      <patternFill patternType="solid">
        <fgColor rgb="FFFFFD78"/>
        <bgColor rgb="FF000000"/>
      </patternFill>
    </fill>
    <fill>
      <patternFill patternType="solid">
        <fgColor theme="0" tint="-4.9989318521683403E-2"/>
        <bgColor indexed="64"/>
      </patternFill>
    </fill>
    <fill>
      <patternFill patternType="solid">
        <fgColor theme="6" tint="0.79998168889431442"/>
        <bgColor indexed="64"/>
      </patternFill>
    </fill>
    <fill>
      <patternFill patternType="solid">
        <fgColor rgb="FF00B050"/>
        <bgColor indexed="64"/>
      </patternFill>
    </fill>
    <fill>
      <patternFill patternType="solid">
        <fgColor rgb="FF00B0F0"/>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rgb="FF73FB79"/>
        <bgColor indexed="64"/>
      </patternFill>
    </fill>
    <fill>
      <patternFill patternType="solid">
        <fgColor rgb="FFC61B6D"/>
        <bgColor indexed="64"/>
      </patternFill>
    </fill>
    <fill>
      <patternFill patternType="solid">
        <fgColor rgb="FFFFFFFF"/>
        <bgColor indexed="64"/>
      </patternFill>
    </fill>
    <fill>
      <patternFill patternType="solid">
        <fgColor theme="6" tint="0.59999389629810485"/>
        <bgColor indexed="64"/>
      </patternFill>
    </fill>
    <fill>
      <patternFill patternType="solid">
        <fgColor rgb="FFFFEBEC"/>
        <bgColor indexed="64"/>
      </patternFill>
    </fill>
    <fill>
      <patternFill patternType="solid">
        <fgColor theme="5" tint="0.59999389629810485"/>
        <bgColor indexed="64"/>
      </patternFill>
    </fill>
    <fill>
      <patternFill patternType="solid">
        <fgColor rgb="FFE6B9B7"/>
        <bgColor indexed="64"/>
      </patternFill>
    </fill>
    <fill>
      <patternFill patternType="solid">
        <fgColor rgb="FFEFE9F8"/>
        <bgColor indexed="64"/>
      </patternFill>
    </fill>
    <fill>
      <patternFill patternType="solid">
        <fgColor rgb="FFFFFFDD"/>
        <bgColor indexed="64"/>
      </patternFill>
    </fill>
    <fill>
      <patternFill patternType="solid">
        <fgColor rgb="FFFFFE78"/>
        <bgColor indexed="64"/>
      </patternFill>
    </fill>
    <fill>
      <patternFill patternType="solid">
        <fgColor rgb="FF0B4621"/>
        <bgColor indexed="64"/>
      </patternFill>
    </fill>
  </fills>
  <borders count="59">
    <border>
      <left/>
      <right/>
      <top/>
      <bottom/>
      <diagonal/>
    </border>
    <border>
      <left style="thin">
        <color auto="1"/>
      </left>
      <right/>
      <top/>
      <bottom/>
      <diagonal/>
    </border>
    <border>
      <left/>
      <right style="thin">
        <color auto="1"/>
      </right>
      <top/>
      <bottom/>
      <diagonal/>
    </border>
    <border>
      <left style="medium">
        <color indexed="64"/>
      </left>
      <right style="medium">
        <color indexed="64"/>
      </right>
      <top style="medium">
        <color indexed="64"/>
      </top>
      <bottom style="medium">
        <color indexed="64"/>
      </bottom>
      <diagonal/>
    </border>
    <border>
      <left/>
      <right/>
      <top/>
      <bottom style="medium">
        <color rgb="FF00B050"/>
      </bottom>
      <diagonal/>
    </border>
    <border>
      <left/>
      <right/>
      <top style="thin">
        <color rgb="FF00B050"/>
      </top>
      <bottom style="double">
        <color rgb="FF00B050"/>
      </bottom>
      <diagonal/>
    </border>
    <border>
      <left/>
      <right style="thin">
        <color rgb="FF00B050"/>
      </right>
      <top/>
      <bottom/>
      <diagonal/>
    </border>
    <border>
      <left/>
      <right/>
      <top/>
      <bottom style="medium">
        <color rgb="FF00B0F0"/>
      </bottom>
      <diagonal/>
    </border>
    <border>
      <left/>
      <right style="thin">
        <color rgb="FF00B0F0"/>
      </right>
      <top/>
      <bottom/>
      <diagonal/>
    </border>
    <border>
      <left/>
      <right style="thin">
        <color rgb="FF00B0F0"/>
      </right>
      <top/>
      <bottom style="medium">
        <color rgb="FF00B0F0"/>
      </bottom>
      <diagonal/>
    </border>
    <border>
      <left/>
      <right/>
      <top/>
      <bottom style="thin">
        <color rgb="FF00B0F0"/>
      </bottom>
      <diagonal/>
    </border>
    <border>
      <left/>
      <right style="thin">
        <color rgb="FF00B0F0"/>
      </right>
      <top/>
      <bottom style="thin">
        <color rgb="FF00B0F0"/>
      </bottom>
      <diagonal/>
    </border>
    <border>
      <left/>
      <right/>
      <top style="thin">
        <color rgb="FF00B0F0"/>
      </top>
      <bottom style="double">
        <color rgb="FF00B0F0"/>
      </bottom>
      <diagonal/>
    </border>
    <border>
      <left/>
      <right style="thin">
        <color rgb="FF00B0F0"/>
      </right>
      <top style="thin">
        <color rgb="FF00B0F0"/>
      </top>
      <bottom style="double">
        <color rgb="FF00B0F0"/>
      </bottom>
      <diagonal/>
    </border>
    <border>
      <left/>
      <right/>
      <top style="double">
        <color rgb="FF00B0F0"/>
      </top>
      <bottom/>
      <diagonal/>
    </border>
    <border>
      <left/>
      <right/>
      <top style="thin">
        <color rgb="FF00B0F0"/>
      </top>
      <bottom style="double">
        <color rgb="FF05B0F0"/>
      </bottom>
      <diagonal/>
    </border>
    <border>
      <left/>
      <right/>
      <top style="thin">
        <color rgb="FF00B0F0"/>
      </top>
      <bottom/>
      <diagonal/>
    </border>
    <border>
      <left/>
      <right style="thin">
        <color rgb="FF00B0F0"/>
      </right>
      <top style="thin">
        <color rgb="FF00B0F0"/>
      </top>
      <bottom/>
      <diagonal/>
    </border>
    <border>
      <left/>
      <right/>
      <top style="medium">
        <color rgb="FF00B0F0"/>
      </top>
      <bottom style="thin">
        <color rgb="FF00B0F0"/>
      </bottom>
      <diagonal/>
    </border>
    <border>
      <left/>
      <right/>
      <top/>
      <bottom style="double">
        <color rgb="FF00B0F0"/>
      </bottom>
      <diagonal/>
    </border>
    <border>
      <left/>
      <right style="thin">
        <color rgb="FF00B0F0"/>
      </right>
      <top/>
      <bottom style="double">
        <color rgb="FF00B0F0"/>
      </bottom>
      <diagonal/>
    </border>
    <border>
      <left/>
      <right style="thin">
        <color rgb="FF05B0F0"/>
      </right>
      <top/>
      <bottom style="medium">
        <color rgb="FF00B0F0"/>
      </bottom>
      <diagonal/>
    </border>
    <border>
      <left/>
      <right style="thin">
        <color rgb="FF05B0F0"/>
      </right>
      <top/>
      <bottom/>
      <diagonal/>
    </border>
    <border>
      <left/>
      <right style="thin">
        <color rgb="FF05B0F0"/>
      </right>
      <top style="thin">
        <color rgb="FF00B0F0"/>
      </top>
      <bottom/>
      <diagonal/>
    </border>
    <border>
      <left/>
      <right style="thin">
        <color rgb="FF05B0F0"/>
      </right>
      <top/>
      <bottom style="thin">
        <color rgb="FF00B0F0"/>
      </bottom>
      <diagonal/>
    </border>
    <border>
      <left/>
      <right style="thin">
        <color rgb="FF05B0F0"/>
      </right>
      <top style="thin">
        <color rgb="FF00B0F0"/>
      </top>
      <bottom style="double">
        <color rgb="FF00B0F0"/>
      </bottom>
      <diagonal/>
    </border>
    <border>
      <left/>
      <right style="thin">
        <color rgb="FF05B0F0"/>
      </right>
      <top style="medium">
        <color rgb="FF00B0F0"/>
      </top>
      <bottom style="thin">
        <color rgb="FF00B0F0"/>
      </bottom>
      <diagonal/>
    </border>
    <border>
      <left style="dashDot">
        <color rgb="FF00B0F0"/>
      </left>
      <right style="dashDot">
        <color rgb="FF00B0F0"/>
      </right>
      <top/>
      <bottom/>
      <diagonal/>
    </border>
    <border>
      <left style="dashDot">
        <color rgb="FF00B0F0"/>
      </left>
      <right style="dashDot">
        <color rgb="FF00B0F0"/>
      </right>
      <top style="thin">
        <color rgb="FF00B0F0"/>
      </top>
      <bottom/>
      <diagonal/>
    </border>
    <border>
      <left style="dashDot">
        <color rgb="FF00B0F0"/>
      </left>
      <right style="dashDot">
        <color rgb="FF00B0F0"/>
      </right>
      <top/>
      <bottom style="double">
        <color rgb="FF00B0F0"/>
      </bottom>
      <diagonal/>
    </border>
    <border>
      <left/>
      <right style="thin">
        <color indexed="64"/>
      </right>
      <top style="thin">
        <color rgb="FF00B0F0"/>
      </top>
      <bottom/>
      <diagonal/>
    </border>
    <border>
      <left/>
      <right style="thin">
        <color indexed="64"/>
      </right>
      <top/>
      <bottom style="double">
        <color rgb="FF00B0F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style="thin">
        <color auto="1"/>
      </left>
      <right style="thin">
        <color indexed="64"/>
      </right>
      <top/>
      <bottom/>
      <diagonal/>
    </border>
    <border>
      <left style="thin">
        <color auto="1"/>
      </left>
      <right style="thin">
        <color indexed="64"/>
      </right>
      <top/>
      <bottom style="thin">
        <color indexed="64"/>
      </bottom>
      <diagonal/>
    </border>
    <border>
      <left style="thin">
        <color auto="1"/>
      </left>
      <right/>
      <top/>
      <bottom style="thin">
        <color indexed="64"/>
      </bottom>
      <diagonal/>
    </border>
    <border>
      <left/>
      <right style="thin">
        <color rgb="FF00B0F0"/>
      </right>
      <top style="double">
        <color rgb="FF00B0F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rgb="FF00B0F0"/>
      </right>
      <top style="thin">
        <color rgb="FF00B0F0"/>
      </top>
      <bottom style="double">
        <color rgb="FF05B0F0"/>
      </bottom>
      <diagonal/>
    </border>
    <border>
      <left style="dashDot">
        <color auto="1"/>
      </left>
      <right style="dashDot">
        <color auto="1"/>
      </right>
      <top/>
      <bottom/>
      <diagonal/>
    </border>
    <border>
      <left style="dashDot">
        <color auto="1"/>
      </left>
      <right style="dashDot">
        <color auto="1"/>
      </right>
      <top style="thin">
        <color rgb="FF00B0F0"/>
      </top>
      <bottom/>
      <diagonal/>
    </border>
    <border>
      <left style="dashDot">
        <color auto="1"/>
      </left>
      <right style="dashDot">
        <color auto="1"/>
      </right>
      <top/>
      <bottom style="double">
        <color rgb="FF00B0F0"/>
      </bottom>
      <diagonal/>
    </border>
    <border>
      <left style="dashDot">
        <color rgb="FFFF0000"/>
      </left>
      <right style="dashDot">
        <color rgb="FFFF0000"/>
      </right>
      <top/>
      <bottom/>
      <diagonal/>
    </border>
    <border>
      <left style="dashDot">
        <color rgb="FFFF0000"/>
      </left>
      <right style="dashDot">
        <color rgb="FFFF0000"/>
      </right>
      <top style="thin">
        <color rgb="FF00B0F0"/>
      </top>
      <bottom/>
      <diagonal/>
    </border>
    <border>
      <left style="dashDot">
        <color rgb="FFFF0000"/>
      </left>
      <right style="dashDot">
        <color rgb="FFFF0000"/>
      </right>
      <top/>
      <bottom style="double">
        <color rgb="FF00B0F0"/>
      </bottom>
      <diagonal/>
    </border>
    <border>
      <left style="dashDot">
        <color auto="1"/>
      </left>
      <right style="dashDot">
        <color auto="1"/>
      </right>
      <top/>
      <bottom style="medium">
        <color rgb="FF00B0F0"/>
      </bottom>
      <diagonal/>
    </border>
    <border>
      <left style="dashDot">
        <color auto="1"/>
      </left>
      <right style="dashDot">
        <color auto="1"/>
      </right>
      <top/>
      <bottom style="thin">
        <color rgb="FF00B0F0"/>
      </bottom>
      <diagonal/>
    </border>
    <border>
      <left style="dashDot">
        <color auto="1"/>
      </left>
      <right style="dashDot">
        <color auto="1"/>
      </right>
      <top style="thin">
        <color rgb="FF00B0F0"/>
      </top>
      <bottom style="double">
        <color rgb="FF00B0F0"/>
      </bottom>
      <diagonal/>
    </border>
    <border>
      <left style="dashDot">
        <color auto="1"/>
      </left>
      <right style="dashDot">
        <color auto="1"/>
      </right>
      <top style="double">
        <color rgb="FF00B0F0"/>
      </top>
      <bottom/>
      <diagonal/>
    </border>
    <border>
      <left style="dashDot">
        <color auto="1"/>
      </left>
      <right style="dashDot">
        <color auto="1"/>
      </right>
      <top style="thin">
        <color rgb="FF00B0F0"/>
      </top>
      <bottom style="double">
        <color rgb="FF05B0F0"/>
      </bottom>
      <diagonal/>
    </border>
    <border>
      <left style="dashDot">
        <color rgb="FFFF0000"/>
      </left>
      <right style="dashDot">
        <color rgb="FFFF0000"/>
      </right>
      <top/>
      <bottom style="medium">
        <color rgb="FF00B0F0"/>
      </bottom>
      <diagonal/>
    </border>
    <border>
      <left style="dashDot">
        <color rgb="FFFF0000"/>
      </left>
      <right style="dashDot">
        <color rgb="FFFF0000"/>
      </right>
      <top/>
      <bottom style="thin">
        <color rgb="FF00B0F0"/>
      </bottom>
      <diagonal/>
    </border>
    <border>
      <left style="dashDot">
        <color rgb="FFFF0000"/>
      </left>
      <right style="dashDot">
        <color rgb="FFFF0000"/>
      </right>
      <top style="thin">
        <color rgb="FF00B0F0"/>
      </top>
      <bottom style="double">
        <color rgb="FF00B0F0"/>
      </bottom>
      <diagonal/>
    </border>
    <border>
      <left style="dashDot">
        <color rgb="FFFF0000"/>
      </left>
      <right style="dashDot">
        <color rgb="FFFF0000"/>
      </right>
      <top style="double">
        <color rgb="FF00B0F0"/>
      </top>
      <bottom/>
      <diagonal/>
    </border>
    <border>
      <left style="dashDot">
        <color rgb="FFFF0000"/>
      </left>
      <right style="dashDot">
        <color rgb="FFFF0000"/>
      </right>
      <top style="thin">
        <color rgb="FF00B0F0"/>
      </top>
      <bottom style="double">
        <color rgb="FF05B0F0"/>
      </bottom>
      <diagonal/>
    </border>
  </borders>
  <cellStyleXfs count="90">
    <xf numFmtId="0" fontId="0" fillId="0" borderId="0"/>
    <xf numFmtId="44" fontId="3"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1131">
    <xf numFmtId="0" fontId="0" fillId="0" borderId="0" xfId="0"/>
    <xf numFmtId="0" fontId="5" fillId="0" borderId="0" xfId="0" applyFont="1"/>
    <xf numFmtId="0" fontId="9" fillId="2" borderId="0" xfId="0" applyFont="1" applyFill="1"/>
    <xf numFmtId="0" fontId="9" fillId="0" borderId="0" xfId="0" applyFont="1"/>
    <xf numFmtId="0" fontId="8" fillId="0" borderId="0" xfId="0" applyFont="1"/>
    <xf numFmtId="0" fontId="15" fillId="0" borderId="0" xfId="0" applyFont="1"/>
    <xf numFmtId="0" fontId="9" fillId="0" borderId="0" xfId="0" applyFont="1" applyAlignment="1">
      <alignment horizontal="left" indent="1"/>
    </xf>
    <xf numFmtId="14" fontId="9" fillId="2" borderId="0" xfId="0" applyNumberFormat="1" applyFont="1" applyFill="1"/>
    <xf numFmtId="0" fontId="4" fillId="0" borderId="0" xfId="0" applyFont="1" applyAlignment="1">
      <alignment horizontal="right"/>
    </xf>
    <xf numFmtId="0" fontId="0" fillId="2" borderId="0" xfId="0" applyFill="1"/>
    <xf numFmtId="6" fontId="0" fillId="0" borderId="0" xfId="0" applyNumberFormat="1" applyAlignment="1">
      <alignment vertical="center"/>
    </xf>
    <xf numFmtId="0" fontId="0" fillId="0" borderId="0" xfId="0" applyAlignment="1">
      <alignment vertical="center"/>
    </xf>
    <xf numFmtId="6" fontId="11" fillId="0" borderId="0" xfId="0" applyNumberFormat="1" applyFont="1" applyAlignment="1">
      <alignment horizontal="left"/>
    </xf>
    <xf numFmtId="6" fontId="16" fillId="0" borderId="4" xfId="0" applyNumberFormat="1" applyFont="1" applyBorder="1" applyAlignment="1">
      <alignment horizontal="left"/>
    </xf>
    <xf numFmtId="6" fontId="0" fillId="0" borderId="0" xfId="0" applyNumberFormat="1" applyAlignment="1">
      <alignment horizontal="left"/>
    </xf>
    <xf numFmtId="6" fontId="5" fillId="0" borderId="0" xfId="0" applyNumberFormat="1" applyFont="1" applyAlignment="1">
      <alignment horizontal="left"/>
    </xf>
    <xf numFmtId="6" fontId="5" fillId="0" borderId="5" xfId="0" applyNumberFormat="1" applyFont="1" applyBorder="1" applyAlignment="1">
      <alignment horizontal="left" vertical="center"/>
    </xf>
    <xf numFmtId="6" fontId="16" fillId="0" borderId="0" xfId="0" applyNumberFormat="1" applyFont="1" applyAlignment="1">
      <alignment horizontal="left"/>
    </xf>
    <xf numFmtId="6" fontId="9" fillId="0" borderId="0" xfId="0" applyNumberFormat="1" applyFont="1" applyAlignment="1">
      <alignment horizontal="left"/>
    </xf>
    <xf numFmtId="0" fontId="0" fillId="0" borderId="4" xfId="0" applyBorder="1"/>
    <xf numFmtId="0" fontId="0" fillId="0" borderId="4" xfId="0" applyBorder="1" applyAlignment="1">
      <alignment horizontal="center"/>
    </xf>
    <xf numFmtId="0" fontId="0" fillId="0" borderId="0" xfId="0" applyAlignment="1">
      <alignment horizontal="left" vertical="top" wrapText="1"/>
    </xf>
    <xf numFmtId="0" fontId="16" fillId="0" borderId="4" xfId="0" applyFont="1" applyBorder="1"/>
    <xf numFmtId="0" fontId="16" fillId="0" borderId="4" xfId="0" applyFont="1" applyBorder="1" applyAlignment="1">
      <alignment horizontal="center"/>
    </xf>
    <xf numFmtId="0" fontId="4" fillId="0" borderId="0" xfId="0" applyFont="1"/>
    <xf numFmtId="0" fontId="11" fillId="0" borderId="0" xfId="0" applyFont="1" applyAlignment="1">
      <alignment horizontal="center"/>
    </xf>
    <xf numFmtId="0" fontId="0" fillId="0" borderId="0" xfId="0" applyAlignment="1">
      <alignment horizontal="center"/>
    </xf>
    <xf numFmtId="0" fontId="16" fillId="0" borderId="0" xfId="0" applyFont="1" applyAlignment="1">
      <alignment horizontal="center"/>
    </xf>
    <xf numFmtId="0" fontId="9" fillId="0" borderId="0" xfId="0" applyFont="1" applyAlignment="1">
      <alignment horizontal="center"/>
    </xf>
    <xf numFmtId="1" fontId="5" fillId="0" borderId="0" xfId="2" applyNumberFormat="1" applyFont="1" applyBorder="1" applyAlignment="1" applyProtection="1">
      <alignment horizontal="left" vertical="center"/>
    </xf>
    <xf numFmtId="0" fontId="5" fillId="0" borderId="0" xfId="2" applyNumberFormat="1" applyFont="1" applyBorder="1" applyAlignment="1" applyProtection="1">
      <alignment horizontal="center" vertical="center"/>
    </xf>
    <xf numFmtId="0" fontId="0" fillId="0" borderId="5" xfId="0" applyBorder="1" applyAlignment="1">
      <alignment vertical="center"/>
    </xf>
    <xf numFmtId="0" fontId="0" fillId="0" borderId="0" xfId="0" applyAlignment="1">
      <alignment horizontal="center" vertical="center"/>
    </xf>
    <xf numFmtId="0" fontId="0" fillId="8" borderId="0" xfId="0" applyFill="1"/>
    <xf numFmtId="0" fontId="0" fillId="8" borderId="0" xfId="0" applyFill="1" applyAlignment="1">
      <alignment horizontal="center"/>
    </xf>
    <xf numFmtId="0" fontId="0" fillId="0" borderId="0" xfId="0" applyAlignment="1">
      <alignment horizontal="left" vertical="top"/>
    </xf>
    <xf numFmtId="0" fontId="0" fillId="0" borderId="0" xfId="0" applyAlignment="1">
      <alignment horizontal="center" vertical="center" wrapText="1"/>
    </xf>
    <xf numFmtId="0" fontId="17" fillId="0" borderId="0" xfId="0" applyFont="1"/>
    <xf numFmtId="0" fontId="21" fillId="10" borderId="0" xfId="0" applyNumberFormat="1" applyFont="1" applyFill="1" applyBorder="1" applyAlignment="1">
      <alignment horizontal="left" vertical="center"/>
    </xf>
    <xf numFmtId="0" fontId="21" fillId="10" borderId="0" xfId="0" applyNumberFormat="1" applyFont="1" applyFill="1" applyBorder="1" applyAlignment="1">
      <alignment vertical="center"/>
    </xf>
    <xf numFmtId="0" fontId="21" fillId="10" borderId="0" xfId="0" applyNumberFormat="1" applyFont="1" applyFill="1" applyAlignment="1">
      <alignment horizontal="left" vertical="center"/>
    </xf>
    <xf numFmtId="0" fontId="21" fillId="10" borderId="0" xfId="0" applyNumberFormat="1" applyFont="1" applyFill="1" applyAlignment="1">
      <alignment vertical="center"/>
    </xf>
    <xf numFmtId="44" fontId="20" fillId="4" borderId="0" xfId="88" applyNumberFormat="1" applyFont="1" applyFill="1" applyBorder="1" applyAlignment="1" applyProtection="1">
      <alignment horizontal="left" vertical="center"/>
    </xf>
    <xf numFmtId="44" fontId="20" fillId="4" borderId="0" xfId="88" applyFont="1" applyFill="1" applyAlignment="1" applyProtection="1">
      <alignment vertical="center"/>
    </xf>
    <xf numFmtId="44" fontId="20" fillId="4" borderId="0" xfId="88" applyFont="1" applyFill="1" applyBorder="1" applyAlignment="1" applyProtection="1">
      <alignment vertical="center"/>
    </xf>
    <xf numFmtId="0" fontId="21" fillId="11" borderId="0" xfId="0" applyFont="1" applyFill="1" applyBorder="1" applyAlignment="1">
      <alignment horizontal="left" vertical="center"/>
    </xf>
    <xf numFmtId="44" fontId="21" fillId="11" borderId="0" xfId="0" applyNumberFormat="1" applyFont="1" applyFill="1" applyBorder="1" applyAlignment="1">
      <alignment horizontal="left" vertical="center"/>
    </xf>
    <xf numFmtId="0" fontId="21" fillId="12" borderId="0" xfId="0" applyNumberFormat="1" applyFont="1" applyFill="1" applyBorder="1" applyAlignment="1">
      <alignment vertical="center"/>
    </xf>
    <xf numFmtId="0" fontId="20" fillId="0" borderId="0" xfId="0" applyFont="1" applyAlignment="1">
      <alignment vertical="center"/>
    </xf>
    <xf numFmtId="6" fontId="20" fillId="0" borderId="0" xfId="0" applyNumberFormat="1" applyFont="1"/>
    <xf numFmtId="173" fontId="20" fillId="0" borderId="0" xfId="88" applyNumberFormat="1" applyFont="1" applyFill="1" applyProtection="1"/>
    <xf numFmtId="173" fontId="21" fillId="0" borderId="0" xfId="88" applyNumberFormat="1" applyFont="1" applyBorder="1" applyProtection="1"/>
    <xf numFmtId="173" fontId="20" fillId="0" borderId="0" xfId="88" applyNumberFormat="1" applyFont="1" applyBorder="1" applyProtection="1"/>
    <xf numFmtId="0" fontId="22" fillId="4" borderId="0" xfId="88" applyNumberFormat="1" applyFont="1" applyFill="1" applyBorder="1" applyProtection="1"/>
    <xf numFmtId="173" fontId="20" fillId="0" borderId="0" xfId="88" applyNumberFormat="1" applyFont="1" applyProtection="1"/>
    <xf numFmtId="173" fontId="21" fillId="0" borderId="0" xfId="88" applyNumberFormat="1" applyFont="1" applyProtection="1"/>
    <xf numFmtId="0" fontId="20" fillId="0" borderId="0" xfId="0" applyFont="1"/>
    <xf numFmtId="172" fontId="20" fillId="0" borderId="0" xfId="0" applyNumberFormat="1" applyFont="1"/>
    <xf numFmtId="0" fontId="21" fillId="0" borderId="0" xfId="0" applyFont="1"/>
    <xf numFmtId="0" fontId="22" fillId="0" borderId="0" xfId="0" quotePrefix="1" applyFont="1"/>
    <xf numFmtId="166" fontId="20" fillId="14" borderId="0" xfId="0" applyNumberFormat="1" applyFont="1" applyFill="1" applyAlignment="1">
      <alignment vertical="center"/>
    </xf>
    <xf numFmtId="0" fontId="20" fillId="14" borderId="0" xfId="0" applyFont="1" applyFill="1" applyAlignment="1">
      <alignment vertical="center"/>
    </xf>
    <xf numFmtId="0" fontId="20" fillId="14" borderId="0" xfId="0" applyFont="1" applyFill="1" applyBorder="1" applyAlignment="1">
      <alignment vertical="center"/>
    </xf>
    <xf numFmtId="6" fontId="20" fillId="14" borderId="0" xfId="0" applyNumberFormat="1" applyFont="1" applyFill="1" applyAlignment="1">
      <alignment vertical="center"/>
    </xf>
    <xf numFmtId="0" fontId="20" fillId="14" borderId="0" xfId="0" applyFont="1" applyFill="1" applyBorder="1" applyAlignment="1">
      <alignment horizontal="left" vertical="center"/>
    </xf>
    <xf numFmtId="166" fontId="20" fillId="14" borderId="0" xfId="0" applyNumberFormat="1" applyFont="1" applyFill="1" applyBorder="1" applyAlignment="1">
      <alignment vertical="center"/>
    </xf>
    <xf numFmtId="0" fontId="20" fillId="14" borderId="0" xfId="0" applyFont="1" applyFill="1" applyAlignment="1">
      <alignment horizontal="left" vertical="center"/>
    </xf>
    <xf numFmtId="0" fontId="21" fillId="14" borderId="0" xfId="0" applyFont="1" applyFill="1" applyBorder="1" applyAlignment="1">
      <alignment horizontal="left" vertical="center"/>
    </xf>
    <xf numFmtId="44" fontId="21" fillId="14" borderId="0" xfId="0" applyNumberFormat="1" applyFont="1" applyFill="1" applyBorder="1" applyAlignment="1">
      <alignment horizontal="left" vertical="center"/>
    </xf>
    <xf numFmtId="0" fontId="21" fillId="14" borderId="0" xfId="0" applyFont="1" applyFill="1" applyAlignment="1">
      <alignment horizontal="left" vertical="center"/>
    </xf>
    <xf numFmtId="44" fontId="21" fillId="14" borderId="0" xfId="0" applyNumberFormat="1" applyFont="1" applyFill="1" applyAlignment="1">
      <alignment horizontal="left" vertical="center"/>
    </xf>
    <xf numFmtId="44" fontId="20" fillId="14" borderId="0" xfId="0" applyNumberFormat="1" applyFont="1" applyFill="1" applyBorder="1" applyAlignment="1">
      <alignment horizontal="left" vertical="center"/>
    </xf>
    <xf numFmtId="44" fontId="20" fillId="14" borderId="0" xfId="0" applyNumberFormat="1" applyFont="1" applyFill="1" applyAlignment="1">
      <alignment horizontal="left" vertical="center"/>
    </xf>
    <xf numFmtId="44" fontId="21" fillId="14" borderId="0" xfId="0" applyNumberFormat="1" applyFont="1" applyFill="1" applyBorder="1" applyAlignment="1">
      <alignment vertical="center"/>
    </xf>
    <xf numFmtId="44" fontId="20" fillId="14" borderId="0" xfId="0" applyNumberFormat="1" applyFont="1" applyFill="1" applyAlignment="1">
      <alignment vertical="center"/>
    </xf>
    <xf numFmtId="44" fontId="20" fillId="14" borderId="0" xfId="0" applyNumberFormat="1" applyFont="1" applyFill="1" applyBorder="1" applyAlignment="1">
      <alignment vertical="center"/>
    </xf>
    <xf numFmtId="44" fontId="20" fillId="14" borderId="0" xfId="88" applyFont="1" applyFill="1" applyAlignment="1" applyProtection="1">
      <alignment vertical="center"/>
    </xf>
    <xf numFmtId="0" fontId="20" fillId="14" borderId="0" xfId="88" applyNumberFormat="1" applyFont="1" applyFill="1" applyAlignment="1" applyProtection="1">
      <alignment horizontal="left" vertical="center"/>
    </xf>
    <xf numFmtId="0" fontId="20" fillId="14" borderId="0" xfId="0" applyNumberFormat="1" applyFont="1" applyFill="1" applyAlignment="1">
      <alignment horizontal="left" vertical="center"/>
    </xf>
    <xf numFmtId="0" fontId="20" fillId="14" borderId="0" xfId="88" applyNumberFormat="1" applyFont="1" applyFill="1" applyBorder="1" applyAlignment="1" applyProtection="1">
      <alignment horizontal="left" vertical="center"/>
    </xf>
    <xf numFmtId="44" fontId="20" fillId="14" borderId="0" xfId="88" applyFont="1" applyFill="1" applyAlignment="1" applyProtection="1">
      <alignment horizontal="left" vertical="center"/>
    </xf>
    <xf numFmtId="9" fontId="22" fillId="14" borderId="0" xfId="0" applyNumberFormat="1" applyFont="1" applyFill="1" applyAlignment="1">
      <alignment vertical="center"/>
    </xf>
    <xf numFmtId="6" fontId="23" fillId="14" borderId="0" xfId="0" applyNumberFormat="1" applyFont="1" applyFill="1" applyAlignment="1">
      <alignment vertical="center"/>
    </xf>
    <xf numFmtId="44" fontId="20" fillId="0" borderId="0" xfId="88" applyNumberFormat="1" applyFont="1" applyFill="1" applyBorder="1" applyAlignment="1" applyProtection="1">
      <alignment horizontal="left" vertical="center"/>
    </xf>
    <xf numFmtId="44" fontId="20" fillId="0" borderId="0" xfId="88" applyFont="1" applyFill="1" applyBorder="1" applyAlignment="1" applyProtection="1">
      <alignment vertical="center"/>
    </xf>
    <xf numFmtId="0" fontId="24" fillId="0" borderId="0" xfId="0" applyFont="1" applyFill="1" applyAlignment="1">
      <alignment horizontal="center" vertical="center"/>
    </xf>
    <xf numFmtId="44" fontId="20" fillId="0" borderId="0" xfId="0" applyNumberFormat="1" applyFont="1" applyFill="1" applyAlignment="1">
      <alignment vertical="center"/>
    </xf>
    <xf numFmtId="0" fontId="20" fillId="0" borderId="0" xfId="88" applyNumberFormat="1" applyFont="1" applyFill="1" applyAlignment="1" applyProtection="1">
      <alignment horizontal="right" vertical="center"/>
    </xf>
    <xf numFmtId="6" fontId="20" fillId="0" borderId="0" xfId="0" applyNumberFormat="1" applyFont="1" applyFill="1" applyAlignment="1">
      <alignment vertical="center"/>
    </xf>
    <xf numFmtId="0" fontId="20" fillId="0" borderId="0" xfId="0" applyFont="1" applyFill="1" applyAlignment="1">
      <alignment vertical="center"/>
    </xf>
    <xf numFmtId="0" fontId="20" fillId="0" borderId="0" xfId="0" applyFont="1" applyFill="1" applyBorder="1" applyAlignment="1">
      <alignment vertical="center"/>
    </xf>
    <xf numFmtId="0" fontId="20" fillId="0" borderId="8" xfId="0" applyFont="1" applyFill="1" applyBorder="1" applyAlignment="1">
      <alignment vertical="center"/>
    </xf>
    <xf numFmtId="6" fontId="20" fillId="0" borderId="8" xfId="0" applyNumberFormat="1" applyFont="1" applyFill="1" applyBorder="1" applyAlignment="1">
      <alignment vertical="center"/>
    </xf>
    <xf numFmtId="6" fontId="20" fillId="0" borderId="0" xfId="0" applyNumberFormat="1" applyFont="1" applyFill="1" applyBorder="1" applyAlignment="1">
      <alignment vertical="center"/>
    </xf>
    <xf numFmtId="0" fontId="20" fillId="0" borderId="0" xfId="0" applyFont="1" applyFill="1" applyBorder="1" applyAlignment="1">
      <alignment horizontal="left" vertical="center"/>
    </xf>
    <xf numFmtId="166" fontId="20" fillId="0" borderId="0" xfId="0" applyNumberFormat="1" applyFont="1" applyFill="1" applyBorder="1" applyAlignment="1">
      <alignment vertical="center"/>
    </xf>
    <xf numFmtId="0" fontId="20" fillId="0" borderId="0" xfId="0" applyFont="1" applyFill="1" applyAlignment="1">
      <alignment horizontal="left" vertical="center"/>
    </xf>
    <xf numFmtId="166" fontId="20" fillId="0" borderId="0" xfId="0" applyNumberFormat="1" applyFont="1" applyFill="1" applyAlignment="1">
      <alignment vertical="center"/>
    </xf>
    <xf numFmtId="0" fontId="20" fillId="0" borderId="0" xfId="0" applyNumberFormat="1" applyFont="1" applyFill="1" applyAlignment="1">
      <alignment vertical="center"/>
    </xf>
    <xf numFmtId="0" fontId="21" fillId="0" borderId="0" xfId="0" applyNumberFormat="1" applyFont="1" applyFill="1" applyAlignment="1">
      <alignment vertical="center"/>
    </xf>
    <xf numFmtId="0" fontId="21" fillId="0" borderId="0" xfId="0" applyFont="1" applyFill="1" applyBorder="1" applyAlignment="1">
      <alignment horizontal="left" vertical="center"/>
    </xf>
    <xf numFmtId="44" fontId="21" fillId="0" borderId="0" xfId="0" applyNumberFormat="1" applyFont="1" applyFill="1" applyBorder="1" applyAlignment="1">
      <alignment horizontal="left" vertical="center"/>
    </xf>
    <xf numFmtId="0" fontId="21" fillId="0" borderId="0" xfId="0" applyFont="1" applyFill="1" applyAlignment="1">
      <alignment horizontal="left" vertical="center"/>
    </xf>
    <xf numFmtId="44" fontId="21" fillId="0" borderId="0" xfId="0" applyNumberFormat="1" applyFont="1" applyFill="1" applyAlignment="1">
      <alignment horizontal="left" vertical="center"/>
    </xf>
    <xf numFmtId="44" fontId="20" fillId="0" borderId="0" xfId="0" applyNumberFormat="1" applyFont="1" applyFill="1" applyAlignment="1">
      <alignment horizontal="left" vertical="center"/>
    </xf>
    <xf numFmtId="44" fontId="21" fillId="0" borderId="0" xfId="0" applyNumberFormat="1" applyFont="1" applyFill="1" applyBorder="1" applyAlignment="1">
      <alignment vertical="center"/>
    </xf>
    <xf numFmtId="44" fontId="20" fillId="0" borderId="0" xfId="0" applyNumberFormat="1" applyFont="1" applyFill="1" applyBorder="1" applyAlignment="1">
      <alignment vertical="center"/>
    </xf>
    <xf numFmtId="44" fontId="20" fillId="0" borderId="0" xfId="88" applyFont="1" applyFill="1" applyAlignment="1" applyProtection="1">
      <alignment vertical="center"/>
    </xf>
    <xf numFmtId="0" fontId="20" fillId="0" borderId="0" xfId="88" applyNumberFormat="1" applyFont="1" applyFill="1" applyBorder="1" applyAlignment="1" applyProtection="1">
      <alignment horizontal="left" vertical="center"/>
    </xf>
    <xf numFmtId="44" fontId="21" fillId="0" borderId="0" xfId="0" applyNumberFormat="1" applyFont="1" applyFill="1" applyAlignment="1">
      <alignment vertical="center"/>
    </xf>
    <xf numFmtId="6" fontId="21" fillId="0" borderId="0" xfId="0" applyNumberFormat="1" applyFont="1" applyFill="1" applyAlignment="1">
      <alignment horizontal="right" vertical="center"/>
    </xf>
    <xf numFmtId="0" fontId="23" fillId="0" borderId="0" xfId="0" applyFont="1" applyFill="1" applyBorder="1" applyAlignment="1">
      <alignment horizontal="left" vertical="center"/>
    </xf>
    <xf numFmtId="0" fontId="23" fillId="0" borderId="0" xfId="0" applyFont="1" applyFill="1" applyAlignment="1">
      <alignment horizontal="left" vertical="center"/>
    </xf>
    <xf numFmtId="6" fontId="21" fillId="0" borderId="0" xfId="0" applyNumberFormat="1" applyFont="1" applyFill="1" applyBorder="1" applyAlignment="1">
      <alignment horizontal="right" vertical="center"/>
    </xf>
    <xf numFmtId="0" fontId="20" fillId="0" borderId="0" xfId="88" applyNumberFormat="1" applyFont="1" applyFill="1" applyBorder="1" applyAlignment="1" applyProtection="1">
      <alignment horizontal="right" vertical="center"/>
    </xf>
    <xf numFmtId="0" fontId="21" fillId="0" borderId="0" xfId="0" applyFont="1" applyFill="1" applyBorder="1" applyAlignment="1">
      <alignment vertical="center"/>
    </xf>
    <xf numFmtId="0" fontId="20" fillId="0" borderId="0" xfId="0" applyFont="1" applyFill="1" applyBorder="1" applyAlignment="1">
      <alignment horizontal="right" vertical="center"/>
    </xf>
    <xf numFmtId="0" fontId="21" fillId="0" borderId="0" xfId="0" applyFont="1" applyFill="1" applyAlignment="1">
      <alignment vertical="center"/>
    </xf>
    <xf numFmtId="0" fontId="21" fillId="0" borderId="0" xfId="0" applyFont="1" applyFill="1" applyBorder="1" applyAlignment="1">
      <alignment horizontal="right" vertical="center"/>
    </xf>
    <xf numFmtId="6" fontId="21" fillId="0" borderId="0" xfId="0" applyNumberFormat="1" applyFont="1" applyFill="1" applyBorder="1" applyAlignment="1">
      <alignment horizontal="center" vertical="center"/>
    </xf>
    <xf numFmtId="17" fontId="21" fillId="0" borderId="0" xfId="0" applyNumberFormat="1" applyFont="1" applyFill="1" applyBorder="1" applyAlignment="1">
      <alignment vertical="center"/>
    </xf>
    <xf numFmtId="44" fontId="21" fillId="0" borderId="0" xfId="88" applyFont="1" applyFill="1" applyBorder="1" applyAlignment="1" applyProtection="1">
      <alignment vertical="center"/>
    </xf>
    <xf numFmtId="9" fontId="20" fillId="0" borderId="0" xfId="87" applyFont="1" applyFill="1" applyBorder="1" applyAlignment="1" applyProtection="1">
      <alignment vertical="center"/>
    </xf>
    <xf numFmtId="6" fontId="20" fillId="14" borderId="0" xfId="0" applyNumberFormat="1" applyFont="1" applyFill="1"/>
    <xf numFmtId="6" fontId="27" fillId="14" borderId="0" xfId="0" applyNumberFormat="1" applyFont="1" applyFill="1" applyAlignment="1">
      <alignment horizontal="left"/>
    </xf>
    <xf numFmtId="0" fontId="20" fillId="14" borderId="0" xfId="0" applyFont="1" applyFill="1"/>
    <xf numFmtId="0" fontId="31" fillId="14" borderId="0" xfId="0" applyFont="1" applyFill="1"/>
    <xf numFmtId="173" fontId="20" fillId="14" borderId="0" xfId="88" applyNumberFormat="1" applyFont="1" applyFill="1" applyProtection="1"/>
    <xf numFmtId="173" fontId="21" fillId="14" borderId="0" xfId="88" applyNumberFormat="1" applyFont="1" applyFill="1" applyAlignment="1" applyProtection="1">
      <alignment horizontal="right"/>
    </xf>
    <xf numFmtId="173" fontId="21" fillId="14" borderId="0" xfId="88" applyNumberFormat="1" applyFont="1" applyFill="1" applyProtection="1"/>
    <xf numFmtId="173" fontId="21" fillId="14" borderId="0" xfId="88" applyNumberFormat="1" applyFont="1" applyFill="1" applyBorder="1" applyProtection="1"/>
    <xf numFmtId="173" fontId="20" fillId="14" borderId="0" xfId="88" applyNumberFormat="1" applyFont="1" applyFill="1" applyBorder="1" applyProtection="1"/>
    <xf numFmtId="173" fontId="21" fillId="14" borderId="0" xfId="88" applyNumberFormat="1" applyFont="1" applyFill="1" applyBorder="1" applyAlignment="1" applyProtection="1">
      <alignment horizontal="right"/>
    </xf>
    <xf numFmtId="173" fontId="20" fillId="14" borderId="0" xfId="88" applyNumberFormat="1" applyFont="1" applyFill="1" applyBorder="1" applyAlignment="1" applyProtection="1">
      <alignment horizontal="right"/>
    </xf>
    <xf numFmtId="0" fontId="20" fillId="14" borderId="0" xfId="88" applyNumberFormat="1" applyFont="1" applyFill="1" applyBorder="1" applyProtection="1"/>
    <xf numFmtId="169" fontId="21" fillId="14" borderId="0" xfId="88" applyNumberFormat="1" applyFont="1" applyFill="1" applyBorder="1" applyProtection="1"/>
    <xf numFmtId="169" fontId="20" fillId="14" borderId="0" xfId="88" applyNumberFormat="1" applyFont="1" applyFill="1" applyBorder="1" applyProtection="1"/>
    <xf numFmtId="173" fontId="21" fillId="14" borderId="0" xfId="88" applyNumberFormat="1" applyFont="1" applyFill="1" applyAlignment="1" applyProtection="1">
      <alignment vertical="center"/>
    </xf>
    <xf numFmtId="0" fontId="21" fillId="14" borderId="0" xfId="0" applyFont="1" applyFill="1"/>
    <xf numFmtId="166" fontId="20" fillId="0" borderId="0" xfId="3" applyNumberFormat="1" applyFont="1" applyBorder="1" applyAlignment="1" applyProtection="1">
      <alignment horizontal="left"/>
    </xf>
    <xf numFmtId="166" fontId="20" fillId="0" borderId="0" xfId="3" applyNumberFormat="1" applyFont="1" applyBorder="1" applyAlignment="1" applyProtection="1">
      <alignment horizontal="right"/>
    </xf>
    <xf numFmtId="0" fontId="20" fillId="14" borderId="0" xfId="88" applyNumberFormat="1" applyFont="1" applyFill="1" applyBorder="1" applyAlignment="1" applyProtection="1">
      <alignment horizontal="right"/>
    </xf>
    <xf numFmtId="173" fontId="20" fillId="14" borderId="0" xfId="88" applyNumberFormat="1" applyFont="1" applyFill="1" applyBorder="1" applyAlignment="1" applyProtection="1">
      <alignment horizontal="left"/>
    </xf>
    <xf numFmtId="173" fontId="21" fillId="14" borderId="0" xfId="88" applyNumberFormat="1" applyFont="1" applyFill="1" applyBorder="1" applyAlignment="1" applyProtection="1">
      <alignment horizontal="center"/>
    </xf>
    <xf numFmtId="173" fontId="21" fillId="0" borderId="0" xfId="88" applyNumberFormat="1" applyFont="1" applyBorder="1" applyAlignment="1" applyProtection="1">
      <alignment horizontal="center"/>
    </xf>
    <xf numFmtId="17" fontId="28" fillId="14" borderId="0" xfId="0" applyNumberFormat="1" applyFont="1" applyFill="1" applyBorder="1"/>
    <xf numFmtId="17" fontId="21" fillId="14" borderId="0" xfId="0" applyNumberFormat="1" applyFont="1" applyFill="1" applyBorder="1"/>
    <xf numFmtId="173" fontId="32" fillId="13" borderId="0" xfId="88" applyNumberFormat="1" applyFont="1" applyFill="1" applyBorder="1" applyAlignment="1" applyProtection="1"/>
    <xf numFmtId="173" fontId="32" fillId="0" borderId="0" xfId="88" applyNumberFormat="1" applyFont="1" applyFill="1" applyBorder="1" applyAlignment="1" applyProtection="1">
      <alignment horizontal="left"/>
    </xf>
    <xf numFmtId="169" fontId="21" fillId="15" borderId="16" xfId="88" applyNumberFormat="1" applyFont="1" applyFill="1" applyBorder="1" applyAlignment="1" applyProtection="1">
      <alignment vertical="center"/>
    </xf>
    <xf numFmtId="169" fontId="21" fillId="15" borderId="19" xfId="88" applyNumberFormat="1" applyFont="1" applyFill="1" applyBorder="1" applyAlignment="1" applyProtection="1">
      <alignment vertical="center"/>
    </xf>
    <xf numFmtId="169" fontId="20" fillId="15" borderId="0" xfId="88" applyNumberFormat="1" applyFont="1" applyFill="1" applyBorder="1" applyProtection="1"/>
    <xf numFmtId="166" fontId="20" fillId="15" borderId="0" xfId="87" applyNumberFormat="1" applyFont="1" applyFill="1" applyBorder="1" applyProtection="1"/>
    <xf numFmtId="173" fontId="21" fillId="15" borderId="16" xfId="88" applyNumberFormat="1" applyFont="1" applyFill="1" applyBorder="1" applyAlignment="1" applyProtection="1">
      <alignment horizontal="right" vertical="center"/>
    </xf>
    <xf numFmtId="173" fontId="21" fillId="15" borderId="19" xfId="88" applyNumberFormat="1" applyFont="1" applyFill="1" applyBorder="1" applyAlignment="1" applyProtection="1">
      <alignment horizontal="right" vertical="center"/>
    </xf>
    <xf numFmtId="173" fontId="20" fillId="15" borderId="0" xfId="88" applyNumberFormat="1" applyFont="1" applyFill="1" applyBorder="1" applyAlignment="1" applyProtection="1">
      <alignment horizontal="right"/>
    </xf>
    <xf numFmtId="6" fontId="20" fillId="14" borderId="0" xfId="0" applyNumberFormat="1" applyFont="1" applyFill="1" applyBorder="1"/>
    <xf numFmtId="0" fontId="20" fillId="14" borderId="0" xfId="0" applyFont="1" applyFill="1" applyBorder="1"/>
    <xf numFmtId="0" fontId="21" fillId="0" borderId="0" xfId="88" applyNumberFormat="1" applyFont="1" applyBorder="1" applyAlignment="1" applyProtection="1">
      <alignment horizontal="left"/>
    </xf>
    <xf numFmtId="0" fontId="21" fillId="14" borderId="0" xfId="88" applyNumberFormat="1" applyFont="1" applyFill="1" applyBorder="1" applyAlignment="1" applyProtection="1">
      <alignment horizontal="left"/>
    </xf>
    <xf numFmtId="0" fontId="21" fillId="14" borderId="0" xfId="0" applyFont="1" applyFill="1" applyAlignment="1">
      <alignment vertical="center"/>
    </xf>
    <xf numFmtId="6" fontId="21" fillId="14" borderId="0" xfId="0" applyNumberFormat="1" applyFont="1" applyFill="1" applyAlignment="1">
      <alignment vertical="center"/>
    </xf>
    <xf numFmtId="6" fontId="21" fillId="14" borderId="0" xfId="0" applyNumberFormat="1" applyFont="1" applyFill="1"/>
    <xf numFmtId="0" fontId="28" fillId="0" borderId="0" xfId="0" quotePrefix="1" applyFont="1"/>
    <xf numFmtId="0" fontId="20" fillId="0" borderId="0" xfId="0" applyFont="1" applyFill="1"/>
    <xf numFmtId="173" fontId="20" fillId="0" borderId="0" xfId="88" applyNumberFormat="1" applyFont="1" applyFill="1" applyBorder="1" applyAlignment="1" applyProtection="1">
      <alignment horizontal="right"/>
    </xf>
    <xf numFmtId="166" fontId="20" fillId="0" borderId="0" xfId="87" applyNumberFormat="1" applyFont="1" applyFill="1" applyBorder="1" applyProtection="1"/>
    <xf numFmtId="172" fontId="20" fillId="0" borderId="0" xfId="0" applyNumberFormat="1" applyFont="1" applyFill="1"/>
    <xf numFmtId="173" fontId="32" fillId="0" borderId="0" xfId="88" applyNumberFormat="1" applyFont="1" applyFill="1" applyBorder="1" applyAlignment="1" applyProtection="1">
      <alignment horizontal="center" vertical="center"/>
    </xf>
    <xf numFmtId="9" fontId="20" fillId="0" borderId="0" xfId="87" applyFont="1" applyFill="1" applyBorder="1" applyProtection="1"/>
    <xf numFmtId="169" fontId="20" fillId="0" borderId="0" xfId="88" applyNumberFormat="1" applyFont="1" applyFill="1" applyProtection="1"/>
    <xf numFmtId="173" fontId="21" fillId="14" borderId="0" xfId="88" applyNumberFormat="1" applyFont="1" applyFill="1" applyBorder="1" applyAlignment="1" applyProtection="1">
      <alignment horizontal="centerContinuous"/>
    </xf>
    <xf numFmtId="166" fontId="20" fillId="0" borderId="0" xfId="3" applyNumberFormat="1" applyFont="1" applyBorder="1" applyAlignment="1" applyProtection="1"/>
    <xf numFmtId="173" fontId="21" fillId="0" borderId="0" xfId="88" applyNumberFormat="1" applyFont="1" applyFill="1" applyBorder="1" applyAlignment="1" applyProtection="1">
      <alignment horizontal="centerContinuous"/>
    </xf>
    <xf numFmtId="173" fontId="29" fillId="14" borderId="0" xfId="88" applyNumberFormat="1" applyFont="1" applyFill="1" applyBorder="1" applyAlignment="1" applyProtection="1">
      <alignment horizontal="centerContinuous" vertical="center"/>
    </xf>
    <xf numFmtId="173" fontId="29" fillId="0" borderId="0" xfId="88" applyNumberFormat="1" applyFont="1" applyFill="1" applyBorder="1" applyAlignment="1" applyProtection="1">
      <alignment horizontal="centerContinuous" vertical="center"/>
    </xf>
    <xf numFmtId="173" fontId="20" fillId="16" borderId="0" xfId="88" applyNumberFormat="1" applyFont="1" applyFill="1" applyBorder="1" applyAlignment="1" applyProtection="1">
      <alignment horizontal="right"/>
    </xf>
    <xf numFmtId="173" fontId="20" fillId="17" borderId="0" xfId="88" applyNumberFormat="1" applyFont="1" applyFill="1" applyBorder="1" applyAlignment="1" applyProtection="1">
      <alignment horizontal="right"/>
    </xf>
    <xf numFmtId="166" fontId="20" fillId="17" borderId="0" xfId="87" applyNumberFormat="1" applyFont="1" applyFill="1" applyBorder="1" applyProtection="1"/>
    <xf numFmtId="6" fontId="30" fillId="0" borderId="7" xfId="0" applyNumberFormat="1" applyFont="1" applyBorder="1" applyAlignment="1">
      <alignment horizontal="left"/>
    </xf>
    <xf numFmtId="6" fontId="20" fillId="0" borderId="7" xfId="0" applyNumberFormat="1" applyFont="1" applyBorder="1"/>
    <xf numFmtId="0" fontId="20" fillId="0" borderId="0" xfId="0" applyFont="1" applyBorder="1"/>
    <xf numFmtId="6" fontId="20" fillId="0" borderId="0" xfId="1" applyNumberFormat="1" applyFont="1" applyProtection="1"/>
    <xf numFmtId="6" fontId="20" fillId="0" borderId="0" xfId="1" applyNumberFormat="1" applyFont="1" applyBorder="1" applyProtection="1"/>
    <xf numFmtId="0" fontId="20" fillId="0" borderId="0" xfId="0" applyFont="1" applyBorder="1" applyAlignment="1">
      <alignment horizontal="right"/>
    </xf>
    <xf numFmtId="10" fontId="20" fillId="4" borderId="0" xfId="0" applyNumberFormat="1" applyFont="1" applyFill="1" applyBorder="1"/>
    <xf numFmtId="17" fontId="22" fillId="5" borderId="0" xfId="0" applyNumberFormat="1" applyFont="1" applyFill="1" applyBorder="1"/>
    <xf numFmtId="9" fontId="20" fillId="2" borderId="0" xfId="3" applyFont="1" applyFill="1" applyBorder="1" applyProtection="1"/>
    <xf numFmtId="0" fontId="21" fillId="16" borderId="0" xfId="0" applyFont="1" applyFill="1" applyBorder="1" applyAlignment="1">
      <alignment horizontal="left" vertical="center"/>
    </xf>
    <xf numFmtId="44" fontId="21" fillId="16" borderId="0" xfId="0" applyNumberFormat="1" applyFont="1" applyFill="1" applyBorder="1" applyAlignment="1">
      <alignment vertical="center"/>
    </xf>
    <xf numFmtId="0" fontId="21" fillId="16" borderId="0" xfId="0" applyFont="1" applyFill="1" applyAlignment="1">
      <alignment horizontal="left" vertical="center"/>
    </xf>
    <xf numFmtId="44" fontId="21" fillId="16" borderId="0" xfId="0" applyNumberFormat="1" applyFont="1" applyFill="1" applyAlignment="1">
      <alignment vertical="center"/>
    </xf>
    <xf numFmtId="44" fontId="21" fillId="16" borderId="0" xfId="0" applyNumberFormat="1" applyFont="1" applyFill="1" applyBorder="1" applyAlignment="1">
      <alignment vertical="top"/>
    </xf>
    <xf numFmtId="49" fontId="21" fillId="16" borderId="0" xfId="0" applyNumberFormat="1" applyFont="1" applyFill="1" applyAlignment="1">
      <alignment horizontal="left" vertical="center"/>
    </xf>
    <xf numFmtId="166" fontId="20" fillId="3" borderId="0" xfId="0" applyNumberFormat="1" applyFont="1" applyFill="1" applyAlignment="1">
      <alignment vertical="center"/>
    </xf>
    <xf numFmtId="0" fontId="20" fillId="3" borderId="0" xfId="0" applyFont="1" applyFill="1" applyAlignment="1">
      <alignment vertical="center"/>
    </xf>
    <xf numFmtId="6" fontId="20" fillId="3" borderId="0" xfId="0" applyNumberFormat="1" applyFont="1" applyFill="1" applyAlignment="1">
      <alignment vertical="center"/>
    </xf>
    <xf numFmtId="0" fontId="23" fillId="3" borderId="0" xfId="0" applyFont="1" applyFill="1" applyAlignment="1">
      <alignment horizontal="left" vertical="center"/>
    </xf>
    <xf numFmtId="44" fontId="21" fillId="3" borderId="0" xfId="0" applyNumberFormat="1" applyFont="1" applyFill="1" applyBorder="1" applyAlignment="1">
      <alignment horizontal="left" vertical="center"/>
    </xf>
    <xf numFmtId="44" fontId="21" fillId="3" borderId="0" xfId="0" applyNumberFormat="1" applyFont="1" applyFill="1" applyBorder="1" applyAlignment="1">
      <alignment vertical="center"/>
    </xf>
    <xf numFmtId="0" fontId="20" fillId="3" borderId="0" xfId="0" applyNumberFormat="1" applyFont="1" applyFill="1" applyAlignment="1">
      <alignment vertical="center"/>
    </xf>
    <xf numFmtId="0" fontId="21" fillId="3" borderId="0" xfId="0" applyFont="1" applyFill="1" applyAlignment="1">
      <alignment horizontal="left" vertical="center"/>
    </xf>
    <xf numFmtId="44" fontId="21" fillId="3" borderId="0" xfId="0" applyNumberFormat="1" applyFont="1" applyFill="1" applyAlignment="1">
      <alignment horizontal="left" vertical="center"/>
    </xf>
    <xf numFmtId="44" fontId="20" fillId="3" borderId="0" xfId="0" applyNumberFormat="1" applyFont="1" applyFill="1" applyAlignment="1">
      <alignment vertical="center"/>
    </xf>
    <xf numFmtId="0" fontId="21" fillId="3" borderId="0" xfId="88" applyNumberFormat="1" applyFont="1" applyFill="1" applyBorder="1" applyAlignment="1" applyProtection="1">
      <alignment horizontal="left"/>
    </xf>
    <xf numFmtId="173" fontId="33" fillId="20" borderId="0" xfId="88" applyNumberFormat="1" applyFont="1" applyFill="1" applyBorder="1" applyAlignment="1" applyProtection="1">
      <alignment horizontal="right"/>
    </xf>
    <xf numFmtId="173" fontId="21" fillId="20" borderId="0" xfId="88" applyNumberFormat="1" applyFont="1" applyFill="1" applyBorder="1" applyProtection="1"/>
    <xf numFmtId="0" fontId="21" fillId="0" borderId="0" xfId="0" applyFont="1" applyAlignment="1">
      <alignment horizontal="right"/>
    </xf>
    <xf numFmtId="0" fontId="21" fillId="3" borderId="0" xfId="88" applyNumberFormat="1" applyFont="1" applyFill="1" applyBorder="1" applyAlignment="1" applyProtection="1">
      <alignment horizontal="center"/>
    </xf>
    <xf numFmtId="173" fontId="21" fillId="14" borderId="0" xfId="88" applyNumberFormat="1" applyFont="1" applyFill="1" applyAlignment="1" applyProtection="1">
      <alignment horizontal="center"/>
    </xf>
    <xf numFmtId="173" fontId="20" fillId="0" borderId="0" xfId="88" applyNumberFormat="1" applyFont="1" applyAlignment="1" applyProtection="1">
      <alignment horizontal="center"/>
    </xf>
    <xf numFmtId="173" fontId="21" fillId="0" borderId="0" xfId="88" applyNumberFormat="1" applyFont="1" applyBorder="1" applyAlignment="1" applyProtection="1">
      <alignment horizontal="left"/>
    </xf>
    <xf numFmtId="0" fontId="21" fillId="0" borderId="0" xfId="0" applyFont="1" applyAlignment="1">
      <alignment horizontal="left"/>
    </xf>
    <xf numFmtId="0" fontId="21" fillId="0" borderId="0" xfId="0" applyFont="1" applyAlignment="1">
      <alignment horizontal="center"/>
    </xf>
    <xf numFmtId="173" fontId="21" fillId="0" borderId="0" xfId="88" applyNumberFormat="1" applyFont="1" applyAlignment="1" applyProtection="1">
      <alignment horizontal="center"/>
    </xf>
    <xf numFmtId="173" fontId="21" fillId="0" borderId="0" xfId="88" applyNumberFormat="1" applyFont="1" applyAlignment="1" applyProtection="1">
      <alignment horizontal="right"/>
    </xf>
    <xf numFmtId="0" fontId="36" fillId="0" borderId="0" xfId="88" applyNumberFormat="1" applyFont="1" applyFill="1" applyBorder="1" applyAlignment="1" applyProtection="1">
      <alignment horizontal="right"/>
    </xf>
    <xf numFmtId="0" fontId="37" fillId="0" borderId="0" xfId="88" applyNumberFormat="1" applyFont="1" applyFill="1" applyBorder="1" applyAlignment="1" applyProtection="1">
      <alignment horizontal="right"/>
    </xf>
    <xf numFmtId="173" fontId="21" fillId="18" borderId="0" xfId="88" applyNumberFormat="1" applyFont="1" applyFill="1" applyBorder="1" applyAlignment="1" applyProtection="1">
      <alignment horizontal="right" vertical="center"/>
    </xf>
    <xf numFmtId="173" fontId="21" fillId="18" borderId="19" xfId="88" applyNumberFormat="1" applyFont="1" applyFill="1" applyBorder="1" applyAlignment="1" applyProtection="1">
      <alignment horizontal="right" vertical="center"/>
    </xf>
    <xf numFmtId="169" fontId="21" fillId="17" borderId="0" xfId="88" applyNumberFormat="1" applyFont="1" applyFill="1" applyBorder="1" applyAlignment="1" applyProtection="1">
      <alignment vertical="center"/>
    </xf>
    <xf numFmtId="172" fontId="20" fillId="0" borderId="0" xfId="0" applyNumberFormat="1" applyFont="1" applyBorder="1"/>
    <xf numFmtId="173" fontId="33" fillId="20" borderId="0" xfId="88" applyNumberFormat="1" applyFont="1" applyFill="1" applyBorder="1" applyAlignment="1" applyProtection="1">
      <alignment horizontal="left"/>
    </xf>
    <xf numFmtId="173" fontId="32" fillId="0" borderId="0" xfId="88" applyNumberFormat="1" applyFont="1" applyFill="1" applyBorder="1" applyAlignment="1" applyProtection="1">
      <alignment vertical="center"/>
    </xf>
    <xf numFmtId="169" fontId="20" fillId="0" borderId="0" xfId="88" applyNumberFormat="1" applyFont="1" applyFill="1" applyBorder="1" applyProtection="1"/>
    <xf numFmtId="44" fontId="29" fillId="0" borderId="0" xfId="88" applyNumberFormat="1" applyFont="1" applyFill="1" applyBorder="1" applyAlignment="1" applyProtection="1">
      <alignment horizontal="center" vertical="center"/>
    </xf>
    <xf numFmtId="6" fontId="29" fillId="0" borderId="0" xfId="88" applyNumberFormat="1" applyFont="1" applyFill="1" applyBorder="1" applyAlignment="1" applyProtection="1">
      <alignment horizontal="center" vertical="center"/>
    </xf>
    <xf numFmtId="173" fontId="21" fillId="14" borderId="0" xfId="88" applyNumberFormat="1" applyFont="1" applyFill="1" applyBorder="1" applyAlignment="1" applyProtection="1">
      <alignment horizontal="right" vertical="center"/>
    </xf>
    <xf numFmtId="173" fontId="20" fillId="20" borderId="0" xfId="88" applyNumberFormat="1" applyFont="1" applyFill="1" applyBorder="1" applyProtection="1"/>
    <xf numFmtId="173" fontId="33" fillId="20" borderId="0" xfId="88" applyNumberFormat="1" applyFont="1" applyFill="1" applyBorder="1" applyProtection="1"/>
    <xf numFmtId="173" fontId="33" fillId="14" borderId="0" xfId="88" applyNumberFormat="1" applyFont="1" applyFill="1" applyBorder="1" applyAlignment="1" applyProtection="1">
      <alignment horizontal="center"/>
    </xf>
    <xf numFmtId="173" fontId="33" fillId="20" borderId="0" xfId="88" applyNumberFormat="1" applyFont="1" applyFill="1" applyBorder="1" applyAlignment="1" applyProtection="1">
      <alignment horizontal="center"/>
    </xf>
    <xf numFmtId="173" fontId="20" fillId="3" borderId="0" xfId="88" applyNumberFormat="1" applyFont="1" applyFill="1" applyBorder="1" applyProtection="1"/>
    <xf numFmtId="0" fontId="40" fillId="14" borderId="0" xfId="0" applyFont="1" applyFill="1" applyBorder="1" applyAlignment="1">
      <alignment vertical="center"/>
    </xf>
    <xf numFmtId="0" fontId="20" fillId="14" borderId="2" xfId="0" applyFont="1" applyFill="1" applyBorder="1" applyAlignment="1">
      <alignment vertical="center"/>
    </xf>
    <xf numFmtId="6" fontId="20" fillId="14" borderId="2" xfId="0" applyNumberFormat="1" applyFont="1" applyFill="1" applyBorder="1"/>
    <xf numFmtId="0" fontId="20" fillId="14" borderId="2" xfId="0" applyFont="1" applyFill="1" applyBorder="1"/>
    <xf numFmtId="17" fontId="21" fillId="14" borderId="2" xfId="0" applyNumberFormat="1" applyFont="1" applyFill="1" applyBorder="1"/>
    <xf numFmtId="173" fontId="32" fillId="13" borderId="2" xfId="88" applyNumberFormat="1" applyFont="1" applyFill="1" applyBorder="1" applyAlignment="1" applyProtection="1"/>
    <xf numFmtId="173" fontId="21" fillId="14" borderId="2" xfId="88" applyNumberFormat="1" applyFont="1" applyFill="1" applyBorder="1" applyProtection="1"/>
    <xf numFmtId="173" fontId="21" fillId="20" borderId="2" xfId="88" applyNumberFormat="1" applyFont="1" applyFill="1" applyBorder="1" applyProtection="1"/>
    <xf numFmtId="0" fontId="22" fillId="4" borderId="2" xfId="88" applyNumberFormat="1" applyFont="1" applyFill="1" applyBorder="1" applyProtection="1"/>
    <xf numFmtId="173" fontId="20" fillId="14" borderId="2" xfId="88" applyNumberFormat="1" applyFont="1" applyFill="1" applyBorder="1" applyAlignment="1" applyProtection="1">
      <alignment horizontal="right"/>
    </xf>
    <xf numFmtId="169" fontId="20" fillId="14" borderId="2" xfId="88" applyNumberFormat="1" applyFont="1" applyFill="1" applyBorder="1" applyProtection="1"/>
    <xf numFmtId="169" fontId="21" fillId="14" borderId="2" xfId="88" applyNumberFormat="1" applyFont="1" applyFill="1" applyBorder="1" applyProtection="1"/>
    <xf numFmtId="169" fontId="20" fillId="15" borderId="2" xfId="88" applyNumberFormat="1" applyFont="1" applyFill="1" applyBorder="1" applyProtection="1"/>
    <xf numFmtId="166" fontId="20" fillId="15" borderId="2" xfId="87" applyNumberFormat="1" applyFont="1" applyFill="1" applyBorder="1" applyProtection="1"/>
    <xf numFmtId="166" fontId="20" fillId="0" borderId="2" xfId="87" applyNumberFormat="1" applyFont="1" applyFill="1" applyBorder="1" applyProtection="1"/>
    <xf numFmtId="169" fontId="21" fillId="17" borderId="2" xfId="88" applyNumberFormat="1" applyFont="1" applyFill="1" applyBorder="1" applyAlignment="1" applyProtection="1">
      <alignment vertical="center"/>
    </xf>
    <xf numFmtId="166" fontId="20" fillId="17" borderId="2" xfId="87" applyNumberFormat="1" applyFont="1" applyFill="1" applyBorder="1" applyProtection="1"/>
    <xf numFmtId="172" fontId="20" fillId="0" borderId="2" xfId="0" applyNumberFormat="1" applyFont="1" applyBorder="1"/>
    <xf numFmtId="0" fontId="20" fillId="0" borderId="2" xfId="0" applyFont="1" applyBorder="1"/>
    <xf numFmtId="173" fontId="20" fillId="0" borderId="0" xfId="88" applyNumberFormat="1" applyFont="1" applyFill="1" applyBorder="1" applyProtection="1"/>
    <xf numFmtId="173" fontId="20" fillId="20" borderId="0" xfId="88" applyNumberFormat="1" applyFont="1" applyFill="1" applyProtection="1"/>
    <xf numFmtId="0" fontId="33" fillId="20" borderId="2" xfId="88" applyNumberFormat="1" applyFont="1" applyFill="1" applyBorder="1" applyProtection="1"/>
    <xf numFmtId="173" fontId="30" fillId="13" borderId="0" xfId="88" applyNumberFormat="1" applyFont="1" applyFill="1" applyBorder="1" applyAlignment="1" applyProtection="1">
      <alignment horizontal="left"/>
    </xf>
    <xf numFmtId="173" fontId="39" fillId="14" borderId="0" xfId="88" applyNumberFormat="1" applyFont="1" applyFill="1" applyBorder="1" applyAlignment="1" applyProtection="1">
      <alignment horizontal="right"/>
    </xf>
    <xf numFmtId="173" fontId="39" fillId="0" borderId="0" xfId="88" applyNumberFormat="1" applyFont="1" applyAlignment="1" applyProtection="1">
      <alignment horizontal="right"/>
    </xf>
    <xf numFmtId="0" fontId="20" fillId="20" borderId="0" xfId="0" applyFont="1" applyFill="1"/>
    <xf numFmtId="0" fontId="36" fillId="14" borderId="0" xfId="0" applyFont="1" applyFill="1" applyBorder="1" applyAlignment="1">
      <alignment vertical="center"/>
    </xf>
    <xf numFmtId="0" fontId="20" fillId="14" borderId="27" xfId="0" applyFont="1" applyFill="1" applyBorder="1" applyAlignment="1">
      <alignment vertical="center"/>
    </xf>
    <xf numFmtId="6" fontId="20" fillId="14" borderId="27" xfId="0" applyNumberFormat="1" applyFont="1" applyFill="1" applyBorder="1"/>
    <xf numFmtId="0" fontId="20" fillId="14" borderId="27" xfId="0" applyFont="1" applyFill="1" applyBorder="1"/>
    <xf numFmtId="17" fontId="21" fillId="14" borderId="27" xfId="0" applyNumberFormat="1" applyFont="1" applyFill="1" applyBorder="1"/>
    <xf numFmtId="173" fontId="32" fillId="13" borderId="27" xfId="88" applyNumberFormat="1" applyFont="1" applyFill="1" applyBorder="1" applyAlignment="1" applyProtection="1"/>
    <xf numFmtId="173" fontId="21" fillId="14" borderId="27" xfId="88" applyNumberFormat="1" applyFont="1" applyFill="1" applyBorder="1" applyProtection="1"/>
    <xf numFmtId="173" fontId="21" fillId="20" borderId="27" xfId="88" applyNumberFormat="1" applyFont="1" applyFill="1" applyBorder="1" applyProtection="1"/>
    <xf numFmtId="0" fontId="22" fillId="4" borderId="27" xfId="88" applyNumberFormat="1" applyFont="1" applyFill="1" applyBorder="1" applyProtection="1"/>
    <xf numFmtId="173" fontId="20" fillId="14" borderId="27" xfId="88" applyNumberFormat="1" applyFont="1" applyFill="1" applyBorder="1" applyAlignment="1" applyProtection="1">
      <alignment horizontal="right"/>
    </xf>
    <xf numFmtId="169" fontId="20" fillId="14" borderId="27" xfId="88" applyNumberFormat="1" applyFont="1" applyFill="1" applyBorder="1" applyProtection="1"/>
    <xf numFmtId="169" fontId="21" fillId="14" borderId="27" xfId="88" applyNumberFormat="1" applyFont="1" applyFill="1" applyBorder="1" applyProtection="1"/>
    <xf numFmtId="169" fontId="21" fillId="15" borderId="28" xfId="88" applyNumberFormat="1" applyFont="1" applyFill="1" applyBorder="1" applyAlignment="1" applyProtection="1">
      <alignment vertical="center"/>
    </xf>
    <xf numFmtId="169" fontId="21" fillId="15" borderId="29" xfId="88" applyNumberFormat="1" applyFont="1" applyFill="1" applyBorder="1" applyAlignment="1" applyProtection="1">
      <alignment vertical="center"/>
    </xf>
    <xf numFmtId="166" fontId="20" fillId="15" borderId="27" xfId="87" applyNumberFormat="1" applyFont="1" applyFill="1" applyBorder="1" applyProtection="1"/>
    <xf numFmtId="166" fontId="20" fillId="0" borderId="27" xfId="87" applyNumberFormat="1" applyFont="1" applyFill="1" applyBorder="1" applyProtection="1"/>
    <xf numFmtId="169" fontId="21" fillId="17" borderId="27" xfId="88" applyNumberFormat="1" applyFont="1" applyFill="1" applyBorder="1" applyAlignment="1" applyProtection="1">
      <alignment vertical="center"/>
    </xf>
    <xf numFmtId="166" fontId="20" fillId="17" borderId="27" xfId="87" applyNumberFormat="1" applyFont="1" applyFill="1" applyBorder="1" applyProtection="1"/>
    <xf numFmtId="172" fontId="20" fillId="0" borderId="27" xfId="0" applyNumberFormat="1" applyFont="1" applyBorder="1"/>
    <xf numFmtId="0" fontId="20" fillId="0" borderId="27" xfId="0" applyFont="1" applyBorder="1"/>
    <xf numFmtId="173" fontId="20" fillId="20" borderId="27" xfId="88" applyNumberFormat="1" applyFont="1" applyFill="1" applyBorder="1" applyProtection="1"/>
    <xf numFmtId="173" fontId="21" fillId="20" borderId="0" xfId="88" applyNumberFormat="1" applyFont="1" applyFill="1" applyBorder="1" applyAlignment="1" applyProtection="1">
      <alignment horizontal="centerContinuous"/>
    </xf>
    <xf numFmtId="173" fontId="42" fillId="20" borderId="0" xfId="88" applyNumberFormat="1" applyFont="1" applyFill="1" applyBorder="1" applyAlignment="1" applyProtection="1">
      <alignment horizontal="centerContinuous"/>
    </xf>
    <xf numFmtId="173" fontId="20" fillId="20" borderId="0" xfId="88" applyNumberFormat="1" applyFont="1" applyFill="1" applyBorder="1" applyAlignment="1" applyProtection="1">
      <alignment horizontal="centerContinuous"/>
    </xf>
    <xf numFmtId="173" fontId="20" fillId="3" borderId="0" xfId="88" applyNumberFormat="1" applyFont="1" applyFill="1" applyProtection="1"/>
    <xf numFmtId="0" fontId="20" fillId="20" borderId="0" xfId="0" applyFont="1" applyFill="1" applyBorder="1"/>
    <xf numFmtId="173" fontId="21" fillId="0" borderId="0" xfId="88" applyNumberFormat="1" applyFont="1" applyFill="1" applyAlignment="1" applyProtection="1">
      <alignment horizontal="right"/>
    </xf>
    <xf numFmtId="173" fontId="21" fillId="0" borderId="0" xfId="88" applyNumberFormat="1" applyFont="1" applyFill="1" applyProtection="1"/>
    <xf numFmtId="173" fontId="20" fillId="0" borderId="0" xfId="88" applyNumberFormat="1" applyFont="1" applyFill="1" applyBorder="1" applyAlignment="1" applyProtection="1">
      <alignment horizontal="left"/>
    </xf>
    <xf numFmtId="173" fontId="21" fillId="0" borderId="0" xfId="88" applyNumberFormat="1" applyFont="1" applyFill="1" applyBorder="1" applyProtection="1"/>
    <xf numFmtId="6" fontId="20" fillId="0" borderId="0" xfId="0" applyNumberFormat="1" applyFont="1" applyFill="1"/>
    <xf numFmtId="0" fontId="20" fillId="0" borderId="0" xfId="88" applyNumberFormat="1" applyFont="1" applyFill="1" applyBorder="1" applyProtection="1"/>
    <xf numFmtId="169" fontId="21" fillId="0" borderId="0" xfId="88" applyNumberFormat="1" applyFont="1" applyFill="1" applyBorder="1" applyProtection="1"/>
    <xf numFmtId="169" fontId="21" fillId="0" borderId="0" xfId="88" applyNumberFormat="1" applyFont="1" applyFill="1" applyBorder="1" applyAlignment="1" applyProtection="1">
      <alignment vertical="center"/>
    </xf>
    <xf numFmtId="169" fontId="21" fillId="0" borderId="0" xfId="88" applyNumberFormat="1" applyFont="1" applyFill="1" applyAlignment="1" applyProtection="1">
      <alignment vertical="center"/>
    </xf>
    <xf numFmtId="173" fontId="21" fillId="0" borderId="0" xfId="88" applyNumberFormat="1" applyFont="1" applyFill="1" applyAlignment="1" applyProtection="1">
      <alignment vertical="center"/>
    </xf>
    <xf numFmtId="169" fontId="21" fillId="0" borderId="0" xfId="88" applyNumberFormat="1" applyFont="1" applyFill="1" applyProtection="1"/>
    <xf numFmtId="0" fontId="21" fillId="0" borderId="0" xfId="0" applyFont="1" applyFill="1"/>
    <xf numFmtId="172" fontId="21" fillId="0" borderId="0" xfId="0" applyNumberFormat="1" applyFont="1" applyFill="1"/>
    <xf numFmtId="6" fontId="29" fillId="3" borderId="0" xfId="88" applyNumberFormat="1" applyFont="1" applyFill="1" applyBorder="1" applyAlignment="1" applyProtection="1">
      <alignment horizontal="center" vertical="center"/>
    </xf>
    <xf numFmtId="173" fontId="21" fillId="3" borderId="0" xfId="88" applyNumberFormat="1" applyFont="1" applyFill="1" applyBorder="1" applyAlignment="1" applyProtection="1">
      <alignment horizontal="right"/>
    </xf>
    <xf numFmtId="6" fontId="29" fillId="3" borderId="0" xfId="88" applyNumberFormat="1" applyFont="1" applyFill="1" applyBorder="1" applyAlignment="1" applyProtection="1">
      <alignment vertical="center"/>
    </xf>
    <xf numFmtId="169" fontId="21" fillId="15" borderId="30" xfId="88" applyNumberFormat="1" applyFont="1" applyFill="1" applyBorder="1" applyAlignment="1" applyProtection="1">
      <alignment vertical="center"/>
    </xf>
    <xf numFmtId="169" fontId="21" fillId="15" borderId="31" xfId="88" applyNumberFormat="1" applyFont="1" applyFill="1" applyBorder="1" applyAlignment="1" applyProtection="1">
      <alignment vertical="center"/>
    </xf>
    <xf numFmtId="173" fontId="20" fillId="20" borderId="2" xfId="88" applyNumberFormat="1" applyFont="1" applyFill="1" applyBorder="1" applyProtection="1"/>
    <xf numFmtId="0" fontId="20" fillId="16" borderId="0" xfId="88" applyNumberFormat="1" applyFont="1" applyFill="1" applyBorder="1" applyProtection="1"/>
    <xf numFmtId="0" fontId="21" fillId="12" borderId="0" xfId="88" applyNumberFormat="1" applyFont="1" applyFill="1" applyBorder="1" applyAlignment="1" applyProtection="1">
      <alignment horizontal="right"/>
    </xf>
    <xf numFmtId="0" fontId="21" fillId="12" borderId="27" xfId="88" applyNumberFormat="1" applyFont="1" applyFill="1" applyBorder="1" applyAlignment="1" applyProtection="1">
      <alignment horizontal="right"/>
    </xf>
    <xf numFmtId="0" fontId="21" fillId="12" borderId="2" xfId="88" applyNumberFormat="1" applyFont="1" applyFill="1" applyBorder="1" applyAlignment="1" applyProtection="1">
      <alignment horizontal="right"/>
    </xf>
    <xf numFmtId="0" fontId="20" fillId="12" borderId="0" xfId="88" applyNumberFormat="1" applyFont="1" applyFill="1" applyBorder="1" applyAlignment="1" applyProtection="1">
      <alignment horizontal="right"/>
    </xf>
    <xf numFmtId="0" fontId="20" fillId="12" borderId="27" xfId="88" applyNumberFormat="1" applyFont="1" applyFill="1" applyBorder="1" applyAlignment="1" applyProtection="1">
      <alignment horizontal="right"/>
    </xf>
    <xf numFmtId="0" fontId="20" fillId="12" borderId="2" xfId="88" applyNumberFormat="1" applyFont="1" applyFill="1" applyBorder="1" applyAlignment="1" applyProtection="1">
      <alignment horizontal="right"/>
    </xf>
    <xf numFmtId="1" fontId="22" fillId="4" borderId="0" xfId="88" applyNumberFormat="1" applyFont="1" applyFill="1" applyBorder="1" applyProtection="1"/>
    <xf numFmtId="0" fontId="33" fillId="20" borderId="0" xfId="0" applyFont="1" applyFill="1"/>
    <xf numFmtId="0" fontId="20" fillId="16" borderId="0" xfId="88" applyNumberFormat="1" applyFont="1" applyFill="1" applyBorder="1" applyAlignment="1" applyProtection="1">
      <alignment horizontal="right"/>
    </xf>
    <xf numFmtId="0" fontId="20" fillId="16" borderId="2" xfId="88" applyNumberFormat="1" applyFont="1" applyFill="1" applyBorder="1" applyProtection="1"/>
    <xf numFmtId="44" fontId="20" fillId="0" borderId="0" xfId="0" applyNumberFormat="1" applyFont="1" applyFill="1" applyBorder="1" applyAlignment="1">
      <alignment horizontal="right" vertical="center"/>
    </xf>
    <xf numFmtId="44" fontId="20" fillId="0" borderId="0" xfId="88" applyNumberFormat="1" applyFont="1" applyFill="1" applyBorder="1" applyAlignment="1" applyProtection="1">
      <alignment horizontal="right" vertical="center"/>
    </xf>
    <xf numFmtId="0" fontId="20" fillId="0" borderId="32" xfId="88" applyNumberFormat="1" applyFont="1" applyFill="1" applyBorder="1" applyAlignment="1" applyProtection="1">
      <alignment horizontal="left" vertical="center"/>
    </xf>
    <xf numFmtId="44" fontId="20" fillId="0" borderId="32" xfId="88" applyNumberFormat="1" applyFont="1" applyFill="1" applyBorder="1" applyAlignment="1" applyProtection="1">
      <alignment horizontal="right" vertical="center"/>
    </xf>
    <xf numFmtId="0" fontId="20" fillId="0" borderId="32" xfId="0" applyNumberFormat="1" applyFont="1" applyFill="1" applyBorder="1" applyAlignment="1">
      <alignment horizontal="left" vertical="center"/>
    </xf>
    <xf numFmtId="44" fontId="20" fillId="0" borderId="32" xfId="0" applyNumberFormat="1" applyFont="1" applyFill="1" applyBorder="1" applyAlignment="1">
      <alignment vertical="center"/>
    </xf>
    <xf numFmtId="44" fontId="20" fillId="0" borderId="2" xfId="0" applyNumberFormat="1" applyFont="1" applyFill="1" applyBorder="1" applyAlignment="1">
      <alignment horizontal="right" vertical="center"/>
    </xf>
    <xf numFmtId="44" fontId="20" fillId="0" borderId="34" xfId="88" applyNumberFormat="1" applyFont="1" applyFill="1" applyBorder="1" applyAlignment="1" applyProtection="1">
      <alignment horizontal="right" vertical="center"/>
    </xf>
    <xf numFmtId="44" fontId="20" fillId="0" borderId="2" xfId="88" applyNumberFormat="1" applyFont="1" applyFill="1" applyBorder="1" applyAlignment="1" applyProtection="1">
      <alignment horizontal="right" vertical="center"/>
    </xf>
    <xf numFmtId="44" fontId="20" fillId="0" borderId="2" xfId="88" applyFont="1" applyFill="1" applyBorder="1" applyAlignment="1" applyProtection="1">
      <alignment vertical="center"/>
    </xf>
    <xf numFmtId="44" fontId="20" fillId="0" borderId="2" xfId="0" applyNumberFormat="1" applyFont="1" applyFill="1" applyBorder="1" applyAlignment="1">
      <alignment vertical="center"/>
    </xf>
    <xf numFmtId="44" fontId="20" fillId="0" borderId="34" xfId="0" applyNumberFormat="1" applyFont="1" applyFill="1" applyBorder="1" applyAlignment="1">
      <alignment vertical="center"/>
    </xf>
    <xf numFmtId="44" fontId="20" fillId="0" borderId="35" xfId="0" applyNumberFormat="1" applyFont="1" applyFill="1" applyBorder="1" applyAlignment="1">
      <alignment horizontal="right" vertical="center"/>
    </xf>
    <xf numFmtId="44" fontId="20" fillId="0" borderId="36" xfId="88" applyNumberFormat="1" applyFont="1" applyFill="1" applyBorder="1" applyAlignment="1" applyProtection="1">
      <alignment horizontal="right" vertical="center"/>
    </xf>
    <xf numFmtId="44" fontId="20" fillId="0" borderId="35" xfId="88" applyNumberFormat="1" applyFont="1" applyFill="1" applyBorder="1" applyAlignment="1" applyProtection="1">
      <alignment horizontal="right" vertical="center"/>
    </xf>
    <xf numFmtId="44" fontId="20" fillId="0" borderId="35" xfId="88" applyFont="1" applyFill="1" applyBorder="1" applyAlignment="1" applyProtection="1">
      <alignment vertical="center"/>
    </xf>
    <xf numFmtId="44" fontId="20" fillId="0" borderId="35" xfId="0" applyNumberFormat="1" applyFont="1" applyFill="1" applyBorder="1" applyAlignment="1">
      <alignment vertical="center"/>
    </xf>
    <xf numFmtId="44" fontId="20" fillId="0" borderId="36" xfId="0" applyNumberFormat="1" applyFont="1" applyFill="1" applyBorder="1" applyAlignment="1">
      <alignment vertical="center"/>
    </xf>
    <xf numFmtId="44" fontId="34" fillId="0" borderId="2" xfId="0" applyNumberFormat="1" applyFont="1" applyFill="1" applyBorder="1" applyAlignment="1">
      <alignment vertical="center"/>
    </xf>
    <xf numFmtId="44" fontId="34" fillId="0" borderId="35" xfId="0" applyNumberFormat="1" applyFont="1" applyFill="1" applyBorder="1" applyAlignment="1">
      <alignment vertical="center"/>
    </xf>
    <xf numFmtId="44" fontId="34" fillId="0" borderId="0" xfId="0" applyNumberFormat="1" applyFont="1" applyFill="1" applyBorder="1" applyAlignment="1">
      <alignment vertical="center"/>
    </xf>
    <xf numFmtId="44" fontId="35" fillId="0" borderId="2" xfId="0" applyNumberFormat="1" applyFont="1" applyFill="1" applyBorder="1" applyAlignment="1">
      <alignment vertical="center"/>
    </xf>
    <xf numFmtId="44" fontId="35" fillId="0" borderId="35" xfId="0" applyNumberFormat="1" applyFont="1" applyFill="1" applyBorder="1" applyAlignment="1">
      <alignment vertical="center"/>
    </xf>
    <xf numFmtId="44" fontId="35" fillId="0" borderId="0" xfId="0" applyNumberFormat="1" applyFont="1" applyFill="1" applyBorder="1" applyAlignment="1">
      <alignment vertical="center"/>
    </xf>
    <xf numFmtId="44" fontId="20" fillId="0" borderId="34" xfId="0" applyNumberFormat="1" applyFont="1" applyFill="1" applyBorder="1" applyAlignment="1">
      <alignment horizontal="right" vertical="center"/>
    </xf>
    <xf numFmtId="44" fontId="20" fillId="0" borderId="1" xfId="0" applyNumberFormat="1" applyFont="1" applyFill="1" applyBorder="1" applyAlignment="1">
      <alignment horizontal="right" vertical="center"/>
    </xf>
    <xf numFmtId="44" fontId="20" fillId="0" borderId="37" xfId="0" applyNumberFormat="1" applyFont="1" applyFill="1" applyBorder="1" applyAlignment="1">
      <alignment horizontal="right" vertical="center"/>
    </xf>
    <xf numFmtId="44" fontId="34" fillId="0" borderId="1" xfId="0" applyNumberFormat="1" applyFont="1" applyFill="1" applyBorder="1" applyAlignment="1">
      <alignment vertical="center"/>
    </xf>
    <xf numFmtId="44" fontId="35" fillId="0" borderId="1" xfId="0" applyNumberFormat="1" applyFont="1" applyFill="1" applyBorder="1" applyAlignment="1">
      <alignment vertical="center"/>
    </xf>
    <xf numFmtId="6" fontId="20" fillId="0" borderId="0" xfId="0" applyNumberFormat="1" applyFont="1" applyFill="1" applyAlignment="1">
      <alignment horizontal="right" vertical="center"/>
    </xf>
    <xf numFmtId="6" fontId="30" fillId="0" borderId="0" xfId="0" applyNumberFormat="1" applyFont="1" applyBorder="1" applyAlignment="1">
      <alignment horizontal="left"/>
    </xf>
    <xf numFmtId="6" fontId="20" fillId="0" borderId="0" xfId="0" applyNumberFormat="1" applyFont="1" applyBorder="1"/>
    <xf numFmtId="6" fontId="20" fillId="0" borderId="0" xfId="0" applyNumberFormat="1" applyFont="1" applyFill="1" applyBorder="1"/>
    <xf numFmtId="6" fontId="20" fillId="0" borderId="0" xfId="0" applyNumberFormat="1" applyFont="1" applyBorder="1" applyAlignment="1">
      <alignment horizontal="left"/>
    </xf>
    <xf numFmtId="6" fontId="48" fillId="0" borderId="0" xfId="0" applyNumberFormat="1" applyFont="1" applyBorder="1"/>
    <xf numFmtId="6" fontId="21" fillId="0" borderId="0" xfId="0" applyNumberFormat="1" applyFont="1" applyBorder="1" applyAlignment="1">
      <alignment horizontal="left"/>
    </xf>
    <xf numFmtId="1" fontId="21" fillId="0" borderId="0" xfId="2" applyNumberFormat="1" applyFont="1" applyBorder="1" applyAlignment="1" applyProtection="1">
      <alignment horizontal="left" vertical="center"/>
    </xf>
    <xf numFmtId="1" fontId="20" fillId="0" borderId="0" xfId="2" applyNumberFormat="1" applyFont="1" applyBorder="1" applyProtection="1"/>
    <xf numFmtId="1" fontId="21" fillId="0" borderId="0" xfId="2" applyNumberFormat="1" applyFont="1" applyFill="1" applyBorder="1" applyProtection="1"/>
    <xf numFmtId="0" fontId="20" fillId="0" borderId="0" xfId="0" applyFont="1" applyBorder="1" applyAlignment="1">
      <alignment horizontal="left" vertical="center"/>
    </xf>
    <xf numFmtId="0" fontId="20" fillId="0" borderId="0" xfId="3" applyNumberFormat="1" applyFont="1" applyBorder="1" applyAlignment="1" applyProtection="1">
      <alignment horizontal="left" vertical="center"/>
    </xf>
    <xf numFmtId="6" fontId="20" fillId="4" borderId="0" xfId="1" applyNumberFormat="1" applyFont="1" applyFill="1" applyBorder="1" applyProtection="1"/>
    <xf numFmtId="0" fontId="20" fillId="0" borderId="0" xfId="3" applyNumberFormat="1" applyFont="1" applyFill="1" applyBorder="1" applyAlignment="1" applyProtection="1">
      <alignment horizontal="left" vertical="center"/>
    </xf>
    <xf numFmtId="6" fontId="20" fillId="0" borderId="0" xfId="1" applyNumberFormat="1" applyFont="1" applyFill="1" applyBorder="1" applyProtection="1"/>
    <xf numFmtId="168" fontId="20" fillId="0" borderId="0" xfId="2" applyNumberFormat="1" applyFont="1" applyFill="1" applyBorder="1" applyAlignment="1" applyProtection="1">
      <alignment vertical="center"/>
    </xf>
    <xf numFmtId="168" fontId="21" fillId="0" borderId="0" xfId="2" applyNumberFormat="1" applyFont="1" applyFill="1" applyBorder="1" applyAlignment="1" applyProtection="1">
      <alignment horizontal="center" vertical="center"/>
    </xf>
    <xf numFmtId="6" fontId="50" fillId="0" borderId="0" xfId="1" applyNumberFormat="1" applyFont="1" applyBorder="1" applyAlignment="1" applyProtection="1">
      <alignment horizontal="center"/>
    </xf>
    <xf numFmtId="166" fontId="20" fillId="0" borderId="0" xfId="3" applyNumberFormat="1" applyFont="1" applyBorder="1" applyProtection="1"/>
    <xf numFmtId="6" fontId="21" fillId="0" borderId="0" xfId="3" applyNumberFormat="1" applyFont="1" applyBorder="1" applyAlignment="1" applyProtection="1">
      <alignment horizontal="left"/>
    </xf>
    <xf numFmtId="6" fontId="20" fillId="0" borderId="0" xfId="3" applyNumberFormat="1" applyFont="1" applyBorder="1" applyAlignment="1" applyProtection="1">
      <alignment horizontal="left"/>
    </xf>
    <xf numFmtId="170" fontId="51" fillId="2" borderId="0" xfId="2" applyNumberFormat="1" applyFont="1" applyFill="1" applyBorder="1" applyProtection="1"/>
    <xf numFmtId="6" fontId="20" fillId="2" borderId="0" xfId="1" applyNumberFormat="1" applyFont="1" applyFill="1" applyBorder="1" applyProtection="1"/>
    <xf numFmtId="6" fontId="51" fillId="0" borderId="0" xfId="1" applyNumberFormat="1" applyFont="1" applyFill="1" applyBorder="1" applyProtection="1"/>
    <xf numFmtId="6" fontId="51" fillId="4" borderId="0" xfId="1" applyNumberFormat="1" applyFont="1" applyFill="1" applyBorder="1" applyProtection="1"/>
    <xf numFmtId="6" fontId="21" fillId="0" borderId="0" xfId="3" applyNumberFormat="1" applyFont="1" applyFill="1" applyBorder="1" applyAlignment="1" applyProtection="1">
      <alignment horizontal="left"/>
    </xf>
    <xf numFmtId="6" fontId="52" fillId="0" borderId="0" xfId="1" applyNumberFormat="1" applyFont="1" applyFill="1" applyBorder="1" applyProtection="1"/>
    <xf numFmtId="166" fontId="20" fillId="4" borderId="0" xfId="3" applyNumberFormat="1" applyFont="1" applyFill="1" applyBorder="1" applyProtection="1"/>
    <xf numFmtId="1" fontId="20" fillId="4" borderId="0" xfId="2" applyNumberFormat="1" applyFont="1" applyFill="1" applyBorder="1" applyProtection="1"/>
    <xf numFmtId="6" fontId="20" fillId="6" borderId="0" xfId="2" applyNumberFormat="1" applyFont="1" applyFill="1" applyBorder="1" applyProtection="1"/>
    <xf numFmtId="0" fontId="21" fillId="0" borderId="0" xfId="0" applyFont="1" applyBorder="1" applyAlignment="1"/>
    <xf numFmtId="6" fontId="21" fillId="0" borderId="0" xfId="1" applyNumberFormat="1" applyFont="1" applyBorder="1" applyProtection="1"/>
    <xf numFmtId="6" fontId="21" fillId="0" borderId="0" xfId="1" applyNumberFormat="1" applyFont="1" applyBorder="1" applyAlignment="1" applyProtection="1">
      <alignment horizontal="left"/>
    </xf>
    <xf numFmtId="0" fontId="21" fillId="0" borderId="0" xfId="0" applyFont="1" applyBorder="1" applyAlignment="1">
      <alignment horizontal="left"/>
    </xf>
    <xf numFmtId="6" fontId="20" fillId="0" borderId="0" xfId="0" applyNumberFormat="1" applyFont="1" applyAlignment="1">
      <alignment vertical="center"/>
    </xf>
    <xf numFmtId="0" fontId="20" fillId="0" borderId="22" xfId="0" applyFont="1" applyBorder="1" applyAlignment="1">
      <alignment vertical="center"/>
    </xf>
    <xf numFmtId="6" fontId="27" fillId="0" borderId="0" xfId="0" applyNumberFormat="1" applyFont="1" applyAlignment="1">
      <alignment horizontal="left"/>
    </xf>
    <xf numFmtId="6" fontId="20" fillId="0" borderId="22" xfId="0" applyNumberFormat="1" applyFont="1" applyBorder="1"/>
    <xf numFmtId="6" fontId="20" fillId="0" borderId="0" xfId="0" applyNumberFormat="1" applyFont="1" applyAlignment="1">
      <alignment horizontal="left"/>
    </xf>
    <xf numFmtId="6" fontId="48" fillId="0" borderId="7" xfId="0" applyNumberFormat="1" applyFont="1" applyBorder="1"/>
    <xf numFmtId="6" fontId="29" fillId="0" borderId="7" xfId="0" applyNumberFormat="1" applyFont="1" applyBorder="1" applyAlignment="1">
      <alignment horizontal="left"/>
    </xf>
    <xf numFmtId="6" fontId="21" fillId="0" borderId="0" xfId="0" applyNumberFormat="1" applyFont="1" applyAlignment="1">
      <alignment horizontal="left"/>
    </xf>
    <xf numFmtId="1" fontId="20" fillId="0" borderId="0" xfId="2" applyNumberFormat="1" applyFont="1" applyProtection="1"/>
    <xf numFmtId="1" fontId="20" fillId="0" borderId="0" xfId="2" applyNumberFormat="1" applyFont="1" applyFill="1" applyBorder="1" applyProtection="1"/>
    <xf numFmtId="1" fontId="20" fillId="0" borderId="0" xfId="2" applyNumberFormat="1" applyFont="1" applyFill="1" applyProtection="1"/>
    <xf numFmtId="6" fontId="20" fillId="0" borderId="22" xfId="1" applyNumberFormat="1" applyFont="1" applyBorder="1" applyProtection="1"/>
    <xf numFmtId="6" fontId="20" fillId="0" borderId="0" xfId="1" applyNumberFormat="1" applyFont="1" applyFill="1" applyProtection="1"/>
    <xf numFmtId="6" fontId="20" fillId="0" borderId="22" xfId="1" applyNumberFormat="1" applyFont="1" applyFill="1" applyBorder="1" applyProtection="1"/>
    <xf numFmtId="6" fontId="22" fillId="0" borderId="0" xfId="1" applyNumberFormat="1" applyFont="1" applyProtection="1"/>
    <xf numFmtId="6" fontId="22" fillId="0" borderId="0" xfId="1" applyNumberFormat="1" applyFont="1" applyFill="1" applyProtection="1"/>
    <xf numFmtId="166" fontId="22" fillId="0" borderId="0" xfId="3" applyNumberFormat="1" applyFont="1" applyProtection="1"/>
    <xf numFmtId="166" fontId="20" fillId="0" borderId="0" xfId="3" applyNumberFormat="1" applyFont="1" applyProtection="1"/>
    <xf numFmtId="166" fontId="20" fillId="0" borderId="0" xfId="3" applyNumberFormat="1" applyFont="1" applyFill="1" applyBorder="1" applyProtection="1"/>
    <xf numFmtId="166" fontId="20" fillId="0" borderId="0" xfId="3" applyNumberFormat="1" applyFont="1" applyFill="1" applyProtection="1"/>
    <xf numFmtId="6" fontId="48" fillId="0" borderId="0" xfId="1" applyNumberFormat="1" applyFont="1" applyFill="1" applyProtection="1"/>
    <xf numFmtId="6" fontId="48" fillId="0" borderId="0" xfId="0" applyNumberFormat="1" applyFont="1"/>
    <xf numFmtId="0" fontId="21" fillId="0" borderId="7" xfId="0" applyFont="1" applyBorder="1" applyAlignment="1">
      <alignment horizontal="right"/>
    </xf>
    <xf numFmtId="17" fontId="21" fillId="0" borderId="7" xfId="0" applyNumberFormat="1" applyFont="1" applyBorder="1"/>
    <xf numFmtId="17" fontId="21" fillId="0" borderId="21" xfId="0" applyNumberFormat="1" applyFont="1" applyBorder="1"/>
    <xf numFmtId="6" fontId="53" fillId="0" borderId="0" xfId="0" applyNumberFormat="1" applyFont="1" applyAlignment="1">
      <alignment horizontal="left"/>
    </xf>
    <xf numFmtId="6" fontId="21" fillId="0" borderId="0" xfId="1" applyNumberFormat="1" applyFont="1" applyProtection="1"/>
    <xf numFmtId="1" fontId="54" fillId="6" borderId="0" xfId="1" applyNumberFormat="1" applyFont="1" applyFill="1" applyProtection="1"/>
    <xf numFmtId="1" fontId="55" fillId="6" borderId="0" xfId="1" applyNumberFormat="1" applyFont="1" applyFill="1" applyProtection="1"/>
    <xf numFmtId="1" fontId="55" fillId="0" borderId="0" xfId="1" applyNumberFormat="1" applyFont="1" applyProtection="1"/>
    <xf numFmtId="6" fontId="28" fillId="0" borderId="0" xfId="0" applyNumberFormat="1" applyFont="1" applyAlignment="1">
      <alignment horizontal="left"/>
    </xf>
    <xf numFmtId="6" fontId="21" fillId="0" borderId="0" xfId="1" applyNumberFormat="1" applyFont="1" applyFill="1" applyProtection="1"/>
    <xf numFmtId="5" fontId="21" fillId="0" borderId="0" xfId="1" applyNumberFormat="1" applyFont="1" applyFill="1" applyProtection="1"/>
    <xf numFmtId="5" fontId="21" fillId="0" borderId="22" xfId="1" applyNumberFormat="1" applyFont="1" applyFill="1" applyBorder="1" applyProtection="1"/>
    <xf numFmtId="6" fontId="22" fillId="0" borderId="10" xfId="0" applyNumberFormat="1" applyFont="1" applyBorder="1" applyAlignment="1">
      <alignment horizontal="left"/>
    </xf>
    <xf numFmtId="6" fontId="20" fillId="0" borderId="10" xfId="1" applyNumberFormat="1" applyFont="1" applyBorder="1" applyProtection="1"/>
    <xf numFmtId="5" fontId="20" fillId="0" borderId="10" xfId="1" applyNumberFormat="1" applyFont="1" applyBorder="1" applyProtection="1"/>
    <xf numFmtId="5" fontId="20" fillId="0" borderId="24" xfId="1" applyNumberFormat="1" applyFont="1" applyBorder="1" applyProtection="1"/>
    <xf numFmtId="9" fontId="56" fillId="0" borderId="0" xfId="3" applyFont="1" applyAlignment="1" applyProtection="1">
      <alignment horizontal="left"/>
    </xf>
    <xf numFmtId="5" fontId="56" fillId="0" borderId="0" xfId="3" applyNumberFormat="1" applyFont="1" applyProtection="1"/>
    <xf numFmtId="9" fontId="56" fillId="0" borderId="0" xfId="3" applyFont="1" applyProtection="1"/>
    <xf numFmtId="5" fontId="20" fillId="0" borderId="0" xfId="1" applyNumberFormat="1" applyFont="1" applyProtection="1"/>
    <xf numFmtId="5" fontId="20" fillId="0" borderId="22" xfId="1" applyNumberFormat="1" applyFont="1" applyBorder="1" applyProtection="1"/>
    <xf numFmtId="5" fontId="20" fillId="0" borderId="0" xfId="1" applyNumberFormat="1" applyFont="1" applyFill="1" applyBorder="1" applyProtection="1"/>
    <xf numFmtId="5" fontId="20" fillId="0" borderId="0" xfId="1" applyNumberFormat="1" applyFont="1" applyFill="1" applyProtection="1"/>
    <xf numFmtId="5" fontId="20" fillId="0" borderId="22" xfId="1" applyNumberFormat="1" applyFont="1" applyFill="1" applyBorder="1" applyProtection="1"/>
    <xf numFmtId="0" fontId="20" fillId="0" borderId="0" xfId="0" applyFont="1" applyAlignment="1">
      <alignment horizontal="left" vertical="center"/>
    </xf>
    <xf numFmtId="6" fontId="43" fillId="0" borderId="0" xfId="0" applyNumberFormat="1" applyFont="1"/>
    <xf numFmtId="6" fontId="22" fillId="4" borderId="0" xfId="0" applyNumberFormat="1" applyFont="1" applyFill="1" applyAlignment="1">
      <alignment horizontal="left"/>
    </xf>
    <xf numFmtId="6" fontId="20" fillId="4" borderId="0" xfId="1" applyNumberFormat="1" applyFont="1" applyFill="1" applyProtection="1"/>
    <xf numFmtId="5" fontId="20" fillId="4" borderId="0" xfId="88" applyNumberFormat="1" applyFont="1" applyFill="1" applyProtection="1">
      <protection locked="0"/>
    </xf>
    <xf numFmtId="6" fontId="22" fillId="0" borderId="0" xfId="0" applyNumberFormat="1" applyFont="1" applyAlignment="1">
      <alignment horizontal="left"/>
    </xf>
    <xf numFmtId="5" fontId="20" fillId="0" borderId="10" xfId="1" applyNumberFormat="1" applyFont="1" applyFill="1" applyBorder="1" applyProtection="1"/>
    <xf numFmtId="5" fontId="20" fillId="0" borderId="24" xfId="1" applyNumberFormat="1" applyFont="1" applyFill="1" applyBorder="1" applyProtection="1"/>
    <xf numFmtId="6" fontId="21" fillId="0" borderId="0" xfId="1" applyNumberFormat="1" applyFont="1" applyFill="1" applyBorder="1" applyProtection="1"/>
    <xf numFmtId="5" fontId="21" fillId="0" borderId="0" xfId="1" applyNumberFormat="1" applyFont="1" applyFill="1" applyBorder="1" applyProtection="1"/>
    <xf numFmtId="5" fontId="20" fillId="6" borderId="10" xfId="1" applyNumberFormat="1" applyFont="1" applyFill="1" applyBorder="1" applyProtection="1"/>
    <xf numFmtId="6" fontId="57" fillId="0" borderId="0" xfId="1" applyNumberFormat="1" applyFont="1" applyFill="1" applyAlignment="1" applyProtection="1">
      <alignment horizontal="right"/>
    </xf>
    <xf numFmtId="5" fontId="21" fillId="0" borderId="0" xfId="1" applyNumberFormat="1" applyFont="1" applyProtection="1"/>
    <xf numFmtId="5" fontId="21" fillId="0" borderId="22" xfId="1" applyNumberFormat="1" applyFont="1" applyBorder="1" applyProtection="1"/>
    <xf numFmtId="5" fontId="21" fillId="0" borderId="0" xfId="1" applyNumberFormat="1" applyFont="1" applyBorder="1" applyProtection="1"/>
    <xf numFmtId="9" fontId="20" fillId="0" borderId="10" xfId="3" applyFont="1" applyFill="1" applyBorder="1" applyProtection="1"/>
    <xf numFmtId="6" fontId="21" fillId="0" borderId="12" xfId="0" applyNumberFormat="1" applyFont="1" applyBorder="1" applyAlignment="1">
      <alignment horizontal="left" vertical="center"/>
    </xf>
    <xf numFmtId="6" fontId="21" fillId="0" borderId="12" xfId="1" applyNumberFormat="1" applyFont="1" applyFill="1" applyBorder="1" applyAlignment="1" applyProtection="1">
      <alignment vertical="center"/>
    </xf>
    <xf numFmtId="5" fontId="21" fillId="0" borderId="12" xfId="1" applyNumberFormat="1" applyFont="1" applyFill="1" applyBorder="1" applyAlignment="1" applyProtection="1">
      <alignment vertical="center"/>
    </xf>
    <xf numFmtId="5" fontId="21" fillId="0" borderId="25" xfId="1" applyNumberFormat="1" applyFont="1" applyFill="1" applyBorder="1" applyAlignment="1" applyProtection="1">
      <alignment vertical="center"/>
    </xf>
    <xf numFmtId="6" fontId="21" fillId="0" borderId="0" xfId="1" applyNumberFormat="1" applyFont="1" applyFill="1" applyAlignment="1" applyProtection="1">
      <alignment vertical="center"/>
    </xf>
    <xf numFmtId="6" fontId="21" fillId="0" borderId="14" xfId="0" applyNumberFormat="1" applyFont="1" applyBorder="1" applyAlignment="1">
      <alignment horizontal="left"/>
    </xf>
    <xf numFmtId="6" fontId="21" fillId="0" borderId="14" xfId="1" applyNumberFormat="1" applyFont="1" applyBorder="1" applyProtection="1"/>
    <xf numFmtId="5" fontId="21" fillId="0" borderId="14" xfId="1" applyNumberFormat="1" applyFont="1" applyBorder="1" applyProtection="1"/>
    <xf numFmtId="6" fontId="20" fillId="0" borderId="7" xfId="0" applyNumberFormat="1" applyFont="1" applyBorder="1" applyAlignment="1">
      <alignment horizontal="left"/>
    </xf>
    <xf numFmtId="6" fontId="20" fillId="0" borderId="7" xfId="1" applyNumberFormat="1" applyFont="1" applyFill="1" applyBorder="1" applyProtection="1"/>
    <xf numFmtId="5" fontId="20" fillId="0" borderId="7" xfId="1" applyNumberFormat="1" applyFont="1" applyFill="1" applyBorder="1" applyProtection="1"/>
    <xf numFmtId="6" fontId="21" fillId="9" borderId="0" xfId="0" applyNumberFormat="1" applyFont="1" applyFill="1" applyAlignment="1">
      <alignment horizontal="left"/>
    </xf>
    <xf numFmtId="6" fontId="21" fillId="9" borderId="0" xfId="1" applyNumberFormat="1" applyFont="1" applyFill="1" applyProtection="1"/>
    <xf numFmtId="6" fontId="21" fillId="9" borderId="0" xfId="1" applyNumberFormat="1" applyFont="1" applyFill="1" applyBorder="1" applyProtection="1"/>
    <xf numFmtId="0" fontId="30" fillId="0" borderId="7" xfId="0" applyFont="1" applyBorder="1" applyAlignment="1">
      <alignment horizontal="left"/>
    </xf>
    <xf numFmtId="17" fontId="21" fillId="0" borderId="0" xfId="0" applyNumberFormat="1" applyFont="1"/>
    <xf numFmtId="17" fontId="21" fillId="0" borderId="22" xfId="0" applyNumberFormat="1" applyFont="1" applyBorder="1"/>
    <xf numFmtId="6" fontId="20" fillId="0" borderId="0" xfId="0" applyNumberFormat="1" applyFont="1" applyAlignment="1">
      <alignment horizontal="left" indent="1"/>
    </xf>
    <xf numFmtId="37" fontId="20" fillId="0" borderId="0" xfId="0" applyNumberFormat="1" applyFont="1"/>
    <xf numFmtId="37" fontId="20" fillId="0" borderId="0" xfId="1" applyNumberFormat="1" applyFont="1" applyFill="1" applyProtection="1"/>
    <xf numFmtId="6" fontId="20" fillId="0" borderId="10" xfId="0" applyNumberFormat="1" applyFont="1" applyBorder="1" applyAlignment="1">
      <alignment horizontal="left" indent="1"/>
    </xf>
    <xf numFmtId="6" fontId="20" fillId="0" borderId="10" xfId="0" applyNumberFormat="1" applyFont="1" applyBorder="1"/>
    <xf numFmtId="37" fontId="20" fillId="0" borderId="10" xfId="1" applyNumberFormat="1" applyFont="1" applyFill="1" applyBorder="1" applyProtection="1"/>
    <xf numFmtId="6" fontId="20" fillId="0" borderId="0" xfId="2" applyNumberFormat="1" applyFont="1" applyFill="1" applyProtection="1"/>
    <xf numFmtId="6" fontId="20" fillId="0" borderId="10" xfId="2" applyNumberFormat="1" applyFont="1" applyFill="1" applyBorder="1" applyProtection="1"/>
    <xf numFmtId="6" fontId="21" fillId="0" borderId="0" xfId="0" applyNumberFormat="1" applyFont="1" applyAlignment="1">
      <alignment horizontal="left" indent="1"/>
    </xf>
    <xf numFmtId="6" fontId="21" fillId="0" borderId="0" xfId="0" applyNumberFormat="1" applyFont="1"/>
    <xf numFmtId="37" fontId="21" fillId="0" borderId="0" xfId="1" applyNumberFormat="1" applyFont="1" applyFill="1" applyProtection="1"/>
    <xf numFmtId="37" fontId="21" fillId="0" borderId="0" xfId="0" applyNumberFormat="1" applyFont="1"/>
    <xf numFmtId="0" fontId="21" fillId="0" borderId="12" xfId="0" applyFont="1" applyBorder="1" applyAlignment="1">
      <alignment horizontal="left" vertical="center"/>
    </xf>
    <xf numFmtId="0" fontId="21" fillId="0" borderId="12" xfId="0" applyFont="1" applyBorder="1" applyAlignment="1">
      <alignment horizontal="center" vertical="center"/>
    </xf>
    <xf numFmtId="37" fontId="21" fillId="0" borderId="12" xfId="0" applyNumberFormat="1" applyFont="1" applyBorder="1" applyAlignment="1">
      <alignment horizontal="right" vertical="center"/>
    </xf>
    <xf numFmtId="37" fontId="21" fillId="0" borderId="0" xfId="0" applyNumberFormat="1" applyFont="1" applyAlignment="1">
      <alignment horizontal="center" vertical="center"/>
    </xf>
    <xf numFmtId="0" fontId="21" fillId="0" borderId="0" xfId="0" applyFont="1" applyAlignment="1">
      <alignment horizontal="center" vertical="center"/>
    </xf>
    <xf numFmtId="37" fontId="20" fillId="0" borderId="7" xfId="1" applyNumberFormat="1" applyFont="1" applyBorder="1" applyProtection="1"/>
    <xf numFmtId="37" fontId="21" fillId="0" borderId="7" xfId="1" applyNumberFormat="1" applyFont="1" applyBorder="1" applyProtection="1"/>
    <xf numFmtId="37" fontId="21" fillId="0" borderId="7" xfId="1" applyNumberFormat="1" applyFont="1" applyFill="1" applyBorder="1" applyProtection="1"/>
    <xf numFmtId="37" fontId="20" fillId="0" borderId="0" xfId="1" applyNumberFormat="1" applyFont="1" applyProtection="1"/>
    <xf numFmtId="37" fontId="21" fillId="0" borderId="0" xfId="1" applyNumberFormat="1" applyFont="1" applyProtection="1"/>
    <xf numFmtId="37" fontId="21" fillId="0" borderId="0" xfId="1" applyNumberFormat="1" applyFont="1" applyFill="1" applyBorder="1" applyProtection="1"/>
    <xf numFmtId="37" fontId="20" fillId="0" borderId="0" xfId="1" applyNumberFormat="1" applyFont="1" applyFill="1" applyBorder="1" applyProtection="1"/>
    <xf numFmtId="37" fontId="20" fillId="0" borderId="10" xfId="1" applyNumberFormat="1" applyFont="1" applyBorder="1" applyProtection="1"/>
    <xf numFmtId="37" fontId="20" fillId="0" borderId="0" xfId="1" applyNumberFormat="1" applyFont="1" applyBorder="1" applyProtection="1"/>
    <xf numFmtId="37" fontId="20" fillId="6" borderId="0" xfId="1" applyNumberFormat="1" applyFont="1" applyFill="1" applyBorder="1" applyProtection="1"/>
    <xf numFmtId="6" fontId="21" fillId="0" borderId="15" xfId="0" applyNumberFormat="1" applyFont="1" applyBorder="1" applyAlignment="1">
      <alignment horizontal="left" vertical="center"/>
    </xf>
    <xf numFmtId="6" fontId="21" fillId="0" borderId="15" xfId="0" applyNumberFormat="1" applyFont="1" applyBorder="1" applyAlignment="1">
      <alignment horizontal="center" vertical="center"/>
    </xf>
    <xf numFmtId="37" fontId="21" fillId="0" borderId="15" xfId="1" applyNumberFormat="1" applyFont="1" applyBorder="1" applyAlignment="1" applyProtection="1">
      <alignment horizontal="right" vertical="center"/>
    </xf>
    <xf numFmtId="37" fontId="21" fillId="0" borderId="0" xfId="1" applyNumberFormat="1" applyFont="1" applyAlignment="1" applyProtection="1">
      <alignment horizontal="center" vertical="center"/>
    </xf>
    <xf numFmtId="6" fontId="21" fillId="0" borderId="0" xfId="1" applyNumberFormat="1" applyFont="1" applyAlignment="1" applyProtection="1">
      <alignment horizontal="center" vertical="center"/>
    </xf>
    <xf numFmtId="6" fontId="21" fillId="0" borderId="0" xfId="0" applyNumberFormat="1" applyFont="1" applyAlignment="1">
      <alignment horizontal="center" vertical="center"/>
    </xf>
    <xf numFmtId="1" fontId="21" fillId="0" borderId="0" xfId="89" applyNumberFormat="1" applyFont="1" applyBorder="1" applyProtection="1"/>
    <xf numFmtId="1" fontId="20" fillId="4" borderId="0" xfId="89" applyNumberFormat="1" applyFont="1" applyFill="1" applyBorder="1" applyProtection="1"/>
    <xf numFmtId="1" fontId="21" fillId="0" borderId="0" xfId="0" applyNumberFormat="1" applyFont="1" applyBorder="1"/>
    <xf numFmtId="1" fontId="21" fillId="3" borderId="0" xfId="88" applyNumberFormat="1" applyFont="1" applyFill="1" applyBorder="1" applyAlignment="1" applyProtection="1">
      <alignment horizontal="center"/>
    </xf>
    <xf numFmtId="173" fontId="21" fillId="0" borderId="0" xfId="88" applyNumberFormat="1" applyFont="1" applyFill="1" applyAlignment="1" applyProtection="1">
      <alignment horizontal="center"/>
    </xf>
    <xf numFmtId="0" fontId="20" fillId="0" borderId="0" xfId="0" applyFont="1" applyFill="1" applyAlignment="1">
      <alignment horizontal="center"/>
    </xf>
    <xf numFmtId="0" fontId="21" fillId="0" borderId="0" xfId="0" applyFont="1" applyBorder="1" applyAlignment="1">
      <alignment horizontal="left" vertical="center"/>
    </xf>
    <xf numFmtId="1" fontId="21" fillId="0" borderId="0" xfId="2" applyNumberFormat="1" applyFont="1" applyFill="1" applyBorder="1" applyAlignment="1" applyProtection="1">
      <alignment horizontal="right"/>
    </xf>
    <xf numFmtId="6" fontId="20" fillId="16" borderId="0" xfId="1" applyNumberFormat="1" applyFont="1" applyFill="1" applyProtection="1"/>
    <xf numFmtId="6" fontId="21" fillId="16" borderId="0" xfId="1" applyNumberFormat="1" applyFont="1" applyFill="1" applyProtection="1"/>
    <xf numFmtId="0" fontId="20" fillId="4" borderId="0" xfId="88" applyNumberFormat="1" applyFont="1" applyFill="1" applyBorder="1" applyAlignment="1" applyProtection="1">
      <alignment horizontal="center"/>
      <protection locked="0"/>
    </xf>
    <xf numFmtId="0" fontId="20" fillId="0" borderId="0" xfId="88" applyNumberFormat="1" applyFont="1" applyFill="1" applyBorder="1" applyProtection="1">
      <protection locked="0"/>
    </xf>
    <xf numFmtId="174" fontId="20" fillId="4" borderId="0" xfId="88" applyNumberFormat="1" applyFont="1" applyFill="1" applyBorder="1" applyProtection="1">
      <protection locked="0"/>
    </xf>
    <xf numFmtId="6" fontId="20" fillId="0" borderId="0" xfId="1" applyNumberFormat="1" applyFont="1" applyAlignment="1" applyProtection="1">
      <alignment horizontal="left"/>
    </xf>
    <xf numFmtId="171" fontId="20" fillId="0" borderId="2" xfId="3" applyNumberFormat="1" applyFont="1" applyFill="1" applyBorder="1" applyProtection="1"/>
    <xf numFmtId="44" fontId="21" fillId="2" borderId="0" xfId="0" applyNumberFormat="1" applyFont="1" applyFill="1" applyBorder="1" applyAlignment="1">
      <alignment horizontal="left" vertical="center"/>
    </xf>
    <xf numFmtId="171" fontId="20" fillId="0" borderId="0" xfId="3" applyNumberFormat="1" applyFont="1" applyFill="1" applyBorder="1" applyProtection="1"/>
    <xf numFmtId="6" fontId="20" fillId="0" borderId="0" xfId="0" applyNumberFormat="1" applyFont="1" applyAlignment="1">
      <alignment horizontal="left" vertical="center"/>
    </xf>
    <xf numFmtId="6" fontId="21" fillId="0" borderId="0" xfId="1" applyNumberFormat="1" applyFont="1" applyBorder="1" applyAlignment="1" applyProtection="1">
      <alignment horizontal="right" vertical="center"/>
    </xf>
    <xf numFmtId="6" fontId="20" fillId="3" borderId="0" xfId="1" applyNumberFormat="1" applyFont="1" applyFill="1" applyBorder="1" applyProtection="1"/>
    <xf numFmtId="165" fontId="20" fillId="3" borderId="0" xfId="2" applyNumberFormat="1" applyFont="1" applyFill="1" applyBorder="1" applyAlignment="1" applyProtection="1">
      <alignment horizontal="center" vertical="center"/>
    </xf>
    <xf numFmtId="0" fontId="20" fillId="3" borderId="0" xfId="3" applyNumberFormat="1" applyFont="1" applyFill="1" applyBorder="1" applyAlignment="1" applyProtection="1">
      <alignment horizontal="left" vertical="center"/>
    </xf>
    <xf numFmtId="6" fontId="21" fillId="3" borderId="0" xfId="0" applyNumberFormat="1" applyFont="1" applyFill="1" applyBorder="1" applyAlignment="1">
      <alignment horizontal="left"/>
    </xf>
    <xf numFmtId="6" fontId="50" fillId="3" borderId="0" xfId="1" applyNumberFormat="1" applyFont="1" applyFill="1" applyBorder="1" applyAlignment="1" applyProtection="1">
      <alignment horizontal="center"/>
    </xf>
    <xf numFmtId="0" fontId="20" fillId="3" borderId="0" xfId="88" applyNumberFormat="1" applyFont="1" applyFill="1" applyBorder="1" applyAlignment="1" applyProtection="1">
      <alignment horizontal="center"/>
      <protection locked="0"/>
    </xf>
    <xf numFmtId="10" fontId="21" fillId="3" borderId="0" xfId="3" applyNumberFormat="1" applyFont="1" applyFill="1" applyAlignment="1" applyProtection="1"/>
    <xf numFmtId="6" fontId="21" fillId="0" borderId="0" xfId="1" applyNumberFormat="1" applyFont="1" applyAlignment="1" applyProtection="1">
      <alignment horizontal="right"/>
    </xf>
    <xf numFmtId="174" fontId="20" fillId="3" borderId="0" xfId="88" applyNumberFormat="1" applyFont="1" applyFill="1" applyBorder="1" applyProtection="1">
      <protection locked="0"/>
    </xf>
    <xf numFmtId="2" fontId="20" fillId="0" borderId="7" xfId="0" applyNumberFormat="1" applyFont="1" applyBorder="1" applyAlignment="1">
      <alignment horizontal="center"/>
    </xf>
    <xf numFmtId="6" fontId="20" fillId="0" borderId="7" xfId="0" applyNumberFormat="1" applyFont="1" applyBorder="1" applyAlignment="1">
      <alignment horizontal="right"/>
    </xf>
    <xf numFmtId="1" fontId="21" fillId="0" borderId="0" xfId="2" applyNumberFormat="1" applyFont="1" applyBorder="1" applyAlignment="1" applyProtection="1"/>
    <xf numFmtId="6" fontId="21" fillId="3" borderId="0" xfId="1" applyNumberFormat="1" applyFont="1" applyFill="1" applyProtection="1"/>
    <xf numFmtId="6" fontId="20" fillId="3" borderId="0" xfId="1" applyNumberFormat="1" applyFont="1" applyFill="1" applyProtection="1"/>
    <xf numFmtId="9" fontId="21" fillId="3" borderId="0" xfId="3" applyFont="1" applyFill="1" applyAlignment="1" applyProtection="1">
      <alignment horizontal="center"/>
    </xf>
    <xf numFmtId="10" fontId="21" fillId="3" borderId="0" xfId="3" applyNumberFormat="1" applyFont="1" applyFill="1" applyAlignment="1" applyProtection="1">
      <alignment horizontal="center"/>
    </xf>
    <xf numFmtId="10" fontId="21" fillId="16" borderId="0" xfId="3" applyNumberFormat="1" applyFont="1" applyFill="1" applyAlignment="1" applyProtection="1">
      <alignment horizontal="right"/>
    </xf>
    <xf numFmtId="6" fontId="20" fillId="12" borderId="0" xfId="1" applyNumberFormat="1" applyFont="1" applyFill="1" applyProtection="1"/>
    <xf numFmtId="174" fontId="20" fillId="12" borderId="0" xfId="1" applyNumberFormat="1" applyFont="1" applyFill="1" applyAlignment="1" applyProtection="1">
      <alignment horizontal="right"/>
    </xf>
    <xf numFmtId="0" fontId="21" fillId="0" borderId="0" xfId="3" applyNumberFormat="1" applyFont="1" applyBorder="1" applyAlignment="1" applyProtection="1">
      <alignment horizontal="left" vertical="center"/>
    </xf>
    <xf numFmtId="6" fontId="21" fillId="12" borderId="0" xfId="1" applyNumberFormat="1" applyFont="1" applyFill="1" applyProtection="1"/>
    <xf numFmtId="6" fontId="20" fillId="0" borderId="0" xfId="0" applyNumberFormat="1" applyFont="1" applyAlignment="1">
      <alignment horizontal="right"/>
    </xf>
    <xf numFmtId="6" fontId="20" fillId="12" borderId="0" xfId="0" applyNumberFormat="1" applyFont="1" applyFill="1" applyBorder="1"/>
    <xf numFmtId="174" fontId="20" fillId="12" borderId="0" xfId="1" applyNumberFormat="1" applyFont="1" applyFill="1" applyProtection="1"/>
    <xf numFmtId="174" fontId="20" fillId="12" borderId="0" xfId="0" applyNumberFormat="1" applyFont="1" applyFill="1" applyBorder="1"/>
    <xf numFmtId="6" fontId="20" fillId="12" borderId="0" xfId="1" applyNumberFormat="1" applyFont="1" applyFill="1" applyAlignment="1" applyProtection="1">
      <alignment horizontal="right"/>
    </xf>
    <xf numFmtId="172" fontId="20" fillId="3" borderId="0" xfId="88" applyNumberFormat="1" applyFont="1" applyFill="1" applyBorder="1" applyAlignment="1" applyProtection="1">
      <alignment horizontal="left"/>
      <protection locked="0"/>
    </xf>
    <xf numFmtId="6" fontId="20" fillId="12" borderId="0" xfId="1" applyNumberFormat="1" applyFont="1" applyFill="1" applyBorder="1" applyProtection="1"/>
    <xf numFmtId="0" fontId="20" fillId="0" borderId="8" xfId="0" applyFont="1" applyBorder="1" applyAlignment="1">
      <alignment vertical="center"/>
    </xf>
    <xf numFmtId="6" fontId="20" fillId="0" borderId="8" xfId="0" applyNumberFormat="1" applyFont="1" applyBorder="1"/>
    <xf numFmtId="6" fontId="20" fillId="0" borderId="9" xfId="0" applyNumberFormat="1" applyFont="1" applyBorder="1"/>
    <xf numFmtId="1" fontId="20" fillId="0" borderId="8" xfId="2" applyNumberFormat="1" applyFont="1" applyBorder="1" applyProtection="1"/>
    <xf numFmtId="6" fontId="20" fillId="0" borderId="8" xfId="1" applyNumberFormat="1" applyFont="1" applyBorder="1" applyProtection="1"/>
    <xf numFmtId="6" fontId="52" fillId="0" borderId="8" xfId="1" applyNumberFormat="1" applyFont="1" applyFill="1" applyBorder="1" applyProtection="1"/>
    <xf numFmtId="6" fontId="20" fillId="0" borderId="8" xfId="1" applyNumberFormat="1" applyFont="1" applyFill="1" applyBorder="1" applyProtection="1"/>
    <xf numFmtId="1" fontId="21" fillId="0" borderId="8" xfId="2" applyNumberFormat="1" applyFont="1" applyFill="1" applyBorder="1" applyProtection="1"/>
    <xf numFmtId="6" fontId="20" fillId="6" borderId="8" xfId="2" applyNumberFormat="1" applyFont="1" applyFill="1" applyBorder="1" applyProtection="1"/>
    <xf numFmtId="17" fontId="21" fillId="0" borderId="9" xfId="0" applyNumberFormat="1" applyFont="1" applyBorder="1"/>
    <xf numFmtId="1" fontId="54" fillId="6" borderId="8" xfId="1" applyNumberFormat="1" applyFont="1" applyFill="1" applyBorder="1" applyProtection="1"/>
    <xf numFmtId="1" fontId="55" fillId="6" borderId="8" xfId="1" applyNumberFormat="1" applyFont="1" applyFill="1" applyBorder="1" applyProtection="1"/>
    <xf numFmtId="1" fontId="55" fillId="0" borderId="8" xfId="1" applyNumberFormat="1" applyFont="1" applyBorder="1" applyProtection="1"/>
    <xf numFmtId="5" fontId="21" fillId="0" borderId="8" xfId="1" applyNumberFormat="1" applyFont="1" applyFill="1" applyBorder="1" applyProtection="1"/>
    <xf numFmtId="5" fontId="20" fillId="0" borderId="11" xfId="1" applyNumberFormat="1" applyFont="1" applyBorder="1" applyProtection="1"/>
    <xf numFmtId="9" fontId="56" fillId="0" borderId="8" xfId="3" applyFont="1" applyBorder="1" applyProtection="1"/>
    <xf numFmtId="5" fontId="20" fillId="0" borderId="8" xfId="1" applyNumberFormat="1" applyFont="1" applyBorder="1" applyProtection="1"/>
    <xf numFmtId="5" fontId="20" fillId="4" borderId="8" xfId="88" applyNumberFormat="1" applyFont="1" applyFill="1" applyBorder="1" applyProtection="1">
      <protection locked="0"/>
    </xf>
    <xf numFmtId="5" fontId="20" fillId="6" borderId="11" xfId="1" applyNumberFormat="1" applyFont="1" applyFill="1" applyBorder="1" applyProtection="1"/>
    <xf numFmtId="5" fontId="21" fillId="0" borderId="8" xfId="1" applyNumberFormat="1" applyFont="1" applyBorder="1" applyProtection="1"/>
    <xf numFmtId="5" fontId="21" fillId="0" borderId="13" xfId="1" applyNumberFormat="1" applyFont="1" applyFill="1" applyBorder="1" applyAlignment="1" applyProtection="1">
      <alignment vertical="center"/>
    </xf>
    <xf numFmtId="5" fontId="21" fillId="0" borderId="38" xfId="1" applyNumberFormat="1" applyFont="1" applyBorder="1" applyProtection="1"/>
    <xf numFmtId="5" fontId="20" fillId="0" borderId="9" xfId="1" applyNumberFormat="1" applyFont="1" applyFill="1" applyBorder="1" applyProtection="1"/>
    <xf numFmtId="6" fontId="21" fillId="0" borderId="8" xfId="1" applyNumberFormat="1" applyFont="1" applyBorder="1" applyProtection="1"/>
    <xf numFmtId="6" fontId="21" fillId="9" borderId="8" xfId="1" applyNumberFormat="1" applyFont="1" applyFill="1" applyBorder="1" applyProtection="1"/>
    <xf numFmtId="17" fontId="21" fillId="0" borderId="8" xfId="0" applyNumberFormat="1" applyFont="1" applyBorder="1"/>
    <xf numFmtId="6" fontId="20" fillId="0" borderId="9" xfId="1" applyNumberFormat="1" applyFont="1" applyFill="1" applyBorder="1" applyProtection="1"/>
    <xf numFmtId="37" fontId="20" fillId="0" borderId="8" xfId="1" applyNumberFormat="1" applyFont="1" applyFill="1" applyBorder="1" applyProtection="1"/>
    <xf numFmtId="37" fontId="21" fillId="0" borderId="8" xfId="1" applyNumberFormat="1" applyFont="1" applyFill="1" applyBorder="1" applyProtection="1"/>
    <xf numFmtId="37" fontId="21" fillId="0" borderId="8" xfId="0" applyNumberFormat="1" applyFont="1" applyBorder="1"/>
    <xf numFmtId="37" fontId="21" fillId="0" borderId="9" xfId="1" applyNumberFormat="1" applyFont="1" applyBorder="1" applyProtection="1"/>
    <xf numFmtId="37" fontId="21" fillId="0" borderId="8" xfId="1" applyNumberFormat="1" applyFont="1" applyBorder="1" applyProtection="1"/>
    <xf numFmtId="37" fontId="20" fillId="0" borderId="8" xfId="1" applyNumberFormat="1" applyFont="1" applyBorder="1" applyProtection="1"/>
    <xf numFmtId="37" fontId="20" fillId="0" borderId="11" xfId="1" applyNumberFormat="1" applyFont="1" applyBorder="1" applyProtection="1"/>
    <xf numFmtId="37" fontId="20" fillId="6" borderId="8" xfId="1" applyNumberFormat="1" applyFont="1" applyFill="1" applyBorder="1" applyProtection="1"/>
    <xf numFmtId="1" fontId="20" fillId="21" borderId="0" xfId="3" applyNumberFormat="1" applyFont="1" applyFill="1" applyAlignment="1" applyProtection="1">
      <alignment horizontal="right"/>
    </xf>
    <xf numFmtId="1" fontId="21" fillId="0" borderId="0" xfId="2" applyNumberFormat="1" applyFont="1" applyFill="1" applyBorder="1" applyAlignment="1" applyProtection="1">
      <alignment horizontal="center"/>
    </xf>
    <xf numFmtId="1" fontId="21" fillId="0" borderId="0" xfId="0" applyNumberFormat="1" applyFont="1" applyBorder="1" applyAlignment="1">
      <alignment horizontal="center"/>
    </xf>
    <xf numFmtId="174" fontId="20" fillId="21" borderId="0" xfId="1" applyNumberFormat="1" applyFont="1" applyFill="1" applyAlignment="1" applyProtection="1">
      <alignment horizontal="right"/>
    </xf>
    <xf numFmtId="174" fontId="20" fillId="12" borderId="0" xfId="88" applyNumberFormat="1" applyFont="1" applyFill="1" applyBorder="1" applyProtection="1">
      <protection locked="0"/>
    </xf>
    <xf numFmtId="174" fontId="20" fillId="0" borderId="0" xfId="1" applyNumberFormat="1" applyFont="1" applyProtection="1"/>
    <xf numFmtId="174" fontId="20" fillId="4" borderId="0" xfId="1" applyNumberFormat="1" applyFont="1" applyFill="1" applyBorder="1" applyAlignment="1" applyProtection="1">
      <alignment horizontal="right"/>
    </xf>
    <xf numFmtId="174" fontId="20" fillId="4" borderId="0" xfId="1" applyNumberFormat="1" applyFont="1" applyFill="1" applyBorder="1" applyProtection="1"/>
    <xf numFmtId="174" fontId="20" fillId="21" borderId="0" xfId="1" applyNumberFormat="1" applyFont="1" applyFill="1" applyProtection="1"/>
    <xf numFmtId="174" fontId="20" fillId="3" borderId="0" xfId="1" applyNumberFormat="1" applyFont="1" applyFill="1" applyProtection="1"/>
    <xf numFmtId="175" fontId="20" fillId="21" borderId="0" xfId="1" applyNumberFormat="1" applyFont="1" applyFill="1" applyProtection="1"/>
    <xf numFmtId="44" fontId="61" fillId="21" borderId="0" xfId="76" applyNumberFormat="1" applyFont="1" applyFill="1" applyBorder="1"/>
    <xf numFmtId="174" fontId="20" fillId="0" borderId="0" xfId="1" applyNumberFormat="1" applyFont="1" applyFill="1" applyBorder="1" applyProtection="1"/>
    <xf numFmtId="165" fontId="20" fillId="0" borderId="0" xfId="2" applyNumberFormat="1" applyFont="1" applyFill="1" applyBorder="1" applyAlignment="1" applyProtection="1">
      <alignment horizontal="center" vertical="center"/>
    </xf>
    <xf numFmtId="6" fontId="50" fillId="0" borderId="0" xfId="1" applyNumberFormat="1" applyFont="1" applyFill="1" applyBorder="1" applyAlignment="1" applyProtection="1">
      <alignment horizontal="center"/>
    </xf>
    <xf numFmtId="174" fontId="20" fillId="3" borderId="0" xfId="1" applyNumberFormat="1" applyFont="1" applyFill="1" applyBorder="1" applyProtection="1"/>
    <xf numFmtId="6" fontId="20" fillId="3" borderId="8" xfId="1" applyNumberFormat="1" applyFont="1" applyFill="1" applyBorder="1" applyProtection="1"/>
    <xf numFmtId="49" fontId="50" fillId="3" borderId="0" xfId="1" applyNumberFormat="1" applyFont="1" applyFill="1" applyBorder="1" applyAlignment="1" applyProtection="1">
      <alignment horizontal="center"/>
    </xf>
    <xf numFmtId="49" fontId="49" fillId="0" borderId="0" xfId="2" applyNumberFormat="1" applyFont="1" applyFill="1" applyBorder="1" applyAlignment="1" applyProtection="1">
      <alignment horizontal="left" vertical="center"/>
    </xf>
    <xf numFmtId="49" fontId="49" fillId="0" borderId="0" xfId="2" applyNumberFormat="1" applyFont="1" applyFill="1" applyBorder="1" applyAlignment="1" applyProtection="1">
      <alignment horizontal="center" vertical="center"/>
    </xf>
    <xf numFmtId="6" fontId="22" fillId="0" borderId="16" xfId="0" applyNumberFormat="1" applyFont="1" applyBorder="1" applyAlignment="1">
      <alignment horizontal="left"/>
    </xf>
    <xf numFmtId="6" fontId="20" fillId="0" borderId="16" xfId="1" applyNumberFormat="1" applyFont="1" applyBorder="1" applyProtection="1"/>
    <xf numFmtId="5" fontId="20" fillId="0" borderId="16" xfId="1" applyNumberFormat="1" applyFont="1" applyBorder="1" applyProtection="1"/>
    <xf numFmtId="9" fontId="20" fillId="4" borderId="0" xfId="3" applyFont="1" applyFill="1" applyBorder="1" applyAlignment="1" applyProtection="1">
      <alignment horizontal="right"/>
    </xf>
    <xf numFmtId="1" fontId="20" fillId="4" borderId="0" xfId="1" applyNumberFormat="1" applyFont="1" applyFill="1" applyBorder="1" applyAlignment="1" applyProtection="1">
      <alignment horizontal="right"/>
    </xf>
    <xf numFmtId="1" fontId="20" fillId="3" borderId="0" xfId="2" applyNumberFormat="1" applyFont="1" applyFill="1" applyBorder="1" applyAlignment="1" applyProtection="1">
      <alignment horizontal="right" vertical="center"/>
    </xf>
    <xf numFmtId="9" fontId="20" fillId="4" borderId="0" xfId="3" applyFont="1" applyFill="1" applyBorder="1" applyAlignment="1" applyProtection="1">
      <alignment horizontal="right" vertical="center"/>
    </xf>
    <xf numFmtId="165" fontId="20" fillId="4" borderId="0" xfId="2" applyNumberFormat="1" applyFont="1" applyFill="1" applyBorder="1" applyAlignment="1" applyProtection="1">
      <alignment horizontal="right" vertical="center"/>
    </xf>
    <xf numFmtId="165" fontId="20" fillId="3" borderId="0" xfId="2" applyNumberFormat="1" applyFont="1" applyFill="1" applyBorder="1" applyAlignment="1" applyProtection="1">
      <alignment horizontal="right" vertical="center"/>
    </xf>
    <xf numFmtId="6" fontId="20" fillId="18" borderId="0" xfId="1" applyNumberFormat="1" applyFont="1" applyFill="1" applyProtection="1"/>
    <xf numFmtId="17" fontId="21" fillId="0" borderId="7" xfId="1" applyNumberFormat="1" applyFont="1" applyFill="1" applyBorder="1" applyProtection="1"/>
    <xf numFmtId="17" fontId="21" fillId="0" borderId="9" xfId="1" applyNumberFormat="1" applyFont="1" applyFill="1" applyBorder="1" applyProtection="1"/>
    <xf numFmtId="6" fontId="20" fillId="12" borderId="0" xfId="1" applyNumberFormat="1" applyFont="1" applyFill="1" applyAlignment="1" applyProtection="1"/>
    <xf numFmtId="6" fontId="60" fillId="0" borderId="0" xfId="1" applyNumberFormat="1" applyFont="1" applyProtection="1"/>
    <xf numFmtId="10" fontId="20" fillId="3" borderId="0" xfId="3" applyNumberFormat="1" applyFont="1" applyFill="1" applyBorder="1" applyProtection="1"/>
    <xf numFmtId="6" fontId="21" fillId="0" borderId="7" xfId="0" applyNumberFormat="1" applyFont="1" applyBorder="1" applyAlignment="1">
      <alignment horizontal="center"/>
    </xf>
    <xf numFmtId="6" fontId="20" fillId="0" borderId="40" xfId="1" applyNumberFormat="1" applyFont="1" applyBorder="1" applyProtection="1"/>
    <xf numFmtId="6" fontId="20" fillId="0" borderId="0" xfId="0" applyNumberFormat="1" applyFont="1" applyBorder="1" applyAlignment="1">
      <alignment horizontal="left" vertical="center"/>
    </xf>
    <xf numFmtId="9" fontId="20" fillId="21" borderId="0" xfId="1" applyNumberFormat="1" applyFont="1" applyFill="1" applyBorder="1" applyProtection="1"/>
    <xf numFmtId="10" fontId="20" fillId="21" borderId="41" xfId="1" applyNumberFormat="1" applyFont="1" applyFill="1" applyBorder="1" applyProtection="1"/>
    <xf numFmtId="174" fontId="21" fillId="0" borderId="0" xfId="0" applyNumberFormat="1" applyFont="1" applyBorder="1"/>
    <xf numFmtId="5" fontId="20" fillId="18" borderId="0" xfId="1" applyNumberFormat="1" applyFont="1" applyFill="1" applyProtection="1"/>
    <xf numFmtId="6" fontId="28" fillId="18" borderId="0" xfId="0" applyNumberFormat="1" applyFont="1" applyFill="1" applyAlignment="1">
      <alignment horizontal="right"/>
    </xf>
    <xf numFmtId="173" fontId="20" fillId="18" borderId="0" xfId="88" applyNumberFormat="1" applyFont="1" applyFill="1" applyProtection="1"/>
    <xf numFmtId="6" fontId="21" fillId="0" borderId="39" xfId="1" applyNumberFormat="1" applyFont="1" applyBorder="1" applyProtection="1"/>
    <xf numFmtId="165" fontId="20" fillId="0" borderId="0" xfId="2" applyNumberFormat="1" applyFont="1" applyFill="1" applyBorder="1" applyAlignment="1" applyProtection="1">
      <alignment horizontal="right" vertical="center"/>
    </xf>
    <xf numFmtId="1" fontId="20" fillId="0" borderId="0" xfId="2" applyNumberFormat="1" applyFont="1" applyFill="1" applyBorder="1" applyAlignment="1" applyProtection="1">
      <alignment horizontal="right" vertical="center"/>
    </xf>
    <xf numFmtId="49" fontId="50" fillId="0" borderId="0" xfId="1" applyNumberFormat="1" applyFont="1" applyFill="1" applyBorder="1" applyAlignment="1" applyProtection="1">
      <alignment horizontal="center"/>
    </xf>
    <xf numFmtId="1" fontId="20" fillId="12" borderId="0" xfId="1" applyNumberFormat="1" applyFont="1" applyFill="1" applyBorder="1" applyProtection="1"/>
    <xf numFmtId="6" fontId="60" fillId="0" borderId="0" xfId="1" applyNumberFormat="1" applyFont="1" applyFill="1" applyBorder="1" applyAlignment="1" applyProtection="1">
      <alignment horizontal="center"/>
    </xf>
    <xf numFmtId="1" fontId="20" fillId="0" borderId="0" xfId="1" applyNumberFormat="1" applyFont="1" applyFill="1" applyBorder="1" applyProtection="1"/>
    <xf numFmtId="1" fontId="20" fillId="0" borderId="0" xfId="1" applyNumberFormat="1" applyFont="1" applyFill="1" applyBorder="1" applyAlignment="1" applyProtection="1">
      <alignment horizontal="right"/>
    </xf>
    <xf numFmtId="49" fontId="60" fillId="0" borderId="0" xfId="1" applyNumberFormat="1" applyFont="1" applyFill="1" applyBorder="1" applyAlignment="1" applyProtection="1">
      <alignment horizontal="center"/>
    </xf>
    <xf numFmtId="9" fontId="20" fillId="15" borderId="0" xfId="3" applyFont="1" applyFill="1" applyBorder="1" applyProtection="1"/>
    <xf numFmtId="9" fontId="20" fillId="18" borderId="0" xfId="3" applyFont="1" applyFill="1" applyBorder="1" applyProtection="1"/>
    <xf numFmtId="5" fontId="20" fillId="0" borderId="17" xfId="1" applyNumberFormat="1" applyFont="1" applyBorder="1" applyProtection="1"/>
    <xf numFmtId="37" fontId="20" fillId="0" borderId="11" xfId="1" applyNumberFormat="1" applyFont="1" applyFill="1" applyBorder="1" applyProtection="1"/>
    <xf numFmtId="37" fontId="21" fillId="0" borderId="13" xfId="0" applyNumberFormat="1" applyFont="1" applyBorder="1" applyAlignment="1">
      <alignment horizontal="right" vertical="center"/>
    </xf>
    <xf numFmtId="37" fontId="21" fillId="0" borderId="42" xfId="1" applyNumberFormat="1" applyFont="1" applyBorder="1" applyAlignment="1" applyProtection="1">
      <alignment horizontal="right" vertical="center"/>
    </xf>
    <xf numFmtId="6" fontId="21" fillId="0" borderId="0" xfId="0" applyNumberFormat="1" applyFont="1" applyAlignment="1">
      <alignment horizontal="right"/>
    </xf>
    <xf numFmtId="6" fontId="21" fillId="0" borderId="22" xfId="0" applyNumberFormat="1" applyFont="1" applyBorder="1"/>
    <xf numFmtId="1" fontId="54" fillId="0" borderId="0" xfId="1" applyNumberFormat="1" applyFont="1" applyFill="1" applyProtection="1"/>
    <xf numFmtId="1" fontId="54" fillId="0" borderId="22" xfId="1" applyNumberFormat="1" applyFont="1" applyFill="1" applyBorder="1" applyProtection="1"/>
    <xf numFmtId="1" fontId="54" fillId="0" borderId="0" xfId="1" applyNumberFormat="1" applyFont="1" applyFill="1" applyBorder="1" applyProtection="1"/>
    <xf numFmtId="6" fontId="62" fillId="0" borderId="0" xfId="0" applyNumberFormat="1" applyFont="1" applyAlignment="1">
      <alignment horizontal="left"/>
    </xf>
    <xf numFmtId="6" fontId="21" fillId="0" borderId="10" xfId="1" applyNumberFormat="1" applyFont="1" applyFill="1" applyBorder="1" applyProtection="1"/>
    <xf numFmtId="5" fontId="21" fillId="0" borderId="10" xfId="1" applyNumberFormat="1" applyFont="1" applyFill="1" applyBorder="1" applyProtection="1"/>
    <xf numFmtId="5" fontId="21" fillId="0" borderId="24" xfId="1" applyNumberFormat="1" applyFont="1" applyFill="1" applyBorder="1" applyProtection="1"/>
    <xf numFmtId="6" fontId="20" fillId="0" borderId="0" xfId="0" applyNumberFormat="1" applyFont="1" applyAlignment="1">
      <alignment horizontal="left" indent="2"/>
    </xf>
    <xf numFmtId="5" fontId="20" fillId="0" borderId="0" xfId="0" applyNumberFormat="1" applyFont="1"/>
    <xf numFmtId="5" fontId="20" fillId="0" borderId="22" xfId="0" applyNumberFormat="1" applyFont="1" applyBorder="1"/>
    <xf numFmtId="6" fontId="20" fillId="0" borderId="10" xfId="0" applyNumberFormat="1" applyFont="1" applyBorder="1" applyAlignment="1">
      <alignment horizontal="left" indent="2"/>
    </xf>
    <xf numFmtId="5" fontId="20" fillId="0" borderId="10" xfId="0" applyNumberFormat="1" applyFont="1" applyBorder="1"/>
    <xf numFmtId="5" fontId="20" fillId="0" borderId="24" xfId="0" applyNumberFormat="1" applyFont="1" applyBorder="1"/>
    <xf numFmtId="5" fontId="20" fillId="0" borderId="12" xfId="1" applyNumberFormat="1" applyFont="1" applyFill="1" applyBorder="1" applyProtection="1"/>
    <xf numFmtId="5" fontId="20" fillId="0" borderId="25" xfId="1" applyNumberFormat="1" applyFont="1" applyFill="1" applyBorder="1" applyProtection="1"/>
    <xf numFmtId="6" fontId="20" fillId="0" borderId="16" xfId="1" applyNumberFormat="1" applyFont="1" applyFill="1" applyBorder="1" applyAlignment="1" applyProtection="1">
      <alignment horizontal="left" indent="2"/>
    </xf>
    <xf numFmtId="6" fontId="20" fillId="0" borderId="16" xfId="1" applyNumberFormat="1" applyFont="1" applyFill="1" applyBorder="1" applyProtection="1"/>
    <xf numFmtId="5" fontId="20" fillId="0" borderId="16" xfId="1" applyNumberFormat="1" applyFont="1" applyFill="1" applyBorder="1" applyProtection="1"/>
    <xf numFmtId="5" fontId="20" fillId="0" borderId="23" xfId="1" applyNumberFormat="1" applyFont="1" applyFill="1" applyBorder="1" applyProtection="1"/>
    <xf numFmtId="6" fontId="20" fillId="0" borderId="0" xfId="1" applyNumberFormat="1" applyFont="1" applyFill="1" applyBorder="1" applyAlignment="1" applyProtection="1">
      <alignment horizontal="left" indent="2"/>
    </xf>
    <xf numFmtId="6" fontId="20" fillId="0" borderId="10" xfId="1" applyNumberFormat="1" applyFont="1" applyFill="1" applyBorder="1" applyProtection="1"/>
    <xf numFmtId="6" fontId="20" fillId="0" borderId="16" xfId="0" applyNumberFormat="1" applyFont="1" applyBorder="1" applyAlignment="1">
      <alignment horizontal="left" indent="2"/>
    </xf>
    <xf numFmtId="6" fontId="20" fillId="0" borderId="12" xfId="1" applyNumberFormat="1" applyFont="1" applyFill="1" applyBorder="1" applyProtection="1"/>
    <xf numFmtId="6" fontId="28" fillId="0" borderId="12" xfId="0" applyNumberFormat="1" applyFont="1" applyBorder="1" applyAlignment="1">
      <alignment horizontal="left"/>
    </xf>
    <xf numFmtId="6" fontId="21" fillId="0" borderId="12" xfId="1" applyNumberFormat="1" applyFont="1" applyFill="1" applyBorder="1" applyProtection="1"/>
    <xf numFmtId="5" fontId="21" fillId="0" borderId="12" xfId="1" applyNumberFormat="1" applyFont="1" applyFill="1" applyBorder="1" applyProtection="1"/>
    <xf numFmtId="5" fontId="21" fillId="0" borderId="25" xfId="1" applyNumberFormat="1" applyFont="1" applyFill="1" applyBorder="1" applyProtection="1"/>
    <xf numFmtId="6" fontId="20" fillId="0" borderId="12" xfId="1" applyNumberFormat="1" applyFont="1" applyFill="1" applyBorder="1" applyAlignment="1" applyProtection="1">
      <alignment vertical="center"/>
    </xf>
    <xf numFmtId="6" fontId="63" fillId="0" borderId="0" xfId="0" applyNumberFormat="1" applyFont="1" applyAlignment="1" applyProtection="1">
      <alignment horizontal="left"/>
      <protection locked="0"/>
    </xf>
    <xf numFmtId="6" fontId="64" fillId="0" borderId="0" xfId="0" applyNumberFormat="1" applyFont="1"/>
    <xf numFmtId="171" fontId="63" fillId="0" borderId="0" xfId="0" applyNumberFormat="1" applyFont="1"/>
    <xf numFmtId="171" fontId="63" fillId="0" borderId="0" xfId="1" applyNumberFormat="1" applyFont="1" applyFill="1" applyProtection="1"/>
    <xf numFmtId="171" fontId="63" fillId="0" borderId="22" xfId="1" applyNumberFormat="1" applyFont="1" applyFill="1" applyBorder="1" applyProtection="1"/>
    <xf numFmtId="171" fontId="63" fillId="0" borderId="0" xfId="1" applyNumberFormat="1" applyFont="1" applyFill="1" applyBorder="1" applyProtection="1"/>
    <xf numFmtId="6" fontId="64" fillId="0" borderId="0" xfId="1" applyNumberFormat="1" applyFont="1" applyFill="1" applyProtection="1"/>
    <xf numFmtId="6" fontId="64" fillId="0" borderId="0" xfId="0" applyNumberFormat="1" applyFont="1" applyAlignment="1">
      <alignment horizontal="left"/>
    </xf>
    <xf numFmtId="6" fontId="64" fillId="9" borderId="0" xfId="0" applyNumberFormat="1" applyFont="1" applyFill="1" applyAlignment="1">
      <alignment horizontal="left"/>
    </xf>
    <xf numFmtId="6" fontId="64" fillId="9" borderId="0" xfId="0" applyNumberFormat="1" applyFont="1" applyFill="1"/>
    <xf numFmtId="171" fontId="63" fillId="9" borderId="0" xfId="0" applyNumberFormat="1" applyFont="1" applyFill="1"/>
    <xf numFmtId="171" fontId="63" fillId="9" borderId="0" xfId="1" applyNumberFormat="1" applyFont="1" applyFill="1" applyProtection="1"/>
    <xf numFmtId="171" fontId="63" fillId="9" borderId="22" xfId="1" applyNumberFormat="1" applyFont="1" applyFill="1" applyBorder="1" applyProtection="1"/>
    <xf numFmtId="171" fontId="63" fillId="9" borderId="0" xfId="1" applyNumberFormat="1" applyFont="1" applyFill="1" applyBorder="1" applyProtection="1"/>
    <xf numFmtId="6" fontId="64" fillId="9" borderId="0" xfId="1" applyNumberFormat="1" applyFont="1" applyFill="1" applyProtection="1"/>
    <xf numFmtId="17" fontId="28" fillId="0" borderId="7" xfId="0" applyNumberFormat="1" applyFont="1" applyBorder="1"/>
    <xf numFmtId="17" fontId="28" fillId="0" borderId="21" xfId="0" applyNumberFormat="1" applyFont="1" applyBorder="1"/>
    <xf numFmtId="6" fontId="30" fillId="0" borderId="0" xfId="0" applyNumberFormat="1" applyFont="1" applyAlignment="1">
      <alignment horizontal="left"/>
    </xf>
    <xf numFmtId="6" fontId="21" fillId="0" borderId="7" xfId="1" applyNumberFormat="1" applyFont="1" applyBorder="1" applyProtection="1"/>
    <xf numFmtId="6" fontId="21" fillId="0" borderId="21" xfId="1" applyNumberFormat="1" applyFont="1" applyBorder="1" applyProtection="1"/>
    <xf numFmtId="6" fontId="21" fillId="0" borderId="7" xfId="1" applyNumberFormat="1" applyFont="1" applyFill="1" applyBorder="1" applyProtection="1"/>
    <xf numFmtId="6" fontId="21" fillId="0" borderId="21" xfId="1" applyNumberFormat="1" applyFont="1" applyFill="1" applyBorder="1" applyProtection="1"/>
    <xf numFmtId="5" fontId="20" fillId="0" borderId="0" xfId="1" applyNumberFormat="1" applyFont="1" applyBorder="1" applyProtection="1"/>
    <xf numFmtId="6" fontId="20" fillId="0" borderId="16" xfId="0" applyNumberFormat="1" applyFont="1" applyBorder="1" applyAlignment="1">
      <alignment horizontal="left"/>
    </xf>
    <xf numFmtId="6" fontId="21" fillId="0" borderId="16" xfId="1" applyNumberFormat="1" applyFont="1" applyBorder="1" applyProtection="1"/>
    <xf numFmtId="5" fontId="20" fillId="0" borderId="23" xfId="1" applyNumberFormat="1" applyFont="1" applyBorder="1" applyProtection="1"/>
    <xf numFmtId="6" fontId="21" fillId="0" borderId="10" xfId="1" applyNumberFormat="1" applyFont="1" applyBorder="1" applyProtection="1"/>
    <xf numFmtId="6" fontId="21" fillId="0" borderId="12" xfId="1" applyNumberFormat="1" applyFont="1" applyBorder="1" applyAlignment="1" applyProtection="1">
      <alignment vertical="center"/>
    </xf>
    <xf numFmtId="5" fontId="21" fillId="0" borderId="12" xfId="1" applyNumberFormat="1" applyFont="1" applyBorder="1" applyAlignment="1" applyProtection="1">
      <alignment vertical="center"/>
    </xf>
    <xf numFmtId="5" fontId="21" fillId="0" borderId="25" xfId="1" applyNumberFormat="1" applyFont="1" applyBorder="1" applyAlignment="1" applyProtection="1">
      <alignment vertical="center"/>
    </xf>
    <xf numFmtId="6" fontId="21" fillId="0" borderId="0" xfId="1" applyNumberFormat="1" applyFont="1" applyAlignment="1" applyProtection="1">
      <alignment vertical="center"/>
    </xf>
    <xf numFmtId="5" fontId="21" fillId="0" borderId="7" xfId="1" applyNumberFormat="1" applyFont="1" applyBorder="1" applyProtection="1"/>
    <xf numFmtId="5" fontId="21" fillId="0" borderId="21" xfId="1" applyNumberFormat="1" applyFont="1" applyBorder="1" applyProtection="1"/>
    <xf numFmtId="5" fontId="21" fillId="0" borderId="7" xfId="1" applyNumberFormat="1" applyFont="1" applyFill="1" applyBorder="1" applyProtection="1"/>
    <xf numFmtId="5" fontId="21" fillId="0" borderId="21" xfId="1" applyNumberFormat="1" applyFont="1" applyFill="1" applyBorder="1" applyProtection="1"/>
    <xf numFmtId="5" fontId="20" fillId="4" borderId="0" xfId="0" applyNumberFormat="1" applyFont="1" applyFill="1"/>
    <xf numFmtId="5" fontId="20" fillId="4" borderId="22" xfId="0" applyNumberFormat="1" applyFont="1" applyFill="1" applyBorder="1"/>
    <xf numFmtId="6" fontId="51" fillId="0" borderId="10" xfId="0" applyNumberFormat="1" applyFont="1" applyBorder="1" applyAlignment="1">
      <alignment horizontal="left" indent="1"/>
    </xf>
    <xf numFmtId="6" fontId="20" fillId="0" borderId="0" xfId="0" applyNumberFormat="1" applyFont="1" applyAlignment="1">
      <alignment horizontal="left" vertical="top"/>
    </xf>
    <xf numFmtId="6" fontId="21" fillId="0" borderId="0" xfId="1" applyNumberFormat="1" applyFont="1" applyBorder="1" applyAlignment="1" applyProtection="1">
      <alignment vertical="top"/>
    </xf>
    <xf numFmtId="5" fontId="20" fillId="0" borderId="0" xfId="1" applyNumberFormat="1" applyFont="1" applyBorder="1" applyAlignment="1" applyProtection="1">
      <alignment vertical="top"/>
    </xf>
    <xf numFmtId="5" fontId="20" fillId="0" borderId="22" xfId="1" applyNumberFormat="1" applyFont="1" applyBorder="1" applyAlignment="1" applyProtection="1">
      <alignment vertical="top"/>
    </xf>
    <xf numFmtId="6" fontId="21" fillId="0" borderId="0" xfId="1" applyNumberFormat="1" applyFont="1" applyAlignment="1" applyProtection="1">
      <alignment vertical="top"/>
    </xf>
    <xf numFmtId="6" fontId="29" fillId="0" borderId="0" xfId="0" applyNumberFormat="1" applyFont="1" applyAlignment="1">
      <alignment horizontal="left"/>
    </xf>
    <xf numFmtId="6" fontId="20" fillId="0" borderId="16" xfId="0" applyNumberFormat="1" applyFont="1" applyBorder="1" applyAlignment="1">
      <alignment horizontal="left" indent="1"/>
    </xf>
    <xf numFmtId="6" fontId="21" fillId="0" borderId="0" xfId="1" applyNumberFormat="1" applyFont="1" applyAlignment="1" applyProtection="1">
      <alignment horizontal="left"/>
    </xf>
    <xf numFmtId="6" fontId="20" fillId="0" borderId="0" xfId="1" applyNumberFormat="1" applyFont="1" applyAlignment="1" applyProtection="1">
      <alignment vertical="center"/>
    </xf>
    <xf numFmtId="6" fontId="29" fillId="0" borderId="7" xfId="1" applyNumberFormat="1" applyFont="1" applyBorder="1" applyProtection="1"/>
    <xf numFmtId="0" fontId="20" fillId="0" borderId="0" xfId="1" applyNumberFormat="1" applyFont="1" applyAlignment="1" applyProtection="1">
      <alignment horizontal="right" vertical="center"/>
    </xf>
    <xf numFmtId="0" fontId="20" fillId="0" borderId="22" xfId="1" applyNumberFormat="1" applyFont="1" applyBorder="1" applyAlignment="1" applyProtection="1">
      <alignment horizontal="right" vertical="center"/>
    </xf>
    <xf numFmtId="5" fontId="20" fillId="6" borderId="0" xfId="1" applyNumberFormat="1" applyFont="1" applyFill="1" applyBorder="1" applyProtection="1"/>
    <xf numFmtId="5" fontId="20" fillId="6" borderId="0" xfId="1" applyNumberFormat="1" applyFont="1" applyFill="1" applyProtection="1"/>
    <xf numFmtId="5" fontId="20" fillId="6" borderId="22" xfId="1" applyNumberFormat="1" applyFont="1" applyFill="1" applyBorder="1" applyProtection="1"/>
    <xf numFmtId="6" fontId="21" fillId="0" borderId="12" xfId="0" applyNumberFormat="1" applyFont="1" applyBorder="1" applyAlignment="1">
      <alignment vertical="center"/>
    </xf>
    <xf numFmtId="5" fontId="21" fillId="6" borderId="12" xfId="1" applyNumberFormat="1" applyFont="1" applyFill="1" applyBorder="1" applyAlignment="1" applyProtection="1">
      <alignment vertical="center"/>
    </xf>
    <xf numFmtId="5" fontId="21" fillId="6" borderId="25" xfId="1" applyNumberFormat="1" applyFont="1" applyFill="1" applyBorder="1" applyAlignment="1" applyProtection="1">
      <alignment vertical="center"/>
    </xf>
    <xf numFmtId="6" fontId="20" fillId="0" borderId="10" xfId="0" applyNumberFormat="1" applyFont="1" applyBorder="1" applyAlignment="1">
      <alignment horizontal="left"/>
    </xf>
    <xf numFmtId="5" fontId="21" fillId="0" borderId="12" xfId="0" applyNumberFormat="1" applyFont="1" applyBorder="1" applyAlignment="1">
      <alignment vertical="center"/>
    </xf>
    <xf numFmtId="5" fontId="21" fillId="0" borderId="25" xfId="0" applyNumberFormat="1" applyFont="1" applyBorder="1" applyAlignment="1">
      <alignment vertical="center"/>
    </xf>
    <xf numFmtId="6" fontId="21" fillId="0" borderId="0" xfId="0" applyNumberFormat="1" applyFont="1" applyAlignment="1">
      <alignment vertical="center"/>
    </xf>
    <xf numFmtId="5" fontId="21" fillId="0" borderId="0" xfId="0" applyNumberFormat="1" applyFont="1"/>
    <xf numFmtId="5" fontId="21" fillId="0" borderId="22" xfId="0" applyNumberFormat="1" applyFont="1" applyBorder="1"/>
    <xf numFmtId="5" fontId="20" fillId="0" borderId="7" xfId="1" applyNumberFormat="1" applyFont="1" applyBorder="1" applyProtection="1"/>
    <xf numFmtId="5" fontId="20" fillId="0" borderId="21" xfId="1" applyNumberFormat="1" applyFont="1" applyBorder="1" applyProtection="1"/>
    <xf numFmtId="170" fontId="22" fillId="0" borderId="0" xfId="2" applyNumberFormat="1" applyFont="1" applyProtection="1"/>
    <xf numFmtId="170" fontId="20" fillId="4" borderId="0" xfId="2" applyNumberFormat="1" applyFont="1" applyFill="1" applyBorder="1" applyProtection="1"/>
    <xf numFmtId="170" fontId="20" fillId="4" borderId="22" xfId="2" applyNumberFormat="1" applyFont="1" applyFill="1" applyBorder="1" applyProtection="1"/>
    <xf numFmtId="170" fontId="20" fillId="0" borderId="22" xfId="1" applyNumberFormat="1" applyFont="1" applyBorder="1" applyProtection="1"/>
    <xf numFmtId="170" fontId="20" fillId="0" borderId="6" xfId="1" applyNumberFormat="1" applyFont="1" applyBorder="1" applyProtection="1"/>
    <xf numFmtId="5" fontId="22" fillId="0" borderId="0" xfId="0" applyNumberFormat="1" applyFont="1"/>
    <xf numFmtId="5" fontId="20" fillId="4" borderId="0" xfId="1" applyNumberFormat="1" applyFont="1" applyFill="1" applyBorder="1" applyProtection="1"/>
    <xf numFmtId="5" fontId="20" fillId="4" borderId="22" xfId="1" applyNumberFormat="1" applyFont="1" applyFill="1" applyBorder="1" applyProtection="1"/>
    <xf numFmtId="5" fontId="20" fillId="6" borderId="10" xfId="0" applyNumberFormat="1" applyFont="1" applyFill="1" applyBorder="1"/>
    <xf numFmtId="5" fontId="20" fillId="6" borderId="24" xfId="0" applyNumberFormat="1" applyFont="1" applyFill="1" applyBorder="1"/>
    <xf numFmtId="6" fontId="20" fillId="0" borderId="18" xfId="0" applyNumberFormat="1" applyFont="1" applyBorder="1" applyAlignment="1">
      <alignment horizontal="left" vertical="center"/>
    </xf>
    <xf numFmtId="6" fontId="20" fillId="0" borderId="18" xfId="0" applyNumberFormat="1" applyFont="1" applyBorder="1" applyAlignment="1">
      <alignment vertical="center"/>
    </xf>
    <xf numFmtId="5" fontId="20" fillId="4" borderId="18" xfId="0" applyNumberFormat="1" applyFont="1" applyFill="1" applyBorder="1" applyAlignment="1">
      <alignment vertical="center"/>
    </xf>
    <xf numFmtId="5" fontId="20" fillId="4" borderId="26" xfId="0" applyNumberFormat="1" applyFont="1" applyFill="1" applyBorder="1" applyAlignment="1">
      <alignment vertical="center"/>
    </xf>
    <xf numFmtId="6" fontId="20" fillId="0" borderId="0" xfId="1" applyNumberFormat="1" applyFont="1" applyBorder="1" applyAlignment="1" applyProtection="1">
      <alignment vertical="center"/>
    </xf>
    <xf numFmtId="6" fontId="20" fillId="0" borderId="0" xfId="0" applyNumberFormat="1" applyFont="1" applyAlignment="1" applyProtection="1">
      <alignment vertical="center"/>
      <protection hidden="1"/>
    </xf>
    <xf numFmtId="0" fontId="20" fillId="0" borderId="0" xfId="0" applyFont="1" applyAlignment="1" applyProtection="1">
      <alignment vertical="center"/>
      <protection locked="0"/>
    </xf>
    <xf numFmtId="0" fontId="20" fillId="0" borderId="8" xfId="0" applyFont="1" applyBorder="1" applyAlignment="1" applyProtection="1">
      <alignment vertical="center"/>
      <protection locked="0"/>
    </xf>
    <xf numFmtId="6" fontId="20" fillId="0" borderId="0" xfId="0" applyNumberFormat="1" applyFont="1" applyProtection="1">
      <protection locked="0"/>
    </xf>
    <xf numFmtId="6" fontId="20" fillId="0" borderId="8" xfId="0" applyNumberFormat="1" applyFont="1" applyBorder="1" applyProtection="1">
      <protection locked="0"/>
    </xf>
    <xf numFmtId="6" fontId="30" fillId="0" borderId="7" xfId="0" applyNumberFormat="1" applyFont="1" applyBorder="1" applyAlignment="1" applyProtection="1">
      <alignment horizontal="left"/>
      <protection locked="0"/>
    </xf>
    <xf numFmtId="0" fontId="21" fillId="0" borderId="7" xfId="0" applyFont="1" applyBorder="1" applyAlignment="1" applyProtection="1">
      <alignment horizontal="right"/>
      <protection locked="0"/>
    </xf>
    <xf numFmtId="0" fontId="21" fillId="0" borderId="0" xfId="0" applyFont="1" applyProtection="1">
      <protection locked="0"/>
    </xf>
    <xf numFmtId="6" fontId="30" fillId="0" borderId="0" xfId="0" applyNumberFormat="1" applyFont="1" applyAlignment="1" applyProtection="1">
      <alignment horizontal="left"/>
      <protection locked="0"/>
    </xf>
    <xf numFmtId="0" fontId="21" fillId="0" borderId="0" xfId="0" applyFont="1" applyAlignment="1" applyProtection="1">
      <alignment horizontal="right"/>
      <protection locked="0"/>
    </xf>
    <xf numFmtId="17" fontId="28" fillId="0" borderId="0" xfId="0" applyNumberFormat="1" applyFont="1" applyProtection="1">
      <protection locked="0"/>
    </xf>
    <xf numFmtId="17" fontId="28" fillId="0" borderId="8" xfId="0" applyNumberFormat="1" applyFont="1" applyBorder="1" applyProtection="1">
      <protection locked="0"/>
    </xf>
    <xf numFmtId="6" fontId="21" fillId="0" borderId="0" xfId="0" applyNumberFormat="1" applyFont="1" applyAlignment="1" applyProtection="1">
      <alignment horizontal="left"/>
      <protection locked="0"/>
    </xf>
    <xf numFmtId="6" fontId="21" fillId="0" borderId="0" xfId="0" applyNumberFormat="1" applyFont="1" applyProtection="1">
      <protection locked="0"/>
    </xf>
    <xf numFmtId="6" fontId="20" fillId="0" borderId="0" xfId="1" applyNumberFormat="1" applyFont="1" applyFill="1" applyProtection="1">
      <protection locked="0"/>
    </xf>
    <xf numFmtId="6" fontId="20" fillId="0" borderId="8" xfId="1" applyNumberFormat="1" applyFont="1" applyFill="1" applyBorder="1" applyProtection="1">
      <protection locked="0"/>
    </xf>
    <xf numFmtId="6" fontId="20" fillId="0" borderId="0" xfId="0" applyNumberFormat="1" applyFont="1" applyAlignment="1" applyProtection="1">
      <alignment horizontal="left"/>
      <protection locked="0"/>
    </xf>
    <xf numFmtId="5" fontId="20" fillId="0" borderId="0" xfId="1" applyNumberFormat="1" applyFont="1" applyFill="1" applyProtection="1">
      <protection locked="0"/>
    </xf>
    <xf numFmtId="1" fontId="20" fillId="0" borderId="0" xfId="2" applyNumberFormat="1" applyFont="1" applyFill="1" applyBorder="1" applyProtection="1">
      <protection locked="0"/>
    </xf>
    <xf numFmtId="1" fontId="20" fillId="0" borderId="0" xfId="2" applyNumberFormat="1" applyFont="1" applyFill="1" applyAlignment="1" applyProtection="1">
      <alignment horizontal="left"/>
      <protection locked="0"/>
    </xf>
    <xf numFmtId="6" fontId="20" fillId="0" borderId="0" xfId="2" applyNumberFormat="1" applyFont="1" applyFill="1" applyProtection="1">
      <protection locked="0"/>
    </xf>
    <xf numFmtId="1" fontId="20" fillId="0" borderId="0" xfId="2" applyNumberFormat="1" applyFont="1" applyFill="1" applyProtection="1">
      <protection locked="0"/>
    </xf>
    <xf numFmtId="1" fontId="20" fillId="0" borderId="16" xfId="2" applyNumberFormat="1" applyFont="1" applyFill="1" applyBorder="1" applyAlignment="1" applyProtection="1">
      <alignment horizontal="left"/>
      <protection locked="0"/>
    </xf>
    <xf numFmtId="6" fontId="20" fillId="0" borderId="16" xfId="2" applyNumberFormat="1" applyFont="1" applyFill="1" applyBorder="1" applyProtection="1">
      <protection locked="0"/>
    </xf>
    <xf numFmtId="5" fontId="20" fillId="0" borderId="16" xfId="1" applyNumberFormat="1" applyFont="1" applyFill="1" applyBorder="1" applyProtection="1">
      <protection locked="0"/>
    </xf>
    <xf numFmtId="5" fontId="20" fillId="0" borderId="17" xfId="1" applyNumberFormat="1" applyFont="1" applyFill="1" applyBorder="1" applyProtection="1">
      <protection locked="0"/>
    </xf>
    <xf numFmtId="6" fontId="20" fillId="0" borderId="0" xfId="1" applyNumberFormat="1" applyFont="1" applyFill="1" applyBorder="1" applyProtection="1">
      <protection locked="0"/>
    </xf>
    <xf numFmtId="6" fontId="20" fillId="0" borderId="0" xfId="2" applyNumberFormat="1" applyFont="1" applyFill="1" applyBorder="1" applyProtection="1">
      <protection locked="0"/>
    </xf>
    <xf numFmtId="5" fontId="20" fillId="0" borderId="8" xfId="1" applyNumberFormat="1" applyFont="1" applyFill="1" applyBorder="1" applyProtection="1">
      <protection locked="0"/>
    </xf>
    <xf numFmtId="6" fontId="21" fillId="0" borderId="0" xfId="1" applyNumberFormat="1" applyFont="1" applyFill="1" applyProtection="1">
      <protection locked="0"/>
    </xf>
    <xf numFmtId="6" fontId="22" fillId="0" borderId="0" xfId="1" applyNumberFormat="1" applyFont="1" applyFill="1" applyProtection="1">
      <protection locked="0"/>
    </xf>
    <xf numFmtId="6" fontId="20" fillId="0" borderId="0" xfId="3" applyNumberFormat="1" applyFont="1" applyFill="1" applyAlignment="1" applyProtection="1">
      <alignment horizontal="left"/>
      <protection locked="0"/>
    </xf>
    <xf numFmtId="6" fontId="20" fillId="0" borderId="10" xfId="3" applyNumberFormat="1" applyFont="1" applyFill="1" applyBorder="1" applyAlignment="1" applyProtection="1">
      <alignment horizontal="left"/>
      <protection locked="0"/>
    </xf>
    <xf numFmtId="6" fontId="20" fillId="0" borderId="10" xfId="1" applyNumberFormat="1" applyFont="1" applyFill="1" applyBorder="1" applyProtection="1">
      <protection locked="0"/>
    </xf>
    <xf numFmtId="5" fontId="20" fillId="0" borderId="10" xfId="1" applyNumberFormat="1" applyFont="1" applyFill="1" applyBorder="1" applyProtection="1">
      <protection locked="0"/>
    </xf>
    <xf numFmtId="5" fontId="20" fillId="0" borderId="11" xfId="1" applyNumberFormat="1" applyFont="1" applyFill="1" applyBorder="1" applyProtection="1">
      <protection locked="0"/>
    </xf>
    <xf numFmtId="5" fontId="20" fillId="0" borderId="0" xfId="1" applyNumberFormat="1" applyFont="1" applyFill="1" applyBorder="1" applyProtection="1">
      <protection locked="0"/>
    </xf>
    <xf numFmtId="6" fontId="28" fillId="0" borderId="0" xfId="1" applyNumberFormat="1" applyFont="1" applyFill="1" applyProtection="1">
      <protection locked="0"/>
    </xf>
    <xf numFmtId="6" fontId="21" fillId="0" borderId="0" xfId="3" applyNumberFormat="1" applyFont="1" applyFill="1" applyAlignment="1" applyProtection="1">
      <alignment horizontal="left"/>
      <protection locked="0"/>
    </xf>
    <xf numFmtId="166" fontId="22" fillId="0" borderId="0" xfId="3" applyNumberFormat="1" applyFont="1" applyFill="1" applyProtection="1">
      <protection locked="0"/>
    </xf>
    <xf numFmtId="166" fontId="20" fillId="0" borderId="10" xfId="3" applyNumberFormat="1" applyFont="1" applyFill="1" applyBorder="1" applyAlignment="1" applyProtection="1">
      <alignment horizontal="left"/>
      <protection locked="0"/>
    </xf>
    <xf numFmtId="6" fontId="20" fillId="0" borderId="10" xfId="3" applyNumberFormat="1" applyFont="1" applyFill="1" applyBorder="1" applyProtection="1">
      <protection locked="0"/>
    </xf>
    <xf numFmtId="6" fontId="20" fillId="0" borderId="0" xfId="3" applyNumberFormat="1" applyFont="1" applyFill="1" applyProtection="1">
      <protection locked="0"/>
    </xf>
    <xf numFmtId="166" fontId="20" fillId="0" borderId="0" xfId="3" applyNumberFormat="1" applyFont="1" applyFill="1" applyProtection="1">
      <protection locked="0"/>
    </xf>
    <xf numFmtId="6" fontId="20" fillId="0" borderId="10" xfId="0" applyNumberFormat="1" applyFont="1" applyBorder="1" applyAlignment="1" applyProtection="1">
      <alignment horizontal="left"/>
      <protection locked="0"/>
    </xf>
    <xf numFmtId="6" fontId="20" fillId="0" borderId="0" xfId="3" applyNumberFormat="1" applyFont="1" applyFill="1" applyBorder="1" applyAlignment="1" applyProtection="1">
      <alignment horizontal="left"/>
      <protection locked="0"/>
    </xf>
    <xf numFmtId="6" fontId="21" fillId="0" borderId="10" xfId="1" applyNumberFormat="1" applyFont="1" applyFill="1" applyBorder="1" applyProtection="1">
      <protection locked="0"/>
    </xf>
    <xf numFmtId="6" fontId="21" fillId="0" borderId="0" xfId="1" applyNumberFormat="1" applyFont="1" applyFill="1" applyAlignment="1" applyProtection="1">
      <alignment vertical="center"/>
      <protection locked="0"/>
    </xf>
    <xf numFmtId="6" fontId="28" fillId="0" borderId="12" xfId="0" applyNumberFormat="1" applyFont="1" applyBorder="1" applyAlignment="1" applyProtection="1">
      <alignment horizontal="left" vertical="center"/>
      <protection locked="0"/>
    </xf>
    <xf numFmtId="6" fontId="21" fillId="0" borderId="12" xfId="1" applyNumberFormat="1" applyFont="1" applyFill="1" applyBorder="1" applyAlignment="1" applyProtection="1">
      <alignment vertical="center"/>
      <protection locked="0"/>
    </xf>
    <xf numFmtId="5" fontId="21" fillId="0" borderId="12" xfId="1" applyNumberFormat="1" applyFont="1" applyFill="1" applyBorder="1" applyAlignment="1" applyProtection="1">
      <alignment vertical="center"/>
      <protection locked="0"/>
    </xf>
    <xf numFmtId="5" fontId="21" fillId="0" borderId="13" xfId="1" applyNumberFormat="1" applyFont="1" applyFill="1" applyBorder="1" applyAlignment="1" applyProtection="1">
      <alignment vertical="center"/>
      <protection locked="0"/>
    </xf>
    <xf numFmtId="164" fontId="21" fillId="0" borderId="0" xfId="2" applyNumberFormat="1" applyFont="1" applyFill="1" applyAlignment="1" applyProtection="1">
      <alignment vertical="center"/>
      <protection locked="0"/>
    </xf>
    <xf numFmtId="0" fontId="21" fillId="0" borderId="12" xfId="2" applyNumberFormat="1" applyFont="1" applyFill="1" applyBorder="1" applyAlignment="1" applyProtection="1">
      <alignment horizontal="left" vertical="center"/>
      <protection locked="0"/>
    </xf>
    <xf numFmtId="6" fontId="21" fillId="0" borderId="12" xfId="2" applyNumberFormat="1" applyFont="1" applyFill="1" applyBorder="1" applyAlignment="1" applyProtection="1">
      <alignment vertical="center"/>
      <protection locked="0"/>
    </xf>
    <xf numFmtId="6" fontId="21" fillId="0" borderId="0" xfId="2" applyNumberFormat="1" applyFont="1" applyFill="1" applyAlignment="1" applyProtection="1">
      <alignment vertical="center"/>
      <protection locked="0"/>
    </xf>
    <xf numFmtId="6" fontId="63" fillId="0" borderId="0" xfId="0" applyNumberFormat="1" applyFont="1" applyProtection="1">
      <protection locked="0"/>
    </xf>
    <xf numFmtId="171" fontId="63" fillId="0" borderId="0" xfId="0" applyNumberFormat="1" applyFont="1" applyProtection="1">
      <protection locked="0"/>
    </xf>
    <xf numFmtId="171" fontId="63" fillId="0" borderId="0" xfId="1" applyNumberFormat="1" applyFont="1" applyFill="1" applyProtection="1">
      <protection locked="0"/>
    </xf>
    <xf numFmtId="171" fontId="63" fillId="0" borderId="8" xfId="1" applyNumberFormat="1" applyFont="1" applyFill="1" applyBorder="1" applyProtection="1">
      <protection locked="0"/>
    </xf>
    <xf numFmtId="171" fontId="63" fillId="0" borderId="0" xfId="1" applyNumberFormat="1" applyFont="1" applyFill="1" applyBorder="1" applyProtection="1">
      <protection locked="0"/>
    </xf>
    <xf numFmtId="6" fontId="20" fillId="9" borderId="0" xfId="0" applyNumberFormat="1" applyFont="1" applyFill="1" applyAlignment="1" applyProtection="1">
      <alignment horizontal="left"/>
      <protection locked="0"/>
    </xf>
    <xf numFmtId="6" fontId="20" fillId="9" borderId="0" xfId="0" applyNumberFormat="1" applyFont="1" applyFill="1" applyProtection="1">
      <protection locked="0"/>
    </xf>
    <xf numFmtId="6" fontId="20" fillId="9" borderId="0" xfId="1" applyNumberFormat="1" applyFont="1" applyFill="1" applyProtection="1">
      <protection locked="0"/>
    </xf>
    <xf numFmtId="6" fontId="20" fillId="9" borderId="8" xfId="1" applyNumberFormat="1" applyFont="1" applyFill="1" applyBorder="1" applyProtection="1">
      <protection locked="0"/>
    </xf>
    <xf numFmtId="6" fontId="26" fillId="0" borderId="7" xfId="0" applyNumberFormat="1" applyFont="1" applyBorder="1" applyAlignment="1" applyProtection="1">
      <alignment horizontal="left"/>
      <protection locked="0"/>
    </xf>
    <xf numFmtId="6" fontId="21" fillId="0" borderId="7" xfId="0" applyNumberFormat="1" applyFont="1" applyBorder="1" applyProtection="1">
      <protection locked="0"/>
    </xf>
    <xf numFmtId="17" fontId="21" fillId="0" borderId="7" xfId="1" applyNumberFormat="1" applyFont="1" applyFill="1" applyBorder="1" applyProtection="1">
      <protection locked="0"/>
    </xf>
    <xf numFmtId="17" fontId="21" fillId="0" borderId="9" xfId="1" applyNumberFormat="1" applyFont="1" applyFill="1" applyBorder="1" applyProtection="1">
      <protection locked="0"/>
    </xf>
    <xf numFmtId="17" fontId="21" fillId="0" borderId="0" xfId="1" applyNumberFormat="1" applyFont="1" applyFill="1" applyProtection="1">
      <protection locked="0"/>
    </xf>
    <xf numFmtId="1" fontId="54" fillId="0" borderId="0" xfId="1" applyNumberFormat="1" applyFont="1" applyFill="1" applyProtection="1">
      <protection locked="0"/>
    </xf>
    <xf numFmtId="1" fontId="54" fillId="0" borderId="8" xfId="1" applyNumberFormat="1" applyFont="1" applyFill="1" applyBorder="1" applyProtection="1">
      <protection locked="0"/>
    </xf>
    <xf numFmtId="6" fontId="52" fillId="0" borderId="0" xfId="1" applyNumberFormat="1" applyFont="1" applyFill="1" applyProtection="1">
      <protection locked="0"/>
    </xf>
    <xf numFmtId="6" fontId="21" fillId="0" borderId="7" xfId="0" applyNumberFormat="1" applyFont="1" applyBorder="1" applyAlignment="1" applyProtection="1">
      <alignment horizontal="left"/>
      <protection locked="0"/>
    </xf>
    <xf numFmtId="5" fontId="23" fillId="0" borderId="7" xfId="1" applyNumberFormat="1" applyFont="1" applyFill="1" applyBorder="1" applyProtection="1">
      <protection locked="0"/>
    </xf>
    <xf numFmtId="5" fontId="20" fillId="0" borderId="7" xfId="1" applyNumberFormat="1" applyFont="1" applyFill="1" applyBorder="1" applyProtection="1">
      <protection locked="0"/>
    </xf>
    <xf numFmtId="5" fontId="20" fillId="0" borderId="9" xfId="1" applyNumberFormat="1" applyFont="1" applyFill="1" applyBorder="1" applyProtection="1">
      <protection locked="0"/>
    </xf>
    <xf numFmtId="6" fontId="21" fillId="0" borderId="12" xfId="0" applyNumberFormat="1" applyFont="1" applyBorder="1" applyAlignment="1" applyProtection="1">
      <alignment horizontal="left" vertical="center"/>
      <protection locked="0"/>
    </xf>
    <xf numFmtId="6" fontId="21" fillId="0" borderId="12" xfId="0" applyNumberFormat="1" applyFont="1" applyBorder="1" applyAlignment="1" applyProtection="1">
      <alignment vertical="center"/>
      <protection locked="0"/>
    </xf>
    <xf numFmtId="17" fontId="21" fillId="0" borderId="0" xfId="1" applyNumberFormat="1" applyFont="1" applyFill="1" applyAlignment="1" applyProtection="1">
      <alignment vertical="center"/>
      <protection locked="0"/>
    </xf>
    <xf numFmtId="6" fontId="21" fillId="0" borderId="0" xfId="0" applyNumberFormat="1" applyFont="1" applyAlignment="1" applyProtection="1">
      <alignment vertical="center"/>
      <protection locked="0"/>
    </xf>
    <xf numFmtId="5" fontId="23" fillId="0" borderId="0" xfId="1" applyNumberFormat="1" applyFont="1" applyFill="1" applyProtection="1">
      <protection locked="0"/>
    </xf>
    <xf numFmtId="0" fontId="21" fillId="0" borderId="7" xfId="0" applyFont="1" applyBorder="1" applyAlignment="1" applyProtection="1">
      <alignment horizontal="left"/>
      <protection locked="0"/>
    </xf>
    <xf numFmtId="0" fontId="21" fillId="0" borderId="0" xfId="0" applyFont="1" applyAlignment="1" applyProtection="1">
      <alignment horizontal="left"/>
      <protection locked="0"/>
    </xf>
    <xf numFmtId="6" fontId="21" fillId="0" borderId="16" xfId="0" applyNumberFormat="1" applyFont="1" applyBorder="1" applyAlignment="1" applyProtection="1">
      <alignment horizontal="left"/>
      <protection locked="0"/>
    </xf>
    <xf numFmtId="6" fontId="21" fillId="0" borderId="16" xfId="0" applyNumberFormat="1" applyFont="1" applyBorder="1" applyProtection="1">
      <protection locked="0"/>
    </xf>
    <xf numFmtId="5" fontId="21" fillId="6" borderId="16" xfId="1" applyNumberFormat="1" applyFont="1" applyFill="1" applyBorder="1" applyProtection="1">
      <protection locked="0"/>
    </xf>
    <xf numFmtId="5" fontId="21" fillId="6" borderId="17" xfId="1" applyNumberFormat="1" applyFont="1" applyFill="1" applyBorder="1" applyProtection="1">
      <protection locked="0"/>
    </xf>
    <xf numFmtId="6" fontId="21" fillId="0" borderId="19" xfId="0" applyNumberFormat="1" applyFont="1" applyBorder="1" applyAlignment="1" applyProtection="1">
      <alignment horizontal="left"/>
      <protection locked="0"/>
    </xf>
    <xf numFmtId="6" fontId="21" fillId="0" borderId="19" xfId="0" applyNumberFormat="1" applyFont="1" applyBorder="1" applyProtection="1">
      <protection locked="0"/>
    </xf>
    <xf numFmtId="5" fontId="21" fillId="0" borderId="19" xfId="1" applyNumberFormat="1" applyFont="1" applyFill="1" applyBorder="1" applyProtection="1">
      <protection locked="0"/>
    </xf>
    <xf numFmtId="5" fontId="21" fillId="0" borderId="20" xfId="1" applyNumberFormat="1" applyFont="1" applyFill="1" applyBorder="1" applyProtection="1">
      <protection locked="0"/>
    </xf>
    <xf numFmtId="5" fontId="20" fillId="0" borderId="0" xfId="0" applyNumberFormat="1" applyFont="1" applyProtection="1">
      <protection locked="0"/>
    </xf>
    <xf numFmtId="5" fontId="33" fillId="0" borderId="0" xfId="1" applyNumberFormat="1" applyFont="1" applyFill="1" applyProtection="1">
      <protection locked="0"/>
    </xf>
    <xf numFmtId="6" fontId="22" fillId="0" borderId="0" xfId="0" applyNumberFormat="1" applyFont="1" applyProtection="1">
      <protection locked="0"/>
    </xf>
    <xf numFmtId="6" fontId="22" fillId="0" borderId="8" xfId="0" applyNumberFormat="1" applyFont="1" applyBorder="1" applyProtection="1">
      <protection locked="0"/>
    </xf>
    <xf numFmtId="6" fontId="20" fillId="0" borderId="0" xfId="1" applyNumberFormat="1" applyFont="1" applyFill="1" applyAlignment="1" applyProtection="1">
      <alignment horizontal="left"/>
      <protection locked="0"/>
    </xf>
    <xf numFmtId="6" fontId="57" fillId="0" borderId="0" xfId="1" applyNumberFormat="1" applyFont="1" applyFill="1" applyProtection="1">
      <protection locked="0"/>
    </xf>
    <xf numFmtId="6" fontId="48" fillId="0" borderId="0" xfId="0" applyNumberFormat="1" applyFont="1" applyAlignment="1" applyProtection="1">
      <alignment horizontal="left"/>
      <protection locked="0"/>
    </xf>
    <xf numFmtId="6" fontId="50" fillId="0" borderId="0" xfId="1" applyNumberFormat="1" applyFont="1" applyFill="1" applyProtection="1">
      <protection locked="0"/>
    </xf>
    <xf numFmtId="6" fontId="50" fillId="0" borderId="8" xfId="1" applyNumberFormat="1" applyFont="1" applyFill="1" applyBorder="1" applyProtection="1">
      <protection locked="0"/>
    </xf>
    <xf numFmtId="6" fontId="50" fillId="0" borderId="0" xfId="1" applyNumberFormat="1" applyFont="1" applyFill="1" applyBorder="1" applyProtection="1">
      <protection locked="0"/>
    </xf>
    <xf numFmtId="0" fontId="20" fillId="0" borderId="0" xfId="0" applyFont="1" applyProtection="1">
      <protection locked="0"/>
    </xf>
    <xf numFmtId="173" fontId="32" fillId="3" borderId="0" xfId="88" applyNumberFormat="1" applyFont="1" applyFill="1" applyBorder="1" applyAlignment="1" applyProtection="1">
      <alignment vertical="center"/>
    </xf>
    <xf numFmtId="173" fontId="32" fillId="3" borderId="0" xfId="88" applyNumberFormat="1" applyFont="1" applyFill="1" applyBorder="1" applyAlignment="1" applyProtection="1">
      <alignment horizontal="center" vertical="center"/>
    </xf>
    <xf numFmtId="173" fontId="32" fillId="3" borderId="0" xfId="88" applyNumberFormat="1" applyFont="1" applyFill="1" applyBorder="1" applyAlignment="1" applyProtection="1">
      <alignment horizontal="left"/>
    </xf>
    <xf numFmtId="0" fontId="20" fillId="3" borderId="0" xfId="0" applyFont="1" applyFill="1"/>
    <xf numFmtId="173" fontId="21" fillId="0" borderId="0" xfId="88" applyNumberFormat="1" applyFont="1" applyFill="1" applyBorder="1" applyAlignment="1" applyProtection="1">
      <alignment horizontal="right"/>
    </xf>
    <xf numFmtId="9" fontId="20" fillId="0" borderId="0" xfId="3" applyFont="1" applyFill="1" applyProtection="1"/>
    <xf numFmtId="166" fontId="20" fillId="14" borderId="0" xfId="3" applyNumberFormat="1" applyFont="1" applyFill="1" applyProtection="1"/>
    <xf numFmtId="166" fontId="21" fillId="14" borderId="0" xfId="3" applyNumberFormat="1" applyFont="1" applyFill="1" applyProtection="1"/>
    <xf numFmtId="166" fontId="20" fillId="0" borderId="0" xfId="3" applyNumberFormat="1" applyFont="1"/>
    <xf numFmtId="166" fontId="20" fillId="14" borderId="0" xfId="3" applyNumberFormat="1" applyFont="1" applyFill="1" applyBorder="1" applyProtection="1"/>
    <xf numFmtId="166" fontId="20" fillId="14" borderId="2" xfId="3" applyNumberFormat="1" applyFont="1" applyFill="1" applyBorder="1" applyProtection="1"/>
    <xf numFmtId="166" fontId="20" fillId="14" borderId="27" xfId="3" applyNumberFormat="1" applyFont="1" applyFill="1" applyBorder="1" applyProtection="1"/>
    <xf numFmtId="166" fontId="20" fillId="0" borderId="0" xfId="3" applyNumberFormat="1" applyFont="1" applyFill="1"/>
    <xf numFmtId="0" fontId="20" fillId="14" borderId="43" xfId="0" applyFont="1" applyFill="1" applyBorder="1" applyAlignment="1">
      <alignment vertical="center"/>
    </xf>
    <xf numFmtId="6" fontId="20" fillId="14" borderId="43" xfId="0" applyNumberFormat="1" applyFont="1" applyFill="1" applyBorder="1"/>
    <xf numFmtId="6" fontId="20" fillId="0" borderId="43" xfId="0" applyNumberFormat="1" applyFont="1" applyFill="1" applyBorder="1"/>
    <xf numFmtId="0" fontId="20" fillId="14" borderId="43" xfId="0" applyFont="1" applyFill="1" applyBorder="1"/>
    <xf numFmtId="17" fontId="21" fillId="14" borderId="43" xfId="0" applyNumberFormat="1" applyFont="1" applyFill="1" applyBorder="1"/>
    <xf numFmtId="173" fontId="32" fillId="13" borderId="43" xfId="88" applyNumberFormat="1" applyFont="1" applyFill="1" applyBorder="1" applyAlignment="1" applyProtection="1"/>
    <xf numFmtId="173" fontId="21" fillId="14" borderId="43" xfId="88" applyNumberFormat="1" applyFont="1" applyFill="1" applyBorder="1" applyProtection="1"/>
    <xf numFmtId="173" fontId="21" fillId="20" borderId="43" xfId="88" applyNumberFormat="1" applyFont="1" applyFill="1" applyBorder="1" applyProtection="1"/>
    <xf numFmtId="0" fontId="22" fillId="4" borderId="43" xfId="88" applyNumberFormat="1" applyFont="1" applyFill="1" applyBorder="1" applyProtection="1"/>
    <xf numFmtId="173" fontId="20" fillId="14" borderId="43" xfId="88" applyNumberFormat="1" applyFont="1" applyFill="1" applyBorder="1" applyAlignment="1" applyProtection="1">
      <alignment horizontal="right"/>
    </xf>
    <xf numFmtId="169" fontId="20" fillId="14" borderId="43" xfId="88" applyNumberFormat="1" applyFont="1" applyFill="1" applyBorder="1" applyProtection="1"/>
    <xf numFmtId="169" fontId="21" fillId="14" borderId="43" xfId="88" applyNumberFormat="1" applyFont="1" applyFill="1" applyBorder="1" applyProtection="1"/>
    <xf numFmtId="0" fontId="20" fillId="16" borderId="43" xfId="88" applyNumberFormat="1" applyFont="1" applyFill="1" applyBorder="1" applyProtection="1"/>
    <xf numFmtId="169" fontId="21" fillId="15" borderId="44" xfId="88" applyNumberFormat="1" applyFont="1" applyFill="1" applyBorder="1" applyAlignment="1" applyProtection="1">
      <alignment vertical="center"/>
    </xf>
    <xf numFmtId="169" fontId="21" fillId="15" borderId="45" xfId="88" applyNumberFormat="1" applyFont="1" applyFill="1" applyBorder="1" applyAlignment="1" applyProtection="1">
      <alignment vertical="center"/>
    </xf>
    <xf numFmtId="169" fontId="20" fillId="15" borderId="43" xfId="88" applyNumberFormat="1" applyFont="1" applyFill="1" applyBorder="1" applyProtection="1"/>
    <xf numFmtId="166" fontId="20" fillId="15" borderId="43" xfId="87" applyNumberFormat="1" applyFont="1" applyFill="1" applyBorder="1" applyProtection="1"/>
    <xf numFmtId="166" fontId="20" fillId="0" borderId="43" xfId="87" applyNumberFormat="1" applyFont="1" applyFill="1" applyBorder="1" applyProtection="1"/>
    <xf numFmtId="0" fontId="20" fillId="12" borderId="43" xfId="88" applyNumberFormat="1" applyFont="1" applyFill="1" applyBorder="1" applyAlignment="1" applyProtection="1">
      <alignment horizontal="right"/>
    </xf>
    <xf numFmtId="0" fontId="21" fillId="12" borderId="43" xfId="88" applyNumberFormat="1" applyFont="1" applyFill="1" applyBorder="1" applyAlignment="1" applyProtection="1">
      <alignment horizontal="right"/>
    </xf>
    <xf numFmtId="169" fontId="21" fillId="17" borderId="43" xfId="88" applyNumberFormat="1" applyFont="1" applyFill="1" applyBorder="1" applyAlignment="1" applyProtection="1">
      <alignment vertical="center"/>
    </xf>
    <xf numFmtId="5" fontId="20" fillId="18" borderId="43" xfId="1" applyNumberFormat="1" applyFont="1" applyFill="1" applyBorder="1" applyProtection="1"/>
    <xf numFmtId="173" fontId="20" fillId="18" borderId="43" xfId="88" applyNumberFormat="1" applyFont="1" applyFill="1" applyBorder="1" applyProtection="1"/>
    <xf numFmtId="166" fontId="20" fillId="17" borderId="43" xfId="87" applyNumberFormat="1" applyFont="1" applyFill="1" applyBorder="1" applyProtection="1"/>
    <xf numFmtId="166" fontId="20" fillId="14" borderId="43" xfId="3" applyNumberFormat="1" applyFont="1" applyFill="1" applyBorder="1" applyProtection="1"/>
    <xf numFmtId="172" fontId="20" fillId="0" borderId="43" xfId="0" applyNumberFormat="1" applyFont="1" applyBorder="1"/>
    <xf numFmtId="0" fontId="20" fillId="0" borderId="43" xfId="0" applyFont="1" applyBorder="1"/>
    <xf numFmtId="5" fontId="20" fillId="18" borderId="2" xfId="1" applyNumberFormat="1" applyFont="1" applyFill="1" applyBorder="1" applyProtection="1"/>
    <xf numFmtId="173" fontId="20" fillId="18" borderId="2" xfId="88" applyNumberFormat="1" applyFont="1" applyFill="1" applyBorder="1" applyProtection="1"/>
    <xf numFmtId="9" fontId="20" fillId="15" borderId="2" xfId="3" applyFont="1" applyFill="1" applyBorder="1" applyProtection="1"/>
    <xf numFmtId="9" fontId="20" fillId="18" borderId="2" xfId="3" applyFont="1" applyFill="1" applyBorder="1" applyProtection="1"/>
    <xf numFmtId="0" fontId="20" fillId="16" borderId="27" xfId="88" applyNumberFormat="1" applyFont="1" applyFill="1" applyBorder="1" applyProtection="1"/>
    <xf numFmtId="9" fontId="20" fillId="15" borderId="27" xfId="3" applyFont="1" applyFill="1" applyBorder="1" applyProtection="1"/>
    <xf numFmtId="1" fontId="22" fillId="4" borderId="27" xfId="88" applyNumberFormat="1" applyFont="1" applyFill="1" applyBorder="1" applyProtection="1"/>
    <xf numFmtId="5" fontId="20" fillId="18" borderId="27" xfId="1" applyNumberFormat="1" applyFont="1" applyFill="1" applyBorder="1" applyProtection="1"/>
    <xf numFmtId="9" fontId="20" fillId="18" borderId="27" xfId="3" applyFont="1" applyFill="1" applyBorder="1" applyProtection="1"/>
    <xf numFmtId="0" fontId="20" fillId="14" borderId="46" xfId="0" applyFont="1" applyFill="1" applyBorder="1" applyAlignment="1">
      <alignment vertical="center"/>
    </xf>
    <xf numFmtId="6" fontId="20" fillId="14" borderId="46" xfId="0" applyNumberFormat="1" applyFont="1" applyFill="1" applyBorder="1"/>
    <xf numFmtId="0" fontId="20" fillId="14" borderId="46" xfId="0" applyFont="1" applyFill="1" applyBorder="1"/>
    <xf numFmtId="0" fontId="20" fillId="0" borderId="46" xfId="0" applyFont="1" applyBorder="1"/>
    <xf numFmtId="17" fontId="21" fillId="14" borderId="46" xfId="0" applyNumberFormat="1" applyFont="1" applyFill="1" applyBorder="1"/>
    <xf numFmtId="173" fontId="32" fillId="13" borderId="46" xfId="88" applyNumberFormat="1" applyFont="1" applyFill="1" applyBorder="1" applyAlignment="1" applyProtection="1"/>
    <xf numFmtId="173" fontId="21" fillId="14" borderId="46" xfId="88" applyNumberFormat="1" applyFont="1" applyFill="1" applyBorder="1" applyProtection="1"/>
    <xf numFmtId="173" fontId="21" fillId="20" borderId="46" xfId="88" applyNumberFormat="1" applyFont="1" applyFill="1" applyBorder="1" applyProtection="1"/>
    <xf numFmtId="0" fontId="22" fillId="4" borderId="46" xfId="88" applyNumberFormat="1" applyFont="1" applyFill="1" applyBorder="1" applyProtection="1"/>
    <xf numFmtId="173" fontId="20" fillId="14" borderId="46" xfId="88" applyNumberFormat="1" applyFont="1" applyFill="1" applyBorder="1" applyAlignment="1" applyProtection="1">
      <alignment horizontal="right"/>
    </xf>
    <xf numFmtId="169" fontId="20" fillId="14" borderId="46" xfId="88" applyNumberFormat="1" applyFont="1" applyFill="1" applyBorder="1" applyProtection="1"/>
    <xf numFmtId="169" fontId="21" fillId="14" borderId="46" xfId="88" applyNumberFormat="1" applyFont="1" applyFill="1" applyBorder="1" applyProtection="1"/>
    <xf numFmtId="0" fontId="20" fillId="16" borderId="46" xfId="88" applyNumberFormat="1" applyFont="1" applyFill="1" applyBorder="1" applyProtection="1"/>
    <xf numFmtId="169" fontId="21" fillId="15" borderId="47" xfId="88" applyNumberFormat="1" applyFont="1" applyFill="1" applyBorder="1" applyAlignment="1" applyProtection="1">
      <alignment vertical="center"/>
    </xf>
    <xf numFmtId="169" fontId="21" fillId="15" borderId="48" xfId="88" applyNumberFormat="1" applyFont="1" applyFill="1" applyBorder="1" applyAlignment="1" applyProtection="1">
      <alignment vertical="center"/>
    </xf>
    <xf numFmtId="9" fontId="20" fillId="15" borderId="46" xfId="3" applyFont="1" applyFill="1" applyBorder="1" applyProtection="1"/>
    <xf numFmtId="166" fontId="20" fillId="15" borderId="46" xfId="87" applyNumberFormat="1" applyFont="1" applyFill="1" applyBorder="1" applyProtection="1"/>
    <xf numFmtId="166" fontId="20" fillId="0" borderId="46" xfId="87" applyNumberFormat="1" applyFont="1" applyFill="1" applyBorder="1" applyProtection="1"/>
    <xf numFmtId="0" fontId="20" fillId="12" borderId="46" xfId="88" applyNumberFormat="1" applyFont="1" applyFill="1" applyBorder="1" applyAlignment="1" applyProtection="1">
      <alignment horizontal="right"/>
    </xf>
    <xf numFmtId="1" fontId="22" fillId="4" borderId="46" xfId="88" applyNumberFormat="1" applyFont="1" applyFill="1" applyBorder="1" applyProtection="1"/>
    <xf numFmtId="0" fontId="21" fillId="12" borderId="46" xfId="88" applyNumberFormat="1" applyFont="1" applyFill="1" applyBorder="1" applyAlignment="1" applyProtection="1">
      <alignment horizontal="right"/>
    </xf>
    <xf numFmtId="169" fontId="21" fillId="17" borderId="46" xfId="88" applyNumberFormat="1" applyFont="1" applyFill="1" applyBorder="1" applyAlignment="1" applyProtection="1">
      <alignment vertical="center"/>
    </xf>
    <xf numFmtId="5" fontId="20" fillId="18" borderId="46" xfId="1" applyNumberFormat="1" applyFont="1" applyFill="1" applyBorder="1" applyProtection="1"/>
    <xf numFmtId="9" fontId="20" fillId="18" borderId="46" xfId="3" applyFont="1" applyFill="1" applyBorder="1" applyProtection="1"/>
    <xf numFmtId="166" fontId="20" fillId="17" borderId="46" xfId="87" applyNumberFormat="1" applyFont="1" applyFill="1" applyBorder="1" applyProtection="1"/>
    <xf numFmtId="166" fontId="20" fillId="14" borderId="46" xfId="3" applyNumberFormat="1" applyFont="1" applyFill="1" applyBorder="1" applyProtection="1"/>
    <xf numFmtId="172" fontId="20" fillId="0" borderId="46" xfId="0" applyNumberFormat="1" applyFont="1" applyBorder="1"/>
    <xf numFmtId="169" fontId="21" fillId="17" borderId="19" xfId="88" applyNumberFormat="1" applyFont="1" applyFill="1" applyBorder="1" applyAlignment="1" applyProtection="1">
      <alignment vertical="center"/>
    </xf>
    <xf numFmtId="169" fontId="21" fillId="17" borderId="45" xfId="88" applyNumberFormat="1" applyFont="1" applyFill="1" applyBorder="1" applyAlignment="1" applyProtection="1">
      <alignment vertical="center"/>
    </xf>
    <xf numFmtId="169" fontId="21" fillId="17" borderId="31" xfId="88" applyNumberFormat="1" applyFont="1" applyFill="1" applyBorder="1" applyAlignment="1" applyProtection="1">
      <alignment vertical="center"/>
    </xf>
    <xf numFmtId="169" fontId="21" fillId="17" borderId="29" xfId="88" applyNumberFormat="1" applyFont="1" applyFill="1" applyBorder="1" applyAlignment="1" applyProtection="1">
      <alignment vertical="center"/>
    </xf>
    <xf numFmtId="169" fontId="21" fillId="17" borderId="48" xfId="88" applyNumberFormat="1" applyFont="1" applyFill="1" applyBorder="1" applyAlignment="1" applyProtection="1">
      <alignment vertical="center"/>
    </xf>
    <xf numFmtId="173" fontId="20" fillId="18" borderId="0" xfId="88" applyNumberFormat="1" applyFont="1" applyFill="1" applyBorder="1" applyAlignment="1" applyProtection="1">
      <alignment horizontal="right" vertical="center"/>
    </xf>
    <xf numFmtId="173" fontId="20" fillId="15" borderId="0" xfId="88" applyNumberFormat="1" applyFont="1" applyFill="1" applyBorder="1" applyAlignment="1" applyProtection="1">
      <alignment horizontal="right" vertical="center"/>
    </xf>
    <xf numFmtId="1" fontId="20" fillId="0" borderId="8" xfId="2" applyNumberFormat="1" applyFont="1" applyFill="1" applyBorder="1" applyProtection="1"/>
    <xf numFmtId="166" fontId="20" fillId="0" borderId="8" xfId="3" applyNumberFormat="1" applyFont="1" applyFill="1" applyBorder="1" applyProtection="1"/>
    <xf numFmtId="5" fontId="20" fillId="0" borderId="8" xfId="1" applyNumberFormat="1" applyFont="1" applyFill="1" applyBorder="1" applyProtection="1"/>
    <xf numFmtId="5" fontId="20" fillId="0" borderId="11" xfId="1" applyNumberFormat="1" applyFont="1" applyFill="1" applyBorder="1" applyProtection="1"/>
    <xf numFmtId="37" fontId="21" fillId="0" borderId="9" xfId="1" applyNumberFormat="1" applyFont="1" applyFill="1" applyBorder="1" applyProtection="1"/>
    <xf numFmtId="6" fontId="21" fillId="3" borderId="0" xfId="0" applyNumberFormat="1" applyFont="1" applyFill="1" applyBorder="1"/>
    <xf numFmtId="6" fontId="20" fillId="3" borderId="0" xfId="0" applyNumberFormat="1" applyFont="1" applyFill="1" applyBorder="1"/>
    <xf numFmtId="6" fontId="20" fillId="3" borderId="0" xfId="0" applyNumberFormat="1" applyFont="1" applyFill="1" applyBorder="1" applyAlignment="1">
      <alignment horizontal="left"/>
    </xf>
    <xf numFmtId="169" fontId="20" fillId="3" borderId="0" xfId="0" applyNumberFormat="1" applyFont="1" applyFill="1" applyBorder="1"/>
    <xf numFmtId="0" fontId="20" fillId="0" borderId="43" xfId="0" applyFont="1" applyBorder="1" applyAlignment="1">
      <alignment vertical="center"/>
    </xf>
    <xf numFmtId="6" fontId="20" fillId="0" borderId="43" xfId="0" applyNumberFormat="1" applyFont="1" applyBorder="1"/>
    <xf numFmtId="6" fontId="20" fillId="0" borderId="49" xfId="0" applyNumberFormat="1" applyFont="1" applyBorder="1"/>
    <xf numFmtId="6" fontId="21" fillId="3" borderId="43" xfId="0" applyNumberFormat="1" applyFont="1" applyFill="1" applyBorder="1"/>
    <xf numFmtId="6" fontId="20" fillId="3" borderId="43" xfId="0" applyNumberFormat="1" applyFont="1" applyFill="1" applyBorder="1"/>
    <xf numFmtId="6" fontId="20" fillId="0" borderId="43" xfId="1" applyNumberFormat="1" applyFont="1" applyBorder="1" applyProtection="1"/>
    <xf numFmtId="6" fontId="20" fillId="0" borderId="43" xfId="1" applyNumberFormat="1" applyFont="1" applyFill="1" applyBorder="1" applyProtection="1"/>
    <xf numFmtId="166" fontId="20" fillId="0" borderId="43" xfId="3" applyNumberFormat="1" applyFont="1" applyBorder="1" applyProtection="1"/>
    <xf numFmtId="49" fontId="60" fillId="0" borderId="43" xfId="1" applyNumberFormat="1" applyFont="1" applyFill="1" applyBorder="1" applyAlignment="1" applyProtection="1">
      <alignment horizontal="center"/>
    </xf>
    <xf numFmtId="49" fontId="50" fillId="3" borderId="43" xfId="1" applyNumberFormat="1" applyFont="1" applyFill="1" applyBorder="1" applyAlignment="1" applyProtection="1">
      <alignment horizontal="center"/>
    </xf>
    <xf numFmtId="49" fontId="50" fillId="0" borderId="43" xfId="1" applyNumberFormat="1" applyFont="1" applyFill="1" applyBorder="1" applyAlignment="1" applyProtection="1">
      <alignment horizontal="center"/>
    </xf>
    <xf numFmtId="17" fontId="21" fillId="0" borderId="49" xfId="0" applyNumberFormat="1" applyFont="1" applyBorder="1"/>
    <xf numFmtId="1" fontId="54" fillId="6" borderId="43" xfId="1" applyNumberFormat="1" applyFont="1" applyFill="1" applyBorder="1" applyProtection="1"/>
    <xf numFmtId="1" fontId="55" fillId="6" borderId="43" xfId="1" applyNumberFormat="1" applyFont="1" applyFill="1" applyBorder="1" applyProtection="1"/>
    <xf numFmtId="1" fontId="55" fillId="0" borderId="43" xfId="1" applyNumberFormat="1" applyFont="1" applyBorder="1" applyProtection="1"/>
    <xf numFmtId="5" fontId="21" fillId="0" borderId="43" xfId="1" applyNumberFormat="1" applyFont="1" applyFill="1" applyBorder="1" applyProtection="1"/>
    <xf numFmtId="5" fontId="20" fillId="0" borderId="50" xfId="1" applyNumberFormat="1" applyFont="1" applyBorder="1" applyProtection="1"/>
    <xf numFmtId="9" fontId="56" fillId="0" borderId="43" xfId="3" applyFont="1" applyBorder="1" applyProtection="1"/>
    <xf numFmtId="5" fontId="20" fillId="0" borderId="43" xfId="1" applyNumberFormat="1" applyFont="1" applyBorder="1" applyProtection="1"/>
    <xf numFmtId="5" fontId="20" fillId="4" borderId="43" xfId="88" applyNumberFormat="1" applyFont="1" applyFill="1" applyBorder="1" applyProtection="1">
      <protection locked="0"/>
    </xf>
    <xf numFmtId="5" fontId="20" fillId="0" borderId="44" xfId="1" applyNumberFormat="1" applyFont="1" applyBorder="1" applyProtection="1"/>
    <xf numFmtId="5" fontId="20" fillId="6" borderId="50" xfId="1" applyNumberFormat="1" applyFont="1" applyFill="1" applyBorder="1" applyProtection="1"/>
    <xf numFmtId="5" fontId="21" fillId="0" borderId="43" xfId="1" applyNumberFormat="1" applyFont="1" applyBorder="1" applyProtection="1"/>
    <xf numFmtId="5" fontId="21" fillId="0" borderId="51" xfId="1" applyNumberFormat="1" applyFont="1" applyFill="1" applyBorder="1" applyAlignment="1" applyProtection="1">
      <alignment vertical="center"/>
    </xf>
    <xf numFmtId="5" fontId="21" fillId="0" borderId="52" xfId="1" applyNumberFormat="1" applyFont="1" applyBorder="1" applyProtection="1"/>
    <xf numFmtId="5" fontId="20" fillId="0" borderId="49" xfId="1" applyNumberFormat="1" applyFont="1" applyFill="1" applyBorder="1" applyProtection="1"/>
    <xf numFmtId="6" fontId="21" fillId="0" borderId="43" xfId="1" applyNumberFormat="1" applyFont="1" applyBorder="1" applyProtection="1"/>
    <xf numFmtId="6" fontId="21" fillId="9" borderId="43" xfId="1" applyNumberFormat="1" applyFont="1" applyFill="1" applyBorder="1" applyProtection="1"/>
    <xf numFmtId="17" fontId="21" fillId="0" borderId="43" xfId="0" applyNumberFormat="1" applyFont="1" applyBorder="1"/>
    <xf numFmtId="6" fontId="20" fillId="0" borderId="49" xfId="1" applyNumberFormat="1" applyFont="1" applyFill="1" applyBorder="1" applyProtection="1"/>
    <xf numFmtId="37" fontId="20" fillId="0" borderId="43" xfId="1" applyNumberFormat="1" applyFont="1" applyFill="1" applyBorder="1" applyProtection="1"/>
    <xf numFmtId="37" fontId="20" fillId="0" borderId="50" xfId="1" applyNumberFormat="1" applyFont="1" applyFill="1" applyBorder="1" applyProtection="1"/>
    <xf numFmtId="37" fontId="21" fillId="0" borderId="43" xfId="1" applyNumberFormat="1" applyFont="1" applyFill="1" applyBorder="1" applyProtection="1"/>
    <xf numFmtId="37" fontId="21" fillId="0" borderId="43" xfId="0" applyNumberFormat="1" applyFont="1" applyBorder="1"/>
    <xf numFmtId="37" fontId="21" fillId="0" borderId="51" xfId="0" applyNumberFormat="1" applyFont="1" applyBorder="1" applyAlignment="1">
      <alignment horizontal="right" vertical="center"/>
    </xf>
    <xf numFmtId="17" fontId="21" fillId="0" borderId="49" xfId="1" applyNumberFormat="1" applyFont="1" applyFill="1" applyBorder="1" applyProtection="1"/>
    <xf numFmtId="37" fontId="21" fillId="0" borderId="49" xfId="1" applyNumberFormat="1" applyFont="1" applyBorder="1" applyProtection="1"/>
    <xf numFmtId="37" fontId="21" fillId="0" borderId="43" xfId="1" applyNumberFormat="1" applyFont="1" applyBorder="1" applyProtection="1"/>
    <xf numFmtId="37" fontId="20" fillId="0" borderId="43" xfId="1" applyNumberFormat="1" applyFont="1" applyBorder="1" applyProtection="1"/>
    <xf numFmtId="37" fontId="20" fillId="0" borderId="50" xfId="1" applyNumberFormat="1" applyFont="1" applyBorder="1" applyProtection="1"/>
    <xf numFmtId="37" fontId="20" fillId="6" borderId="43" xfId="1" applyNumberFormat="1" applyFont="1" applyFill="1" applyBorder="1" applyProtection="1"/>
    <xf numFmtId="37" fontId="21" fillId="0" borderId="53" xfId="1" applyNumberFormat="1" applyFont="1" applyBorder="1" applyAlignment="1" applyProtection="1">
      <alignment horizontal="right" vertical="center"/>
    </xf>
    <xf numFmtId="0" fontId="20" fillId="0" borderId="46" xfId="0" applyFont="1" applyBorder="1" applyAlignment="1">
      <alignment vertical="center"/>
    </xf>
    <xf numFmtId="6" fontId="20" fillId="0" borderId="46" xfId="0" applyNumberFormat="1" applyFont="1" applyBorder="1"/>
    <xf numFmtId="6" fontId="20" fillId="0" borderId="54" xfId="0" applyNumberFormat="1" applyFont="1" applyBorder="1"/>
    <xf numFmtId="1" fontId="20" fillId="0" borderId="46" xfId="2" applyNumberFormat="1" applyFont="1" applyFill="1" applyBorder="1" applyProtection="1"/>
    <xf numFmtId="6" fontId="20" fillId="0" borderId="46" xfId="1" applyNumberFormat="1" applyFont="1" applyFill="1" applyBorder="1" applyProtection="1"/>
    <xf numFmtId="166" fontId="20" fillId="0" borderId="46" xfId="3" applyNumberFormat="1" applyFont="1" applyFill="1" applyBorder="1" applyProtection="1"/>
    <xf numFmtId="6" fontId="20" fillId="3" borderId="46" xfId="1" applyNumberFormat="1" applyFont="1" applyFill="1" applyBorder="1" applyProtection="1"/>
    <xf numFmtId="17" fontId="21" fillId="0" borderId="54" xfId="0" applyNumberFormat="1" applyFont="1" applyBorder="1"/>
    <xf numFmtId="1" fontId="54" fillId="6" borderId="46" xfId="1" applyNumberFormat="1" applyFont="1" applyFill="1" applyBorder="1" applyProtection="1"/>
    <xf numFmtId="1" fontId="55" fillId="6" borderId="46" xfId="1" applyNumberFormat="1" applyFont="1" applyFill="1" applyBorder="1" applyProtection="1"/>
    <xf numFmtId="1" fontId="55" fillId="0" borderId="46" xfId="1" applyNumberFormat="1" applyFont="1" applyBorder="1" applyProtection="1"/>
    <xf numFmtId="5" fontId="21" fillId="0" borderId="46" xfId="1" applyNumberFormat="1" applyFont="1" applyFill="1" applyBorder="1" applyProtection="1"/>
    <xf numFmtId="5" fontId="20" fillId="0" borderId="55" xfId="1" applyNumberFormat="1" applyFont="1" applyBorder="1" applyProtection="1"/>
    <xf numFmtId="9" fontId="56" fillId="0" borderId="46" xfId="3" applyFont="1" applyBorder="1" applyProtection="1"/>
    <xf numFmtId="5" fontId="20" fillId="0" borderId="46" xfId="1" applyNumberFormat="1" applyFont="1" applyFill="1" applyBorder="1" applyProtection="1"/>
    <xf numFmtId="5" fontId="20" fillId="0" borderId="46" xfId="1" applyNumberFormat="1" applyFont="1" applyBorder="1" applyProtection="1"/>
    <xf numFmtId="5" fontId="20" fillId="4" borderId="46" xfId="88" applyNumberFormat="1" applyFont="1" applyFill="1" applyBorder="1" applyProtection="1">
      <protection locked="0"/>
    </xf>
    <xf numFmtId="5" fontId="20" fillId="0" borderId="47" xfId="1" applyNumberFormat="1" applyFont="1" applyBorder="1" applyProtection="1"/>
    <xf numFmtId="5" fontId="20" fillId="0" borderId="55" xfId="1" applyNumberFormat="1" applyFont="1" applyFill="1" applyBorder="1" applyProtection="1"/>
    <xf numFmtId="5" fontId="20" fillId="6" borderId="55" xfId="1" applyNumberFormat="1" applyFont="1" applyFill="1" applyBorder="1" applyProtection="1"/>
    <xf numFmtId="5" fontId="21" fillId="0" borderId="46" xfId="1" applyNumberFormat="1" applyFont="1" applyBorder="1" applyProtection="1"/>
    <xf numFmtId="5" fontId="21" fillId="0" borderId="56" xfId="1" applyNumberFormat="1" applyFont="1" applyFill="1" applyBorder="1" applyAlignment="1" applyProtection="1">
      <alignment vertical="center"/>
    </xf>
    <xf numFmtId="5" fontId="21" fillId="0" borderId="57" xfId="1" applyNumberFormat="1" applyFont="1" applyBorder="1" applyProtection="1"/>
    <xf numFmtId="5" fontId="20" fillId="0" borderId="54" xfId="1" applyNumberFormat="1" applyFont="1" applyFill="1" applyBorder="1" applyProtection="1"/>
    <xf numFmtId="6" fontId="21" fillId="0" borderId="46" xfId="1" applyNumberFormat="1" applyFont="1" applyBorder="1" applyProtection="1"/>
    <xf numFmtId="6" fontId="21" fillId="9" borderId="46" xfId="1" applyNumberFormat="1" applyFont="1" applyFill="1" applyBorder="1" applyProtection="1"/>
    <xf numFmtId="17" fontId="21" fillId="0" borderId="46" xfId="0" applyNumberFormat="1" applyFont="1" applyBorder="1"/>
    <xf numFmtId="6" fontId="20" fillId="0" borderId="54" xfId="1" applyNumberFormat="1" applyFont="1" applyFill="1" applyBorder="1" applyProtection="1"/>
    <xf numFmtId="37" fontId="20" fillId="0" borderId="46" xfId="1" applyNumberFormat="1" applyFont="1" applyFill="1" applyBorder="1" applyProtection="1"/>
    <xf numFmtId="37" fontId="20" fillId="0" borderId="55" xfId="1" applyNumberFormat="1" applyFont="1" applyFill="1" applyBorder="1" applyProtection="1"/>
    <xf numFmtId="37" fontId="21" fillId="0" borderId="46" xfId="1" applyNumberFormat="1" applyFont="1" applyFill="1" applyBorder="1" applyProtection="1"/>
    <xf numFmtId="37" fontId="21" fillId="0" borderId="46" xfId="0" applyNumberFormat="1" applyFont="1" applyBorder="1"/>
    <xf numFmtId="37" fontId="21" fillId="0" borderId="56" xfId="0" applyNumberFormat="1" applyFont="1" applyBorder="1" applyAlignment="1">
      <alignment horizontal="right" vertical="center"/>
    </xf>
    <xf numFmtId="17" fontId="21" fillId="0" borderId="54" xfId="1" applyNumberFormat="1" applyFont="1" applyFill="1" applyBorder="1" applyProtection="1"/>
    <xf numFmtId="37" fontId="21" fillId="0" borderId="54" xfId="1" applyNumberFormat="1" applyFont="1" applyFill="1" applyBorder="1" applyProtection="1"/>
    <xf numFmtId="37" fontId="20" fillId="0" borderId="55" xfId="1" applyNumberFormat="1" applyFont="1" applyBorder="1" applyProtection="1"/>
    <xf numFmtId="37" fontId="20" fillId="0" borderId="46" xfId="1" applyNumberFormat="1" applyFont="1" applyBorder="1" applyProtection="1"/>
    <xf numFmtId="37" fontId="20" fillId="6" borderId="46" xfId="1" applyNumberFormat="1" applyFont="1" applyFill="1" applyBorder="1" applyProtection="1"/>
    <xf numFmtId="37" fontId="21" fillId="0" borderId="58" xfId="1" applyNumberFormat="1" applyFont="1" applyBorder="1" applyAlignment="1" applyProtection="1">
      <alignment horizontal="right" vertical="center"/>
    </xf>
    <xf numFmtId="6" fontId="20" fillId="0" borderId="46" xfId="1" applyNumberFormat="1" applyFont="1" applyBorder="1" applyProtection="1"/>
    <xf numFmtId="6" fontId="20" fillId="0" borderId="2" xfId="0" applyNumberFormat="1" applyFont="1" applyBorder="1"/>
    <xf numFmtId="6" fontId="22" fillId="0" borderId="0" xfId="0" applyNumberFormat="1" applyFont="1"/>
    <xf numFmtId="6" fontId="66" fillId="0" borderId="0" xfId="0" applyNumberFormat="1" applyFont="1"/>
    <xf numFmtId="6" fontId="66" fillId="0" borderId="7" xfId="0" applyNumberFormat="1" applyFont="1" applyBorder="1"/>
    <xf numFmtId="6" fontId="66" fillId="0" borderId="1" xfId="0" applyNumberFormat="1" applyFont="1" applyBorder="1"/>
    <xf numFmtId="1" fontId="20" fillId="0" borderId="0" xfId="0" applyNumberFormat="1" applyFont="1"/>
    <xf numFmtId="1" fontId="62" fillId="0" borderId="7" xfId="0" applyNumberFormat="1" applyFont="1" applyBorder="1" applyAlignment="1">
      <alignment horizontal="left"/>
    </xf>
    <xf numFmtId="1" fontId="62" fillId="0" borderId="7" xfId="0" applyNumberFormat="1" applyFont="1" applyBorder="1" applyAlignment="1">
      <alignment horizontal="right"/>
    </xf>
    <xf numFmtId="1" fontId="62" fillId="0" borderId="7" xfId="0" applyNumberFormat="1" applyFont="1" applyBorder="1"/>
    <xf numFmtId="1" fontId="24" fillId="0" borderId="0" xfId="0" applyNumberFormat="1" applyFont="1" applyAlignment="1">
      <alignment horizontal="left"/>
    </xf>
    <xf numFmtId="1" fontId="28" fillId="0" borderId="0" xfId="0" applyNumberFormat="1" applyFont="1" applyAlignment="1">
      <alignment horizontal="right"/>
    </xf>
    <xf numFmtId="1" fontId="62" fillId="0" borderId="0" xfId="0" applyNumberFormat="1" applyFont="1"/>
    <xf numFmtId="5" fontId="28" fillId="0" borderId="0" xfId="0" applyNumberFormat="1" applyFont="1"/>
    <xf numFmtId="6" fontId="22" fillId="0" borderId="10" xfId="0" applyNumberFormat="1" applyFont="1" applyBorder="1"/>
    <xf numFmtId="5" fontId="22" fillId="0" borderId="10" xfId="0" applyNumberFormat="1" applyFont="1" applyBorder="1"/>
    <xf numFmtId="6" fontId="67" fillId="0" borderId="0" xfId="0" applyNumberFormat="1" applyFont="1" applyAlignment="1">
      <alignment horizontal="left"/>
    </xf>
    <xf numFmtId="6" fontId="28" fillId="0" borderId="0" xfId="0" applyNumberFormat="1" applyFont="1"/>
    <xf numFmtId="6" fontId="48" fillId="0" borderId="0" xfId="1" applyNumberFormat="1" applyFont="1" applyFill="1" applyAlignment="1" applyProtection="1">
      <alignment horizontal="left"/>
    </xf>
    <xf numFmtId="5" fontId="48" fillId="0" borderId="0" xfId="1" applyNumberFormat="1" applyFont="1" applyFill="1" applyAlignment="1" applyProtection="1">
      <alignment horizontal="right"/>
    </xf>
    <xf numFmtId="6" fontId="48" fillId="0" borderId="0" xfId="1" applyNumberFormat="1" applyFont="1" applyFill="1" applyBorder="1" applyAlignment="1" applyProtection="1">
      <alignment horizontal="left"/>
    </xf>
    <xf numFmtId="6" fontId="48" fillId="0" borderId="0" xfId="0" applyNumberFormat="1" applyFont="1" applyAlignment="1">
      <alignment horizontal="left"/>
    </xf>
    <xf numFmtId="9" fontId="68" fillId="0" borderId="0" xfId="3" applyFont="1" applyFill="1" applyAlignment="1" applyProtection="1">
      <alignment horizontal="left"/>
    </xf>
    <xf numFmtId="9" fontId="68" fillId="0" borderId="0" xfId="3" applyFont="1" applyFill="1" applyProtection="1"/>
    <xf numFmtId="9" fontId="56" fillId="0" borderId="0" xfId="3" applyFont="1" applyFill="1" applyProtection="1"/>
    <xf numFmtId="9" fontId="20" fillId="0" borderId="0" xfId="3" applyFont="1" applyFill="1" applyBorder="1" applyProtection="1"/>
    <xf numFmtId="9" fontId="68" fillId="0" borderId="0" xfId="3" applyFont="1" applyFill="1" applyBorder="1" applyProtection="1"/>
    <xf numFmtId="5" fontId="56" fillId="0" borderId="0" xfId="3" applyNumberFormat="1" applyFont="1" applyFill="1" applyProtection="1"/>
    <xf numFmtId="6" fontId="48" fillId="0" borderId="10" xfId="1" applyNumberFormat="1" applyFont="1" applyFill="1" applyBorder="1" applyAlignment="1" applyProtection="1">
      <alignment horizontal="left"/>
    </xf>
    <xf numFmtId="5" fontId="48" fillId="0" borderId="10" xfId="1" applyNumberFormat="1" applyFont="1" applyFill="1" applyBorder="1" applyAlignment="1" applyProtection="1">
      <alignment horizontal="right"/>
    </xf>
    <xf numFmtId="6" fontId="67" fillId="0" borderId="0" xfId="0" applyNumberFormat="1" applyFont="1" applyAlignment="1">
      <alignment horizontal="left" vertical="center"/>
    </xf>
    <xf numFmtId="6" fontId="28" fillId="0" borderId="12" xfId="0" applyNumberFormat="1" applyFont="1" applyBorder="1" applyAlignment="1">
      <alignment horizontal="left" vertical="center"/>
    </xf>
    <xf numFmtId="6" fontId="43" fillId="0" borderId="12" xfId="0" applyNumberFormat="1" applyFont="1" applyBorder="1" applyAlignment="1">
      <alignment vertical="center"/>
    </xf>
    <xf numFmtId="5" fontId="28" fillId="0" borderId="12" xfId="0" applyNumberFormat="1" applyFont="1" applyBorder="1" applyAlignment="1">
      <alignment vertical="center"/>
    </xf>
    <xf numFmtId="171" fontId="48" fillId="0" borderId="0" xfId="1" applyNumberFormat="1" applyFont="1" applyFill="1" applyAlignment="1" applyProtection="1">
      <alignment horizontal="right"/>
    </xf>
    <xf numFmtId="37" fontId="22" fillId="0" borderId="0" xfId="0" applyNumberFormat="1" applyFont="1"/>
    <xf numFmtId="6" fontId="28" fillId="0" borderId="12" xfId="0" applyNumberFormat="1" applyFont="1" applyBorder="1" applyAlignment="1">
      <alignment vertical="center"/>
    </xf>
    <xf numFmtId="6" fontId="21" fillId="9" borderId="0" xfId="0" applyNumberFormat="1" applyFont="1" applyFill="1"/>
    <xf numFmtId="6" fontId="34" fillId="0" borderId="0" xfId="0" applyNumberFormat="1" applyFont="1" applyAlignment="1">
      <alignment horizontal="left"/>
    </xf>
    <xf numFmtId="6" fontId="29" fillId="0" borderId="7" xfId="0" applyNumberFormat="1" applyFont="1" applyBorder="1"/>
    <xf numFmtId="1" fontId="28" fillId="0" borderId="0" xfId="0" applyNumberFormat="1" applyFont="1"/>
    <xf numFmtId="6" fontId="29" fillId="0" borderId="0" xfId="0" applyNumberFormat="1" applyFont="1"/>
    <xf numFmtId="6" fontId="20" fillId="0" borderId="0" xfId="0" applyNumberFormat="1" applyFont="1" applyAlignment="1">
      <alignment horizontal="left" vertical="top" wrapText="1"/>
    </xf>
    <xf numFmtId="0" fontId="62" fillId="0" borderId="7" xfId="0" applyFont="1" applyBorder="1" applyAlignment="1">
      <alignment horizontal="right"/>
    </xf>
    <xf numFmtId="167" fontId="20" fillId="0" borderId="0" xfId="0" applyNumberFormat="1" applyFont="1"/>
    <xf numFmtId="1" fontId="28" fillId="0" borderId="7" xfId="0" applyNumberFormat="1" applyFont="1" applyBorder="1"/>
    <xf numFmtId="170" fontId="20" fillId="0" borderId="0" xfId="2" applyNumberFormat="1" applyFont="1" applyFill="1" applyProtection="1"/>
    <xf numFmtId="165" fontId="20" fillId="0" borderId="0" xfId="2" applyNumberFormat="1" applyFont="1" applyFill="1" applyProtection="1"/>
    <xf numFmtId="8" fontId="20" fillId="4" borderId="0" xfId="0" applyNumberFormat="1" applyFont="1" applyFill="1"/>
    <xf numFmtId="6" fontId="22" fillId="0" borderId="0" xfId="0" applyNumberFormat="1" applyFont="1" applyBorder="1" applyAlignment="1">
      <alignment horizontal="left"/>
    </xf>
    <xf numFmtId="6" fontId="22" fillId="0" borderId="0" xfId="0" applyNumberFormat="1" applyFont="1" applyBorder="1"/>
    <xf numFmtId="5" fontId="22" fillId="0" borderId="0" xfId="0" applyNumberFormat="1" applyFont="1" applyBorder="1"/>
    <xf numFmtId="1" fontId="20" fillId="0" borderId="2" xfId="87" applyNumberFormat="1" applyFont="1" applyFill="1" applyBorder="1" applyProtection="1"/>
    <xf numFmtId="9" fontId="69" fillId="7" borderId="3" xfId="3" applyFont="1" applyFill="1" applyBorder="1" applyAlignment="1">
      <alignment horizontal="center"/>
    </xf>
    <xf numFmtId="2" fontId="69" fillId="7" borderId="3" xfId="0" applyNumberFormat="1" applyFont="1" applyFill="1" applyBorder="1" applyAlignment="1">
      <alignment horizontal="center"/>
    </xf>
    <xf numFmtId="167" fontId="69" fillId="7" borderId="3" xfId="0" applyNumberFormat="1" applyFont="1" applyFill="1" applyBorder="1" applyAlignment="1">
      <alignment horizontal="center"/>
    </xf>
    <xf numFmtId="5" fontId="69" fillId="7" borderId="3" xfId="0" applyNumberFormat="1" applyFont="1" applyFill="1" applyBorder="1" applyAlignment="1">
      <alignment horizontal="center"/>
    </xf>
    <xf numFmtId="170" fontId="20" fillId="0" borderId="0" xfId="89" applyNumberFormat="1" applyFont="1" applyFill="1" applyProtection="1"/>
    <xf numFmtId="0" fontId="20" fillId="4" borderId="0" xfId="0" applyFont="1" applyFill="1"/>
    <xf numFmtId="0" fontId="70" fillId="22" borderId="0" xfId="0" applyFont="1" applyFill="1" applyAlignment="1">
      <alignment horizontal="center" vertical="center"/>
    </xf>
    <xf numFmtId="0" fontId="71" fillId="22" borderId="0" xfId="0" applyFont="1" applyFill="1" applyAlignment="1">
      <alignment horizontal="center" vertical="center"/>
    </xf>
    <xf numFmtId="0" fontId="72" fillId="22" borderId="0" xfId="0" applyFont="1" applyFill="1" applyAlignment="1">
      <alignment wrapText="1"/>
    </xf>
    <xf numFmtId="0" fontId="73" fillId="22" borderId="0" xfId="0" applyFont="1" applyFill="1" applyAlignment="1">
      <alignment horizontal="center" vertical="center"/>
    </xf>
    <xf numFmtId="0" fontId="72" fillId="22" borderId="0" xfId="0" applyFont="1" applyFill="1"/>
    <xf numFmtId="0" fontId="74" fillId="22" borderId="0" xfId="0" applyFont="1" applyFill="1" applyAlignment="1">
      <alignment horizontal="center" vertical="center" wrapText="1"/>
    </xf>
    <xf numFmtId="0" fontId="71" fillId="22" borderId="0" xfId="0" applyFont="1" applyFill="1" applyAlignment="1">
      <alignment horizontal="left" vertical="center"/>
    </xf>
    <xf numFmtId="0" fontId="76" fillId="0" borderId="0" xfId="0" applyFont="1" applyAlignment="1">
      <alignment horizontal="left"/>
    </xf>
    <xf numFmtId="0" fontId="22" fillId="0" borderId="0" xfId="0" applyFont="1"/>
    <xf numFmtId="0" fontId="77" fillId="0" borderId="0" xfId="0" applyFont="1"/>
    <xf numFmtId="0" fontId="78" fillId="0" borderId="7" xfId="0" applyFont="1" applyBorder="1" applyAlignment="1">
      <alignment horizontal="left"/>
    </xf>
    <xf numFmtId="0" fontId="78" fillId="0" borderId="7" xfId="0" applyFont="1" applyBorder="1" applyAlignment="1">
      <alignment horizontal="right"/>
    </xf>
    <xf numFmtId="0" fontId="78" fillId="0" borderId="7" xfId="0" applyFont="1" applyBorder="1"/>
    <xf numFmtId="0" fontId="79" fillId="0" borderId="7" xfId="0" applyFont="1" applyBorder="1"/>
    <xf numFmtId="0" fontId="80" fillId="0" borderId="7" xfId="0" applyFont="1" applyBorder="1"/>
    <xf numFmtId="0" fontId="80" fillId="0" borderId="0" xfId="0" applyFont="1"/>
    <xf numFmtId="0" fontId="74" fillId="22" borderId="0" xfId="0" applyFont="1" applyFill="1" applyAlignment="1">
      <alignment horizontal="center" vertical="center" wrapText="1"/>
    </xf>
    <xf numFmtId="6" fontId="75" fillId="22" borderId="0" xfId="0" applyNumberFormat="1" applyFont="1" applyFill="1" applyAlignment="1">
      <alignment horizontal="left" vertical="top" wrapText="1"/>
    </xf>
    <xf numFmtId="0" fontId="75" fillId="22" borderId="0" xfId="0" applyFont="1" applyFill="1" applyAlignment="1">
      <alignment horizontal="center"/>
    </xf>
    <xf numFmtId="0" fontId="73" fillId="22" borderId="0" xfId="0" applyFont="1" applyFill="1" applyAlignment="1">
      <alignment horizontal="center" vertical="center"/>
    </xf>
    <xf numFmtId="0" fontId="71" fillId="22" borderId="0" xfId="0" applyFont="1" applyFill="1" applyAlignment="1">
      <alignment horizontal="center"/>
    </xf>
    <xf numFmtId="0" fontId="71" fillId="22" borderId="0" xfId="0" applyFont="1" applyFill="1" applyAlignment="1">
      <alignment horizontal="center" vertical="center" wrapText="1"/>
    </xf>
    <xf numFmtId="0" fontId="26" fillId="13" borderId="0" xfId="0" applyNumberFormat="1" applyFont="1" applyFill="1" applyAlignment="1">
      <alignment horizontal="center" vertical="center"/>
    </xf>
    <xf numFmtId="6" fontId="26" fillId="9" borderId="0" xfId="0" applyNumberFormat="1" applyFont="1" applyFill="1" applyAlignment="1">
      <alignment horizontal="center" vertical="center"/>
    </xf>
    <xf numFmtId="6" fontId="26" fillId="8" borderId="0" xfId="0" applyNumberFormat="1" applyFont="1" applyFill="1" applyAlignment="1">
      <alignment horizontal="center" vertical="center"/>
    </xf>
    <xf numFmtId="0" fontId="24" fillId="0" borderId="0" xfId="0" applyFont="1" applyFill="1" applyAlignment="1">
      <alignment horizontal="center" vertical="center"/>
    </xf>
    <xf numFmtId="0" fontId="21" fillId="10" borderId="0" xfId="0" applyNumberFormat="1" applyFont="1" applyFill="1" applyBorder="1" applyAlignment="1">
      <alignment horizontal="center" vertical="center"/>
    </xf>
    <xf numFmtId="0" fontId="29" fillId="10" borderId="0" xfId="0" applyNumberFormat="1" applyFont="1" applyFill="1" applyBorder="1" applyAlignment="1">
      <alignment horizontal="center" vertical="center"/>
    </xf>
    <xf numFmtId="0" fontId="20" fillId="0" borderId="0" xfId="0" applyNumberFormat="1" applyFont="1" applyFill="1" applyBorder="1" applyAlignment="1">
      <alignment horizontal="left" vertical="center"/>
    </xf>
    <xf numFmtId="0" fontId="20" fillId="0" borderId="0" xfId="88" applyNumberFormat="1" applyFont="1" applyFill="1" applyBorder="1" applyAlignment="1" applyProtection="1">
      <alignment horizontal="left" vertical="center"/>
    </xf>
    <xf numFmtId="0" fontId="20" fillId="0" borderId="33" xfId="88" applyNumberFormat="1" applyFont="1" applyFill="1" applyBorder="1" applyAlignment="1" applyProtection="1">
      <alignment horizontal="left" vertical="center"/>
    </xf>
    <xf numFmtId="6" fontId="29" fillId="3" borderId="0" xfId="88" applyNumberFormat="1" applyFont="1" applyFill="1" applyAlignment="1" applyProtection="1">
      <alignment horizontal="center" vertical="center"/>
    </xf>
    <xf numFmtId="6" fontId="29" fillId="20" borderId="0" xfId="88" applyNumberFormat="1" applyFont="1" applyFill="1" applyAlignment="1" applyProtection="1">
      <alignment horizontal="center" vertical="center"/>
    </xf>
    <xf numFmtId="6" fontId="29" fillId="20" borderId="0" xfId="88" applyNumberFormat="1" applyFont="1" applyFill="1" applyBorder="1" applyAlignment="1" applyProtection="1">
      <alignment horizontal="center" vertical="center"/>
    </xf>
    <xf numFmtId="166" fontId="20" fillId="0" borderId="0" xfId="3" applyNumberFormat="1" applyFont="1" applyBorder="1" applyAlignment="1" applyProtection="1">
      <alignment horizontal="center"/>
    </xf>
    <xf numFmtId="0" fontId="38" fillId="0" borderId="0" xfId="88" applyNumberFormat="1" applyFont="1" applyFill="1" applyBorder="1" applyAlignment="1" applyProtection="1">
      <alignment horizontal="center" vertical="center"/>
    </xf>
    <xf numFmtId="173" fontId="32" fillId="15" borderId="0" xfId="88" applyNumberFormat="1" applyFont="1" applyFill="1" applyBorder="1" applyAlignment="1" applyProtection="1">
      <alignment horizontal="center" vertical="center"/>
    </xf>
    <xf numFmtId="173" fontId="32" fillId="17" borderId="0" xfId="88" applyNumberFormat="1" applyFont="1" applyFill="1" applyBorder="1" applyAlignment="1" applyProtection="1">
      <alignment horizontal="center" vertical="center"/>
    </xf>
    <xf numFmtId="0" fontId="41" fillId="14" borderId="27" xfId="0" applyFont="1" applyFill="1" applyBorder="1" applyAlignment="1">
      <alignment horizontal="center" vertical="center" wrapText="1"/>
    </xf>
    <xf numFmtId="0" fontId="47" fillId="14" borderId="43" xfId="0" applyFont="1" applyFill="1" applyBorder="1" applyAlignment="1">
      <alignment horizontal="center" vertical="center" wrapText="1"/>
    </xf>
    <xf numFmtId="0" fontId="41" fillId="14" borderId="43" xfId="0" applyFont="1" applyFill="1" applyBorder="1" applyAlignment="1">
      <alignment horizontal="center" vertical="center" wrapText="1"/>
    </xf>
    <xf numFmtId="44" fontId="29" fillId="20" borderId="0" xfId="88" applyNumberFormat="1" applyFont="1" applyFill="1" applyBorder="1" applyAlignment="1" applyProtection="1">
      <alignment horizontal="center" vertical="center"/>
    </xf>
    <xf numFmtId="173" fontId="30" fillId="8" borderId="0" xfId="88" applyNumberFormat="1" applyFont="1" applyFill="1" applyBorder="1" applyAlignment="1" applyProtection="1">
      <alignment horizontal="left"/>
    </xf>
    <xf numFmtId="0" fontId="36" fillId="14" borderId="46" xfId="0" applyFont="1" applyFill="1" applyBorder="1" applyAlignment="1">
      <alignment horizontal="center" vertical="center"/>
    </xf>
    <xf numFmtId="0" fontId="36" fillId="14" borderId="0" xfId="0" applyFont="1" applyFill="1" applyBorder="1" applyAlignment="1">
      <alignment horizontal="center" vertical="center"/>
    </xf>
    <xf numFmtId="173" fontId="30" fillId="9" borderId="0" xfId="88" applyNumberFormat="1" applyFont="1" applyFill="1" applyBorder="1" applyAlignment="1" applyProtection="1">
      <alignment horizontal="left"/>
    </xf>
    <xf numFmtId="1" fontId="21" fillId="0" borderId="0" xfId="2" applyNumberFormat="1" applyFont="1" applyBorder="1" applyAlignment="1" applyProtection="1">
      <alignment horizontal="center"/>
    </xf>
    <xf numFmtId="6" fontId="60" fillId="21" borderId="0" xfId="1" applyNumberFormat="1" applyFont="1" applyFill="1" applyBorder="1" applyAlignment="1" applyProtection="1">
      <alignment horizontal="center"/>
    </xf>
    <xf numFmtId="49" fontId="60" fillId="21" borderId="0" xfId="1" applyNumberFormat="1" applyFont="1" applyFill="1" applyBorder="1" applyAlignment="1" applyProtection="1">
      <alignment horizontal="center"/>
    </xf>
    <xf numFmtId="6" fontId="32" fillId="19" borderId="0" xfId="1" applyNumberFormat="1" applyFont="1" applyFill="1" applyAlignment="1" applyProtection="1">
      <alignment horizontal="center" vertical="center"/>
    </xf>
    <xf numFmtId="49" fontId="49" fillId="0" borderId="0" xfId="1" applyNumberFormat="1" applyFont="1" applyBorder="1" applyAlignment="1" applyProtection="1">
      <alignment horizontal="center" vertical="center"/>
    </xf>
    <xf numFmtId="6" fontId="20" fillId="0" borderId="0" xfId="0" applyNumberFormat="1" applyFont="1" applyBorder="1" applyAlignment="1">
      <alignment horizontal="left" vertical="top" wrapText="1"/>
    </xf>
    <xf numFmtId="6" fontId="20" fillId="0" borderId="0" xfId="0" applyNumberFormat="1" applyFont="1" applyBorder="1"/>
    <xf numFmtId="0" fontId="15" fillId="2" borderId="0" xfId="0" applyFont="1" applyFill="1"/>
    <xf numFmtId="0" fontId="0" fillId="2" borderId="0" xfId="0" applyFill="1"/>
    <xf numFmtId="0" fontId="0" fillId="0" borderId="0" xfId="0" applyAlignment="1">
      <alignment horizontal="left" vertical="top" wrapText="1"/>
    </xf>
  </cellXfs>
  <cellStyles count="90">
    <cellStyle name="Comma" xfId="2" builtinId="3"/>
    <cellStyle name="Comma 2" xfId="89" xr:uid="{704464A9-09D6-D043-AD92-069925EF5E72}"/>
    <cellStyle name="Currency" xfId="1" builtinId="4"/>
    <cellStyle name="Currency 2" xfId="88" xr:uid="{ED3C3D47-A81B-E44F-87ED-B0260B97FD17}"/>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Hyperlink" xfId="4" builtinId="8" hidden="1"/>
    <cellStyle name="Hyperlink" xfId="76" builtinId="8"/>
    <cellStyle name="Normal" xfId="0" builtinId="0"/>
    <cellStyle name="Per cent" xfId="3" builtinId="5"/>
    <cellStyle name="Per cent 2" xfId="87" xr:uid="{3820CF3B-04B7-794B-BF41-0FF85A27AD22}"/>
  </cellStyles>
  <dxfs count="1">
    <dxf>
      <font>
        <color rgb="FFFF0000"/>
      </font>
      <fill>
        <patternFill>
          <fgColor auto="1"/>
        </patternFill>
      </fill>
    </dxf>
  </dxfs>
  <tableStyles count="0" defaultTableStyle="TableStyleMedium9" defaultPivotStyle="PivotStyleMedium4"/>
  <colors>
    <mruColors>
      <color rgb="FF0B4621"/>
      <color rgb="FFE0C076"/>
      <color rgb="FF097536"/>
      <color rgb="FFB69B5D"/>
      <color rgb="FFC61B6D"/>
      <color rgb="FF73FB79"/>
      <color rgb="FFE6B9B7"/>
      <color rgb="FFFFFE78"/>
      <color rgb="FFEFE9F8"/>
      <color rgb="FFFFFF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600"/>
            </a:pPr>
            <a:r>
              <a:rPr lang="en-US" sz="1600"/>
              <a:t>Annual Sales &amp; Net Profit Forecast</a:t>
            </a:r>
          </a:p>
        </c:rich>
      </c:tx>
      <c:overlay val="0"/>
    </c:title>
    <c:autoTitleDeleted val="0"/>
    <c:plotArea>
      <c:layout>
        <c:manualLayout>
          <c:layoutTarget val="inner"/>
          <c:xMode val="edge"/>
          <c:yMode val="edge"/>
          <c:x val="0.101114209836197"/>
          <c:y val="0.182728549432947"/>
          <c:w val="0.89888579016380299"/>
          <c:h val="0.77001967589629605"/>
        </c:manualLayout>
      </c:layout>
      <c:barChart>
        <c:barDir val="col"/>
        <c:grouping val="clustered"/>
        <c:varyColors val="0"/>
        <c:ser>
          <c:idx val="0"/>
          <c:order val="0"/>
          <c:tx>
            <c:v>Sales</c:v>
          </c:tx>
          <c:spPr>
            <a:solidFill>
              <a:schemeClr val="accent1">
                <a:lumMod val="75000"/>
              </a:schemeClr>
            </a:solidFill>
            <a:ln>
              <a:solidFill>
                <a:srgbClr val="00B050"/>
              </a:solidFill>
            </a:ln>
          </c:spPr>
          <c:invertIfNegative val="0"/>
          <c:dPt>
            <c:idx val="0"/>
            <c:invertIfNegative val="0"/>
            <c:bubble3D val="0"/>
            <c:spPr>
              <a:solidFill>
                <a:schemeClr val="accent1">
                  <a:lumMod val="75000"/>
                </a:schemeClr>
              </a:solidFill>
              <a:ln>
                <a:solidFill>
                  <a:srgbClr val="00B050"/>
                </a:solidFill>
              </a:ln>
            </c:spPr>
            <c:extLst>
              <c:ext xmlns:c16="http://schemas.microsoft.com/office/drawing/2014/chart" uri="{C3380CC4-5D6E-409C-BE32-E72D297353CC}">
                <c16:uniqueId val="{00000002-B6C5-E945-971A-67868404835E}"/>
              </c:ext>
            </c:extLst>
          </c:dPt>
          <c:dPt>
            <c:idx val="1"/>
            <c:invertIfNegative val="0"/>
            <c:bubble3D val="0"/>
            <c:extLst>
              <c:ext xmlns:c16="http://schemas.microsoft.com/office/drawing/2014/chart" uri="{C3380CC4-5D6E-409C-BE32-E72D297353CC}">
                <c16:uniqueId val="{00000001-B6C5-E945-971A-67868404835E}"/>
              </c:ext>
            </c:extLst>
          </c:dPt>
          <c:dPt>
            <c:idx val="2"/>
            <c:invertIfNegative val="0"/>
            <c:bubble3D val="0"/>
            <c:extLst>
              <c:ext xmlns:c16="http://schemas.microsoft.com/office/drawing/2014/chart" uri="{C3380CC4-5D6E-409C-BE32-E72D297353CC}">
                <c16:uniqueId val="{00000000-B6C5-E945-971A-67868404835E}"/>
              </c:ext>
            </c:extLst>
          </c:dPt>
          <c:dLbls>
            <c:spPr>
              <a:solidFill>
                <a:schemeClr val="bg1"/>
              </a:solid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'Summary &amp; Ratios'!$D$8:$F$8</c:f>
              <c:numCache>
                <c:formatCode>0</c:formatCode>
                <c:ptCount val="3"/>
                <c:pt idx="0">
                  <c:v>2025</c:v>
                </c:pt>
                <c:pt idx="1">
                  <c:v>2026</c:v>
                </c:pt>
                <c:pt idx="2">
                  <c:v>2027</c:v>
                </c:pt>
              </c:numCache>
            </c:numRef>
          </c:cat>
          <c:val>
            <c:numRef>
              <c:f>'Summary &amp; Ratios'!$D$10:$F$10</c:f>
              <c:numCache>
                <c:formatCode>"£"#,##0_);\("£"#,##0\)</c:formatCode>
                <c:ptCount val="3"/>
                <c:pt idx="0">
                  <c:v>350414.7906666667</c:v>
                </c:pt>
                <c:pt idx="1">
                  <c:v>760435.96431407414</c:v>
                </c:pt>
                <c:pt idx="2">
                  <c:v>1296571.9604514667</c:v>
                </c:pt>
              </c:numCache>
            </c:numRef>
          </c:val>
          <c:extLst>
            <c:ext xmlns:c16="http://schemas.microsoft.com/office/drawing/2014/chart" uri="{C3380CC4-5D6E-409C-BE32-E72D297353CC}">
              <c16:uniqueId val="{00000000-2B38-1E40-9275-4E15DBE0C214}"/>
            </c:ext>
          </c:extLst>
        </c:ser>
        <c:ser>
          <c:idx val="1"/>
          <c:order val="1"/>
          <c:tx>
            <c:v>Net Profit</c:v>
          </c:tx>
          <c:spPr>
            <a:solidFill>
              <a:srgbClr val="00B0F0"/>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'Summary &amp; Ratios'!$D$8:$F$8</c:f>
              <c:numCache>
                <c:formatCode>0</c:formatCode>
                <c:ptCount val="3"/>
                <c:pt idx="0">
                  <c:v>2025</c:v>
                </c:pt>
                <c:pt idx="1">
                  <c:v>2026</c:v>
                </c:pt>
                <c:pt idx="2">
                  <c:v>2027</c:v>
                </c:pt>
              </c:numCache>
            </c:numRef>
          </c:cat>
          <c:val>
            <c:numRef>
              <c:f>'Summary &amp; Ratios'!$D$40:$F$40</c:f>
              <c:numCache>
                <c:formatCode>"£"#,##0_);\("£"#,##0\)</c:formatCode>
                <c:ptCount val="3"/>
                <c:pt idx="0">
                  <c:v>-38504.514443499174</c:v>
                </c:pt>
                <c:pt idx="1">
                  <c:v>90944.862541755065</c:v>
                </c:pt>
                <c:pt idx="2">
                  <c:v>206928.18897642675</c:v>
                </c:pt>
              </c:numCache>
            </c:numRef>
          </c:val>
          <c:extLst>
            <c:ext xmlns:c16="http://schemas.microsoft.com/office/drawing/2014/chart" uri="{C3380CC4-5D6E-409C-BE32-E72D297353CC}">
              <c16:uniqueId val="{00000001-2B38-1E40-9275-4E15DBE0C214}"/>
            </c:ext>
          </c:extLst>
        </c:ser>
        <c:dLbls>
          <c:dLblPos val="outEnd"/>
          <c:showLegendKey val="0"/>
          <c:showVal val="1"/>
          <c:showCatName val="0"/>
          <c:showSerName val="0"/>
          <c:showPercent val="0"/>
          <c:showBubbleSize val="0"/>
        </c:dLbls>
        <c:gapWidth val="75"/>
        <c:overlap val="-25"/>
        <c:axId val="-581558880"/>
        <c:axId val="-581556560"/>
      </c:barChart>
      <c:catAx>
        <c:axId val="-581558880"/>
        <c:scaling>
          <c:orientation val="minMax"/>
        </c:scaling>
        <c:delete val="0"/>
        <c:axPos val="b"/>
        <c:numFmt formatCode="0" sourceLinked="1"/>
        <c:majorTickMark val="none"/>
        <c:minorTickMark val="none"/>
        <c:tickLblPos val="nextTo"/>
        <c:crossAx val="-581556560"/>
        <c:crosses val="autoZero"/>
        <c:auto val="1"/>
        <c:lblAlgn val="ctr"/>
        <c:lblOffset val="100"/>
        <c:noMultiLvlLbl val="0"/>
      </c:catAx>
      <c:valAx>
        <c:axId val="-581556560"/>
        <c:scaling>
          <c:orientation val="minMax"/>
        </c:scaling>
        <c:delete val="0"/>
        <c:axPos val="l"/>
        <c:majorGridlines/>
        <c:numFmt formatCode="&quot;£&quot;#,##0_);\(&quot;£&quot;#,##0\)" sourceLinked="1"/>
        <c:majorTickMark val="none"/>
        <c:minorTickMark val="none"/>
        <c:tickLblPos val="nextTo"/>
        <c:spPr>
          <a:ln w="9525">
            <a:noFill/>
          </a:ln>
        </c:spPr>
        <c:crossAx val="-581558880"/>
        <c:crosses val="autoZero"/>
        <c:crossBetween val="between"/>
      </c:valAx>
    </c:plotArea>
    <c:legend>
      <c:legendPos val="r"/>
      <c:legendEntry>
        <c:idx val="0"/>
        <c:txPr>
          <a:bodyPr/>
          <a:lstStyle/>
          <a:p>
            <a:pPr>
              <a:defRPr sz="1200" b="1"/>
            </a:pPr>
            <a:endParaRPr lang="en-US"/>
          </a:p>
        </c:txPr>
      </c:legendEntry>
      <c:legendEntry>
        <c:idx val="1"/>
        <c:txPr>
          <a:bodyPr/>
          <a:lstStyle/>
          <a:p>
            <a:pPr>
              <a:defRPr sz="1200" b="1"/>
            </a:pPr>
            <a:endParaRPr lang="en-US"/>
          </a:p>
        </c:txPr>
      </c:legendEntry>
      <c:layout>
        <c:manualLayout>
          <c:xMode val="edge"/>
          <c:yMode val="edge"/>
          <c:x val="0.89772631971299399"/>
          <c:y val="0.49121478544861402"/>
          <c:w val="9.1002899785455796E-2"/>
          <c:h val="0.13740322055655699"/>
        </c:manualLayout>
      </c:layout>
      <c:overlay val="0"/>
    </c:legend>
    <c:plotVisOnly val="1"/>
    <c:dispBlanksAs val="gap"/>
    <c:showDLblsOverMax val="0"/>
  </c:chart>
  <c:spPr>
    <a:ln w="25400">
      <a:solidFill>
        <a:srgbClr val="00B0F0"/>
      </a:solidFill>
    </a:ln>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600"/>
            </a:pPr>
            <a:r>
              <a:rPr lang="en-US" sz="1600"/>
              <a:t>Monthly Sales &amp; Net Profit Forecast</a:t>
            </a:r>
          </a:p>
        </c:rich>
      </c:tx>
      <c:overlay val="0"/>
    </c:title>
    <c:autoTitleDeleted val="0"/>
    <c:plotArea>
      <c:layout/>
      <c:lineChart>
        <c:grouping val="standard"/>
        <c:varyColors val="0"/>
        <c:ser>
          <c:idx val="0"/>
          <c:order val="0"/>
          <c:tx>
            <c:v>Sales</c:v>
          </c:tx>
          <c:spPr>
            <a:ln>
              <a:solidFill>
                <a:srgbClr val="0070C0"/>
              </a:solidFill>
            </a:ln>
          </c:spPr>
          <c:marker>
            <c:symbol val="none"/>
          </c:marker>
          <c:val>
            <c:numRef>
              <c:f>'Profit &amp; Loss'!$D$81:$AM$81</c:f>
              <c:numCache>
                <c:formatCode>"£"#,##0_);\("£"#,##0\)</c:formatCode>
                <c:ptCount val="36"/>
                <c:pt idx="0">
                  <c:v>19997.616666666665</c:v>
                </c:pt>
                <c:pt idx="1">
                  <c:v>21513.997333333333</c:v>
                </c:pt>
                <c:pt idx="2">
                  <c:v>23500.265000000003</c:v>
                </c:pt>
                <c:pt idx="3">
                  <c:v>24950.074333333334</c:v>
                </c:pt>
                <c:pt idx="4">
                  <c:v>26584.258666666665</c:v>
                </c:pt>
                <c:pt idx="5">
                  <c:v>28400.544000000002</c:v>
                </c:pt>
                <c:pt idx="6">
                  <c:v>30240.031999999999</c:v>
                </c:pt>
                <c:pt idx="7">
                  <c:v>31202.245999999999</c:v>
                </c:pt>
                <c:pt idx="8">
                  <c:v>33188.704333333328</c:v>
                </c:pt>
                <c:pt idx="9">
                  <c:v>35019.251666666663</c:v>
                </c:pt>
                <c:pt idx="10">
                  <c:v>37142.906333333332</c:v>
                </c:pt>
                <c:pt idx="11">
                  <c:v>38674.894333333337</c:v>
                </c:pt>
                <c:pt idx="12">
                  <c:v>42172.891813333335</c:v>
                </c:pt>
                <c:pt idx="13">
                  <c:v>44713.578560000002</c:v>
                </c:pt>
                <c:pt idx="14">
                  <c:v>50665.301200000009</c:v>
                </c:pt>
                <c:pt idx="15">
                  <c:v>54518.967866666673</c:v>
                </c:pt>
                <c:pt idx="16">
                  <c:v>55816.472133333329</c:v>
                </c:pt>
                <c:pt idx="17">
                  <c:v>58194.523839999994</c:v>
                </c:pt>
                <c:pt idx="18">
                  <c:v>60714.343493333334</c:v>
                </c:pt>
                <c:pt idx="19">
                  <c:v>62871.629386666667</c:v>
                </c:pt>
                <c:pt idx="20">
                  <c:v>79517.954714074091</c:v>
                </c:pt>
                <c:pt idx="21">
                  <c:v>80668.59901333334</c:v>
                </c:pt>
                <c:pt idx="22">
                  <c:v>83866.616959999999</c:v>
                </c:pt>
                <c:pt idx="23">
                  <c:v>86715.085333333336</c:v>
                </c:pt>
                <c:pt idx="24">
                  <c:v>92718.817239199998</c:v>
                </c:pt>
                <c:pt idx="25">
                  <c:v>95110.3071986</c:v>
                </c:pt>
                <c:pt idx="26">
                  <c:v>97854.377144466664</c:v>
                </c:pt>
                <c:pt idx="27">
                  <c:v>101539.61710386667</c:v>
                </c:pt>
                <c:pt idx="28">
                  <c:v>104599.93704973333</c:v>
                </c:pt>
                <c:pt idx="29">
                  <c:v>107405.59367579999</c:v>
                </c:pt>
                <c:pt idx="30">
                  <c:v>110096.74695500001</c:v>
                </c:pt>
                <c:pt idx="31">
                  <c:v>112467.82024773333</c:v>
                </c:pt>
                <c:pt idx="32">
                  <c:v>114865.22352693333</c:v>
                </c:pt>
                <c:pt idx="33">
                  <c:v>116405.04681966666</c:v>
                </c:pt>
                <c:pt idx="34">
                  <c:v>119974.95009886667</c:v>
                </c:pt>
                <c:pt idx="35">
                  <c:v>123533.5233916</c:v>
                </c:pt>
              </c:numCache>
            </c:numRef>
          </c:val>
          <c:smooth val="0"/>
          <c:extLst>
            <c:ext xmlns:c15="http://schemas.microsoft.com/office/drawing/2012/chart" uri="{02D57815-91ED-43cb-92C2-25804820EDAC}">
              <c15:filteredCategoryTitle>
                <c15:cat>
                  <c:multiLvlStrRef>
                    <c:extLst>
                      <c:ext uri="{02D57815-91ED-43cb-92C2-25804820EDAC}">
                        <c15:formulaRef>
                          <c15:sqref>'Profit &amp; Loss'!#REF!</c15:sqref>
                        </c15:formulaRef>
                      </c:ext>
                    </c:extLst>
                  </c:multiLvlStrRef>
                </c15:cat>
              </c15:filteredCategoryTitle>
            </c:ext>
            <c:ext xmlns:c16="http://schemas.microsoft.com/office/drawing/2014/chart" uri="{C3380CC4-5D6E-409C-BE32-E72D297353CC}">
              <c16:uniqueId val="{00000000-2298-3745-B30D-107713B7233C}"/>
            </c:ext>
          </c:extLst>
        </c:ser>
        <c:ser>
          <c:idx val="1"/>
          <c:order val="1"/>
          <c:tx>
            <c:v>Net Profit</c:v>
          </c:tx>
          <c:spPr>
            <a:ln>
              <a:solidFill>
                <a:srgbClr val="00B0F0"/>
              </a:solidFill>
            </a:ln>
          </c:spPr>
          <c:marker>
            <c:symbol val="none"/>
          </c:marker>
          <c:val>
            <c:numRef>
              <c:f>'Profit &amp; Loss'!$D$106:$AM$106</c:f>
              <c:numCache>
                <c:formatCode>"£"#,##0_);\("£"#,##0\)</c:formatCode>
                <c:ptCount val="36"/>
                <c:pt idx="0">
                  <c:v>-11429.59818146032</c:v>
                </c:pt>
                <c:pt idx="1">
                  <c:v>-10146.672412740378</c:v>
                </c:pt>
                <c:pt idx="2">
                  <c:v>-8095.6735476865597</c:v>
                </c:pt>
                <c:pt idx="3">
                  <c:v>-6490.3168260506982</c:v>
                </c:pt>
                <c:pt idx="4">
                  <c:v>-5126.1724718859041</c:v>
                </c:pt>
                <c:pt idx="5">
                  <c:v>-3699.7541789324587</c:v>
                </c:pt>
                <c:pt idx="6">
                  <c:v>-2177.0193497836144</c:v>
                </c:pt>
                <c:pt idx="7">
                  <c:v>-1295.097208825581</c:v>
                </c:pt>
                <c:pt idx="8">
                  <c:v>159.88516135201411</c:v>
                </c:pt>
                <c:pt idx="9">
                  <c:v>1691.0561026809619</c:v>
                </c:pt>
                <c:pt idx="10">
                  <c:v>3421.9398423717926</c:v>
                </c:pt>
                <c:pt idx="11">
                  <c:v>4682.9086274615747</c:v>
                </c:pt>
                <c:pt idx="12">
                  <c:v>-3405.8716051759397</c:v>
                </c:pt>
                <c:pt idx="13">
                  <c:v>-1304.0214535959738</c:v>
                </c:pt>
                <c:pt idx="14">
                  <c:v>3568.7846092379114</c:v>
                </c:pt>
                <c:pt idx="15">
                  <c:v>6732.9998523145314</c:v>
                </c:pt>
                <c:pt idx="16">
                  <c:v>8065.259837839857</c:v>
                </c:pt>
                <c:pt idx="17">
                  <c:v>10014.672944681181</c:v>
                </c:pt>
                <c:pt idx="18">
                  <c:v>11620.225657214873</c:v>
                </c:pt>
                <c:pt idx="19">
                  <c:v>13123.238550749398</c:v>
                </c:pt>
                <c:pt idx="20">
                  <c:v>6600.2909481479146</c:v>
                </c:pt>
                <c:pt idx="21">
                  <c:v>9246.0396892320459</c:v>
                </c:pt>
                <c:pt idx="22">
                  <c:v>12159.164047126174</c:v>
                </c:pt>
                <c:pt idx="23">
                  <c:v>14524.079463983086</c:v>
                </c:pt>
                <c:pt idx="24">
                  <c:v>4752.2838615447126</c:v>
                </c:pt>
                <c:pt idx="25">
                  <c:v>6681.5875783164865</c:v>
                </c:pt>
                <c:pt idx="26">
                  <c:v>8917.4812492513756</c:v>
                </c:pt>
                <c:pt idx="27">
                  <c:v>11833.508284925449</c:v>
                </c:pt>
                <c:pt idx="28">
                  <c:v>14356.968442115905</c:v>
                </c:pt>
                <c:pt idx="29">
                  <c:v>16649.076538570669</c:v>
                </c:pt>
                <c:pt idx="30">
                  <c:v>18862.841848623979</c:v>
                </c:pt>
                <c:pt idx="31">
                  <c:v>20797.452127426553</c:v>
                </c:pt>
                <c:pt idx="32">
                  <c:v>22814.631952428361</c:v>
                </c:pt>
                <c:pt idx="33">
                  <c:v>24067.052801050224</c:v>
                </c:pt>
                <c:pt idx="34">
                  <c:v>27108.220389065529</c:v>
                </c:pt>
                <c:pt idx="35">
                  <c:v>30087.083903107512</c:v>
                </c:pt>
              </c:numCache>
            </c:numRef>
          </c:val>
          <c:smooth val="0"/>
          <c:extLst>
            <c:ext xmlns:c15="http://schemas.microsoft.com/office/drawing/2012/chart" uri="{02D57815-91ED-43cb-92C2-25804820EDAC}">
              <c15:filteredCategoryTitle>
                <c15:cat>
                  <c:multiLvlStrRef>
                    <c:extLst>
                      <c:ext uri="{02D57815-91ED-43cb-92C2-25804820EDAC}">
                        <c15:formulaRef>
                          <c15:sqref>'Profit &amp; Loss'!#REF!</c15:sqref>
                        </c15:formulaRef>
                      </c:ext>
                    </c:extLst>
                  </c:multiLvlStrRef>
                </c15:cat>
              </c15:filteredCategoryTitle>
            </c:ext>
            <c:ext xmlns:c16="http://schemas.microsoft.com/office/drawing/2014/chart" uri="{C3380CC4-5D6E-409C-BE32-E72D297353CC}">
              <c16:uniqueId val="{00000001-2298-3745-B30D-107713B7233C}"/>
            </c:ext>
          </c:extLst>
        </c:ser>
        <c:dLbls>
          <c:showLegendKey val="0"/>
          <c:showVal val="0"/>
          <c:showCatName val="0"/>
          <c:showSerName val="0"/>
          <c:showPercent val="0"/>
          <c:showBubbleSize val="0"/>
        </c:dLbls>
        <c:smooth val="0"/>
        <c:axId val="-581525072"/>
        <c:axId val="-581522320"/>
      </c:lineChart>
      <c:catAx>
        <c:axId val="-581525072"/>
        <c:scaling>
          <c:orientation val="minMax"/>
        </c:scaling>
        <c:delete val="0"/>
        <c:axPos val="b"/>
        <c:numFmt formatCode="mmm\-yy" sourceLinked="1"/>
        <c:majorTickMark val="none"/>
        <c:minorTickMark val="none"/>
        <c:tickLblPos val="nextTo"/>
        <c:crossAx val="-581522320"/>
        <c:crosses val="autoZero"/>
        <c:auto val="1"/>
        <c:lblAlgn val="ctr"/>
        <c:lblOffset val="100"/>
        <c:noMultiLvlLbl val="1"/>
      </c:catAx>
      <c:valAx>
        <c:axId val="-581522320"/>
        <c:scaling>
          <c:orientation val="minMax"/>
        </c:scaling>
        <c:delete val="0"/>
        <c:axPos val="l"/>
        <c:majorGridlines/>
        <c:numFmt formatCode="&quot;£&quot;#,##0_);\(&quot;£&quot;#,##0\)" sourceLinked="1"/>
        <c:majorTickMark val="none"/>
        <c:minorTickMark val="none"/>
        <c:tickLblPos val="nextTo"/>
        <c:spPr>
          <a:ln w="9525">
            <a:noFill/>
          </a:ln>
        </c:spPr>
        <c:crossAx val="-581525072"/>
        <c:crosses val="autoZero"/>
        <c:crossBetween val="between"/>
      </c:valAx>
    </c:plotArea>
    <c:legend>
      <c:legendPos val="b"/>
      <c:overlay val="0"/>
    </c:legend>
    <c:plotVisOnly val="1"/>
    <c:dispBlanksAs val="gap"/>
    <c:showDLblsOverMax val="0"/>
  </c:chart>
  <c:spPr>
    <a:ln w="25400">
      <a:solidFill>
        <a:srgbClr val="00B0F0"/>
      </a:solid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600"/>
            </a:pPr>
            <a:r>
              <a:rPr lang="en-US" sz="1600"/>
              <a:t>Monthly Cash Flow Forecast </a:t>
            </a:r>
            <a:r>
              <a:rPr lang="en-US" sz="1600">
                <a:solidFill>
                  <a:schemeClr val="bg1"/>
                </a:solidFill>
              </a:rPr>
              <a:t>2025.1</a:t>
            </a:r>
          </a:p>
        </c:rich>
      </c:tx>
      <c:layout>
        <c:manualLayout>
          <c:xMode val="edge"/>
          <c:yMode val="edge"/>
          <c:x val="0.33671098725094023"/>
          <c:y val="1.7617974535387854E-2"/>
        </c:manualLayout>
      </c:layout>
      <c:overlay val="0"/>
      <c:spPr>
        <a:solidFill>
          <a:sysClr val="window" lastClr="FFFFFF"/>
        </a:solidFill>
      </c:spPr>
    </c:title>
    <c:autoTitleDeleted val="0"/>
    <c:plotArea>
      <c:layout/>
      <c:lineChart>
        <c:grouping val="standard"/>
        <c:varyColors val="0"/>
        <c:ser>
          <c:idx val="0"/>
          <c:order val="0"/>
          <c:tx>
            <c:v>Closing Bank Account</c:v>
          </c:tx>
          <c:spPr>
            <a:ln>
              <a:solidFill>
                <a:schemeClr val="accent1">
                  <a:lumMod val="75000"/>
                </a:schemeClr>
              </a:solidFill>
            </a:ln>
          </c:spPr>
          <c:marker>
            <c:symbol val="none"/>
          </c:marker>
          <c:val>
            <c:numRef>
              <c:f>'Cash Flow'!$D$58:$AM$58</c:f>
              <c:numCache>
                <c:formatCode>"£"#,##0_);\("£"#,##0\)</c:formatCode>
                <c:ptCount val="36"/>
                <c:pt idx="0">
                  <c:v>323577.93172323058</c:v>
                </c:pt>
                <c:pt idx="1">
                  <c:v>260985.91577037546</c:v>
                </c:pt>
                <c:pt idx="2">
                  <c:v>233645.00271472891</c:v>
                </c:pt>
                <c:pt idx="3">
                  <c:v>222391.64738987092</c:v>
                </c:pt>
                <c:pt idx="4">
                  <c:v>225583.21856991178</c:v>
                </c:pt>
                <c:pt idx="5">
                  <c:v>212270.05251994237</c:v>
                </c:pt>
                <c:pt idx="6">
                  <c:v>205837.44828160838</c:v>
                </c:pt>
                <c:pt idx="7">
                  <c:v>214333.25013697383</c:v>
                </c:pt>
                <c:pt idx="8">
                  <c:v>203279.58349317071</c:v>
                </c:pt>
                <c:pt idx="9">
                  <c:v>201477.97379013445</c:v>
                </c:pt>
                <c:pt idx="10">
                  <c:v>214150.82643433931</c:v>
                </c:pt>
                <c:pt idx="11">
                  <c:v>206014.17524615675</c:v>
                </c:pt>
                <c:pt idx="12">
                  <c:v>195767.88639321286</c:v>
                </c:pt>
                <c:pt idx="13">
                  <c:v>145083.99377167434</c:v>
                </c:pt>
                <c:pt idx="14">
                  <c:v>131374.7729632642</c:v>
                </c:pt>
                <c:pt idx="15">
                  <c:v>132959.88954114215</c:v>
                </c:pt>
                <c:pt idx="16">
                  <c:v>408524.24787197635</c:v>
                </c:pt>
                <c:pt idx="17">
                  <c:v>398835.44162311347</c:v>
                </c:pt>
                <c:pt idx="18">
                  <c:v>407792.27030191582</c:v>
                </c:pt>
                <c:pt idx="19">
                  <c:v>437057.56330838805</c:v>
                </c:pt>
                <c:pt idx="20">
                  <c:v>386633.80039532087</c:v>
                </c:pt>
                <c:pt idx="21">
                  <c:v>396983.03529199044</c:v>
                </c:pt>
                <c:pt idx="22">
                  <c:v>428196.20961044094</c:v>
                </c:pt>
                <c:pt idx="23">
                  <c:v>403608.65635428095</c:v>
                </c:pt>
                <c:pt idx="24">
                  <c:v>402255.46418936935</c:v>
                </c:pt>
                <c:pt idx="25">
                  <c:v>348175.35773034353</c:v>
                </c:pt>
                <c:pt idx="26">
                  <c:v>327372.31571273331</c:v>
                </c:pt>
                <c:pt idx="27">
                  <c:v>336753.18733028183</c:v>
                </c:pt>
                <c:pt idx="28">
                  <c:v>378216.57268292713</c:v>
                </c:pt>
                <c:pt idx="29">
                  <c:v>359928.65920122806</c:v>
                </c:pt>
                <c:pt idx="30">
                  <c:v>378821.05348762235</c:v>
                </c:pt>
                <c:pt idx="31">
                  <c:v>428790.23320223752</c:v>
                </c:pt>
                <c:pt idx="32">
                  <c:v>384995.57493482076</c:v>
                </c:pt>
                <c:pt idx="33">
                  <c:v>411358.06999291008</c:v>
                </c:pt>
                <c:pt idx="34">
                  <c:v>467586.84154011554</c:v>
                </c:pt>
                <c:pt idx="35">
                  <c:v>396659.43186245678</c:v>
                </c:pt>
              </c:numCache>
            </c:numRef>
          </c:val>
          <c:smooth val="0"/>
          <c:extLst>
            <c:ext xmlns:c15="http://schemas.microsoft.com/office/drawing/2012/chart" uri="{02D57815-91ED-43cb-92C2-25804820EDAC}">
              <c15:filteredCategoryTitle>
                <c15:cat>
                  <c:multiLvlStrRef>
                    <c:extLst>
                      <c:ext uri="{02D57815-91ED-43cb-92C2-25804820EDAC}">
                        <c15:formulaRef>
                          <c15:sqref>'Profit &amp; Loss'!#REF!</c15:sqref>
                        </c15:formulaRef>
                      </c:ext>
                    </c:extLst>
                  </c:multiLvlStrRef>
                </c15:cat>
              </c15:filteredCategoryTitle>
            </c:ext>
            <c:ext xmlns:c16="http://schemas.microsoft.com/office/drawing/2014/chart" uri="{C3380CC4-5D6E-409C-BE32-E72D297353CC}">
              <c16:uniqueId val="{00000000-4DB2-A440-9B55-F26418F2F868}"/>
            </c:ext>
          </c:extLst>
        </c:ser>
        <c:dLbls>
          <c:showLegendKey val="0"/>
          <c:showVal val="0"/>
          <c:showCatName val="0"/>
          <c:showSerName val="0"/>
          <c:showPercent val="0"/>
          <c:showBubbleSize val="0"/>
        </c:dLbls>
        <c:smooth val="0"/>
        <c:axId val="-581496432"/>
        <c:axId val="-581493680"/>
      </c:lineChart>
      <c:catAx>
        <c:axId val="-581496432"/>
        <c:scaling>
          <c:orientation val="minMax"/>
        </c:scaling>
        <c:delete val="0"/>
        <c:axPos val="b"/>
        <c:numFmt formatCode="mmm\-yy" sourceLinked="1"/>
        <c:majorTickMark val="none"/>
        <c:minorTickMark val="none"/>
        <c:tickLblPos val="nextTo"/>
        <c:crossAx val="-581493680"/>
        <c:crosses val="autoZero"/>
        <c:auto val="1"/>
        <c:lblAlgn val="ctr"/>
        <c:lblOffset val="100"/>
        <c:noMultiLvlLbl val="1"/>
      </c:catAx>
      <c:valAx>
        <c:axId val="-581493680"/>
        <c:scaling>
          <c:orientation val="minMax"/>
        </c:scaling>
        <c:delete val="0"/>
        <c:axPos val="l"/>
        <c:majorGridlines/>
        <c:numFmt formatCode="&quot;£&quot;#,##0_);\(&quot;£&quot;#,##0\)" sourceLinked="1"/>
        <c:majorTickMark val="none"/>
        <c:minorTickMark val="none"/>
        <c:tickLblPos val="nextTo"/>
        <c:spPr>
          <a:ln w="9525">
            <a:noFill/>
          </a:ln>
        </c:spPr>
        <c:crossAx val="-581496432"/>
        <c:crosses val="autoZero"/>
        <c:crossBetween val="between"/>
      </c:valAx>
    </c:plotArea>
    <c:legend>
      <c:legendPos val="b"/>
      <c:overlay val="0"/>
    </c:legend>
    <c:plotVisOnly val="1"/>
    <c:dispBlanksAs val="gap"/>
    <c:showDLblsOverMax val="0"/>
  </c:chart>
  <c:spPr>
    <a:ln w="25400">
      <a:solidFill>
        <a:srgbClr val="00B0F0"/>
      </a:solidFill>
    </a:ln>
  </c:spPr>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png"/><Relationship Id="rId6" Type="http://schemas.openxmlformats.org/officeDocument/2006/relationships/image" Target="../media/image5.png"/><Relationship Id="rId5" Type="http://schemas.microsoft.com/office/2007/relationships/hdphoto" Target="../media/hdphoto1.wdp"/><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8.tiff"/><Relationship Id="rId3" Type="http://schemas.openxmlformats.org/officeDocument/2006/relationships/image" Target="../media/image6.tiff"/><Relationship Id="rId7" Type="http://schemas.openxmlformats.org/officeDocument/2006/relationships/image" Target="../media/image7.tiff"/><Relationship Id="rId2" Type="http://schemas.openxmlformats.org/officeDocument/2006/relationships/image" Target="../media/image2.tiff"/><Relationship Id="rId1" Type="http://schemas.openxmlformats.org/officeDocument/2006/relationships/image" Target="../media/image5.png"/><Relationship Id="rId6" Type="http://schemas.microsoft.com/office/2007/relationships/hdphoto" Target="../media/hdphoto1.wdp"/><Relationship Id="rId5" Type="http://schemas.openxmlformats.org/officeDocument/2006/relationships/image" Target="../media/image4.png"/><Relationship Id="rId10" Type="http://schemas.openxmlformats.org/officeDocument/2006/relationships/image" Target="../media/image10.png"/><Relationship Id="rId4" Type="http://schemas.openxmlformats.org/officeDocument/2006/relationships/image" Target="../media/image3.tiff"/><Relationship Id="rId9" Type="http://schemas.openxmlformats.org/officeDocument/2006/relationships/image" Target="../media/image9.tif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723900</xdr:colOff>
      <xdr:row>12</xdr:row>
      <xdr:rowOff>127000</xdr:rowOff>
    </xdr:from>
    <xdr:to>
      <xdr:col>15</xdr:col>
      <xdr:colOff>317500</xdr:colOff>
      <xdr:row>38</xdr:row>
      <xdr:rowOff>76200</xdr:rowOff>
    </xdr:to>
    <xdr:pic>
      <xdr:nvPicPr>
        <xdr:cNvPr id="2" name="Picture 1" descr="Generated image">
          <a:extLst>
            <a:ext uri="{FF2B5EF4-FFF2-40B4-BE49-F238E27FC236}">
              <a16:creationId xmlns:a16="http://schemas.microsoft.com/office/drawing/2014/main" id="{06B62C37-BA63-0744-A568-5FA93D1942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51400" y="4343400"/>
          <a:ext cx="7848600" cy="523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533401</xdr:colOff>
      <xdr:row>44</xdr:row>
      <xdr:rowOff>254000</xdr:rowOff>
    </xdr:from>
    <xdr:ext cx="3657600" cy="3759199"/>
    <xdr:pic>
      <xdr:nvPicPr>
        <xdr:cNvPr id="3" name="Picture 2">
          <a:extLst>
            <a:ext uri="{FF2B5EF4-FFF2-40B4-BE49-F238E27FC236}">
              <a16:creationId xmlns:a16="http://schemas.microsoft.com/office/drawing/2014/main" id="{6AF7A554-07DD-E246-A630-2547D9264FB6}"/>
            </a:ext>
          </a:extLst>
        </xdr:cNvPr>
        <xdr:cNvPicPr>
          <a:picLocks noChangeAspect="1"/>
        </xdr:cNvPicPr>
      </xdr:nvPicPr>
      <xdr:blipFill>
        <a:blip xmlns:r="http://schemas.openxmlformats.org/officeDocument/2006/relationships" r:embed="rId2"/>
        <a:stretch>
          <a:fillRect/>
        </a:stretch>
      </xdr:blipFill>
      <xdr:spPr>
        <a:xfrm>
          <a:off x="4660901" y="12065000"/>
          <a:ext cx="3657600" cy="3759199"/>
        </a:xfrm>
        <a:prstGeom prst="rect">
          <a:avLst/>
        </a:prstGeom>
      </xdr:spPr>
    </xdr:pic>
    <xdr:clientData/>
  </xdr:oneCellAnchor>
  <xdr:oneCellAnchor>
    <xdr:from>
      <xdr:col>8</xdr:col>
      <xdr:colOff>431800</xdr:colOff>
      <xdr:row>46</xdr:row>
      <xdr:rowOff>114300</xdr:rowOff>
    </xdr:from>
    <xdr:ext cx="3708400" cy="3740818"/>
    <xdr:pic>
      <xdr:nvPicPr>
        <xdr:cNvPr id="4" name="Picture 3">
          <a:extLst>
            <a:ext uri="{FF2B5EF4-FFF2-40B4-BE49-F238E27FC236}">
              <a16:creationId xmlns:a16="http://schemas.microsoft.com/office/drawing/2014/main" id="{485F8D43-6F09-3849-8D4F-DC42DDDEC9AB}"/>
            </a:ext>
          </a:extLst>
        </xdr:cNvPr>
        <xdr:cNvPicPr>
          <a:picLocks noChangeAspect="1"/>
        </xdr:cNvPicPr>
      </xdr:nvPicPr>
      <xdr:blipFill>
        <a:blip xmlns:r="http://schemas.openxmlformats.org/officeDocument/2006/relationships" r:embed="rId3"/>
        <a:stretch>
          <a:fillRect/>
        </a:stretch>
      </xdr:blipFill>
      <xdr:spPr>
        <a:xfrm>
          <a:off x="7035800" y="17818100"/>
          <a:ext cx="3708400" cy="3740818"/>
        </a:xfrm>
        <a:prstGeom prst="rect">
          <a:avLst/>
        </a:prstGeom>
      </xdr:spPr>
    </xdr:pic>
    <xdr:clientData/>
  </xdr:oneCellAnchor>
  <xdr:oneCellAnchor>
    <xdr:from>
      <xdr:col>8</xdr:col>
      <xdr:colOff>558800</xdr:colOff>
      <xdr:row>72</xdr:row>
      <xdr:rowOff>190500</xdr:rowOff>
    </xdr:from>
    <xdr:ext cx="3001886" cy="3053358"/>
    <xdr:pic>
      <xdr:nvPicPr>
        <xdr:cNvPr id="5" name="Picture 4">
          <a:extLst>
            <a:ext uri="{FF2B5EF4-FFF2-40B4-BE49-F238E27FC236}">
              <a16:creationId xmlns:a16="http://schemas.microsoft.com/office/drawing/2014/main" id="{E50B98F4-9A73-794E-9CD5-84B21CF0FD19}"/>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Lst>
        </a:blip>
        <a:stretch>
          <a:fillRect/>
        </a:stretch>
      </xdr:blipFill>
      <xdr:spPr>
        <a:xfrm>
          <a:off x="7162800" y="20078700"/>
          <a:ext cx="3001886" cy="3053358"/>
        </a:xfrm>
        <a:prstGeom prst="rect">
          <a:avLst/>
        </a:prstGeom>
      </xdr:spPr>
    </xdr:pic>
    <xdr:clientData/>
  </xdr:oneCellAnchor>
  <xdr:oneCellAnchor>
    <xdr:from>
      <xdr:col>10</xdr:col>
      <xdr:colOff>660401</xdr:colOff>
      <xdr:row>44</xdr:row>
      <xdr:rowOff>266700</xdr:rowOff>
    </xdr:from>
    <xdr:ext cx="3786464" cy="3910002"/>
    <xdr:pic>
      <xdr:nvPicPr>
        <xdr:cNvPr id="6" name="Picture 5" descr="A plate of delicious fried rice served on a white dish. The rice is golden brown, with visible ingredients such as diced carrots, peas, scrambled eggs, and chopped green onions. There are pieces of shrimp and small slices of chicken mixed in. The dish has a slight glistening effect, indicating it is freshly stir-fried. Steam is rising slightly, and a spoon is placed on the side. The background is a rustic wooden table with a simple napkin.">
          <a:extLst>
            <a:ext uri="{FF2B5EF4-FFF2-40B4-BE49-F238E27FC236}">
              <a16:creationId xmlns:a16="http://schemas.microsoft.com/office/drawing/2014/main" id="{4D9FEF8B-A537-0B47-8633-80A2C8E6EF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915401" y="12077700"/>
          <a:ext cx="3786464" cy="391000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160</xdr:row>
      <xdr:rowOff>0</xdr:rowOff>
    </xdr:from>
    <xdr:to>
      <xdr:col>26</xdr:col>
      <xdr:colOff>592340</xdr:colOff>
      <xdr:row>216</xdr:row>
      <xdr:rowOff>114902</xdr:rowOff>
    </xdr:to>
    <xdr:sp macro="" textlink="">
      <xdr:nvSpPr>
        <xdr:cNvPr id="27652" name="AutoShape 4" descr="A plate of Cantonese-style stir-fried beef ho fun (乾炒牛河) with wide rice noodles, tender slices of beef, and a savory soy-based sauce. The dish is served with two bok choy on the side. The noodles are well-seared and slightly charred, giving them a dry and crispy stir-fried texture. There is no excess sauce pooling at the bottom of the plate, and no spring onions on top. The presentation is clean and appetizing, placed on a simple white plate.">
          <a:extLst>
            <a:ext uri="{FF2B5EF4-FFF2-40B4-BE49-F238E27FC236}">
              <a16:creationId xmlns:a16="http://schemas.microsoft.com/office/drawing/2014/main" id="{3EB3D55C-3CDD-274E-B8FD-046125C96FEE}"/>
            </a:ext>
          </a:extLst>
        </xdr:cNvPr>
        <xdr:cNvSpPr>
          <a:spLocks noChangeAspect="1" noChangeArrowheads="1"/>
        </xdr:cNvSpPr>
      </xdr:nvSpPr>
      <xdr:spPr bwMode="auto">
        <a:xfrm>
          <a:off x="10261600" y="5232400"/>
          <a:ext cx="13004800" cy="130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156</xdr:row>
      <xdr:rowOff>0</xdr:rowOff>
    </xdr:from>
    <xdr:to>
      <xdr:col>28</xdr:col>
      <xdr:colOff>18276</xdr:colOff>
      <xdr:row>212</xdr:row>
      <xdr:rowOff>110996</xdr:rowOff>
    </xdr:to>
    <xdr:sp macro="" textlink="">
      <xdr:nvSpPr>
        <xdr:cNvPr id="27653" name="AutoShape 5" descr="A plate of Cantonese-style stir-fried beef ho fun (乾炒牛河) with wide rice noodles, tender slices of beef, and a savory soy-based sauce. The dish is served with two bok choy on the side. The noodles are well-seared and slightly charred, giving them a dry and crispy stir-fried texture. There is no excess sauce pooling at the bottom of the plate, and no spring onions on top. The presentation is clean and appetizing, placed on a simple white plate.">
          <a:extLst>
            <a:ext uri="{FF2B5EF4-FFF2-40B4-BE49-F238E27FC236}">
              <a16:creationId xmlns:a16="http://schemas.microsoft.com/office/drawing/2014/main" id="{26086CCA-A26B-A94A-A91F-4BA69A0382D7}"/>
            </a:ext>
          </a:extLst>
        </xdr:cNvPr>
        <xdr:cNvSpPr>
          <a:spLocks noChangeAspect="1" noChangeArrowheads="1"/>
        </xdr:cNvSpPr>
      </xdr:nvSpPr>
      <xdr:spPr bwMode="auto">
        <a:xfrm>
          <a:off x="11912600" y="3289300"/>
          <a:ext cx="13004800" cy="130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156</xdr:row>
      <xdr:rowOff>0</xdr:rowOff>
    </xdr:from>
    <xdr:to>
      <xdr:col>28</xdr:col>
      <xdr:colOff>18276</xdr:colOff>
      <xdr:row>212</xdr:row>
      <xdr:rowOff>110996</xdr:rowOff>
    </xdr:to>
    <xdr:sp macro="" textlink="">
      <xdr:nvSpPr>
        <xdr:cNvPr id="27655" name="AutoShape 7" descr="A plate of Cantonese-style stir-fried beef ho fun (乾炒牛河) with wide rice noodles, tender slices of beef, and a savory soy-based sauce. The dish is served with two bok choy on the side. The noodles are well-seared and slightly charred, giving them a dry and crispy stir-fried texture. There is no excess sauce pooling at the bottom of the plate, and no spring onions on top. The presentation is clean and appetizing, placed on a simple white plate.">
          <a:extLst>
            <a:ext uri="{FF2B5EF4-FFF2-40B4-BE49-F238E27FC236}">
              <a16:creationId xmlns:a16="http://schemas.microsoft.com/office/drawing/2014/main" id="{5CDF3DF8-286B-F846-9239-ED340785CD19}"/>
            </a:ext>
          </a:extLst>
        </xdr:cNvPr>
        <xdr:cNvSpPr>
          <a:spLocks noChangeAspect="1" noChangeArrowheads="1"/>
        </xdr:cNvSpPr>
      </xdr:nvSpPr>
      <xdr:spPr bwMode="auto">
        <a:xfrm>
          <a:off x="11912600" y="3289300"/>
          <a:ext cx="13004800" cy="130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0</xdr:colOff>
      <xdr:row>195</xdr:row>
      <xdr:rowOff>0</xdr:rowOff>
    </xdr:from>
    <xdr:to>
      <xdr:col>28</xdr:col>
      <xdr:colOff>18276</xdr:colOff>
      <xdr:row>251</xdr:row>
      <xdr:rowOff>106943</xdr:rowOff>
    </xdr:to>
    <xdr:sp macro="" textlink="">
      <xdr:nvSpPr>
        <xdr:cNvPr id="27658" name="AutoShape 10">
          <a:extLst>
            <a:ext uri="{FF2B5EF4-FFF2-40B4-BE49-F238E27FC236}">
              <a16:creationId xmlns:a16="http://schemas.microsoft.com/office/drawing/2014/main" id="{301A6E2B-5EB7-EC45-B76A-08000886EC87}"/>
            </a:ext>
          </a:extLst>
        </xdr:cNvPr>
        <xdr:cNvSpPr>
          <a:spLocks noChangeAspect="1" noChangeArrowheads="1"/>
        </xdr:cNvSpPr>
      </xdr:nvSpPr>
      <xdr:spPr bwMode="auto">
        <a:xfrm>
          <a:off x="16865600" y="5638800"/>
          <a:ext cx="13004800" cy="130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xdr:col>
      <xdr:colOff>985693</xdr:colOff>
      <xdr:row>61</xdr:row>
      <xdr:rowOff>182971</xdr:rowOff>
    </xdr:from>
    <xdr:ext cx="3786464" cy="3910002"/>
    <xdr:pic>
      <xdr:nvPicPr>
        <xdr:cNvPr id="19" name="Picture 18" descr="A plate of delicious fried rice served on a white dish. The rice is golden brown, with visible ingredients such as diced carrots, peas, scrambled eggs, and chopped green onions. There are pieces of shrimp and small slices of chicken mixed in. The dish has a slight glistening effect, indicating it is freshly stir-fried. Steam is rising slightly, and a spoon is placed on the side. The background is a rustic wooden table with a simple napkin.">
          <a:extLst>
            <a:ext uri="{FF2B5EF4-FFF2-40B4-BE49-F238E27FC236}">
              <a16:creationId xmlns:a16="http://schemas.microsoft.com/office/drawing/2014/main" id="{6224B083-1CF5-744D-B9BA-CE0AAC4EBE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4595" y="10637239"/>
          <a:ext cx="3786464" cy="391000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855286</xdr:colOff>
      <xdr:row>61</xdr:row>
      <xdr:rowOff>92842</xdr:rowOff>
    </xdr:from>
    <xdr:ext cx="3862863" cy="3970164"/>
    <xdr:pic>
      <xdr:nvPicPr>
        <xdr:cNvPr id="22" name="Picture 21">
          <a:extLst>
            <a:ext uri="{FF2B5EF4-FFF2-40B4-BE49-F238E27FC236}">
              <a16:creationId xmlns:a16="http://schemas.microsoft.com/office/drawing/2014/main" id="{2A574404-3DCF-6946-8EEF-F04BC71BBD07}"/>
            </a:ext>
          </a:extLst>
        </xdr:cNvPr>
        <xdr:cNvPicPr>
          <a:picLocks noChangeAspect="1"/>
        </xdr:cNvPicPr>
      </xdr:nvPicPr>
      <xdr:blipFill>
        <a:blip xmlns:r="http://schemas.openxmlformats.org/officeDocument/2006/relationships" r:embed="rId2"/>
        <a:stretch>
          <a:fillRect/>
        </a:stretch>
      </xdr:blipFill>
      <xdr:spPr>
        <a:xfrm>
          <a:off x="14840774" y="14264183"/>
          <a:ext cx="3862863" cy="3970164"/>
        </a:xfrm>
        <a:prstGeom prst="rect">
          <a:avLst/>
        </a:prstGeom>
      </xdr:spPr>
    </xdr:pic>
    <xdr:clientData/>
  </xdr:oneCellAnchor>
  <xdr:oneCellAnchor>
    <xdr:from>
      <xdr:col>1</xdr:col>
      <xdr:colOff>1309642</xdr:colOff>
      <xdr:row>112</xdr:row>
      <xdr:rowOff>64609</xdr:rowOff>
    </xdr:from>
    <xdr:ext cx="3002957" cy="3047702"/>
    <xdr:pic>
      <xdr:nvPicPr>
        <xdr:cNvPr id="23" name="Picture 22">
          <a:extLst>
            <a:ext uri="{FF2B5EF4-FFF2-40B4-BE49-F238E27FC236}">
              <a16:creationId xmlns:a16="http://schemas.microsoft.com/office/drawing/2014/main" id="{C87BB3BC-A5D0-FE48-9AF0-924CD7472B83}"/>
            </a:ext>
          </a:extLst>
        </xdr:cNvPr>
        <xdr:cNvPicPr>
          <a:picLocks noChangeAspect="1"/>
        </xdr:cNvPicPr>
      </xdr:nvPicPr>
      <xdr:blipFill>
        <a:blip xmlns:r="http://schemas.openxmlformats.org/officeDocument/2006/relationships" r:embed="rId3"/>
        <a:stretch>
          <a:fillRect/>
        </a:stretch>
      </xdr:blipFill>
      <xdr:spPr>
        <a:xfrm>
          <a:off x="2077549" y="21108214"/>
          <a:ext cx="3002957" cy="3047702"/>
        </a:xfrm>
        <a:prstGeom prst="rect">
          <a:avLst/>
        </a:prstGeom>
      </xdr:spPr>
    </xdr:pic>
    <xdr:clientData/>
  </xdr:oneCellAnchor>
  <xdr:oneCellAnchor>
    <xdr:from>
      <xdr:col>6</xdr:col>
      <xdr:colOff>1378008</xdr:colOff>
      <xdr:row>112</xdr:row>
      <xdr:rowOff>65186</xdr:rowOff>
    </xdr:from>
    <xdr:ext cx="3043296" cy="3069900"/>
    <xdr:pic>
      <xdr:nvPicPr>
        <xdr:cNvPr id="24" name="Picture 23">
          <a:extLst>
            <a:ext uri="{FF2B5EF4-FFF2-40B4-BE49-F238E27FC236}">
              <a16:creationId xmlns:a16="http://schemas.microsoft.com/office/drawing/2014/main" id="{714681AA-AEF2-EB4C-9844-F682B229312C}"/>
            </a:ext>
          </a:extLst>
        </xdr:cNvPr>
        <xdr:cNvPicPr>
          <a:picLocks noChangeAspect="1"/>
        </xdr:cNvPicPr>
      </xdr:nvPicPr>
      <xdr:blipFill>
        <a:blip xmlns:r="http://schemas.openxmlformats.org/officeDocument/2006/relationships" r:embed="rId4"/>
        <a:stretch>
          <a:fillRect/>
        </a:stretch>
      </xdr:blipFill>
      <xdr:spPr>
        <a:xfrm>
          <a:off x="8732194" y="21108791"/>
          <a:ext cx="3043296" cy="3069900"/>
        </a:xfrm>
        <a:prstGeom prst="rect">
          <a:avLst/>
        </a:prstGeom>
      </xdr:spPr>
    </xdr:pic>
    <xdr:clientData/>
  </xdr:oneCellAnchor>
  <xdr:oneCellAnchor>
    <xdr:from>
      <xdr:col>11</xdr:col>
      <xdr:colOff>1241150</xdr:colOff>
      <xdr:row>112</xdr:row>
      <xdr:rowOff>63932</xdr:rowOff>
    </xdr:from>
    <xdr:ext cx="3001886" cy="3053358"/>
    <xdr:pic>
      <xdr:nvPicPr>
        <xdr:cNvPr id="25" name="Picture 24">
          <a:extLst>
            <a:ext uri="{FF2B5EF4-FFF2-40B4-BE49-F238E27FC236}">
              <a16:creationId xmlns:a16="http://schemas.microsoft.com/office/drawing/2014/main" id="{242C187E-0EB9-5948-8CD4-6B86E577845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Lst>
        </a:blip>
        <a:stretch>
          <a:fillRect/>
        </a:stretch>
      </xdr:blipFill>
      <xdr:spPr>
        <a:xfrm>
          <a:off x="15226638" y="26083444"/>
          <a:ext cx="3001886" cy="3053358"/>
        </a:xfrm>
        <a:prstGeom prst="rect">
          <a:avLst/>
        </a:prstGeom>
      </xdr:spPr>
    </xdr:pic>
    <xdr:clientData/>
  </xdr:oneCellAnchor>
  <xdr:oneCellAnchor>
    <xdr:from>
      <xdr:col>1</xdr:col>
      <xdr:colOff>842677</xdr:colOff>
      <xdr:row>21</xdr:row>
      <xdr:rowOff>191190</xdr:rowOff>
    </xdr:from>
    <xdr:ext cx="4196992" cy="4315843"/>
    <xdr:pic>
      <xdr:nvPicPr>
        <xdr:cNvPr id="26" name="Picture 25">
          <a:extLst>
            <a:ext uri="{FF2B5EF4-FFF2-40B4-BE49-F238E27FC236}">
              <a16:creationId xmlns:a16="http://schemas.microsoft.com/office/drawing/2014/main" id="{5089B80D-6512-7F46-9938-6F459BD24543}"/>
            </a:ext>
          </a:extLst>
        </xdr:cNvPr>
        <xdr:cNvPicPr>
          <a:picLocks noChangeAspect="1"/>
        </xdr:cNvPicPr>
      </xdr:nvPicPr>
      <xdr:blipFill>
        <a:blip xmlns:r="http://schemas.openxmlformats.org/officeDocument/2006/relationships" r:embed="rId7"/>
        <a:stretch>
          <a:fillRect/>
        </a:stretch>
      </xdr:blipFill>
      <xdr:spPr>
        <a:xfrm>
          <a:off x="1604677" y="4480968"/>
          <a:ext cx="4196992" cy="4315843"/>
        </a:xfrm>
        <a:prstGeom prst="rect">
          <a:avLst/>
        </a:prstGeom>
      </xdr:spPr>
    </xdr:pic>
    <xdr:clientData/>
  </xdr:oneCellAnchor>
  <xdr:oneCellAnchor>
    <xdr:from>
      <xdr:col>6</xdr:col>
      <xdr:colOff>829611</xdr:colOff>
      <xdr:row>21</xdr:row>
      <xdr:rowOff>210586</xdr:rowOff>
    </xdr:from>
    <xdr:ext cx="4031453" cy="4162330"/>
    <xdr:pic>
      <xdr:nvPicPr>
        <xdr:cNvPr id="27" name="Picture 26">
          <a:extLst>
            <a:ext uri="{FF2B5EF4-FFF2-40B4-BE49-F238E27FC236}">
              <a16:creationId xmlns:a16="http://schemas.microsoft.com/office/drawing/2014/main" id="{ABC0346C-C46A-0748-AB8A-5A19B604801C}"/>
            </a:ext>
          </a:extLst>
        </xdr:cNvPr>
        <xdr:cNvPicPr>
          <a:picLocks noChangeAspect="1"/>
        </xdr:cNvPicPr>
      </xdr:nvPicPr>
      <xdr:blipFill>
        <a:blip xmlns:r="http://schemas.openxmlformats.org/officeDocument/2006/relationships" r:embed="rId8"/>
        <a:stretch>
          <a:fillRect/>
        </a:stretch>
      </xdr:blipFill>
      <xdr:spPr>
        <a:xfrm>
          <a:off x="8201806" y="1372171"/>
          <a:ext cx="4031453" cy="4162330"/>
        </a:xfrm>
        <a:prstGeom prst="rect">
          <a:avLst/>
        </a:prstGeom>
      </xdr:spPr>
    </xdr:pic>
    <xdr:clientData/>
  </xdr:oneCellAnchor>
  <xdr:oneCellAnchor>
    <xdr:from>
      <xdr:col>11</xdr:col>
      <xdr:colOff>701622</xdr:colOff>
      <xdr:row>21</xdr:row>
      <xdr:rowOff>83863</xdr:rowOff>
    </xdr:from>
    <xdr:ext cx="4189635" cy="4314865"/>
    <xdr:pic>
      <xdr:nvPicPr>
        <xdr:cNvPr id="30" name="Picture 29">
          <a:extLst>
            <a:ext uri="{FF2B5EF4-FFF2-40B4-BE49-F238E27FC236}">
              <a16:creationId xmlns:a16="http://schemas.microsoft.com/office/drawing/2014/main" id="{3C207D73-B939-E94C-BC84-0F546C00E591}"/>
            </a:ext>
          </a:extLst>
        </xdr:cNvPr>
        <xdr:cNvPicPr>
          <a:picLocks noChangeAspect="1"/>
        </xdr:cNvPicPr>
      </xdr:nvPicPr>
      <xdr:blipFill>
        <a:blip xmlns:r="http://schemas.openxmlformats.org/officeDocument/2006/relationships" r:embed="rId9"/>
        <a:stretch>
          <a:fillRect/>
        </a:stretch>
      </xdr:blipFill>
      <xdr:spPr>
        <a:xfrm>
          <a:off x="14687110" y="1245448"/>
          <a:ext cx="4189635" cy="4314865"/>
        </a:xfrm>
        <a:prstGeom prst="rect">
          <a:avLst/>
        </a:prstGeom>
      </xdr:spPr>
    </xdr:pic>
    <xdr:clientData/>
  </xdr:oneCellAnchor>
  <xdr:twoCellAnchor editAs="oneCell">
    <xdr:from>
      <xdr:col>6</xdr:col>
      <xdr:colOff>880817</xdr:colOff>
      <xdr:row>61</xdr:row>
      <xdr:rowOff>48540</xdr:rowOff>
    </xdr:from>
    <xdr:to>
      <xdr:col>9</xdr:col>
      <xdr:colOff>530747</xdr:colOff>
      <xdr:row>78</xdr:row>
      <xdr:rowOff>186172</xdr:rowOff>
    </xdr:to>
    <xdr:pic>
      <xdr:nvPicPr>
        <xdr:cNvPr id="31" name="Picture 30">
          <a:extLst>
            <a:ext uri="{FF2B5EF4-FFF2-40B4-BE49-F238E27FC236}">
              <a16:creationId xmlns:a16="http://schemas.microsoft.com/office/drawing/2014/main" id="{9E69A4E9-1105-3B47-B23A-6099C4D45CE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35003" y="11124121"/>
          <a:ext cx="4080163" cy="3903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201631</xdr:colOff>
      <xdr:row>2</xdr:row>
      <xdr:rowOff>50942</xdr:rowOff>
    </xdr:from>
    <xdr:to>
      <xdr:col>10</xdr:col>
      <xdr:colOff>518925</xdr:colOff>
      <xdr:row>17</xdr:row>
      <xdr:rowOff>163871</xdr:rowOff>
    </xdr:to>
    <xdr:sp macro="" textlink="">
      <xdr:nvSpPr>
        <xdr:cNvPr id="2" name="TextBox 1">
          <a:extLst>
            <a:ext uri="{FF2B5EF4-FFF2-40B4-BE49-F238E27FC236}">
              <a16:creationId xmlns:a16="http://schemas.microsoft.com/office/drawing/2014/main" id="{9D09911D-7623-FB4C-B250-FDCEB4B979B0}"/>
            </a:ext>
          </a:extLst>
        </xdr:cNvPr>
        <xdr:cNvSpPr txBox="1"/>
      </xdr:nvSpPr>
      <xdr:spPr>
        <a:xfrm>
          <a:off x="966362" y="460619"/>
          <a:ext cx="9917402" cy="3185510"/>
        </a:xfrm>
        <a:prstGeom prst="rect">
          <a:avLst/>
        </a:prstGeom>
        <a:solidFill>
          <a:schemeClr val="accent1">
            <a:lumMod val="20000"/>
            <a:lumOff val="80000"/>
          </a:schemeClr>
        </a:solidFill>
        <a:ln w="9525" cmpd="sng">
          <a:solidFill>
            <a:schemeClr val="accent2">
              <a:lumMod val="50000"/>
            </a:schemeClr>
          </a:solidFill>
        </a:ln>
        <a:effectLst>
          <a:outerShdw blurRad="50800" dist="38100" dir="2700000" algn="tl" rotWithShape="0">
            <a:srgbClr val="002060">
              <a:alpha val="40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i="0" u="none" strike="noStrike" baseline="0">
              <a:solidFill>
                <a:schemeClr val="accent2">
                  <a:lumMod val="50000"/>
                </a:schemeClr>
              </a:solidFill>
              <a:effectLst/>
              <a:latin typeface="+mn-lt"/>
              <a:ea typeface="+mn-ea"/>
              <a:cs typeface="+mn-cs"/>
            </a:rPr>
            <a:t>Things Happening</a:t>
          </a:r>
        </a:p>
        <a:p>
          <a:r>
            <a:rPr lang="en-GB" sz="1600" b="1" i="0" u="none" strike="noStrike" baseline="0">
              <a:solidFill>
                <a:schemeClr val="accent2">
                  <a:lumMod val="50000"/>
                </a:schemeClr>
              </a:solidFill>
              <a:effectLst/>
              <a:latin typeface="+mn-lt"/>
              <a:ea typeface="+mn-ea"/>
              <a:cs typeface="+mn-cs"/>
            </a:rPr>
            <a:t>- Bubble Tea will be available from September 2025.</a:t>
          </a:r>
        </a:p>
        <a:p>
          <a:r>
            <a:rPr lang="en-GB" sz="1600" b="1" i="0" u="none" strike="noStrike" baseline="0">
              <a:solidFill>
                <a:schemeClr val="accent2">
                  <a:lumMod val="50000"/>
                </a:schemeClr>
              </a:solidFill>
              <a:effectLst/>
              <a:latin typeface="+mn-lt"/>
              <a:ea typeface="+mn-ea"/>
              <a:cs typeface="+mn-cs"/>
            </a:rPr>
            <a:t>- The restaurant will be joining delivery platforms from March 2026.</a:t>
          </a:r>
        </a:p>
        <a:p>
          <a:r>
            <a:rPr lang="en-GB" sz="1600" b="1" i="0" u="none" strike="noStrike" baseline="0">
              <a:solidFill>
                <a:schemeClr val="accent2">
                  <a:lumMod val="50000"/>
                </a:schemeClr>
              </a:solidFill>
              <a:effectLst/>
              <a:latin typeface="+mn-lt"/>
              <a:ea typeface="+mn-ea"/>
              <a:cs typeface="+mn-cs"/>
            </a:rPr>
            <a:t>- A new restaurant at Hammersmith will open at September 2026.</a:t>
          </a:r>
        </a:p>
        <a:p>
          <a:r>
            <a:rPr lang="en-GB" sz="1600" b="1" i="0" u="none" strike="noStrike" baseline="0">
              <a:solidFill>
                <a:schemeClr val="accent2">
                  <a:lumMod val="50000"/>
                </a:schemeClr>
              </a:solidFill>
              <a:effectLst/>
              <a:latin typeface="+mn-lt"/>
              <a:ea typeface="+mn-ea"/>
              <a:cs typeface="+mn-cs"/>
            </a:rPr>
            <a:t>- Following the new restaurant opening, there will be 'Buy 1 Get 1 Free' for bubble tea during September.</a:t>
          </a:r>
        </a:p>
        <a:p>
          <a:r>
            <a:rPr lang="en-GB" sz="1600" b="1" i="0" u="none" strike="noStrike" baseline="0">
              <a:solidFill>
                <a:schemeClr val="accent2">
                  <a:lumMod val="50000"/>
                </a:schemeClr>
              </a:solidFill>
              <a:effectLst/>
              <a:latin typeface="+mn-lt"/>
              <a:ea typeface="+mn-ea"/>
              <a:cs typeface="+mn-cs"/>
            </a:rPr>
            <a:t>- This promotion is at the new store and for eat-in only, which would help increase sales revenue for food ther.</a:t>
          </a:r>
        </a:p>
        <a:p>
          <a:endParaRPr lang="en-GB" sz="1600" b="1" i="0" u="none" strike="noStrike" baseline="0">
            <a:solidFill>
              <a:schemeClr val="accent2">
                <a:lumMod val="50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600" b="1" i="0" u="none" strike="noStrike">
              <a:solidFill>
                <a:schemeClr val="accent2">
                  <a:lumMod val="50000"/>
                </a:schemeClr>
              </a:solidFill>
              <a:effectLst/>
              <a:latin typeface="+mn-lt"/>
              <a:ea typeface="+mn-ea"/>
              <a:cs typeface="+mn-cs"/>
            </a:rPr>
            <a:t>Assumptions</a:t>
          </a:r>
          <a:r>
            <a:rPr lang="en-GB" sz="1600" b="1" i="0" u="none" strike="noStrike" baseline="0">
              <a:solidFill>
                <a:schemeClr val="accent2">
                  <a:lumMod val="50000"/>
                </a:schemeClr>
              </a:solidFill>
              <a:effectLst/>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1600" b="1" i="0" u="none" strike="noStrike" baseline="0">
              <a:solidFill>
                <a:schemeClr val="accent2">
                  <a:lumMod val="50000"/>
                </a:schemeClr>
              </a:solidFill>
              <a:effectLst/>
              <a:latin typeface="+mn-lt"/>
              <a:ea typeface="+mn-ea"/>
              <a:cs typeface="+mn-cs"/>
            </a:rPr>
            <a:t>- The Gross Profit for food sold on Delivery Platforms is the same. </a:t>
          </a:r>
        </a:p>
        <a:p>
          <a:r>
            <a:rPr lang="en-GB" sz="1600" b="1" i="0" u="none" strike="noStrike" baseline="0">
              <a:solidFill>
                <a:schemeClr val="accent2">
                  <a:lumMod val="50000"/>
                </a:schemeClr>
              </a:solidFill>
              <a:effectLst/>
              <a:latin typeface="+mn-lt"/>
              <a:ea typeface="+mn-ea"/>
              <a:cs typeface="+mn-cs"/>
            </a:rPr>
            <a:t>- Deep Fried Tofu and Hot Drinks are more popular in the winter.</a:t>
          </a:r>
        </a:p>
        <a:p>
          <a:r>
            <a:rPr lang="en-GB" sz="1600" b="1" i="0" u="none" strike="noStrike" baseline="0">
              <a:solidFill>
                <a:schemeClr val="accent2">
                  <a:lumMod val="50000"/>
                </a:schemeClr>
              </a:solidFill>
              <a:effectLst/>
              <a:latin typeface="+mn-lt"/>
              <a:ea typeface="+mn-ea"/>
              <a:cs typeface="+mn-cs"/>
            </a:rPr>
            <a:t>- Sesame Prawn Toast and Iced Drinks are more popular in summer.</a:t>
          </a:r>
        </a:p>
        <a:p>
          <a:r>
            <a:rPr lang="en-GB" sz="1600" b="1" i="0" u="none" strike="noStrike" baseline="0">
              <a:solidFill>
                <a:schemeClr val="accent2">
                  <a:lumMod val="50000"/>
                </a:schemeClr>
              </a:solidFill>
              <a:effectLst/>
              <a:latin typeface="+mn-lt"/>
              <a:ea typeface="+mn-ea"/>
              <a:cs typeface="+mn-cs"/>
            </a:rPr>
            <a:t>- People generally order Iced Bubble Tea regardless of weather.</a:t>
          </a:r>
        </a:p>
        <a:p>
          <a:endParaRPr lang="en-GB" sz="1600" b="1" i="0" u="none" strike="noStrike" baseline="0">
            <a:solidFill>
              <a:schemeClr val="accent2">
                <a:lumMod val="50000"/>
              </a:schemeClr>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38100</xdr:colOff>
      <xdr:row>7</xdr:row>
      <xdr:rowOff>202559</xdr:rowOff>
    </xdr:from>
    <xdr:to>
      <xdr:col>11</xdr:col>
      <xdr:colOff>2020</xdr:colOff>
      <xdr:row>31</xdr:row>
      <xdr:rowOff>190500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34</xdr:row>
      <xdr:rowOff>109425</xdr:rowOff>
    </xdr:from>
    <xdr:to>
      <xdr:col>10</xdr:col>
      <xdr:colOff>622300</xdr:colOff>
      <xdr:row>59</xdr:row>
      <xdr:rowOff>63500</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808567</xdr:colOff>
      <xdr:row>62</xdr:row>
      <xdr:rowOff>50950</xdr:rowOff>
    </xdr:from>
    <xdr:to>
      <xdr:col>10</xdr:col>
      <xdr:colOff>601134</xdr:colOff>
      <xdr:row>87</xdr:row>
      <xdr:rowOff>16933</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43</xdr:row>
      <xdr:rowOff>88900</xdr:rowOff>
    </xdr:from>
    <xdr:to>
      <xdr:col>7</xdr:col>
      <xdr:colOff>1562100</xdr:colOff>
      <xdr:row>47</xdr:row>
      <xdr:rowOff>114300</xdr:rowOff>
    </xdr:to>
    <xdr:sp macro="" textlink="">
      <xdr:nvSpPr>
        <xdr:cNvPr id="2" name="TextBox 1">
          <a:extLst>
            <a:ext uri="{FF2B5EF4-FFF2-40B4-BE49-F238E27FC236}">
              <a16:creationId xmlns:a16="http://schemas.microsoft.com/office/drawing/2014/main" id="{AA1F0179-DBD2-7D49-BD10-CEE7DE5A0478}"/>
            </a:ext>
          </a:extLst>
        </xdr:cNvPr>
        <xdr:cNvSpPr txBox="1"/>
      </xdr:nvSpPr>
      <xdr:spPr>
        <a:xfrm>
          <a:off x="825500" y="7899400"/>
          <a:ext cx="5689600" cy="838200"/>
        </a:xfrm>
        <a:prstGeom prst="rect">
          <a:avLst/>
        </a:prstGeom>
        <a:solidFill>
          <a:schemeClr val="accent3">
            <a:lumMod val="20000"/>
            <a:lumOff val="80000"/>
          </a:schemeClr>
        </a:solidFill>
        <a:ln w="9525" cmpd="sng">
          <a:solidFill>
            <a:schemeClr val="accent2">
              <a:lumMod val="75000"/>
            </a:schemeClr>
          </a:solidFill>
        </a:ln>
        <a:effectLst>
          <a:outerShdw blurRad="50800" dist="38100" dir="2700000" algn="tl" rotWithShape="0">
            <a:srgbClr val="002060">
              <a:alpha val="40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u="none" strike="noStrike">
              <a:solidFill>
                <a:schemeClr val="accent2">
                  <a:lumMod val="50000"/>
                </a:schemeClr>
              </a:solidFill>
              <a:effectLst/>
              <a:latin typeface="+mn-lt"/>
              <a:ea typeface="+mn-ea"/>
              <a:cs typeface="+mn-cs"/>
            </a:rPr>
            <a:t>Summary Boxes Heading [size 16]</a:t>
          </a:r>
          <a:br>
            <a:rPr lang="en-GB" sz="1400" b="0" i="0" u="none" strike="noStrike" baseline="0">
              <a:solidFill>
                <a:schemeClr val="accent2">
                  <a:lumMod val="50000"/>
                </a:schemeClr>
              </a:solidFill>
              <a:effectLst/>
              <a:latin typeface="+mn-lt"/>
              <a:ea typeface="+mn-ea"/>
              <a:cs typeface="+mn-cs"/>
            </a:rPr>
          </a:br>
          <a:endParaRPr lang="en-GB" sz="1100" b="0">
            <a:solidFill>
              <a:schemeClr val="accent2">
                <a:lumMod val="50000"/>
              </a:schemeClr>
            </a:solidFill>
          </a:endParaRPr>
        </a:p>
        <a:p>
          <a:r>
            <a:rPr lang="en-GB" sz="1100" b="0" i="0" u="none" strike="noStrike">
              <a:solidFill>
                <a:schemeClr val="accent2">
                  <a:lumMod val="50000"/>
                </a:schemeClr>
              </a:solidFill>
              <a:effectLst/>
              <a:latin typeface="+mn-lt"/>
              <a:ea typeface="+mn-ea"/>
              <a:cs typeface="+mn-cs"/>
            </a:rPr>
            <a:t>Text [size 12]</a:t>
          </a:r>
          <a:endParaRPr lang="en-GB" sz="1100" b="0" i="0" u="none" strike="noStrike" baseline="0">
            <a:solidFill>
              <a:schemeClr val="accent2">
                <a:lumMod val="50000"/>
              </a:schemeClr>
            </a:solidFill>
            <a:effectLst/>
            <a:latin typeface="+mn-lt"/>
            <a:ea typeface="+mn-ea"/>
            <a:cs typeface="+mn-cs"/>
          </a:endParaRPr>
        </a:p>
        <a:p>
          <a:endParaRPr lang="en-GB" sz="1100" i="0">
            <a:solidFill>
              <a:schemeClr val="accent2">
                <a:lumMod val="50000"/>
              </a:schemeClr>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hyperlink" Target="https://www.zoopla.co.uk/to-rent/commercial/details/68445434/?search_identifier=b0b36fa928769822368a034fbdfff06b1ef150124af75fdf5001db25641dbaf5" TargetMode="External"/><Relationship Id="rId1" Type="http://schemas.openxmlformats.org/officeDocument/2006/relationships/hyperlink" Target="https://www.zoopla.co.uk/to-rent/commercial/details/69760772/?search_identifier=0963b2b0a81c7d4a7feb39f0d39db8064a1e4578afe6435d7b931dda66502121" TargetMode="Externa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9118E-6D90-9A4A-B1D5-8124F24A4913}">
  <dimension ref="A1:U92"/>
  <sheetViews>
    <sheetView showGridLines="0" workbookViewId="0">
      <selection activeCell="R13" sqref="R13"/>
    </sheetView>
  </sheetViews>
  <sheetFormatPr baseColWidth="10" defaultRowHeight="16"/>
  <cols>
    <col min="1" max="16384" width="10.83203125" style="1079"/>
  </cols>
  <sheetData>
    <row r="1" spans="1:21" ht="18" customHeight="1"/>
    <row r="5" spans="1:21" ht="18" customHeight="1">
      <c r="H5" s="1094" t="s">
        <v>453</v>
      </c>
      <c r="I5" s="1094"/>
      <c r="J5" s="1094"/>
      <c r="K5" s="1094"/>
      <c r="L5" s="1094"/>
      <c r="M5" s="1094"/>
      <c r="N5" s="1094"/>
    </row>
    <row r="6" spans="1:21" ht="48" customHeight="1">
      <c r="H6" s="1094"/>
      <c r="I6" s="1094"/>
      <c r="J6" s="1094"/>
      <c r="K6" s="1094"/>
      <c r="L6" s="1094"/>
      <c r="M6" s="1094"/>
      <c r="N6" s="1094"/>
    </row>
    <row r="7" spans="1:21" ht="21">
      <c r="H7" s="1094"/>
      <c r="I7" s="1094"/>
      <c r="J7" s="1094"/>
      <c r="K7" s="1094"/>
      <c r="L7" s="1094"/>
      <c r="M7" s="1094"/>
      <c r="N7" s="1094"/>
      <c r="Q7" s="1081" t="s">
        <v>459</v>
      </c>
    </row>
    <row r="8" spans="1:21">
      <c r="H8" s="1094"/>
      <c r="I8" s="1094"/>
      <c r="J8" s="1094"/>
      <c r="K8" s="1094"/>
      <c r="L8" s="1094"/>
      <c r="M8" s="1094"/>
      <c r="N8" s="1094"/>
    </row>
    <row r="9" spans="1:21" ht="42" customHeight="1">
      <c r="H9" s="1078"/>
      <c r="I9" s="1078"/>
      <c r="J9" s="1078"/>
      <c r="L9" s="1078"/>
      <c r="M9" s="1078"/>
      <c r="N9" s="1078"/>
      <c r="Q9" s="1092" t="s">
        <v>467</v>
      </c>
      <c r="R9" s="1092"/>
      <c r="S9" s="1092"/>
      <c r="T9" s="1092"/>
      <c r="U9" s="1092"/>
    </row>
    <row r="10" spans="1:21" ht="23">
      <c r="I10" s="1075"/>
      <c r="J10" s="1075"/>
      <c r="K10" s="1076" t="s">
        <v>455</v>
      </c>
      <c r="L10" s="1075"/>
      <c r="M10" s="1075"/>
      <c r="N10" s="1075"/>
    </row>
    <row r="11" spans="1:21" ht="59" customHeight="1">
      <c r="H11" s="1091" t="s">
        <v>454</v>
      </c>
      <c r="I11" s="1091"/>
      <c r="J11" s="1091"/>
      <c r="K11" s="1091"/>
      <c r="L11" s="1091"/>
      <c r="M11" s="1091"/>
      <c r="N11" s="1091"/>
    </row>
    <row r="12" spans="1:21">
      <c r="H12" s="1077"/>
      <c r="I12" s="1077"/>
      <c r="J12" s="1077"/>
      <c r="K12" s="1077"/>
      <c r="L12" s="1077"/>
      <c r="M12" s="1077"/>
      <c r="N12" s="1077"/>
    </row>
    <row r="15" spans="1:21">
      <c r="A15" s="1077"/>
      <c r="B15" s="1077"/>
      <c r="C15" s="1077"/>
      <c r="D15" s="1077"/>
      <c r="E15" s="1077"/>
      <c r="F15" s="1077"/>
      <c r="G15" s="1077"/>
    </row>
    <row r="16" spans="1:21">
      <c r="A16" s="1077"/>
      <c r="B16" s="1077"/>
      <c r="C16" s="1077"/>
      <c r="D16" s="1077"/>
      <c r="E16" s="1077"/>
      <c r="F16" s="1077"/>
      <c r="G16" s="1077"/>
    </row>
    <row r="17" spans="1:7">
      <c r="A17" s="1077"/>
      <c r="B17" s="1077"/>
      <c r="C17" s="1077"/>
      <c r="D17" s="1077"/>
      <c r="E17" s="1077"/>
      <c r="F17" s="1077"/>
      <c r="G17" s="1077"/>
    </row>
    <row r="18" spans="1:7">
      <c r="A18" s="1077"/>
      <c r="B18" s="1077"/>
      <c r="C18" s="1077"/>
      <c r="D18" s="1077"/>
      <c r="E18" s="1077"/>
      <c r="F18" s="1077"/>
      <c r="G18" s="1077"/>
    </row>
    <row r="43" spans="8:17" ht="21">
      <c r="K43" s="1076" t="s">
        <v>456</v>
      </c>
      <c r="L43" s="1077"/>
      <c r="M43" s="1077"/>
      <c r="O43" s="1077"/>
      <c r="P43" s="1077"/>
      <c r="Q43" s="1077"/>
    </row>
    <row r="44" spans="8:17" ht="127" customHeight="1">
      <c r="H44" s="1091" t="s">
        <v>462</v>
      </c>
      <c r="I44" s="1091"/>
      <c r="J44" s="1091"/>
      <c r="K44" s="1091"/>
      <c r="L44" s="1091"/>
      <c r="M44" s="1091"/>
      <c r="N44" s="1091"/>
      <c r="O44" s="1077"/>
      <c r="P44" s="1077"/>
      <c r="Q44" s="1077"/>
    </row>
    <row r="45" spans="8:17" ht="337" customHeight="1">
      <c r="H45" s="1080"/>
      <c r="I45" s="1080"/>
      <c r="J45" s="1080"/>
      <c r="K45" s="1080"/>
      <c r="L45" s="1080"/>
      <c r="M45" s="1080"/>
      <c r="N45" s="1080"/>
      <c r="O45" s="1077"/>
      <c r="P45" s="1077"/>
      <c r="Q45" s="1077"/>
    </row>
    <row r="46" spans="8:17" ht="127" customHeight="1">
      <c r="H46" s="1091" t="s">
        <v>463</v>
      </c>
      <c r="I46" s="1091"/>
      <c r="J46" s="1091"/>
      <c r="K46" s="1091"/>
      <c r="L46" s="1091"/>
      <c r="M46" s="1091"/>
      <c r="N46" s="1091"/>
      <c r="O46" s="1077"/>
      <c r="P46" s="1077"/>
      <c r="Q46" s="1077"/>
    </row>
    <row r="52" ht="59" customHeight="1"/>
    <row r="66" spans="8:14" ht="21">
      <c r="I66" s="1095" t="s">
        <v>457</v>
      </c>
      <c r="J66" s="1095"/>
      <c r="K66" s="1095"/>
      <c r="L66" s="1095"/>
      <c r="M66" s="1095"/>
    </row>
    <row r="68" spans="8:14" ht="18">
      <c r="I68" s="1093" t="s">
        <v>458</v>
      </c>
      <c r="J68" s="1093"/>
      <c r="K68" s="1093"/>
      <c r="L68" s="1093"/>
      <c r="M68" s="1093"/>
    </row>
    <row r="69" spans="8:14" ht="118" customHeight="1">
      <c r="H69" s="1091" t="s">
        <v>466</v>
      </c>
      <c r="I69" s="1091"/>
      <c r="J69" s="1091"/>
      <c r="K69" s="1091"/>
      <c r="L69" s="1091"/>
      <c r="M69" s="1091"/>
      <c r="N69" s="1091"/>
    </row>
    <row r="70" spans="8:14" ht="16" customHeight="1">
      <c r="H70" s="1091" t="s">
        <v>460</v>
      </c>
      <c r="I70" s="1091"/>
      <c r="J70" s="1091"/>
      <c r="K70" s="1091"/>
      <c r="L70" s="1091"/>
      <c r="M70" s="1091"/>
      <c r="N70" s="1091"/>
    </row>
    <row r="71" spans="8:14" ht="18">
      <c r="H71" s="1091"/>
      <c r="I71" s="1091"/>
      <c r="J71" s="1091"/>
      <c r="K71" s="1091"/>
      <c r="L71" s="1091"/>
      <c r="M71" s="1091"/>
      <c r="N71" s="1091"/>
    </row>
    <row r="72" spans="8:14" ht="82" customHeight="1">
      <c r="H72" s="1091" t="s">
        <v>461</v>
      </c>
      <c r="I72" s="1091"/>
      <c r="J72" s="1091"/>
      <c r="K72" s="1091"/>
      <c r="L72" s="1091"/>
      <c r="M72" s="1091"/>
      <c r="N72" s="1091"/>
    </row>
    <row r="91" spans="8:14" ht="21">
      <c r="H91" s="1096" t="s">
        <v>465</v>
      </c>
      <c r="I91" s="1096"/>
      <c r="J91" s="1096"/>
      <c r="K91" s="1096"/>
      <c r="L91" s="1096"/>
      <c r="M91" s="1096"/>
      <c r="N91" s="1096"/>
    </row>
    <row r="92" spans="8:14" ht="51" customHeight="1">
      <c r="H92" s="1091" t="s">
        <v>464</v>
      </c>
      <c r="I92" s="1091"/>
      <c r="J92" s="1091"/>
      <c r="K92" s="1091"/>
      <c r="L92" s="1091"/>
      <c r="M92" s="1091"/>
      <c r="N92" s="1091"/>
    </row>
  </sheetData>
  <mergeCells count="13">
    <mergeCell ref="H5:N8"/>
    <mergeCell ref="H11:N11"/>
    <mergeCell ref="H44:N44"/>
    <mergeCell ref="I66:M66"/>
    <mergeCell ref="H91:N91"/>
    <mergeCell ref="H92:N92"/>
    <mergeCell ref="H46:N46"/>
    <mergeCell ref="Q9:U9"/>
    <mergeCell ref="I68:M68"/>
    <mergeCell ref="H69:N69"/>
    <mergeCell ref="H70:N70"/>
    <mergeCell ref="H71:N71"/>
    <mergeCell ref="H72:N72"/>
  </mergeCells>
  <phoneticPr fontId="10"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22E4C-7A5A-C44C-8526-5068A57C0A8F}">
  <sheetPr codeName="Sheet8">
    <tabColor theme="4" tint="0.39997558519241921"/>
  </sheetPr>
  <dimension ref="A1:Y220"/>
  <sheetViews>
    <sheetView showGridLines="0" zoomScale="82" zoomScaleNormal="53" workbookViewId="0">
      <selection activeCell="B59" sqref="B59:O60"/>
    </sheetView>
  </sheetViews>
  <sheetFormatPr baseColWidth="10" defaultRowHeight="18" customHeight="1"/>
  <cols>
    <col min="1" max="1" width="10" style="89" customWidth="1"/>
    <col min="2" max="2" width="29.83203125" style="89" customWidth="1"/>
    <col min="3" max="6" width="14.1640625" style="89" customWidth="1"/>
    <col min="7" max="7" width="29.83203125" style="89" customWidth="1"/>
    <col min="8" max="11" width="14.1640625" style="89" customWidth="1"/>
    <col min="12" max="12" width="29.83203125" style="89" customWidth="1"/>
    <col min="13" max="15" width="14.1640625" style="89" customWidth="1"/>
    <col min="16" max="16" width="10.83203125" style="89"/>
    <col min="17" max="17" width="29.83203125" style="89" customWidth="1"/>
    <col min="18" max="20" width="14.1640625" style="89" customWidth="1"/>
    <col min="21" max="16384" width="10.83203125" style="89"/>
  </cols>
  <sheetData>
    <row r="1" spans="1:25" ht="18" customHeight="1">
      <c r="B1" s="10" t="str">
        <f>"v"&amp;'COPYRIGHT PROTECTION'!C15&amp;"     "&amp;'COPYRIGHT PROTECTION'!C6</f>
        <v xml:space="preserve">v2025.1     © Simon Hulme and Chris Drew, 2011-2025     IF PART OF AN ACADEMIC ASSIGNMENT, PLEASE DO NOT DELETE THIS SINGLE LINE.  DELETING IT MAY INVALIDATE YOUR SUBMISSION. </v>
      </c>
      <c r="C1" s="61"/>
      <c r="D1" s="61"/>
      <c r="E1" s="61"/>
      <c r="G1" s="61"/>
      <c r="H1" s="61"/>
      <c r="I1" s="61"/>
      <c r="J1" s="61"/>
      <c r="L1" s="61"/>
      <c r="M1" s="61"/>
      <c r="N1" s="62"/>
      <c r="O1" s="61"/>
      <c r="Y1" s="91"/>
    </row>
    <row r="2" spans="1:25" ht="18" customHeight="1">
      <c r="A2" s="88"/>
      <c r="B2" s="61"/>
      <c r="C2" s="61"/>
      <c r="D2" s="61"/>
      <c r="E2" s="61"/>
      <c r="G2" s="61"/>
      <c r="H2" s="61"/>
      <c r="I2" s="61"/>
      <c r="J2" s="61"/>
      <c r="L2" s="61"/>
      <c r="M2" s="61"/>
      <c r="N2" s="62"/>
      <c r="O2" s="61"/>
      <c r="Y2" s="91"/>
    </row>
    <row r="3" spans="1:25" ht="18" customHeight="1">
      <c r="A3" s="88"/>
      <c r="B3" s="345" t="s">
        <v>268</v>
      </c>
      <c r="C3" s="181"/>
      <c r="D3" s="181"/>
      <c r="E3" s="181"/>
      <c r="G3" s="61"/>
      <c r="H3" s="61"/>
      <c r="I3" s="61"/>
      <c r="J3" s="61"/>
      <c r="L3" s="61"/>
      <c r="M3" s="61"/>
      <c r="N3" s="62"/>
      <c r="O3" s="61"/>
      <c r="Y3" s="91"/>
    </row>
    <row r="4" spans="1:25" ht="18" customHeight="1">
      <c r="A4" s="88"/>
      <c r="B4" s="345"/>
      <c r="C4" s="346"/>
      <c r="D4" s="181"/>
      <c r="E4" s="181"/>
      <c r="G4" s="61"/>
      <c r="H4" s="61"/>
      <c r="I4" s="61"/>
      <c r="J4" s="61"/>
      <c r="L4" s="61"/>
      <c r="M4" s="61"/>
      <c r="N4" s="62"/>
      <c r="O4" s="61"/>
      <c r="Y4" s="91"/>
    </row>
    <row r="5" spans="1:25" ht="18" customHeight="1">
      <c r="A5" s="88"/>
      <c r="B5" s="376" t="s">
        <v>287</v>
      </c>
      <c r="C5" s="186">
        <v>45658</v>
      </c>
      <c r="D5" s="181"/>
      <c r="E5" s="181"/>
      <c r="G5" s="61"/>
      <c r="H5" s="61"/>
      <c r="I5" s="61"/>
      <c r="J5" s="61"/>
      <c r="L5" s="61"/>
      <c r="M5" s="61"/>
      <c r="N5" s="62"/>
      <c r="O5" s="61"/>
      <c r="Y5" s="91"/>
    </row>
    <row r="6" spans="1:25" ht="18" customHeight="1">
      <c r="A6" s="88"/>
      <c r="B6" s="490" t="s">
        <v>74</v>
      </c>
      <c r="C6" s="491">
        <v>2025</v>
      </c>
      <c r="D6" s="181"/>
      <c r="E6" s="181"/>
      <c r="G6" s="61"/>
      <c r="H6" s="61"/>
      <c r="I6" s="61"/>
      <c r="J6" s="61"/>
      <c r="L6" s="61"/>
      <c r="M6" s="61"/>
      <c r="N6" s="62"/>
      <c r="O6" s="61"/>
      <c r="Y6" s="91"/>
    </row>
    <row r="7" spans="1:25" ht="18" customHeight="1">
      <c r="A7" s="88"/>
      <c r="B7" s="117" t="s">
        <v>421</v>
      </c>
      <c r="C7" s="186">
        <v>46266</v>
      </c>
      <c r="D7" s="181"/>
      <c r="E7" s="181"/>
      <c r="G7" s="61"/>
      <c r="H7" s="61"/>
      <c r="I7" s="61"/>
      <c r="J7" s="61"/>
      <c r="L7" s="61"/>
      <c r="M7" s="61"/>
      <c r="N7" s="62"/>
      <c r="O7" s="61"/>
      <c r="Y7" s="91"/>
    </row>
    <row r="8" spans="1:25" ht="18" customHeight="1">
      <c r="A8" s="88"/>
      <c r="D8" s="181"/>
      <c r="E8" s="181"/>
      <c r="G8" s="61"/>
      <c r="H8" s="61"/>
      <c r="I8" s="61"/>
      <c r="J8" s="61"/>
      <c r="L8" s="61"/>
      <c r="M8" s="61"/>
      <c r="N8" s="62"/>
      <c r="O8" s="61"/>
      <c r="Y8" s="91"/>
    </row>
    <row r="9" spans="1:25" ht="18" customHeight="1">
      <c r="A9" s="88"/>
      <c r="B9" s="350" t="s">
        <v>73</v>
      </c>
      <c r="C9" s="187">
        <v>0.2</v>
      </c>
      <c r="D9" s="181"/>
      <c r="E9" s="181"/>
      <c r="G9" s="61"/>
      <c r="H9" s="61"/>
      <c r="I9" s="61"/>
      <c r="J9" s="61"/>
      <c r="L9" s="61"/>
      <c r="M9" s="61"/>
      <c r="N9" s="62"/>
      <c r="O9" s="61"/>
      <c r="Y9" s="91"/>
    </row>
    <row r="10" spans="1:25" ht="18" customHeight="1">
      <c r="A10" s="88"/>
      <c r="G10" s="61"/>
      <c r="H10" s="61"/>
      <c r="I10" s="61"/>
      <c r="J10" s="61"/>
      <c r="L10" s="61"/>
      <c r="M10" s="61"/>
      <c r="N10" s="62"/>
      <c r="O10" s="61"/>
      <c r="Y10" s="91"/>
    </row>
    <row r="11" spans="1:25" ht="18" customHeight="1">
      <c r="A11" s="88"/>
      <c r="C11" s="492">
        <f>$C$6</f>
        <v>2025</v>
      </c>
      <c r="D11" s="492">
        <f>C11+1</f>
        <v>2026</v>
      </c>
      <c r="E11" s="492">
        <f>D11+1</f>
        <v>2027</v>
      </c>
      <c r="G11" s="61"/>
      <c r="H11" s="61"/>
      <c r="I11" s="61"/>
      <c r="J11" s="61"/>
      <c r="L11" s="61"/>
      <c r="M11" s="61"/>
      <c r="N11" s="62"/>
      <c r="O11" s="61"/>
      <c r="Y11" s="91"/>
    </row>
    <row r="12" spans="1:25" ht="18" customHeight="1">
      <c r="A12" s="88"/>
      <c r="B12" s="117" t="s">
        <v>429</v>
      </c>
      <c r="C12" s="612">
        <f>'Summary &amp; Ratios'!D40</f>
        <v>-38504.514443499174</v>
      </c>
      <c r="D12" s="612">
        <f>'Summary &amp; Ratios'!E40</f>
        <v>90944.862541755065</v>
      </c>
      <c r="E12" s="612">
        <f>'Summary &amp; Ratios'!F40</f>
        <v>206928.18897642675</v>
      </c>
      <c r="G12" s="61"/>
      <c r="H12" s="61"/>
      <c r="I12" s="61"/>
      <c r="J12" s="61"/>
      <c r="L12" s="61"/>
      <c r="M12" s="61"/>
      <c r="N12" s="62"/>
      <c r="O12" s="61"/>
      <c r="Y12" s="91"/>
    </row>
    <row r="13" spans="1:25" ht="18" customHeight="1">
      <c r="A13" s="88"/>
      <c r="B13" s="350" t="s">
        <v>366</v>
      </c>
      <c r="C13" s="606" cm="1">
        <f t="array" ref="C13">_xlfn.IFS(C12&lt;0,0,C12&lt;50000,19%,C12&gt;250000,25%,TRUE,(C12*25%-(250000-C12)*3/200)/C12)</f>
        <v>0</v>
      </c>
      <c r="D13" s="606" cm="1">
        <f t="array" ref="D13">_xlfn.IFS(D12&lt;0,0,D12&lt;50000,0,D12&gt;250000,25%,TRUE,(D12*25%-(250000-D12)*3/200)/D12)</f>
        <v>0.22376622499398158</v>
      </c>
      <c r="E13" s="606" cm="1">
        <f t="array" ref="E13">_xlfn.IFS(E12&lt;0,0,E12&lt;50000,0,E12&gt;250000,25%,TRUE,(E12*25%-(250000-E12)*3/200)/E12)</f>
        <v>0.24687777113137929</v>
      </c>
      <c r="G13" s="61"/>
      <c r="H13" s="61"/>
      <c r="I13" s="61"/>
      <c r="J13" s="61"/>
      <c r="L13" s="61"/>
      <c r="M13" s="61"/>
      <c r="N13" s="62"/>
      <c r="O13" s="61"/>
      <c r="Y13" s="91"/>
    </row>
    <row r="14" spans="1:25" ht="18" customHeight="1">
      <c r="A14" s="88"/>
      <c r="B14" s="377" t="s">
        <v>365</v>
      </c>
      <c r="C14" s="184" t="s">
        <v>269</v>
      </c>
      <c r="D14" s="185">
        <v>0.04</v>
      </c>
      <c r="E14" s="185">
        <v>4.2500000000000003E-2</v>
      </c>
      <c r="G14" s="61"/>
      <c r="H14" s="61"/>
      <c r="I14" s="61"/>
      <c r="J14" s="61"/>
      <c r="L14" s="61"/>
      <c r="M14" s="61"/>
      <c r="N14" s="62"/>
      <c r="O14" s="61"/>
      <c r="Y14" s="91"/>
    </row>
    <row r="15" spans="1:25" ht="18" customHeight="1">
      <c r="A15" s="88"/>
      <c r="B15" s="377" t="s">
        <v>288</v>
      </c>
      <c r="C15" s="184" t="s">
        <v>269</v>
      </c>
      <c r="D15" s="185">
        <v>3.5000000000000003E-2</v>
      </c>
      <c r="E15" s="185">
        <v>3.5000000000000003E-2</v>
      </c>
      <c r="G15" s="61"/>
      <c r="H15" s="61"/>
      <c r="I15" s="61"/>
      <c r="J15" s="61"/>
      <c r="L15" s="61"/>
      <c r="M15" s="61"/>
      <c r="N15" s="62"/>
      <c r="O15" s="61"/>
      <c r="Y15" s="91"/>
    </row>
    <row r="16" spans="1:25" ht="18" customHeight="1">
      <c r="A16" s="88"/>
      <c r="B16" s="61"/>
      <c r="C16" s="61"/>
      <c r="D16" s="61"/>
      <c r="E16" s="61"/>
      <c r="G16" s="61"/>
      <c r="H16" s="61"/>
      <c r="I16" s="61"/>
      <c r="J16" s="61"/>
      <c r="L16" s="61"/>
      <c r="M16" s="61"/>
      <c r="N16" s="62"/>
      <c r="O16" s="61"/>
      <c r="Y16" s="91"/>
    </row>
    <row r="17" spans="1:25" ht="18" customHeight="1">
      <c r="A17" s="88"/>
      <c r="B17" s="61"/>
      <c r="C17" s="61"/>
      <c r="D17" s="61"/>
      <c r="E17" s="61"/>
      <c r="G17" s="61"/>
      <c r="H17" s="61"/>
      <c r="I17" s="61"/>
      <c r="J17" s="61"/>
      <c r="L17" s="61"/>
      <c r="M17" s="61"/>
      <c r="N17" s="62"/>
      <c r="O17" s="61"/>
      <c r="Y17" s="91"/>
    </row>
    <row r="18" spans="1:25" ht="18" customHeight="1">
      <c r="A18" s="88"/>
      <c r="B18" s="61"/>
      <c r="C18" s="61"/>
      <c r="D18" s="61"/>
      <c r="E18" s="61"/>
      <c r="G18" s="61"/>
      <c r="H18" s="61"/>
      <c r="I18" s="61"/>
      <c r="J18" s="61"/>
      <c r="L18" s="61"/>
      <c r="M18" s="61"/>
      <c r="N18" s="62"/>
      <c r="O18" s="61"/>
      <c r="Y18" s="91"/>
    </row>
    <row r="19" spans="1:25" s="88" customFormat="1" ht="18" customHeight="1">
      <c r="B19" s="1097" t="s">
        <v>283</v>
      </c>
      <c r="C19" s="1097"/>
      <c r="D19" s="1097"/>
      <c r="E19" s="1097"/>
      <c r="F19" s="1097"/>
      <c r="G19" s="1097"/>
      <c r="H19" s="1097"/>
      <c r="I19" s="1097"/>
      <c r="J19" s="1097"/>
      <c r="K19" s="1097"/>
      <c r="L19" s="1097"/>
      <c r="M19" s="1097"/>
      <c r="N19" s="1097"/>
      <c r="O19" s="1097"/>
      <c r="Y19" s="92"/>
    </row>
    <row r="20" spans="1:25" s="88" customFormat="1" ht="18" customHeight="1">
      <c r="A20" s="93"/>
      <c r="B20" s="1097"/>
      <c r="C20" s="1097"/>
      <c r="D20" s="1097"/>
      <c r="E20" s="1097"/>
      <c r="F20" s="1097"/>
      <c r="G20" s="1097"/>
      <c r="H20" s="1097"/>
      <c r="I20" s="1097"/>
      <c r="J20" s="1097"/>
      <c r="K20" s="1097"/>
      <c r="L20" s="1097"/>
      <c r="M20" s="1097"/>
      <c r="N20" s="1097"/>
      <c r="O20" s="1097"/>
      <c r="Y20" s="93"/>
    </row>
    <row r="21" spans="1:25" s="88" customFormat="1" ht="18" customHeight="1">
      <c r="B21" s="64"/>
      <c r="C21" s="65"/>
      <c r="D21" s="65"/>
      <c r="E21" s="65"/>
      <c r="F21" s="195"/>
      <c r="G21" s="66"/>
      <c r="H21" s="60"/>
      <c r="I21" s="60"/>
      <c r="J21" s="60"/>
      <c r="K21" s="194"/>
      <c r="L21" s="66"/>
      <c r="M21" s="60"/>
      <c r="N21" s="60"/>
      <c r="O21" s="60"/>
    </row>
    <row r="22" spans="1:25" s="88" customFormat="1" ht="18" customHeight="1">
      <c r="B22" s="64"/>
      <c r="C22" s="65"/>
      <c r="D22" s="65"/>
      <c r="E22" s="65"/>
      <c r="F22" s="89"/>
      <c r="G22" s="66"/>
      <c r="H22" s="60"/>
      <c r="I22" s="60"/>
      <c r="J22" s="60"/>
      <c r="K22" s="97"/>
      <c r="L22" s="66"/>
      <c r="M22" s="60"/>
      <c r="N22" s="60"/>
      <c r="O22" s="60"/>
    </row>
    <row r="23" spans="1:25" s="88" customFormat="1" ht="18" customHeight="1">
      <c r="B23" s="64"/>
      <c r="C23" s="65"/>
      <c r="D23" s="65"/>
      <c r="E23" s="65"/>
      <c r="F23" s="89"/>
      <c r="G23" s="66"/>
      <c r="H23" s="60"/>
      <c r="I23" s="60"/>
      <c r="J23" s="60"/>
      <c r="K23" s="97"/>
      <c r="L23" s="66"/>
      <c r="M23" s="60"/>
      <c r="N23" s="60"/>
      <c r="O23" s="60"/>
    </row>
    <row r="24" spans="1:25" s="88" customFormat="1" ht="18" customHeight="1">
      <c r="B24" s="64"/>
      <c r="C24" s="65"/>
      <c r="D24" s="65"/>
      <c r="E24" s="65"/>
      <c r="F24" s="89"/>
      <c r="G24" s="66"/>
      <c r="H24" s="60"/>
      <c r="I24" s="60"/>
      <c r="J24" s="60"/>
      <c r="K24" s="97"/>
      <c r="L24" s="66"/>
      <c r="M24" s="60"/>
      <c r="N24" s="60"/>
      <c r="O24" s="60"/>
    </row>
    <row r="25" spans="1:25" s="88" customFormat="1" ht="18" customHeight="1">
      <c r="B25" s="64"/>
      <c r="C25" s="65"/>
      <c r="D25" s="65"/>
      <c r="E25" s="65"/>
      <c r="F25" s="89"/>
      <c r="G25" s="66"/>
      <c r="H25" s="60"/>
      <c r="I25" s="60"/>
      <c r="J25" s="60"/>
      <c r="K25" s="97"/>
      <c r="L25" s="66"/>
      <c r="M25" s="60"/>
      <c r="N25" s="60"/>
      <c r="O25" s="60"/>
    </row>
    <row r="26" spans="1:25" s="88" customFormat="1" ht="18" customHeight="1">
      <c r="B26" s="64"/>
      <c r="C26" s="65"/>
      <c r="D26" s="65"/>
      <c r="E26" s="65"/>
      <c r="F26" s="89"/>
      <c r="G26" s="66"/>
      <c r="H26" s="60"/>
      <c r="I26" s="60"/>
      <c r="J26" s="60"/>
      <c r="K26" s="97"/>
      <c r="L26" s="66"/>
      <c r="M26" s="60"/>
      <c r="N26" s="60"/>
      <c r="O26" s="60"/>
    </row>
    <row r="27" spans="1:25" s="88" customFormat="1" ht="18" customHeight="1">
      <c r="B27" s="64"/>
      <c r="C27" s="65"/>
      <c r="D27" s="65"/>
      <c r="E27" s="65"/>
      <c r="F27" s="89"/>
      <c r="G27" s="66"/>
      <c r="H27" s="60"/>
      <c r="I27" s="60"/>
      <c r="J27" s="60"/>
      <c r="K27" s="97"/>
      <c r="L27" s="66"/>
      <c r="M27" s="60"/>
      <c r="N27" s="60"/>
      <c r="O27" s="60"/>
    </row>
    <row r="28" spans="1:25" s="88" customFormat="1" ht="18" customHeight="1">
      <c r="B28" s="64"/>
      <c r="C28" s="65"/>
      <c r="D28" s="65"/>
      <c r="E28" s="65"/>
      <c r="F28" s="89"/>
      <c r="G28" s="66"/>
      <c r="H28" s="60"/>
      <c r="I28" s="60"/>
      <c r="J28" s="60"/>
      <c r="K28" s="97"/>
      <c r="L28" s="66"/>
      <c r="M28" s="60"/>
      <c r="N28" s="60"/>
      <c r="O28" s="60"/>
    </row>
    <row r="29" spans="1:25" s="88" customFormat="1" ht="18" customHeight="1">
      <c r="B29" s="64"/>
      <c r="C29" s="65"/>
      <c r="D29" s="65"/>
      <c r="E29" s="65"/>
      <c r="F29" s="89"/>
      <c r="G29" s="66"/>
      <c r="H29" s="60"/>
      <c r="I29" s="60"/>
      <c r="J29" s="60"/>
      <c r="K29" s="97"/>
      <c r="L29" s="66"/>
      <c r="M29" s="60"/>
      <c r="N29" s="60"/>
      <c r="O29" s="60"/>
    </row>
    <row r="30" spans="1:25" s="88" customFormat="1" ht="18" customHeight="1">
      <c r="B30" s="64"/>
      <c r="C30" s="65"/>
      <c r="D30" s="65"/>
      <c r="E30" s="65"/>
      <c r="F30" s="89"/>
      <c r="G30" s="66"/>
      <c r="H30" s="60"/>
      <c r="I30" s="60"/>
      <c r="J30" s="60"/>
      <c r="K30" s="97"/>
      <c r="L30" s="66"/>
      <c r="M30" s="60"/>
      <c r="N30" s="60"/>
      <c r="O30" s="60"/>
    </row>
    <row r="31" spans="1:25" s="88" customFormat="1" ht="18" customHeight="1">
      <c r="B31" s="64"/>
      <c r="C31" s="65"/>
      <c r="D31" s="65"/>
      <c r="E31" s="65"/>
      <c r="F31" s="89"/>
      <c r="G31" s="66"/>
      <c r="H31" s="60"/>
      <c r="I31" s="60"/>
      <c r="J31" s="60"/>
      <c r="K31" s="97"/>
      <c r="L31" s="66"/>
      <c r="M31" s="60"/>
      <c r="N31" s="60"/>
      <c r="O31" s="60"/>
    </row>
    <row r="32" spans="1:25" s="88" customFormat="1" ht="18" customHeight="1">
      <c r="B32" s="64"/>
      <c r="C32" s="65"/>
      <c r="D32" s="65"/>
      <c r="E32" s="65"/>
      <c r="F32" s="89"/>
      <c r="G32" s="66"/>
      <c r="H32" s="60"/>
      <c r="I32" s="60"/>
      <c r="J32" s="60"/>
      <c r="K32" s="97"/>
      <c r="L32" s="66"/>
      <c r="M32" s="60"/>
      <c r="N32" s="60"/>
      <c r="O32" s="60"/>
    </row>
    <row r="33" spans="2:15" s="88" customFormat="1" ht="18" customHeight="1">
      <c r="B33" s="64"/>
      <c r="C33" s="65"/>
      <c r="D33" s="65"/>
      <c r="E33" s="65"/>
      <c r="F33" s="89"/>
      <c r="G33" s="66"/>
      <c r="H33" s="60"/>
      <c r="I33" s="60"/>
      <c r="J33" s="60"/>
      <c r="K33" s="97"/>
      <c r="L33" s="66"/>
      <c r="M33" s="60"/>
      <c r="N33" s="60"/>
      <c r="O33" s="60"/>
    </row>
    <row r="34" spans="2:15" s="88" customFormat="1" ht="18" customHeight="1">
      <c r="B34" s="64"/>
      <c r="C34" s="65"/>
      <c r="D34" s="65"/>
      <c r="E34" s="65"/>
      <c r="F34" s="89"/>
      <c r="G34" s="66"/>
      <c r="H34" s="60"/>
      <c r="I34" s="60"/>
      <c r="J34" s="60"/>
      <c r="K34" s="97"/>
      <c r="L34" s="66"/>
      <c r="M34" s="60"/>
      <c r="N34" s="60"/>
      <c r="O34" s="60"/>
    </row>
    <row r="35" spans="2:15" s="88" customFormat="1" ht="18" customHeight="1">
      <c r="B35" s="64"/>
      <c r="C35" s="65"/>
      <c r="D35" s="65"/>
      <c r="E35" s="65"/>
      <c r="F35" s="89"/>
      <c r="G35" s="66"/>
      <c r="H35" s="60"/>
      <c r="I35" s="60"/>
      <c r="J35" s="60"/>
      <c r="K35" s="97"/>
      <c r="L35" s="66"/>
      <c r="M35" s="60"/>
      <c r="N35" s="60"/>
      <c r="O35" s="60"/>
    </row>
    <row r="36" spans="2:15" s="88" customFormat="1" ht="18" customHeight="1">
      <c r="B36" s="64"/>
      <c r="C36" s="65"/>
      <c r="D36" s="65"/>
      <c r="E36" s="65"/>
      <c r="F36" s="89"/>
      <c r="G36" s="66"/>
      <c r="H36" s="60"/>
      <c r="I36" s="60"/>
      <c r="J36" s="60"/>
      <c r="K36" s="97"/>
      <c r="L36" s="66"/>
      <c r="M36" s="60"/>
      <c r="N36" s="60"/>
      <c r="O36" s="60"/>
    </row>
    <row r="37" spans="2:15" s="88" customFormat="1" ht="18" customHeight="1">
      <c r="B37" s="64"/>
      <c r="C37" s="65"/>
      <c r="D37" s="65"/>
      <c r="E37" s="65"/>
      <c r="F37" s="89"/>
      <c r="G37" s="66"/>
      <c r="H37" s="60"/>
      <c r="I37" s="60"/>
      <c r="J37" s="60"/>
      <c r="K37" s="97"/>
      <c r="L37" s="66"/>
      <c r="M37" s="60"/>
      <c r="N37" s="60"/>
      <c r="O37" s="60"/>
    </row>
    <row r="38" spans="2:15" s="88" customFormat="1" ht="18" customHeight="1">
      <c r="B38" s="64"/>
      <c r="C38" s="65"/>
      <c r="D38" s="65"/>
      <c r="E38" s="65"/>
      <c r="F38" s="89"/>
      <c r="G38" s="66"/>
      <c r="H38" s="60"/>
      <c r="I38" s="60"/>
      <c r="J38" s="60"/>
      <c r="K38" s="97"/>
      <c r="L38" s="66"/>
      <c r="M38" s="60"/>
      <c r="N38" s="60"/>
      <c r="O38" s="60"/>
    </row>
    <row r="39" spans="2:15" s="88" customFormat="1" ht="18" customHeight="1">
      <c r="B39" s="64"/>
      <c r="C39" s="65"/>
      <c r="D39" s="65"/>
      <c r="E39" s="65"/>
      <c r="F39" s="89"/>
      <c r="G39" s="66"/>
      <c r="H39" s="60"/>
      <c r="I39" s="60"/>
      <c r="J39" s="60"/>
      <c r="K39" s="97"/>
      <c r="L39" s="66"/>
      <c r="M39" s="60"/>
      <c r="N39" s="60"/>
      <c r="O39" s="60"/>
    </row>
    <row r="40" spans="2:15" s="88" customFormat="1" ht="18" customHeight="1">
      <c r="B40" s="64"/>
      <c r="C40" s="65"/>
      <c r="D40" s="65"/>
      <c r="E40" s="65"/>
      <c r="F40" s="89"/>
      <c r="G40" s="66"/>
      <c r="H40" s="60"/>
      <c r="I40" s="60"/>
      <c r="J40" s="60"/>
      <c r="K40" s="97"/>
      <c r="L40" s="66"/>
      <c r="M40" s="60"/>
      <c r="N40" s="60"/>
      <c r="O40" s="60"/>
    </row>
    <row r="41" spans="2:15" s="88" customFormat="1" ht="18" customHeight="1">
      <c r="B41" s="1100" t="s">
        <v>277</v>
      </c>
      <c r="C41" s="1100"/>
      <c r="D41" s="1100"/>
      <c r="E41" s="1100"/>
      <c r="F41" s="87"/>
      <c r="G41" s="1100" t="s">
        <v>280</v>
      </c>
      <c r="H41" s="1100"/>
      <c r="I41" s="1100"/>
      <c r="J41" s="1100"/>
      <c r="L41" s="1100" t="s">
        <v>260</v>
      </c>
      <c r="M41" s="1100"/>
      <c r="N41" s="1100"/>
      <c r="O41" s="1100"/>
    </row>
    <row r="42" spans="2:15" s="88" customFormat="1" ht="18" customHeight="1">
      <c r="B42" s="1100"/>
      <c r="C42" s="1100"/>
      <c r="D42" s="1100"/>
      <c r="E42" s="1100"/>
      <c r="F42" s="98"/>
      <c r="G42" s="1100"/>
      <c r="H42" s="1100"/>
      <c r="I42" s="1100"/>
      <c r="J42" s="1100"/>
      <c r="K42" s="86"/>
      <c r="L42" s="1100"/>
      <c r="M42" s="1100"/>
      <c r="N42" s="1100"/>
      <c r="O42" s="1100"/>
    </row>
    <row r="43" spans="2:15" s="88" customFormat="1" ht="18" customHeight="1">
      <c r="B43" s="47" t="s">
        <v>267</v>
      </c>
      <c r="C43" s="47">
        <f>$C$6</f>
        <v>2025</v>
      </c>
      <c r="D43" s="47">
        <f>C43+1</f>
        <v>2026</v>
      </c>
      <c r="E43" s="47">
        <f>D43+1</f>
        <v>2027</v>
      </c>
      <c r="F43" s="98"/>
      <c r="G43" s="47" t="s">
        <v>267</v>
      </c>
      <c r="H43" s="47">
        <f>$C$6</f>
        <v>2025</v>
      </c>
      <c r="I43" s="47">
        <f>H43+1</f>
        <v>2026</v>
      </c>
      <c r="J43" s="47">
        <f>I43+1</f>
        <v>2027</v>
      </c>
      <c r="K43" s="106"/>
      <c r="L43" s="47" t="s">
        <v>267</v>
      </c>
      <c r="M43" s="47">
        <f>$C$6</f>
        <v>2025</v>
      </c>
      <c r="N43" s="47">
        <f>M43+1</f>
        <v>2026</v>
      </c>
      <c r="O43" s="47">
        <f>N43+1</f>
        <v>2027</v>
      </c>
    </row>
    <row r="44" spans="2:15" s="88" customFormat="1" ht="18" customHeight="1">
      <c r="B44" s="61" t="s">
        <v>278</v>
      </c>
      <c r="C44" s="42">
        <f>2.5/250*125</f>
        <v>1.25</v>
      </c>
      <c r="D44" s="75">
        <f>C44*(1+'Pricing Model'!D$14)</f>
        <v>1.3</v>
      </c>
      <c r="E44" s="75">
        <f>D44*(1+'Pricing Model'!E$14)</f>
        <v>1.3552500000000001</v>
      </c>
      <c r="F44" s="107"/>
      <c r="G44" s="77" t="s">
        <v>256</v>
      </c>
      <c r="H44" s="43">
        <f>10.48/1000*85*1.5</f>
        <v>1.3361999999999998</v>
      </c>
      <c r="I44" s="74">
        <f>H44*(1+'Pricing Model'!$D$14)</f>
        <v>1.3896479999999998</v>
      </c>
      <c r="J44" s="74">
        <f>I44*(1+'Pricing Model'!$E$14)</f>
        <v>1.4487080399999996</v>
      </c>
      <c r="K44" s="86"/>
      <c r="L44" s="78" t="s">
        <v>282</v>
      </c>
      <c r="M44" s="43">
        <f>2/500*230</f>
        <v>0.92</v>
      </c>
      <c r="N44" s="74">
        <f>M44*(1+'Pricing Model'!$D$14)</f>
        <v>0.95680000000000009</v>
      </c>
      <c r="O44" s="74">
        <f>N44*(1+'Pricing Model'!$E$14)</f>
        <v>0.99746400000000013</v>
      </c>
    </row>
    <row r="45" spans="2:15" s="88" customFormat="1" ht="18" customHeight="1">
      <c r="B45" s="66" t="s">
        <v>279</v>
      </c>
      <c r="C45" s="42">
        <f>1/400*25*3</f>
        <v>0.1875</v>
      </c>
      <c r="D45" s="75">
        <f>C45*(1+'Pricing Model'!D$14)</f>
        <v>0.19500000000000001</v>
      </c>
      <c r="E45" s="75">
        <f>D45*(1+'Pricing Model'!E$14)</f>
        <v>0.20328750000000001</v>
      </c>
      <c r="F45" s="107"/>
      <c r="G45" s="78" t="s">
        <v>258</v>
      </c>
      <c r="H45" s="43">
        <f>0.82/375*113*1.5</f>
        <v>0.37063999999999997</v>
      </c>
      <c r="I45" s="74">
        <f>H45*(1+'Pricing Model'!$D$14)</f>
        <v>0.38546559999999996</v>
      </c>
      <c r="J45" s="74">
        <f>I45*(1+'Pricing Model'!$E$14)</f>
        <v>0.40184788799999993</v>
      </c>
      <c r="K45" s="86"/>
      <c r="L45" s="78" t="s">
        <v>258</v>
      </c>
      <c r="M45" s="43">
        <f>0.5+3.89/4*0.028</f>
        <v>0.52722999999999998</v>
      </c>
      <c r="N45" s="74">
        <f>M45*(1+'Pricing Model'!$D$14)</f>
        <v>0.54831920000000001</v>
      </c>
      <c r="O45" s="74">
        <f>N45*(1+'Pricing Model'!$E$14)</f>
        <v>0.57162276599999995</v>
      </c>
    </row>
    <row r="46" spans="2:15" s="88" customFormat="1" ht="18" customHeight="1">
      <c r="B46" s="64" t="s">
        <v>251</v>
      </c>
      <c r="C46" s="42">
        <v>0.1</v>
      </c>
      <c r="D46" s="75">
        <f>C46*(1+'Pricing Model'!D$14)</f>
        <v>0.10400000000000001</v>
      </c>
      <c r="E46" s="75">
        <f>D46*(1+'Pricing Model'!E$14)</f>
        <v>0.10842</v>
      </c>
      <c r="F46" s="107"/>
      <c r="G46" s="79" t="s">
        <v>253</v>
      </c>
      <c r="H46" s="43">
        <v>0.2</v>
      </c>
      <c r="I46" s="74">
        <f>H46*(1+'Pricing Model'!$D$14)</f>
        <v>0.20800000000000002</v>
      </c>
      <c r="J46" s="74">
        <f>I46*(1+'Pricing Model'!$E$14)</f>
        <v>0.21684</v>
      </c>
      <c r="K46" s="86"/>
      <c r="L46" s="79" t="s">
        <v>253</v>
      </c>
      <c r="M46" s="44">
        <f>0.3</f>
        <v>0.3</v>
      </c>
      <c r="N46" s="74">
        <f>M46*(1+'Pricing Model'!$D$14)</f>
        <v>0.312</v>
      </c>
      <c r="O46" s="74">
        <f>N46*(1+'Pricing Model'!$E$14)</f>
        <v>0.32525999999999999</v>
      </c>
    </row>
    <row r="47" spans="2:15" s="88" customFormat="1" ht="18" customHeight="1">
      <c r="B47" s="61" t="s">
        <v>253</v>
      </c>
      <c r="C47" s="42">
        <f>6/5*0.005+0.01</f>
        <v>1.6E-2</v>
      </c>
      <c r="D47" s="75">
        <f>C47*(1+'Pricing Model'!D$14)</f>
        <v>1.6640000000000002E-2</v>
      </c>
      <c r="E47" s="75">
        <f>D47*(1+'Pricing Model'!E$14)</f>
        <v>1.73472E-2</v>
      </c>
      <c r="F47" s="84"/>
      <c r="G47" s="61"/>
      <c r="H47" s="84"/>
      <c r="I47" s="86"/>
      <c r="J47" s="86"/>
      <c r="K47" s="86"/>
      <c r="L47" s="61"/>
      <c r="M47" s="61"/>
      <c r="N47" s="74"/>
      <c r="O47" s="74"/>
    </row>
    <row r="48" spans="2:15" s="88" customFormat="1" ht="18" customHeight="1">
      <c r="B48" s="45" t="s">
        <v>259</v>
      </c>
      <c r="C48" s="46">
        <f>SUM(C44:C47)</f>
        <v>1.5535000000000001</v>
      </c>
      <c r="D48" s="46">
        <f>SUM(D44:D47)</f>
        <v>1.6156400000000002</v>
      </c>
      <c r="E48" s="46">
        <f>SUM(E44:E47)</f>
        <v>1.6843047</v>
      </c>
      <c r="F48" s="105"/>
      <c r="G48" s="45" t="s">
        <v>259</v>
      </c>
      <c r="H48" s="46">
        <f>SUM(H44:H47)</f>
        <v>1.9068399999999996</v>
      </c>
      <c r="I48" s="46">
        <f>SUM(I44:I47)</f>
        <v>1.9831135999999996</v>
      </c>
      <c r="J48" s="46">
        <f>SUM(J44:J47)</f>
        <v>2.0673959279999994</v>
      </c>
      <c r="K48" s="101"/>
      <c r="L48" s="45" t="s">
        <v>259</v>
      </c>
      <c r="M48" s="46">
        <f>SUM(M44:M47)</f>
        <v>1.7472300000000001</v>
      </c>
      <c r="N48" s="46">
        <f>SUM(N44:N47)</f>
        <v>1.8171192000000003</v>
      </c>
      <c r="O48" s="46">
        <f>SUM(O44:O47)</f>
        <v>1.894346766</v>
      </c>
    </row>
    <row r="49" spans="2:15" s="88" customFormat="1" ht="18" customHeight="1">
      <c r="B49" s="62"/>
      <c r="C49" s="62"/>
      <c r="D49" s="62"/>
      <c r="E49" s="62"/>
      <c r="F49" s="89"/>
      <c r="G49" s="61"/>
      <c r="H49" s="61"/>
      <c r="I49" s="61"/>
      <c r="J49" s="61"/>
      <c r="K49" s="89"/>
      <c r="L49" s="61"/>
      <c r="M49" s="61"/>
      <c r="N49" s="61"/>
      <c r="O49" s="61"/>
    </row>
    <row r="50" spans="2:15" s="88" customFormat="1" ht="18" customHeight="1">
      <c r="B50" s="38" t="s">
        <v>271</v>
      </c>
      <c r="C50" s="39"/>
      <c r="D50" s="39"/>
      <c r="E50" s="39"/>
      <c r="F50" s="98"/>
      <c r="G50" s="40" t="s">
        <v>271</v>
      </c>
      <c r="H50" s="41"/>
      <c r="I50" s="41"/>
      <c r="J50" s="41"/>
      <c r="K50" s="99"/>
      <c r="L50" s="40" t="s">
        <v>271</v>
      </c>
      <c r="M50" s="41"/>
      <c r="N50" s="41"/>
      <c r="O50" s="41"/>
    </row>
    <row r="51" spans="2:15" s="88" customFormat="1" ht="18" customHeight="1">
      <c r="B51" s="67" t="s">
        <v>236</v>
      </c>
      <c r="C51" s="505">
        <v>6.75</v>
      </c>
      <c r="D51" s="68">
        <f>ROUND(C51*(1+'Pricing Model'!D$15),1)</f>
        <v>7</v>
      </c>
      <c r="E51" s="68">
        <f>ROUND(D51*(1+'Pricing Model'!E$15),1)</f>
        <v>7.2</v>
      </c>
      <c r="F51" s="98"/>
      <c r="G51" s="69" t="s">
        <v>236</v>
      </c>
      <c r="H51" s="505">
        <v>7.5</v>
      </c>
      <c r="I51" s="68">
        <f>ROUND(H51*(1+'Pricing Model'!$D$15),1)</f>
        <v>7.8</v>
      </c>
      <c r="J51" s="68">
        <f>ROUND(I51*(1+'Pricing Model'!$E$15),1)</f>
        <v>8.1</v>
      </c>
      <c r="K51" s="103"/>
      <c r="L51" s="69" t="s">
        <v>236</v>
      </c>
      <c r="M51" s="505">
        <v>7.25</v>
      </c>
      <c r="N51" s="68">
        <f>ROUND(M51*(1+'Pricing Model'!$D$15),1)</f>
        <v>7.5</v>
      </c>
      <c r="O51" s="68">
        <f>ROUND(N51*(1+'Pricing Model'!$E$15),1)</f>
        <v>7.8</v>
      </c>
    </row>
    <row r="52" spans="2:15" s="88" customFormat="1" ht="18" customHeight="1">
      <c r="B52" s="64" t="s">
        <v>45</v>
      </c>
      <c r="C52" s="71">
        <f>C51*'Pricing Model'!$C$9/(1+'Pricing Model'!$C$9)</f>
        <v>1.1250000000000002</v>
      </c>
      <c r="D52" s="71">
        <f>D51*'Pricing Model'!$C$9/(1+'Pricing Model'!$C$9)</f>
        <v>1.1666666666666667</v>
      </c>
      <c r="E52" s="71">
        <f>E51*'Pricing Model'!$C$9/(1+'Pricing Model'!$C$9)</f>
        <v>1.2000000000000002</v>
      </c>
      <c r="F52" s="98"/>
      <c r="G52" s="64" t="s">
        <v>45</v>
      </c>
      <c r="H52" s="71">
        <f>H51/(1+'Pricing Model'!$C$9)*'Pricing Model'!$C$9</f>
        <v>1.25</v>
      </c>
      <c r="I52" s="71">
        <f>I51*'Pricing Model'!$C$9/(1+'Pricing Model'!$C$9)</f>
        <v>1.3</v>
      </c>
      <c r="J52" s="71">
        <f>J51*'Pricing Model'!$C$9/(1+'Pricing Model'!$C$9)</f>
        <v>1.35</v>
      </c>
      <c r="K52" s="104"/>
      <c r="L52" s="64" t="s">
        <v>45</v>
      </c>
      <c r="M52" s="71">
        <f>M51/(1+'Pricing Model'!$C$9)*'Pricing Model'!$C$9</f>
        <v>1.2083333333333335</v>
      </c>
      <c r="N52" s="71">
        <f>N51*'Pricing Model'!$C$9/(1+'Pricing Model'!$C$9)</f>
        <v>1.25</v>
      </c>
      <c r="O52" s="71">
        <f>O51*'Pricing Model'!$C$9/(1+'Pricing Model'!$C$9)</f>
        <v>1.3</v>
      </c>
    </row>
    <row r="53" spans="2:15" s="88" customFormat="1" ht="18" customHeight="1">
      <c r="B53" s="67" t="s">
        <v>235</v>
      </c>
      <c r="C53" s="198">
        <f>C51-C52</f>
        <v>5.625</v>
      </c>
      <c r="D53" s="73">
        <f>D51-D52</f>
        <v>5.833333333333333</v>
      </c>
      <c r="E53" s="73">
        <f>E51-E52</f>
        <v>6</v>
      </c>
      <c r="F53" s="98"/>
      <c r="G53" s="69" t="s">
        <v>235</v>
      </c>
      <c r="H53" s="198">
        <f>H51-H52</f>
        <v>6.25</v>
      </c>
      <c r="I53" s="73">
        <f>I51-I52</f>
        <v>6.5</v>
      </c>
      <c r="J53" s="73">
        <f>J51-J52</f>
        <v>6.75</v>
      </c>
      <c r="K53" s="86"/>
      <c r="L53" s="69" t="s">
        <v>235</v>
      </c>
      <c r="M53" s="198">
        <f>M51-M52</f>
        <v>6.0416666666666661</v>
      </c>
      <c r="N53" s="73">
        <f>N51-N52</f>
        <v>6.25</v>
      </c>
      <c r="O53" s="73">
        <f>O51-O52</f>
        <v>6.5</v>
      </c>
    </row>
    <row r="54" spans="2:15" s="88" customFormat="1" ht="18" customHeight="1">
      <c r="B54" s="100"/>
      <c r="C54" s="101"/>
      <c r="D54" s="105"/>
      <c r="E54" s="105"/>
      <c r="F54" s="98"/>
      <c r="G54" s="102"/>
      <c r="H54" s="103"/>
      <c r="I54" s="105"/>
      <c r="J54" s="105"/>
      <c r="K54" s="86"/>
      <c r="L54" s="102"/>
      <c r="M54" s="103"/>
      <c r="N54" s="105"/>
      <c r="O54" s="105"/>
    </row>
    <row r="55" spans="2:15" s="88" customFormat="1" ht="18" customHeight="1">
      <c r="B55" s="188" t="s">
        <v>239</v>
      </c>
      <c r="C55" s="189">
        <f>C53-C48</f>
        <v>4.0715000000000003</v>
      </c>
      <c r="D55" s="189">
        <f>D53-D48</f>
        <v>4.2176933333333331</v>
      </c>
      <c r="E55" s="189">
        <f>E53-E48</f>
        <v>4.3156952999999998</v>
      </c>
      <c r="F55" s="89"/>
      <c r="G55" s="190" t="s">
        <v>239</v>
      </c>
      <c r="H55" s="191">
        <f>H53-H48</f>
        <v>4.3431600000000001</v>
      </c>
      <c r="I55" s="191">
        <f>I53-I48</f>
        <v>4.5168864000000006</v>
      </c>
      <c r="J55" s="191">
        <f>J53-J48</f>
        <v>4.6826040720000002</v>
      </c>
      <c r="K55" s="109"/>
      <c r="L55" s="190" t="s">
        <v>239</v>
      </c>
      <c r="M55" s="191">
        <f>M53-M48</f>
        <v>4.294436666666666</v>
      </c>
      <c r="N55" s="191">
        <f>N53-N48</f>
        <v>4.4328807999999995</v>
      </c>
      <c r="O55" s="191">
        <f>O53-O48</f>
        <v>4.605653234</v>
      </c>
    </row>
    <row r="56" spans="2:15" s="88" customFormat="1" ht="18" customHeight="1">
      <c r="B56" s="64" t="s">
        <v>270</v>
      </c>
      <c r="C56" s="65">
        <f>C55/C53</f>
        <v>0.72382222222222226</v>
      </c>
      <c r="D56" s="65">
        <f>D55/D53</f>
        <v>0.72303314285714282</v>
      </c>
      <c r="E56" s="65">
        <f>E55/E53</f>
        <v>0.71928254999999996</v>
      </c>
      <c r="F56" s="89"/>
      <c r="G56" s="66" t="s">
        <v>270</v>
      </c>
      <c r="H56" s="60">
        <f>H55/H53</f>
        <v>0.69490560000000001</v>
      </c>
      <c r="I56" s="60">
        <f>I55/I53</f>
        <v>0.69490560000000012</v>
      </c>
      <c r="J56" s="60">
        <f>J55/J53</f>
        <v>0.69371912177777784</v>
      </c>
      <c r="K56" s="97"/>
      <c r="L56" s="66" t="s">
        <v>270</v>
      </c>
      <c r="M56" s="60">
        <f>M55/M53</f>
        <v>0.71080331034482758</v>
      </c>
      <c r="N56" s="60">
        <f>N55/N53</f>
        <v>0.70926092799999996</v>
      </c>
      <c r="O56" s="60">
        <f>O55/O53</f>
        <v>0.70856203600000001</v>
      </c>
    </row>
    <row r="57" spans="2:15" s="88" customFormat="1" ht="18" customHeight="1">
      <c r="B57" s="81"/>
      <c r="C57" s="63"/>
      <c r="D57" s="82"/>
      <c r="E57" s="63"/>
      <c r="G57" s="63"/>
      <c r="H57" s="63"/>
      <c r="I57" s="61"/>
      <c r="J57" s="63"/>
      <c r="L57" s="63"/>
      <c r="M57" s="63"/>
      <c r="N57" s="63"/>
      <c r="O57" s="63"/>
    </row>
    <row r="58" spans="2:15" s="88" customFormat="1" ht="18" customHeight="1">
      <c r="B58" s="81"/>
      <c r="C58" s="63"/>
      <c r="D58" s="82"/>
      <c r="E58" s="63"/>
      <c r="G58" s="63"/>
      <c r="H58" s="63"/>
      <c r="I58" s="61"/>
      <c r="J58" s="63"/>
      <c r="L58" s="63"/>
      <c r="M58" s="63"/>
      <c r="N58" s="63"/>
      <c r="O58" s="63"/>
    </row>
    <row r="59" spans="2:15" s="88" customFormat="1" ht="18" customHeight="1">
      <c r="B59" s="1098" t="s">
        <v>254</v>
      </c>
      <c r="C59" s="1098"/>
      <c r="D59" s="1098"/>
      <c r="E59" s="1098"/>
      <c r="F59" s="1098"/>
      <c r="G59" s="1098"/>
      <c r="H59" s="1098"/>
      <c r="I59" s="1098"/>
      <c r="J59" s="1098"/>
      <c r="K59" s="1098"/>
      <c r="L59" s="1098"/>
      <c r="M59" s="1098"/>
      <c r="N59" s="1098"/>
      <c r="O59" s="1098"/>
    </row>
    <row r="60" spans="2:15" s="88" customFormat="1" ht="18" customHeight="1">
      <c r="B60" s="1098"/>
      <c r="C60" s="1098"/>
      <c r="D60" s="1098"/>
      <c r="E60" s="1098"/>
      <c r="F60" s="1098"/>
      <c r="G60" s="1098"/>
      <c r="H60" s="1098"/>
      <c r="I60" s="1098"/>
      <c r="J60" s="1098"/>
      <c r="K60" s="1098"/>
      <c r="L60" s="1098"/>
      <c r="M60" s="1098"/>
      <c r="N60" s="1098"/>
      <c r="O60" s="1098"/>
    </row>
    <row r="61" spans="2:15" s="88" customFormat="1" ht="18" customHeight="1">
      <c r="B61" s="81"/>
      <c r="C61" s="63"/>
      <c r="D61" s="63"/>
      <c r="E61" s="63"/>
      <c r="F61" s="196"/>
      <c r="G61" s="63"/>
      <c r="H61" s="63"/>
      <c r="I61" s="63"/>
      <c r="J61" s="82"/>
      <c r="K61" s="196"/>
      <c r="L61" s="63"/>
      <c r="M61" s="63"/>
      <c r="N61" s="63"/>
      <c r="O61" s="61"/>
    </row>
    <row r="62" spans="2:15" s="88" customFormat="1" ht="18" customHeight="1">
      <c r="B62" s="81"/>
      <c r="C62" s="63"/>
      <c r="D62" s="63"/>
      <c r="E62" s="63"/>
      <c r="G62" s="63"/>
      <c r="H62" s="63"/>
      <c r="I62" s="63"/>
      <c r="J62" s="82"/>
      <c r="L62" s="63"/>
      <c r="M62" s="63"/>
      <c r="N62" s="63"/>
      <c r="O62" s="61"/>
    </row>
    <row r="63" spans="2:15" s="88" customFormat="1" ht="18" customHeight="1">
      <c r="B63" s="81"/>
      <c r="C63" s="63"/>
      <c r="D63" s="63"/>
      <c r="E63" s="63"/>
      <c r="G63" s="63"/>
      <c r="H63" s="63"/>
      <c r="I63" s="63"/>
      <c r="J63" s="82"/>
      <c r="L63" s="63"/>
      <c r="M63" s="63"/>
      <c r="N63" s="63"/>
      <c r="O63" s="61"/>
    </row>
    <row r="64" spans="2:15" s="88" customFormat="1" ht="18" customHeight="1">
      <c r="B64" s="81"/>
      <c r="C64" s="63"/>
      <c r="D64" s="63"/>
      <c r="E64" s="63"/>
      <c r="G64" s="63"/>
      <c r="H64" s="63"/>
      <c r="I64" s="63"/>
      <c r="J64" s="82"/>
      <c r="L64" s="63"/>
      <c r="M64" s="63"/>
      <c r="N64" s="63"/>
      <c r="O64" s="61"/>
    </row>
    <row r="65" spans="2:15" s="88" customFormat="1" ht="18" customHeight="1">
      <c r="B65" s="81"/>
      <c r="C65" s="63"/>
      <c r="D65" s="63"/>
      <c r="E65" s="63"/>
      <c r="G65" s="63"/>
      <c r="H65" s="63"/>
      <c r="I65" s="63"/>
      <c r="J65" s="82"/>
      <c r="L65" s="63"/>
      <c r="M65" s="63"/>
      <c r="N65" s="63"/>
      <c r="O65" s="61"/>
    </row>
    <row r="66" spans="2:15" s="88" customFormat="1" ht="18" customHeight="1">
      <c r="B66" s="81"/>
      <c r="C66" s="63"/>
      <c r="D66" s="63"/>
      <c r="E66" s="63"/>
      <c r="G66" s="63"/>
      <c r="H66" s="63"/>
      <c r="I66" s="63"/>
      <c r="J66" s="82"/>
      <c r="L66" s="63"/>
      <c r="M66" s="63"/>
      <c r="N66" s="63"/>
      <c r="O66" s="61"/>
    </row>
    <row r="67" spans="2:15" s="88" customFormat="1" ht="18" customHeight="1">
      <c r="B67" s="81"/>
      <c r="C67" s="63"/>
      <c r="D67" s="63"/>
      <c r="E67" s="63"/>
      <c r="G67" s="63"/>
      <c r="H67" s="63"/>
      <c r="I67" s="63"/>
      <c r="J67" s="82"/>
      <c r="L67" s="63"/>
      <c r="M67" s="63"/>
      <c r="N67" s="63"/>
      <c r="O67" s="61"/>
    </row>
    <row r="68" spans="2:15" s="88" customFormat="1" ht="18" customHeight="1">
      <c r="B68" s="81"/>
      <c r="C68" s="63"/>
      <c r="D68" s="63"/>
      <c r="E68" s="63"/>
      <c r="G68" s="63"/>
      <c r="H68" s="63"/>
      <c r="I68" s="63"/>
      <c r="J68" s="82"/>
      <c r="L68" s="63"/>
      <c r="M68" s="63"/>
      <c r="N68" s="63"/>
      <c r="O68" s="61"/>
    </row>
    <row r="69" spans="2:15" s="88" customFormat="1" ht="18" customHeight="1">
      <c r="B69" s="81"/>
      <c r="C69" s="63"/>
      <c r="D69" s="63"/>
      <c r="E69" s="63"/>
      <c r="G69" s="63"/>
      <c r="H69" s="63"/>
      <c r="I69" s="63"/>
      <c r="J69" s="82"/>
      <c r="L69" s="63"/>
      <c r="M69" s="63"/>
      <c r="N69" s="63"/>
      <c r="O69" s="61"/>
    </row>
    <row r="70" spans="2:15" s="88" customFormat="1" ht="18" customHeight="1">
      <c r="B70" s="81"/>
      <c r="C70" s="63"/>
      <c r="D70" s="63"/>
      <c r="E70" s="63"/>
      <c r="G70" s="63"/>
      <c r="H70" s="63"/>
      <c r="I70" s="63"/>
      <c r="J70" s="82"/>
      <c r="L70" s="63"/>
      <c r="M70" s="63"/>
      <c r="N70" s="63"/>
      <c r="O70" s="61"/>
    </row>
    <row r="71" spans="2:15" s="88" customFormat="1" ht="18" customHeight="1">
      <c r="B71" s="81"/>
      <c r="C71" s="63"/>
      <c r="D71" s="63"/>
      <c r="E71" s="63"/>
      <c r="G71" s="63"/>
      <c r="H71" s="63"/>
      <c r="I71" s="11"/>
      <c r="J71" s="82"/>
      <c r="L71" s="63"/>
      <c r="M71" s="63"/>
      <c r="N71" s="63"/>
      <c r="O71" s="61"/>
    </row>
    <row r="72" spans="2:15" s="88" customFormat="1" ht="18" customHeight="1">
      <c r="B72" s="81"/>
      <c r="C72" s="63"/>
      <c r="D72" s="63"/>
      <c r="E72" s="63"/>
      <c r="G72" s="63"/>
      <c r="H72" s="63"/>
      <c r="I72" s="63"/>
      <c r="J72" s="82"/>
      <c r="L72" s="63"/>
      <c r="M72" s="63"/>
      <c r="N72" s="63"/>
      <c r="O72" s="61"/>
    </row>
    <row r="73" spans="2:15" s="88" customFormat="1" ht="18" customHeight="1">
      <c r="B73" s="81"/>
      <c r="C73" s="63"/>
      <c r="D73" s="63"/>
      <c r="E73" s="63"/>
      <c r="G73" s="63"/>
      <c r="H73" s="63"/>
      <c r="I73" s="63"/>
      <c r="J73" s="82"/>
      <c r="L73" s="63"/>
      <c r="M73" s="63"/>
      <c r="N73" s="63"/>
      <c r="O73" s="61"/>
    </row>
    <row r="74" spans="2:15" s="88" customFormat="1" ht="18" customHeight="1">
      <c r="B74" s="81"/>
      <c r="C74" s="63"/>
      <c r="D74" s="63"/>
      <c r="E74" s="63"/>
      <c r="G74" s="63"/>
      <c r="H74" s="63"/>
      <c r="I74" s="63"/>
      <c r="J74" s="82"/>
      <c r="L74" s="63"/>
      <c r="M74" s="63"/>
      <c r="N74" s="63"/>
      <c r="O74" s="61"/>
    </row>
    <row r="75" spans="2:15" s="88" customFormat="1" ht="18" customHeight="1">
      <c r="B75" s="81"/>
      <c r="C75" s="63"/>
      <c r="D75" s="63"/>
      <c r="E75" s="63"/>
      <c r="G75" s="63"/>
      <c r="H75" s="63"/>
      <c r="I75" s="63"/>
      <c r="J75" s="82"/>
      <c r="L75" s="63"/>
      <c r="M75" s="63"/>
      <c r="N75" s="63"/>
      <c r="O75" s="61"/>
    </row>
    <row r="76" spans="2:15" s="88" customFormat="1" ht="18" customHeight="1">
      <c r="B76" s="81"/>
      <c r="C76" s="63"/>
      <c r="D76" s="63"/>
      <c r="E76" s="63"/>
      <c r="F76" s="85"/>
      <c r="G76" s="63"/>
      <c r="H76" s="63"/>
      <c r="I76" s="63"/>
      <c r="J76" s="82"/>
      <c r="L76" s="63"/>
      <c r="M76" s="63"/>
      <c r="N76" s="63"/>
      <c r="O76" s="61"/>
    </row>
    <row r="77" spans="2:15" s="88" customFormat="1" ht="18" customHeight="1">
      <c r="B77" s="81"/>
      <c r="C77" s="63"/>
      <c r="D77" s="63"/>
      <c r="E77" s="63"/>
      <c r="G77" s="63"/>
      <c r="H77" s="63"/>
      <c r="I77" s="63"/>
      <c r="J77" s="82"/>
      <c r="L77" s="63"/>
      <c r="M77" s="63"/>
      <c r="N77" s="63"/>
      <c r="O77" s="61"/>
    </row>
    <row r="78" spans="2:15" s="88" customFormat="1" ht="18" customHeight="1">
      <c r="B78" s="81"/>
      <c r="C78" s="63"/>
      <c r="D78" s="63"/>
      <c r="E78" s="63"/>
      <c r="G78" s="63"/>
      <c r="H78" s="63"/>
      <c r="I78" s="63"/>
      <c r="J78" s="82"/>
      <c r="L78" s="63"/>
      <c r="M78" s="63"/>
      <c r="N78" s="63"/>
      <c r="O78" s="61"/>
    </row>
    <row r="79" spans="2:15" s="88" customFormat="1" ht="18" customHeight="1">
      <c r="B79" s="81"/>
      <c r="C79" s="63"/>
      <c r="D79" s="63"/>
      <c r="E79" s="63"/>
      <c r="G79" s="63"/>
      <c r="H79" s="63"/>
      <c r="I79" s="63"/>
      <c r="J79" s="82"/>
      <c r="L79" s="63"/>
      <c r="M79" s="63"/>
      <c r="N79" s="63"/>
      <c r="O79" s="61"/>
    </row>
    <row r="80" spans="2:15" s="88" customFormat="1" ht="18" customHeight="1">
      <c r="B80" s="1100" t="s">
        <v>424</v>
      </c>
      <c r="C80" s="1100"/>
      <c r="D80" s="1100"/>
      <c r="E80" s="1100"/>
      <c r="F80" s="87"/>
      <c r="G80" s="1100" t="s">
        <v>272</v>
      </c>
      <c r="H80" s="1100"/>
      <c r="I80" s="1100"/>
      <c r="J80" s="1100"/>
      <c r="L80" s="1100" t="s">
        <v>273</v>
      </c>
      <c r="M80" s="1100"/>
      <c r="N80" s="1100"/>
      <c r="O80" s="1100"/>
    </row>
    <row r="81" spans="2:15" s="88" customFormat="1" ht="18" customHeight="1">
      <c r="B81" s="1100"/>
      <c r="C81" s="1100"/>
      <c r="D81" s="1100"/>
      <c r="E81" s="1100"/>
      <c r="F81" s="98"/>
      <c r="G81" s="1100"/>
      <c r="H81" s="1100"/>
      <c r="I81" s="1100"/>
      <c r="J81" s="1100"/>
      <c r="K81" s="86"/>
      <c r="L81" s="1100"/>
      <c r="M81" s="1100"/>
      <c r="N81" s="1100"/>
      <c r="O81" s="1100"/>
    </row>
    <row r="82" spans="2:15" s="88" customFormat="1" ht="18" customHeight="1">
      <c r="B82" s="47" t="s">
        <v>267</v>
      </c>
      <c r="C82" s="47">
        <f>$C$6</f>
        <v>2025</v>
      </c>
      <c r="D82" s="47">
        <f>C82+1</f>
        <v>2026</v>
      </c>
      <c r="E82" s="47">
        <f>D82+1</f>
        <v>2027</v>
      </c>
      <c r="F82" s="98"/>
      <c r="G82" s="47" t="s">
        <v>267</v>
      </c>
      <c r="H82" s="47">
        <f>$C$6</f>
        <v>2025</v>
      </c>
      <c r="I82" s="47">
        <f>H82+1</f>
        <v>2026</v>
      </c>
      <c r="J82" s="47">
        <f>I82+1</f>
        <v>2027</v>
      </c>
      <c r="K82" s="106"/>
      <c r="L82" s="47" t="s">
        <v>267</v>
      </c>
      <c r="M82" s="47">
        <f>$C$6</f>
        <v>2025</v>
      </c>
      <c r="N82" s="47">
        <f>M82+1</f>
        <v>2026</v>
      </c>
      <c r="O82" s="47">
        <f>N82+1</f>
        <v>2027</v>
      </c>
    </row>
    <row r="83" spans="2:15" ht="18" customHeight="1">
      <c r="B83" s="64" t="s">
        <v>249</v>
      </c>
      <c r="C83" s="42">
        <f>13.75/10*0.25</f>
        <v>0.34375</v>
      </c>
      <c r="D83" s="75">
        <f>C83*(1+D$14)</f>
        <v>0.35750000000000004</v>
      </c>
      <c r="E83" s="75">
        <f>D83*(1+E$14)</f>
        <v>0.37269375000000005</v>
      </c>
      <c r="F83" s="107"/>
      <c r="G83" s="77" t="s">
        <v>255</v>
      </c>
      <c r="H83" s="43">
        <f>6.95/1000*130</f>
        <v>0.90350000000000008</v>
      </c>
      <c r="I83" s="74">
        <f>H83*(1+'Pricing Model'!$D$14)</f>
        <v>0.93964000000000014</v>
      </c>
      <c r="J83" s="74">
        <f>I83*(1+'Pricing Model'!$E$14)</f>
        <v>0.97957470000000013</v>
      </c>
      <c r="K83" s="86"/>
      <c r="L83" s="78" t="s">
        <v>249</v>
      </c>
      <c r="M83" s="43">
        <f>13.75/10*0.25</f>
        <v>0.34375</v>
      </c>
      <c r="N83" s="74">
        <f>M83*(1+'Pricing Model'!$D$14)</f>
        <v>0.35750000000000004</v>
      </c>
      <c r="O83" s="74">
        <f>N83*(1+'Pricing Model'!$E$14)</f>
        <v>0.37269375000000005</v>
      </c>
    </row>
    <row r="84" spans="2:15" ht="18" customHeight="1">
      <c r="B84" s="64" t="s">
        <v>258</v>
      </c>
      <c r="C84" s="42">
        <f>1.3*0.065+0.6/15</f>
        <v>0.1245</v>
      </c>
      <c r="D84" s="75">
        <f>C84*(1+'Pricing Model'!D$14)</f>
        <v>0.12948000000000001</v>
      </c>
      <c r="E84" s="75">
        <f>D84*(1+'Pricing Model'!E$14)</f>
        <v>0.13498290000000002</v>
      </c>
      <c r="F84" s="107"/>
      <c r="G84" s="78" t="s">
        <v>258</v>
      </c>
      <c r="H84" s="43">
        <f>0.04+0.06</f>
        <v>0.1</v>
      </c>
      <c r="I84" s="74">
        <f>H84*(1+'Pricing Model'!$D$14)</f>
        <v>0.10400000000000001</v>
      </c>
      <c r="J84" s="74">
        <f>I84*(1+'Pricing Model'!$E$14)</f>
        <v>0.10842</v>
      </c>
      <c r="K84" s="86"/>
      <c r="L84" s="78" t="s">
        <v>258</v>
      </c>
      <c r="M84" s="43">
        <f>1.4/5+0.04+0.06</f>
        <v>0.37999999999999995</v>
      </c>
      <c r="N84" s="74">
        <f>M84*(1+'Pricing Model'!$D$14)</f>
        <v>0.39519999999999994</v>
      </c>
      <c r="O84" s="74">
        <f>N84*(1+'Pricing Model'!$E$14)</f>
        <v>0.41199599999999992</v>
      </c>
    </row>
    <row r="85" spans="2:15" ht="18" customHeight="1">
      <c r="B85" s="64" t="s">
        <v>250</v>
      </c>
      <c r="C85" s="42">
        <f>2.5/250*60</f>
        <v>0.6</v>
      </c>
      <c r="D85" s="75">
        <f>C85*(1+'Pricing Model'!D$14)</f>
        <v>0.624</v>
      </c>
      <c r="E85" s="75">
        <f>D85*(1+'Pricing Model'!E$14)</f>
        <v>0.65051999999999999</v>
      </c>
      <c r="F85" s="107"/>
      <c r="G85" s="77" t="s">
        <v>256</v>
      </c>
      <c r="H85" s="43">
        <f>10.48/1000*70.9</f>
        <v>0.74303200000000003</v>
      </c>
      <c r="I85" s="74">
        <f>H85*(1+'Pricing Model'!$D$14)</f>
        <v>0.7727532800000001</v>
      </c>
      <c r="J85" s="74">
        <f>I85*(1+'Pricing Model'!$E$14)</f>
        <v>0.80559529440000011</v>
      </c>
      <c r="K85" s="86"/>
      <c r="L85" s="77" t="s">
        <v>257</v>
      </c>
      <c r="M85" s="43">
        <f>7.85*0.17</f>
        <v>1.3345</v>
      </c>
      <c r="N85" s="74">
        <f>M85*(1+'Pricing Model'!$D$14)</f>
        <v>1.38788</v>
      </c>
      <c r="O85" s="74">
        <f>N85*(1+'Pricing Model'!$E$14)</f>
        <v>1.4468649</v>
      </c>
    </row>
    <row r="86" spans="2:15" ht="18" customHeight="1">
      <c r="B86" s="64" t="s">
        <v>252</v>
      </c>
      <c r="C86" s="42">
        <f>3.7*0.07</f>
        <v>0.25900000000000006</v>
      </c>
      <c r="D86" s="75">
        <f>C86*(1+'Pricing Model'!D$14)</f>
        <v>0.2693600000000001</v>
      </c>
      <c r="E86" s="75">
        <f>D86*(1+'Pricing Model'!E$14)</f>
        <v>0.28080780000000011</v>
      </c>
      <c r="F86" s="84"/>
      <c r="G86" s="79" t="s">
        <v>253</v>
      </c>
      <c r="H86" s="44">
        <f>0.2</f>
        <v>0.2</v>
      </c>
      <c r="I86" s="74">
        <f>H86*(1+'Pricing Model'!$D$14)</f>
        <v>0.20800000000000002</v>
      </c>
      <c r="J86" s="74">
        <f>I86*(1+'Pricing Model'!$E$14)</f>
        <v>0.21684</v>
      </c>
      <c r="K86" s="86"/>
      <c r="L86" s="79" t="s">
        <v>253</v>
      </c>
      <c r="M86" s="44">
        <f>0.03+0.04+0.04</f>
        <v>0.11000000000000001</v>
      </c>
      <c r="N86" s="74">
        <f>M86*(1+'Pricing Model'!$D$14)</f>
        <v>0.11440000000000002</v>
      </c>
      <c r="O86" s="74">
        <f>N86*(1+'Pricing Model'!$E$14)</f>
        <v>0.11926200000000002</v>
      </c>
    </row>
    <row r="87" spans="2:15" s="110" customFormat="1" ht="18" customHeight="1">
      <c r="B87" s="64" t="s">
        <v>251</v>
      </c>
      <c r="C87" s="42">
        <v>0.2</v>
      </c>
      <c r="D87" s="75">
        <f>C87*(1+'Pricing Model'!D$14)</f>
        <v>0.20800000000000002</v>
      </c>
      <c r="E87" s="75">
        <f>D87*(1+'Pricing Model'!E$14)</f>
        <v>0.21684</v>
      </c>
      <c r="F87" s="107"/>
      <c r="G87" s="66"/>
      <c r="H87" s="76"/>
      <c r="I87" s="76"/>
      <c r="J87" s="76"/>
      <c r="K87" s="107"/>
      <c r="L87" s="80"/>
      <c r="M87" s="76"/>
      <c r="N87" s="76"/>
      <c r="O87" s="76"/>
    </row>
    <row r="88" spans="2:15" ht="18" customHeight="1">
      <c r="B88" s="64" t="s">
        <v>253</v>
      </c>
      <c r="C88" s="42">
        <f>(0.025+3.43/1000*4.5+0.46/100*7.4)*2</f>
        <v>0.14895</v>
      </c>
      <c r="D88" s="75">
        <f>C88*(1+'Pricing Model'!D$14)</f>
        <v>0.15490800000000002</v>
      </c>
      <c r="E88" s="75">
        <f>D88*(1+'Pricing Model'!E$14)</f>
        <v>0.16149159000000002</v>
      </c>
      <c r="F88" s="107"/>
      <c r="G88" s="66"/>
      <c r="H88" s="76"/>
      <c r="I88" s="76"/>
      <c r="J88" s="76"/>
      <c r="K88" s="107"/>
      <c r="L88" s="80"/>
      <c r="M88" s="61"/>
      <c r="N88" s="76"/>
      <c r="O88" s="76"/>
    </row>
    <row r="89" spans="2:15" ht="18" customHeight="1">
      <c r="B89" s="45" t="s">
        <v>425</v>
      </c>
      <c r="C89" s="46">
        <f>SUM(C83:C88)</f>
        <v>1.6761999999999999</v>
      </c>
      <c r="D89" s="46">
        <f t="shared" ref="D89:E89" si="0">SUM(D83:D88)</f>
        <v>1.7432480000000001</v>
      </c>
      <c r="E89" s="46">
        <f t="shared" si="0"/>
        <v>1.81733604</v>
      </c>
      <c r="F89" s="107"/>
      <c r="G89" s="66"/>
      <c r="H89" s="76"/>
      <c r="I89" s="76"/>
      <c r="J89" s="76"/>
      <c r="K89" s="107"/>
      <c r="L89" s="80"/>
      <c r="M89" s="61"/>
      <c r="N89" s="76"/>
      <c r="O89" s="76"/>
    </row>
    <row r="90" spans="2:15" ht="18" customHeight="1">
      <c r="B90" s="45" t="s">
        <v>321</v>
      </c>
      <c r="C90" s="46">
        <f>C83+C84*1.5+C87+C88</f>
        <v>0.87944999999999995</v>
      </c>
      <c r="D90" s="46">
        <f t="shared" ref="D90:E90" si="1">D83+D84*1.5+D87+D88</f>
        <v>0.914628</v>
      </c>
      <c r="E90" s="46">
        <f t="shared" si="1"/>
        <v>0.95349969000000012</v>
      </c>
      <c r="F90" s="105"/>
      <c r="G90" s="45" t="s">
        <v>259</v>
      </c>
      <c r="H90" s="46">
        <f>SUM(H83:H88)</f>
        <v>1.9465320000000002</v>
      </c>
      <c r="I90" s="46">
        <f>SUM(I83:I88)</f>
        <v>2.0243932800000004</v>
      </c>
      <c r="J90" s="46">
        <f>SUM(J83:J88)</f>
        <v>2.1104299944</v>
      </c>
      <c r="K90" s="101"/>
      <c r="L90" s="45" t="s">
        <v>259</v>
      </c>
      <c r="M90" s="46">
        <f>SUM(M83:M88)</f>
        <v>2.16825</v>
      </c>
      <c r="N90" s="46">
        <f>SUM(N83:N88)</f>
        <v>2.2549799999999998</v>
      </c>
      <c r="O90" s="46">
        <f>SUM(O83:O88)</f>
        <v>2.3508166500000001</v>
      </c>
    </row>
    <row r="91" spans="2:15" ht="18" customHeight="1">
      <c r="B91" s="62"/>
      <c r="C91" s="62"/>
      <c r="D91" s="62"/>
      <c r="E91" s="62"/>
      <c r="G91" s="61"/>
      <c r="H91" s="61"/>
      <c r="I91" s="61"/>
      <c r="J91" s="61"/>
      <c r="L91" s="61"/>
      <c r="M91" s="61"/>
      <c r="N91" s="61"/>
      <c r="O91" s="61"/>
    </row>
    <row r="92" spans="2:15" s="88" customFormat="1" ht="18" customHeight="1">
      <c r="B92" s="1101" t="s">
        <v>320</v>
      </c>
      <c r="C92" s="1101"/>
      <c r="D92" s="1101"/>
      <c r="E92" s="1101"/>
      <c r="F92" s="98"/>
      <c r="G92" s="40" t="s">
        <v>271</v>
      </c>
      <c r="H92" s="41"/>
      <c r="I92" s="41"/>
      <c r="J92" s="41"/>
      <c r="K92" s="99"/>
      <c r="L92" s="40" t="s">
        <v>271</v>
      </c>
      <c r="M92" s="41"/>
      <c r="N92" s="41"/>
      <c r="O92" s="41"/>
    </row>
    <row r="93" spans="2:15" s="88" customFormat="1" ht="18" customHeight="1">
      <c r="B93" s="67" t="s">
        <v>236</v>
      </c>
      <c r="C93" s="505">
        <v>8.5</v>
      </c>
      <c r="D93" s="68">
        <f>ROUND(C93*(1+'Pricing Model'!D$15),1)</f>
        <v>8.8000000000000007</v>
      </c>
      <c r="E93" s="68">
        <f>ROUND(D93*(1+'Pricing Model'!E$15),1)</f>
        <v>9.1</v>
      </c>
      <c r="F93" s="98"/>
      <c r="G93" s="69" t="s">
        <v>236</v>
      </c>
      <c r="H93" s="505">
        <v>9</v>
      </c>
      <c r="I93" s="68">
        <f>ROUND(H93*(1+'Pricing Model'!$D$15),1)</f>
        <v>9.3000000000000007</v>
      </c>
      <c r="J93" s="68">
        <f>ROUND(I93*(1+'Pricing Model'!$E$15),1)</f>
        <v>9.6</v>
      </c>
      <c r="K93" s="103"/>
      <c r="L93" s="69" t="s">
        <v>236</v>
      </c>
      <c r="M93" s="505">
        <v>9.5</v>
      </c>
      <c r="N93" s="68">
        <f>ROUND(M93*(1+'Pricing Model'!$D$15),1)</f>
        <v>9.8000000000000007</v>
      </c>
      <c r="O93" s="68">
        <f>ROUND(N93*(1+'Pricing Model'!$E$15),1)</f>
        <v>10.1</v>
      </c>
    </row>
    <row r="94" spans="2:15" s="88" customFormat="1" ht="18" customHeight="1">
      <c r="B94" s="64" t="s">
        <v>45</v>
      </c>
      <c r="C94" s="71">
        <f>C93*'Pricing Model'!$C$9/(1+'Pricing Model'!$C$9)</f>
        <v>1.416666666666667</v>
      </c>
      <c r="D94" s="71">
        <f>D93*'Pricing Model'!$C$9/(1+'Pricing Model'!$C$9)</f>
        <v>1.466666666666667</v>
      </c>
      <c r="E94" s="71">
        <f>E93*'Pricing Model'!$C$9/(1+'Pricing Model'!$C$9)</f>
        <v>1.5166666666666668</v>
      </c>
      <c r="F94" s="98"/>
      <c r="G94" s="64" t="s">
        <v>45</v>
      </c>
      <c r="H94" s="71">
        <f>H93/(1+'Pricing Model'!$C$9)*'Pricing Model'!$C$9</f>
        <v>1.5</v>
      </c>
      <c r="I94" s="71">
        <f>I93*'Pricing Model'!$C$9/(1+'Pricing Model'!$C$9)</f>
        <v>1.5500000000000003</v>
      </c>
      <c r="J94" s="71">
        <f>J93*'Pricing Model'!$C$9/(1+'Pricing Model'!$C$9)</f>
        <v>1.6</v>
      </c>
      <c r="K94" s="104"/>
      <c r="L94" s="64" t="s">
        <v>45</v>
      </c>
      <c r="M94" s="71">
        <f>M93/(1+'Pricing Model'!$C$9)*'Pricing Model'!$C$9</f>
        <v>1.5833333333333335</v>
      </c>
      <c r="N94" s="71">
        <f>N93*'Pricing Model'!$C$9/(1+'Pricing Model'!$C$9)</f>
        <v>1.6333333333333335</v>
      </c>
      <c r="O94" s="71">
        <f>O93*'Pricing Model'!$C$9/(1+'Pricing Model'!$C$9)</f>
        <v>1.6833333333333333</v>
      </c>
    </row>
    <row r="95" spans="2:15" s="88" customFormat="1" ht="18" customHeight="1">
      <c r="B95" s="67" t="s">
        <v>235</v>
      </c>
      <c r="C95" s="198">
        <f>C93-C94</f>
        <v>7.083333333333333</v>
      </c>
      <c r="D95" s="73">
        <f>D93-D94</f>
        <v>7.3333333333333339</v>
      </c>
      <c r="E95" s="73">
        <f>E93-E94</f>
        <v>7.583333333333333</v>
      </c>
      <c r="F95" s="98"/>
      <c r="G95" s="69" t="s">
        <v>235</v>
      </c>
      <c r="H95" s="198">
        <f>H93-H94</f>
        <v>7.5</v>
      </c>
      <c r="I95" s="73">
        <f>I93-I94</f>
        <v>7.75</v>
      </c>
      <c r="J95" s="73">
        <f>J93-J94</f>
        <v>8</v>
      </c>
      <c r="K95" s="86"/>
      <c r="L95" s="69" t="s">
        <v>235</v>
      </c>
      <c r="M95" s="198">
        <f>M93-M94</f>
        <v>7.9166666666666661</v>
      </c>
      <c r="N95" s="73">
        <f>N93-N94</f>
        <v>8.1666666666666679</v>
      </c>
      <c r="O95" s="73">
        <f>O93-O94</f>
        <v>8.4166666666666661</v>
      </c>
    </row>
    <row r="96" spans="2:15" s="88" customFormat="1" ht="18" customHeight="1">
      <c r="B96" s="67"/>
      <c r="C96" s="198"/>
      <c r="D96" s="199"/>
      <c r="E96" s="199"/>
      <c r="F96" s="200"/>
      <c r="G96" s="201"/>
      <c r="H96" s="202"/>
      <c r="I96" s="199"/>
      <c r="J96" s="199"/>
      <c r="K96" s="203"/>
      <c r="L96" s="201"/>
      <c r="M96" s="202"/>
      <c r="N96" s="73"/>
      <c r="O96" s="73"/>
    </row>
    <row r="97" spans="2:15" ht="18" customHeight="1">
      <c r="B97" s="188" t="s">
        <v>239</v>
      </c>
      <c r="C97" s="189">
        <f>C95-C89</f>
        <v>5.4071333333333333</v>
      </c>
      <c r="D97" s="189">
        <f t="shared" ref="D97:E97" si="2">D95-D89</f>
        <v>5.5900853333333336</v>
      </c>
      <c r="E97" s="189">
        <f t="shared" si="2"/>
        <v>5.7659972933333332</v>
      </c>
      <c r="G97" s="193" t="s">
        <v>239</v>
      </c>
      <c r="H97" s="191">
        <f>H95-H90</f>
        <v>5.5534679999999996</v>
      </c>
      <c r="I97" s="191">
        <f>I95-I90</f>
        <v>5.72560672</v>
      </c>
      <c r="J97" s="191">
        <f>J95-J90</f>
        <v>5.8895700055999995</v>
      </c>
      <c r="K97" s="109"/>
      <c r="L97" s="190" t="s">
        <v>239</v>
      </c>
      <c r="M97" s="191">
        <f>M95-M90</f>
        <v>5.7484166666666656</v>
      </c>
      <c r="N97" s="191">
        <f>N95-N90</f>
        <v>5.9116866666666681</v>
      </c>
      <c r="O97" s="191">
        <f>O95-O90</f>
        <v>6.0658500166666656</v>
      </c>
    </row>
    <row r="98" spans="2:15" ht="18" customHeight="1">
      <c r="B98" s="64" t="s">
        <v>270</v>
      </c>
      <c r="C98" s="65">
        <f>C97/C95</f>
        <v>0.76336000000000004</v>
      </c>
      <c r="D98" s="65">
        <f>D97/D95</f>
        <v>0.76228436363636365</v>
      </c>
      <c r="E98" s="65">
        <f>E97/E95</f>
        <v>0.7603512914285715</v>
      </c>
      <c r="G98" s="66" t="s">
        <v>270</v>
      </c>
      <c r="H98" s="60">
        <f>H97/H95</f>
        <v>0.74046239999999997</v>
      </c>
      <c r="I98" s="60">
        <f>I97/I95</f>
        <v>0.73878796387096779</v>
      </c>
      <c r="J98" s="60">
        <f>J97/J95</f>
        <v>0.73619625069999994</v>
      </c>
      <c r="K98" s="97"/>
      <c r="L98" s="66" t="s">
        <v>270</v>
      </c>
      <c r="M98" s="60">
        <f>M97/M95</f>
        <v>0.72611578947368416</v>
      </c>
      <c r="N98" s="60">
        <f>N97/N95</f>
        <v>0.72388000000000008</v>
      </c>
      <c r="O98" s="60">
        <f>O97/O95</f>
        <v>0.72069505148514845</v>
      </c>
    </row>
    <row r="99" spans="2:15" ht="18" customHeight="1">
      <c r="B99" s="64"/>
      <c r="C99" s="65"/>
      <c r="D99" s="65"/>
      <c r="E99" s="65"/>
      <c r="G99" s="66"/>
      <c r="H99" s="60"/>
      <c r="I99" s="60"/>
      <c r="J99" s="60"/>
      <c r="K99" s="97"/>
      <c r="L99" s="66"/>
      <c r="M99" s="60"/>
      <c r="N99" s="60"/>
      <c r="O99" s="60"/>
    </row>
    <row r="100" spans="2:15" ht="18" customHeight="1">
      <c r="B100" s="1101" t="s">
        <v>301</v>
      </c>
      <c r="C100" s="1101"/>
      <c r="D100" s="1101"/>
      <c r="E100" s="1101"/>
      <c r="G100" s="66"/>
      <c r="H100" s="60"/>
      <c r="I100" s="60"/>
      <c r="J100" s="60"/>
      <c r="K100" s="97"/>
      <c r="L100" s="66"/>
      <c r="M100" s="60"/>
      <c r="N100" s="60"/>
      <c r="O100" s="60"/>
    </row>
    <row r="101" spans="2:15" ht="18" customHeight="1">
      <c r="B101" s="67" t="s">
        <v>236</v>
      </c>
      <c r="C101" s="505">
        <v>7</v>
      </c>
      <c r="D101" s="68">
        <f>ROUND(C101*(1+'Pricing Model'!D$15),1)</f>
        <v>7.2</v>
      </c>
      <c r="E101" s="68">
        <f>ROUND(D101*(1+'Pricing Model'!E$15),1)</f>
        <v>7.5</v>
      </c>
      <c r="G101" s="66"/>
      <c r="H101" s="60"/>
      <c r="I101" s="60"/>
      <c r="J101" s="60"/>
      <c r="K101" s="97"/>
      <c r="L101" s="66"/>
      <c r="M101" s="60"/>
      <c r="N101" s="60"/>
      <c r="O101" s="60"/>
    </row>
    <row r="102" spans="2:15" ht="18" customHeight="1">
      <c r="B102" s="64" t="s">
        <v>45</v>
      </c>
      <c r="C102" s="71">
        <f>C101*'Pricing Model'!$C$9/(1+'Pricing Model'!$C$9)</f>
        <v>1.1666666666666667</v>
      </c>
      <c r="D102" s="71">
        <f>D101*'Pricing Model'!$C$9/(1+'Pricing Model'!$C$9)</f>
        <v>1.2000000000000002</v>
      </c>
      <c r="E102" s="71">
        <f>E101*'Pricing Model'!$C$9/(1+'Pricing Model'!$C$9)</f>
        <v>1.25</v>
      </c>
      <c r="G102" s="66"/>
      <c r="H102" s="60"/>
      <c r="I102" s="60"/>
      <c r="J102" s="60"/>
      <c r="K102" s="97"/>
      <c r="L102" s="66"/>
      <c r="M102" s="60"/>
      <c r="N102" s="60"/>
      <c r="O102" s="60"/>
    </row>
    <row r="103" spans="2:15" ht="18" customHeight="1">
      <c r="B103" s="67" t="s">
        <v>235</v>
      </c>
      <c r="C103" s="198">
        <f>C101-C102</f>
        <v>5.833333333333333</v>
      </c>
      <c r="D103" s="73">
        <f>D101-D102</f>
        <v>6</v>
      </c>
      <c r="E103" s="73">
        <f>E101-E102</f>
        <v>6.25</v>
      </c>
      <c r="G103" s="66"/>
      <c r="H103" s="60"/>
      <c r="I103" s="60"/>
      <c r="J103" s="60"/>
      <c r="K103" s="97"/>
      <c r="L103" s="66"/>
      <c r="M103" s="60"/>
      <c r="N103" s="60"/>
      <c r="O103" s="60"/>
    </row>
    <row r="104" spans="2:15" ht="18" customHeight="1">
      <c r="B104" s="67"/>
      <c r="C104" s="198"/>
      <c r="D104" s="199"/>
      <c r="E104" s="199"/>
      <c r="G104" s="66"/>
      <c r="H104" s="60"/>
      <c r="I104" s="60"/>
      <c r="J104" s="60"/>
      <c r="K104" s="97"/>
      <c r="L104" s="66"/>
      <c r="M104" s="60"/>
      <c r="N104" s="60"/>
      <c r="O104" s="60"/>
    </row>
    <row r="105" spans="2:15" ht="18" customHeight="1">
      <c r="B105" s="188" t="s">
        <v>239</v>
      </c>
      <c r="C105" s="189">
        <f>C103-C90</f>
        <v>4.9538833333333328</v>
      </c>
      <c r="D105" s="189">
        <f t="shared" ref="D105:E105" si="3">D103-D90</f>
        <v>5.0853719999999996</v>
      </c>
      <c r="E105" s="189">
        <f t="shared" si="3"/>
        <v>5.2965003099999999</v>
      </c>
      <c r="G105" s="66"/>
      <c r="H105" s="60"/>
      <c r="I105" s="60"/>
      <c r="J105" s="60"/>
      <c r="K105" s="97"/>
      <c r="L105" s="66"/>
      <c r="M105" s="60"/>
      <c r="N105" s="60"/>
      <c r="O105" s="60"/>
    </row>
    <row r="106" spans="2:15" ht="18" customHeight="1">
      <c r="B106" s="64" t="s">
        <v>270</v>
      </c>
      <c r="C106" s="65">
        <f>C105/C103</f>
        <v>0.8492371428571428</v>
      </c>
      <c r="D106" s="65">
        <f>D105/D103</f>
        <v>0.84756199999999993</v>
      </c>
      <c r="E106" s="65">
        <f>E105/E103</f>
        <v>0.84744004959999997</v>
      </c>
      <c r="G106" s="66"/>
      <c r="H106" s="60"/>
      <c r="I106" s="60"/>
      <c r="J106" s="60"/>
      <c r="K106" s="97"/>
      <c r="L106" s="66"/>
      <c r="M106" s="60"/>
      <c r="N106" s="60"/>
      <c r="O106" s="60"/>
    </row>
    <row r="107" spans="2:15" ht="18" customHeight="1">
      <c r="B107" s="64"/>
      <c r="C107" s="65"/>
      <c r="D107" s="65"/>
      <c r="E107" s="65"/>
      <c r="G107" s="66"/>
      <c r="H107" s="60"/>
      <c r="I107" s="60"/>
      <c r="J107" s="60"/>
      <c r="K107" s="97"/>
      <c r="L107" s="66"/>
      <c r="M107" s="60"/>
      <c r="N107" s="60"/>
      <c r="O107" s="60"/>
    </row>
    <row r="108" spans="2:15" ht="18" customHeight="1">
      <c r="B108" s="64"/>
      <c r="C108" s="65"/>
      <c r="D108" s="65"/>
      <c r="E108" s="65"/>
      <c r="G108" s="66"/>
      <c r="H108" s="60"/>
      <c r="I108" s="60"/>
      <c r="J108" s="60"/>
      <c r="K108" s="97"/>
      <c r="L108" s="66"/>
      <c r="M108" s="60"/>
      <c r="N108" s="60"/>
      <c r="O108" s="60"/>
    </row>
    <row r="109" spans="2:15" ht="18" customHeight="1">
      <c r="B109" s="61"/>
      <c r="C109" s="61"/>
      <c r="D109" s="61"/>
      <c r="E109" s="61"/>
      <c r="G109" s="61"/>
      <c r="H109" s="61"/>
      <c r="I109" s="61"/>
      <c r="J109" s="61"/>
      <c r="K109" s="112"/>
      <c r="L109" s="61"/>
      <c r="M109" s="61"/>
      <c r="N109" s="61"/>
      <c r="O109" s="61"/>
    </row>
    <row r="110" spans="2:15" ht="18" customHeight="1">
      <c r="B110" s="1099" t="s">
        <v>261</v>
      </c>
      <c r="C110" s="1099"/>
      <c r="D110" s="1099"/>
      <c r="E110" s="1099"/>
      <c r="F110" s="1099"/>
      <c r="G110" s="1099"/>
      <c r="H110" s="1099"/>
      <c r="I110" s="1099"/>
      <c r="J110" s="1099"/>
      <c r="K110" s="1099"/>
      <c r="L110" s="1099"/>
      <c r="M110" s="1099"/>
      <c r="N110" s="1099"/>
      <c r="O110" s="1099"/>
    </row>
    <row r="111" spans="2:15" ht="18" customHeight="1">
      <c r="B111" s="1099"/>
      <c r="C111" s="1099"/>
      <c r="D111" s="1099"/>
      <c r="E111" s="1099"/>
      <c r="F111" s="1099"/>
      <c r="G111" s="1099"/>
      <c r="H111" s="1099"/>
      <c r="I111" s="1099"/>
      <c r="J111" s="1099"/>
      <c r="K111" s="1099"/>
      <c r="L111" s="1099"/>
      <c r="M111" s="1099"/>
      <c r="N111" s="1099"/>
      <c r="O111" s="1099"/>
    </row>
    <row r="112" spans="2:15" ht="18" customHeight="1">
      <c r="B112" s="61"/>
      <c r="C112" s="61"/>
      <c r="D112" s="61"/>
      <c r="E112" s="61"/>
      <c r="F112" s="195"/>
      <c r="G112" s="61"/>
      <c r="H112" s="61"/>
      <c r="I112" s="61"/>
      <c r="J112" s="61"/>
      <c r="K112" s="197"/>
      <c r="L112" s="61"/>
      <c r="M112" s="61"/>
      <c r="N112" s="61"/>
      <c r="O112" s="61"/>
    </row>
    <row r="113" spans="2:15" ht="18" customHeight="1">
      <c r="B113" s="61"/>
      <c r="C113" s="61"/>
      <c r="D113" s="61"/>
      <c r="E113" s="61"/>
      <c r="G113" s="61"/>
      <c r="H113" s="61"/>
      <c r="I113" s="61"/>
      <c r="J113" s="61"/>
      <c r="K113" s="112"/>
      <c r="L113" s="61"/>
      <c r="M113" s="61"/>
      <c r="N113" s="61"/>
      <c r="O113" s="61"/>
    </row>
    <row r="114" spans="2:15" ht="18" customHeight="1">
      <c r="B114" s="61"/>
      <c r="C114" s="61"/>
      <c r="D114" s="61"/>
      <c r="E114" s="61"/>
      <c r="G114" s="61"/>
      <c r="H114" s="61"/>
      <c r="I114" s="61"/>
      <c r="J114" s="61"/>
      <c r="K114" s="112"/>
      <c r="L114" s="61"/>
      <c r="M114" s="61"/>
      <c r="N114" s="61"/>
      <c r="O114" s="61"/>
    </row>
    <row r="115" spans="2:15" ht="18" customHeight="1">
      <c r="B115" s="61"/>
      <c r="C115" s="61"/>
      <c r="D115" s="61"/>
      <c r="E115" s="61"/>
      <c r="G115" s="61"/>
      <c r="H115" s="61"/>
      <c r="I115" s="61"/>
      <c r="J115" s="61"/>
      <c r="K115" s="112"/>
      <c r="L115" s="61"/>
      <c r="M115" s="61"/>
      <c r="N115" s="61"/>
      <c r="O115" s="61"/>
    </row>
    <row r="116" spans="2:15" ht="18" customHeight="1">
      <c r="B116" s="61"/>
      <c r="C116" s="61"/>
      <c r="D116" s="61"/>
      <c r="E116" s="61"/>
      <c r="G116" s="61"/>
      <c r="H116" s="61"/>
      <c r="I116" s="61"/>
      <c r="J116" s="61"/>
      <c r="K116" s="112"/>
      <c r="L116" s="61"/>
      <c r="M116" s="61"/>
      <c r="N116" s="61"/>
      <c r="O116" s="61"/>
    </row>
    <row r="117" spans="2:15" ht="18" customHeight="1">
      <c r="B117" s="61"/>
      <c r="C117" s="61"/>
      <c r="D117" s="61"/>
      <c r="E117" s="61"/>
      <c r="G117" s="61"/>
      <c r="H117" s="61"/>
      <c r="I117" s="61"/>
      <c r="J117" s="61"/>
      <c r="K117" s="112"/>
      <c r="L117" s="61"/>
      <c r="M117" s="61"/>
      <c r="N117" s="61"/>
      <c r="O117" s="61"/>
    </row>
    <row r="118" spans="2:15" ht="18" customHeight="1">
      <c r="B118" s="61"/>
      <c r="C118" s="61"/>
      <c r="D118" s="61"/>
      <c r="E118" s="61"/>
      <c r="G118" s="61"/>
      <c r="H118" s="61"/>
      <c r="I118" s="61"/>
      <c r="J118" s="61"/>
      <c r="K118" s="112"/>
      <c r="L118" s="61"/>
      <c r="M118" s="61"/>
      <c r="N118" s="61"/>
      <c r="O118" s="61"/>
    </row>
    <row r="119" spans="2:15" ht="18" customHeight="1">
      <c r="B119" s="61"/>
      <c r="C119" s="61"/>
      <c r="D119" s="61"/>
      <c r="E119" s="61"/>
      <c r="G119" s="61"/>
      <c r="H119" s="61"/>
      <c r="I119" s="61"/>
      <c r="J119" s="61"/>
      <c r="K119" s="112"/>
      <c r="L119" s="61"/>
      <c r="M119" s="61"/>
      <c r="N119" s="61"/>
      <c r="O119" s="61"/>
    </row>
    <row r="120" spans="2:15" ht="18" customHeight="1">
      <c r="B120" s="61"/>
      <c r="C120" s="61"/>
      <c r="D120" s="61"/>
      <c r="E120" s="61"/>
      <c r="G120" s="61"/>
      <c r="H120" s="61"/>
      <c r="I120" s="61"/>
      <c r="J120" s="61"/>
      <c r="K120" s="112"/>
      <c r="L120" s="61"/>
      <c r="M120" s="61"/>
      <c r="N120" s="61"/>
      <c r="O120" s="61"/>
    </row>
    <row r="121" spans="2:15" ht="18" customHeight="1">
      <c r="B121" s="61"/>
      <c r="C121" s="61"/>
      <c r="D121" s="61"/>
      <c r="E121" s="61"/>
      <c r="G121" s="61"/>
      <c r="H121" s="61"/>
      <c r="I121" s="61"/>
      <c r="J121" s="61"/>
      <c r="K121" s="112"/>
      <c r="L121" s="61"/>
      <c r="M121" s="61"/>
      <c r="N121" s="61"/>
      <c r="O121" s="61"/>
    </row>
    <row r="122" spans="2:15" ht="18" customHeight="1">
      <c r="B122" s="61"/>
      <c r="C122" s="61"/>
      <c r="D122" s="61"/>
      <c r="E122" s="61"/>
      <c r="G122" s="61"/>
      <c r="H122" s="61"/>
      <c r="I122" s="61"/>
      <c r="J122" s="61"/>
      <c r="K122" s="112"/>
      <c r="L122" s="61"/>
      <c r="M122" s="61"/>
      <c r="N122" s="61"/>
      <c r="O122" s="61"/>
    </row>
    <row r="123" spans="2:15" ht="18" customHeight="1">
      <c r="B123" s="61"/>
      <c r="C123" s="61"/>
      <c r="D123" s="61"/>
      <c r="E123" s="61"/>
      <c r="G123" s="61"/>
      <c r="H123" s="61"/>
      <c r="I123" s="61"/>
      <c r="J123" s="61"/>
      <c r="K123" s="112"/>
      <c r="L123" s="61"/>
      <c r="M123" s="61"/>
      <c r="N123" s="61"/>
      <c r="O123" s="61"/>
    </row>
    <row r="124" spans="2:15" ht="18" customHeight="1">
      <c r="B124" s="61"/>
      <c r="C124" s="61"/>
      <c r="D124" s="61"/>
      <c r="E124" s="61"/>
      <c r="G124" s="61"/>
      <c r="H124" s="61"/>
      <c r="I124" s="61"/>
      <c r="J124" s="61"/>
      <c r="K124" s="112"/>
      <c r="L124" s="61"/>
      <c r="M124" s="61"/>
      <c r="N124" s="61"/>
      <c r="O124" s="61"/>
    </row>
    <row r="125" spans="2:15" ht="18" customHeight="1">
      <c r="B125" s="61"/>
      <c r="C125" s="61"/>
      <c r="D125" s="61"/>
      <c r="E125" s="61"/>
      <c r="G125" s="61"/>
      <c r="H125" s="61"/>
      <c r="I125" s="61"/>
      <c r="J125" s="61"/>
      <c r="K125" s="112"/>
      <c r="L125" s="61"/>
      <c r="M125" s="61"/>
      <c r="N125" s="61"/>
      <c r="O125" s="61"/>
    </row>
    <row r="126" spans="2:15" ht="18" customHeight="1">
      <c r="B126" s="61"/>
      <c r="C126" s="61"/>
      <c r="D126" s="61"/>
      <c r="E126" s="61"/>
      <c r="G126" s="61"/>
      <c r="H126" s="61"/>
      <c r="I126" s="61"/>
      <c r="J126" s="61"/>
      <c r="K126" s="112"/>
      <c r="L126" s="61"/>
      <c r="M126" s="61"/>
      <c r="N126" s="61"/>
      <c r="O126" s="61"/>
    </row>
    <row r="127" spans="2:15" ht="18" customHeight="1">
      <c r="B127" s="1100" t="s">
        <v>289</v>
      </c>
      <c r="C127" s="1100"/>
      <c r="D127" s="1100"/>
      <c r="E127" s="1100"/>
      <c r="G127" s="1100" t="s">
        <v>281</v>
      </c>
      <c r="H127" s="1100"/>
      <c r="I127" s="1100"/>
      <c r="J127" s="1100"/>
      <c r="K127" s="112"/>
      <c r="L127" s="1100" t="s">
        <v>275</v>
      </c>
      <c r="M127" s="1100"/>
      <c r="N127" s="1100"/>
      <c r="O127" s="1100"/>
    </row>
    <row r="128" spans="2:15" s="88" customFormat="1" ht="18" customHeight="1">
      <c r="B128" s="1100"/>
      <c r="C128" s="1100"/>
      <c r="D128" s="1100"/>
      <c r="E128" s="1100"/>
      <c r="F128" s="87"/>
      <c r="G128" s="1100"/>
      <c r="H128" s="1100"/>
      <c r="I128" s="1100"/>
      <c r="J128" s="1100"/>
      <c r="L128" s="1100"/>
      <c r="M128" s="1100"/>
      <c r="N128" s="1100"/>
      <c r="O128" s="1100"/>
    </row>
    <row r="129" spans="2:20" s="88" customFormat="1" ht="18" customHeight="1">
      <c r="B129" s="47" t="s">
        <v>267</v>
      </c>
      <c r="C129" s="47">
        <f>$C$6</f>
        <v>2025</v>
      </c>
      <c r="D129" s="47">
        <f>C129+1</f>
        <v>2026</v>
      </c>
      <c r="E129" s="47">
        <f>D129+1</f>
        <v>2027</v>
      </c>
      <c r="F129" s="98"/>
      <c r="G129" s="47" t="s">
        <v>267</v>
      </c>
      <c r="H129" s="47">
        <f>$C$6</f>
        <v>2025</v>
      </c>
      <c r="I129" s="47">
        <f>H129+1</f>
        <v>2026</v>
      </c>
      <c r="J129" s="47">
        <f>I129+1</f>
        <v>2027</v>
      </c>
      <c r="K129" s="106"/>
      <c r="L129" s="47" t="s">
        <v>267</v>
      </c>
      <c r="M129" s="47">
        <f>$C$6</f>
        <v>2025</v>
      </c>
      <c r="N129" s="47">
        <f>M129+1</f>
        <v>2026</v>
      </c>
      <c r="O129" s="47">
        <f>N129+1</f>
        <v>2027</v>
      </c>
    </row>
    <row r="130" spans="2:20" s="88" customFormat="1" ht="18" customHeight="1">
      <c r="B130" s="78" t="s">
        <v>262</v>
      </c>
      <c r="C130" s="43">
        <f>0.3/3.5</f>
        <v>8.5714285714285715E-2</v>
      </c>
      <c r="D130" s="75">
        <f>C130*(1+'Pricing Model'!D$14)</f>
        <v>8.9142857142857149E-2</v>
      </c>
      <c r="E130" s="75">
        <f>D130*(1+'Pricing Model'!E$14)</f>
        <v>9.2931428571428581E-2</v>
      </c>
      <c r="F130" s="107"/>
      <c r="G130" s="78" t="s">
        <v>263</v>
      </c>
      <c r="H130" s="43">
        <f>0.06*3</f>
        <v>0.18</v>
      </c>
      <c r="I130" s="74">
        <f>H130*(1+'Pricing Model'!$D$14)</f>
        <v>0.18720000000000001</v>
      </c>
      <c r="J130" s="74">
        <f>I130*(1+'Pricing Model'!$E$14)</f>
        <v>0.195156</v>
      </c>
      <c r="K130" s="86"/>
      <c r="L130" s="78" t="s">
        <v>263</v>
      </c>
      <c r="M130" s="43">
        <f>4/20</f>
        <v>0.2</v>
      </c>
      <c r="N130" s="74">
        <f>M130*(1+'Pricing Model'!$D$14)</f>
        <v>0.20800000000000002</v>
      </c>
      <c r="O130" s="74">
        <f>N130*(1+'Pricing Model'!$E$14)</f>
        <v>0.21684</v>
      </c>
    </row>
    <row r="131" spans="2:20" s="88" customFormat="1" ht="18" customHeight="1">
      <c r="B131" s="77" t="s">
        <v>263</v>
      </c>
      <c r="C131" s="43">
        <f>0.06*13/2</f>
        <v>0.39</v>
      </c>
      <c r="D131" s="75">
        <f>C131*(1+'Pricing Model'!D$14)</f>
        <v>0.40560000000000002</v>
      </c>
      <c r="E131" s="75">
        <f>D131*(1+'Pricing Model'!E$14)</f>
        <v>0.42283799999999999</v>
      </c>
      <c r="F131" s="107"/>
      <c r="G131" s="77" t="s">
        <v>265</v>
      </c>
      <c r="H131" s="43">
        <f>5/250*20</f>
        <v>0.4</v>
      </c>
      <c r="I131" s="74">
        <f>H131*(1+'Pricing Model'!$D$14)</f>
        <v>0.41600000000000004</v>
      </c>
      <c r="J131" s="74">
        <f>I131*(1+'Pricing Model'!$E$14)</f>
        <v>0.43368000000000001</v>
      </c>
      <c r="K131" s="86"/>
      <c r="L131" s="61" t="s">
        <v>266</v>
      </c>
      <c r="M131" s="44">
        <f>0.63*0.3</f>
        <v>0.189</v>
      </c>
      <c r="N131" s="74">
        <f>M131*(1+'Pricing Model'!$D$14)</f>
        <v>0.19656000000000001</v>
      </c>
      <c r="O131" s="74">
        <f>N131*(1+'Pricing Model'!$E$14)</f>
        <v>0.20491380000000001</v>
      </c>
    </row>
    <row r="132" spans="2:20" ht="18" customHeight="1">
      <c r="B132" s="79" t="s">
        <v>264</v>
      </c>
      <c r="C132" s="44">
        <f>1.2/1000*50/2</f>
        <v>0.03</v>
      </c>
      <c r="D132" s="75">
        <f>C132*(1+'Pricing Model'!D$14)</f>
        <v>3.1199999999999999E-2</v>
      </c>
      <c r="E132" s="75">
        <f>D132*(1+'Pricing Model'!E$14)</f>
        <v>3.2525999999999999E-2</v>
      </c>
      <c r="F132" s="84"/>
      <c r="G132" s="79" t="s">
        <v>266</v>
      </c>
      <c r="H132" s="44">
        <f>2.4/3*0.06</f>
        <v>4.7999999999999994E-2</v>
      </c>
      <c r="I132" s="74">
        <f>H132*(1+'Pricing Model'!$D$14)</f>
        <v>4.9919999999999992E-2</v>
      </c>
      <c r="J132" s="74">
        <f>I132*(1+'Pricing Model'!$E$14)</f>
        <v>5.2041599999999993E-2</v>
      </c>
      <c r="K132" s="86"/>
      <c r="L132" s="77" t="s">
        <v>276</v>
      </c>
      <c r="M132" s="44">
        <f>1.5/300*60</f>
        <v>0.3</v>
      </c>
      <c r="N132" s="74">
        <f>M132*(1+'Pricing Model'!$D$14)</f>
        <v>0.312</v>
      </c>
      <c r="O132" s="74">
        <f>N132*(1+'Pricing Model'!$E$14)</f>
        <v>0.32525999999999999</v>
      </c>
    </row>
    <row r="133" spans="2:20" ht="18" customHeight="1">
      <c r="B133" s="64"/>
      <c r="C133" s="83"/>
      <c r="D133" s="75"/>
      <c r="E133" s="75"/>
      <c r="F133" s="107"/>
      <c r="G133" s="66" t="s">
        <v>264</v>
      </c>
      <c r="H133" s="44">
        <f>1.2/1000*50/2</f>
        <v>0.03</v>
      </c>
      <c r="I133" s="74">
        <f>H133*(1+'Pricing Model'!$D$14)</f>
        <v>3.1199999999999999E-2</v>
      </c>
      <c r="J133" s="74">
        <f>I133*(1+'Pricing Model'!$E$14)</f>
        <v>3.2525999999999999E-2</v>
      </c>
      <c r="K133" s="107"/>
      <c r="L133" s="77" t="s">
        <v>264</v>
      </c>
      <c r="M133" s="44">
        <f>1.2/1000*50+1.87/1000*70</f>
        <v>0.19090000000000001</v>
      </c>
      <c r="N133" s="74">
        <f>M133*(1+'Pricing Model'!$D$14)</f>
        <v>0.19853600000000002</v>
      </c>
      <c r="O133" s="74">
        <f>N133*(1+'Pricing Model'!$E$14)</f>
        <v>0.20697378000000002</v>
      </c>
    </row>
    <row r="134" spans="2:20" ht="18" customHeight="1">
      <c r="B134" s="64"/>
      <c r="C134" s="83"/>
      <c r="D134" s="75"/>
      <c r="E134" s="75"/>
      <c r="F134" s="107"/>
      <c r="G134" s="66"/>
      <c r="H134" s="84"/>
      <c r="I134" s="74"/>
      <c r="J134" s="74"/>
      <c r="K134" s="107"/>
      <c r="L134" s="79" t="s">
        <v>274</v>
      </c>
      <c r="M134" s="44">
        <f>57.6/25*0.2</f>
        <v>0.4608000000000001</v>
      </c>
      <c r="N134" s="74">
        <f>M134*(1+'Pricing Model'!$D$14)</f>
        <v>0.4792320000000001</v>
      </c>
      <c r="O134" s="74">
        <f>N134*(1+'Pricing Model'!$E$14)</f>
        <v>0.4995993600000001</v>
      </c>
    </row>
    <row r="135" spans="2:20" s="110" customFormat="1" ht="18" customHeight="1">
      <c r="B135" s="45" t="s">
        <v>322</v>
      </c>
      <c r="C135" s="46">
        <f>SUM(C130:C132)*0.8</f>
        <v>0.40457142857142864</v>
      </c>
      <c r="D135" s="46">
        <f>SUM(D130:D132)*0.8</f>
        <v>0.42075428571428575</v>
      </c>
      <c r="E135" s="46">
        <f>SUM(E130:E132)*0.8</f>
        <v>0.43863634285714287</v>
      </c>
      <c r="F135" s="105"/>
      <c r="G135" s="45" t="s">
        <v>322</v>
      </c>
      <c r="H135" s="46">
        <f>SUM(H130:H133)*0.8</f>
        <v>0.52640000000000009</v>
      </c>
      <c r="I135" s="46">
        <f>SUM(I130:I133)*0.8</f>
        <v>0.54745600000000005</v>
      </c>
      <c r="J135" s="46">
        <f>SUM(J130:J133)*0.8</f>
        <v>0.57072287999999993</v>
      </c>
      <c r="K135" s="101"/>
      <c r="L135" s="45" t="s">
        <v>322</v>
      </c>
      <c r="M135" s="46">
        <f>SUM(M130:M134)*0.8</f>
        <v>1.0725600000000002</v>
      </c>
      <c r="N135" s="46">
        <f>SUM(N130:N134)*0.8</f>
        <v>1.1154624000000002</v>
      </c>
      <c r="O135" s="46">
        <f>SUM(O130:O134)*0.8</f>
        <v>1.1628695520000001</v>
      </c>
    </row>
    <row r="136" spans="2:20" s="110" customFormat="1" ht="18" customHeight="1">
      <c r="B136" s="45" t="s">
        <v>323</v>
      </c>
      <c r="C136" s="46">
        <f>SUM(C130:C133)</f>
        <v>0.50571428571428578</v>
      </c>
      <c r="D136" s="46">
        <f>SUM(D130:D133)</f>
        <v>0.52594285714285716</v>
      </c>
      <c r="E136" s="46">
        <f>SUM(E130:E133)</f>
        <v>0.54829542857142854</v>
      </c>
      <c r="F136" s="105"/>
      <c r="G136" s="45" t="s">
        <v>323</v>
      </c>
      <c r="H136" s="46">
        <f>SUM(H130:H133)</f>
        <v>0.65800000000000014</v>
      </c>
      <c r="I136" s="46">
        <f>SUM(I130:I133)</f>
        <v>0.68432000000000004</v>
      </c>
      <c r="J136" s="46">
        <f>SUM(J130:J133)</f>
        <v>0.71340359999999992</v>
      </c>
      <c r="K136" s="101"/>
      <c r="L136" s="45" t="s">
        <v>323</v>
      </c>
      <c r="M136" s="46">
        <f>SUM(M130:M134)</f>
        <v>1.3407000000000002</v>
      </c>
      <c r="N136" s="46">
        <f>SUM(N130:N134)</f>
        <v>1.3943280000000002</v>
      </c>
      <c r="O136" s="46">
        <f>SUM(O130:O134)</f>
        <v>1.4535869400000001</v>
      </c>
    </row>
    <row r="137" spans="2:20" s="90" customFormat="1" ht="18" customHeight="1">
      <c r="B137" s="62"/>
      <c r="C137" s="62"/>
      <c r="D137" s="62"/>
      <c r="E137" s="62"/>
      <c r="F137" s="89"/>
      <c r="G137" s="61"/>
      <c r="H137" s="61"/>
      <c r="I137" s="61"/>
      <c r="J137" s="61"/>
      <c r="K137" s="89"/>
      <c r="L137" s="61"/>
      <c r="M137" s="61"/>
      <c r="N137" s="61"/>
      <c r="O137" s="61"/>
      <c r="Q137" s="111"/>
    </row>
    <row r="138" spans="2:20" s="90" customFormat="1">
      <c r="B138" s="1102" t="s">
        <v>291</v>
      </c>
      <c r="C138" s="1102"/>
      <c r="D138" s="1102"/>
      <c r="E138" s="1102"/>
      <c r="F138" s="98"/>
      <c r="G138" s="1102" t="s">
        <v>291</v>
      </c>
      <c r="H138" s="1102"/>
      <c r="I138" s="1102"/>
      <c r="J138" s="1102"/>
      <c r="K138" s="99"/>
      <c r="L138" s="1102" t="s">
        <v>291</v>
      </c>
      <c r="M138" s="1102"/>
      <c r="N138" s="1102"/>
      <c r="O138" s="1102"/>
      <c r="Q138" s="1102" t="s">
        <v>357</v>
      </c>
      <c r="R138" s="1102"/>
      <c r="S138" s="1102"/>
      <c r="T138" s="1102"/>
    </row>
    <row r="139" spans="2:20" s="90" customFormat="1" ht="18" customHeight="1">
      <c r="B139" s="67" t="s">
        <v>236</v>
      </c>
      <c r="C139" s="505">
        <v>2.5</v>
      </c>
      <c r="D139" s="68">
        <f>ROUND(C139*(1+'Pricing Model'!$D$15),1)</f>
        <v>2.6</v>
      </c>
      <c r="E139" s="68">
        <f>ROUND(D139*(1+'Pricing Model'!$E$15),1)</f>
        <v>2.7</v>
      </c>
      <c r="F139" s="98"/>
      <c r="G139" s="69" t="s">
        <v>236</v>
      </c>
      <c r="H139" s="505">
        <v>2.5</v>
      </c>
      <c r="I139" s="68">
        <f>ROUND(H139*(1+'Pricing Model'!$D$15),1)</f>
        <v>2.6</v>
      </c>
      <c r="J139" s="68">
        <f>ROUND(I139*(1+'Pricing Model'!$E$15),1)</f>
        <v>2.7</v>
      </c>
      <c r="K139" s="103"/>
      <c r="L139" s="69" t="s">
        <v>236</v>
      </c>
      <c r="M139" s="505">
        <v>4.2</v>
      </c>
      <c r="N139" s="68">
        <f>ROUND(M139*(1+'Pricing Model'!$D$15),1)</f>
        <v>4.3</v>
      </c>
      <c r="O139" s="68">
        <f>ROUND(N139*(1+'Pricing Model'!$E$15),1)</f>
        <v>4.5</v>
      </c>
      <c r="Q139" s="69" t="s">
        <v>236</v>
      </c>
      <c r="R139" s="70">
        <f>M139/2</f>
        <v>2.1</v>
      </c>
      <c r="S139" s="68">
        <f>ROUND(R139*(1+'Pricing Model'!$D$15),1)</f>
        <v>2.2000000000000002</v>
      </c>
      <c r="T139" s="68">
        <f>ROUND(S139*(1+'Pricing Model'!$E$15),1)</f>
        <v>2.2999999999999998</v>
      </c>
    </row>
    <row r="140" spans="2:20" s="90" customFormat="1" ht="18" customHeight="1">
      <c r="B140" s="64" t="s">
        <v>45</v>
      </c>
      <c r="C140" s="71">
        <f>C139*'Pricing Model'!$C$9/(1+'Pricing Model'!$C$9)</f>
        <v>0.41666666666666669</v>
      </c>
      <c r="D140" s="71">
        <f>D139*'Pricing Model'!$C$9/(1+'Pricing Model'!$C$9)</f>
        <v>0.43333333333333335</v>
      </c>
      <c r="E140" s="71">
        <f>E139*'Pricing Model'!$C$9/(1+'Pricing Model'!$C$9)</f>
        <v>0.45000000000000007</v>
      </c>
      <c r="F140" s="98"/>
      <c r="G140" s="64" t="s">
        <v>45</v>
      </c>
      <c r="H140" s="71">
        <f>H139*'Pricing Model'!$C$9/(1+'Pricing Model'!$C$9)</f>
        <v>0.41666666666666669</v>
      </c>
      <c r="I140" s="71">
        <f>I139*'Pricing Model'!$C$9/(1+'Pricing Model'!$C$9)</f>
        <v>0.43333333333333335</v>
      </c>
      <c r="J140" s="71">
        <f>J139*'Pricing Model'!$C$9/(1+'Pricing Model'!$C$9)</f>
        <v>0.45000000000000007</v>
      </c>
      <c r="K140" s="104"/>
      <c r="L140" s="64" t="s">
        <v>45</v>
      </c>
      <c r="M140" s="71">
        <f>M139*'Pricing Model'!$C$9/(1+'Pricing Model'!$C$9)</f>
        <v>0.70000000000000007</v>
      </c>
      <c r="N140" s="71">
        <f>N139*'Pricing Model'!$C$9/(1+'Pricing Model'!$C$9)</f>
        <v>0.71666666666666667</v>
      </c>
      <c r="O140" s="71">
        <f>O139*'Pricing Model'!$C$9/(1+'Pricing Model'!$C$9)</f>
        <v>0.75</v>
      </c>
      <c r="Q140" s="64" t="s">
        <v>45</v>
      </c>
      <c r="R140" s="71">
        <f>R139*'Pricing Model'!$C$9/(1+'Pricing Model'!$C$9)</f>
        <v>0.35000000000000003</v>
      </c>
      <c r="S140" s="71">
        <f>S139*'Pricing Model'!$C$9/(1+'Pricing Model'!$C$9)</f>
        <v>0.36666666666666675</v>
      </c>
      <c r="T140" s="71">
        <f>T139*'Pricing Model'!$C$9/(1+'Pricing Model'!$C$9)</f>
        <v>0.3833333333333333</v>
      </c>
    </row>
    <row r="141" spans="2:20" s="90" customFormat="1" ht="18" customHeight="1">
      <c r="B141" s="67" t="s">
        <v>235</v>
      </c>
      <c r="C141" s="198">
        <f>C139-C140</f>
        <v>2.0833333333333335</v>
      </c>
      <c r="D141" s="73">
        <f>D139-D140</f>
        <v>2.166666666666667</v>
      </c>
      <c r="E141" s="73">
        <f>E139-E140</f>
        <v>2.25</v>
      </c>
      <c r="F141" s="98"/>
      <c r="G141" s="69" t="s">
        <v>235</v>
      </c>
      <c r="H141" s="198">
        <f>H139-H140</f>
        <v>2.0833333333333335</v>
      </c>
      <c r="I141" s="73">
        <f>I139-I140</f>
        <v>2.166666666666667</v>
      </c>
      <c r="J141" s="73">
        <f>J139-J140</f>
        <v>2.25</v>
      </c>
      <c r="K141" s="86"/>
      <c r="L141" s="69" t="s">
        <v>235</v>
      </c>
      <c r="M141" s="198">
        <f>M139-M140</f>
        <v>3.5</v>
      </c>
      <c r="N141" s="73">
        <f>N139-N140</f>
        <v>3.583333333333333</v>
      </c>
      <c r="O141" s="73">
        <f>O139-O140</f>
        <v>3.75</v>
      </c>
      <c r="Q141" s="69" t="s">
        <v>235</v>
      </c>
      <c r="R141" s="202">
        <f>R139-R140</f>
        <v>1.75</v>
      </c>
      <c r="S141" s="73">
        <f>S139-S140</f>
        <v>1.8333333333333335</v>
      </c>
      <c r="T141" s="73">
        <f>T139-T140</f>
        <v>1.9166666666666665</v>
      </c>
    </row>
    <row r="142" spans="2:20" s="90" customFormat="1" ht="18" customHeight="1">
      <c r="B142" s="67"/>
      <c r="C142" s="198"/>
      <c r="D142" s="199"/>
      <c r="E142" s="199"/>
      <c r="F142" s="200"/>
      <c r="G142" s="201"/>
      <c r="H142" s="202"/>
      <c r="I142" s="199"/>
      <c r="J142" s="199"/>
      <c r="K142" s="203"/>
      <c r="L142" s="201"/>
      <c r="M142" s="202"/>
      <c r="N142" s="73"/>
      <c r="O142" s="73"/>
      <c r="Q142" s="201"/>
      <c r="R142" s="202"/>
      <c r="S142" s="73"/>
      <c r="T142" s="73"/>
    </row>
    <row r="143" spans="2:20" s="90" customFormat="1" ht="18" customHeight="1">
      <c r="B143" s="188" t="s">
        <v>239</v>
      </c>
      <c r="C143" s="189">
        <f>C141-C135</f>
        <v>1.6787619047619049</v>
      </c>
      <c r="D143" s="189">
        <f t="shared" ref="D143:E143" si="4">D141-D135</f>
        <v>1.7459123809523813</v>
      </c>
      <c r="E143" s="189">
        <f t="shared" si="4"/>
        <v>1.8113636571428571</v>
      </c>
      <c r="F143" s="89"/>
      <c r="G143" s="190" t="s">
        <v>239</v>
      </c>
      <c r="H143" s="189">
        <f>H141-H135</f>
        <v>1.5569333333333333</v>
      </c>
      <c r="I143" s="189">
        <f t="shared" ref="I143:J143" si="5">I141-I135</f>
        <v>1.619210666666667</v>
      </c>
      <c r="J143" s="189">
        <f t="shared" si="5"/>
        <v>1.6792771200000001</v>
      </c>
      <c r="K143" s="109"/>
      <c r="L143" s="190" t="s">
        <v>239</v>
      </c>
      <c r="M143" s="189">
        <f>M141-M135</f>
        <v>2.4274399999999998</v>
      </c>
      <c r="N143" s="189">
        <f t="shared" ref="N143:O143" si="6">N141-N135</f>
        <v>2.4678709333333329</v>
      </c>
      <c r="O143" s="189">
        <f t="shared" si="6"/>
        <v>2.5871304479999999</v>
      </c>
      <c r="Q143" s="190" t="s">
        <v>239</v>
      </c>
      <c r="R143" s="189">
        <f>R141-M135</f>
        <v>0.67743999999999982</v>
      </c>
      <c r="S143" s="189">
        <f t="shared" ref="S143:T143" si="7">S141-N135</f>
        <v>0.71787093333333329</v>
      </c>
      <c r="T143" s="189">
        <f t="shared" si="7"/>
        <v>0.75379711466666643</v>
      </c>
    </row>
    <row r="144" spans="2:20" s="90" customFormat="1" ht="18" customHeight="1">
      <c r="B144" s="64" t="s">
        <v>270</v>
      </c>
      <c r="C144" s="65">
        <f>C143/C141</f>
        <v>0.80580571428571435</v>
      </c>
      <c r="D144" s="65">
        <f>D143/D141</f>
        <v>0.80580571428571435</v>
      </c>
      <c r="E144" s="65">
        <f>E143/E141</f>
        <v>0.80505051428571428</v>
      </c>
      <c r="F144" s="89"/>
      <c r="G144" s="66" t="s">
        <v>270</v>
      </c>
      <c r="H144" s="60">
        <f>H143/H141</f>
        <v>0.74732799999999988</v>
      </c>
      <c r="I144" s="60">
        <f>I143/I141</f>
        <v>0.7473280000000001</v>
      </c>
      <c r="J144" s="60">
        <f>J143/J141</f>
        <v>0.74634538666666672</v>
      </c>
      <c r="K144" s="97"/>
      <c r="L144" s="66" t="s">
        <v>270</v>
      </c>
      <c r="M144" s="60">
        <f>M143/M141</f>
        <v>0.69355428571428568</v>
      </c>
      <c r="N144" s="60">
        <f>N143/N141</f>
        <v>0.68870816744186036</v>
      </c>
      <c r="O144" s="60">
        <f>O143/O141</f>
        <v>0.68990145279999993</v>
      </c>
      <c r="Q144" s="66" t="s">
        <v>270</v>
      </c>
      <c r="R144" s="60">
        <f>R143/R141</f>
        <v>0.3871085714285713</v>
      </c>
      <c r="S144" s="60">
        <f>S143/S141</f>
        <v>0.39156596363636359</v>
      </c>
      <c r="T144" s="60">
        <f>T143/T141</f>
        <v>0.39328545113043467</v>
      </c>
    </row>
    <row r="145" spans="2:20" s="90" customFormat="1" ht="18" customHeight="1">
      <c r="B145" s="64"/>
      <c r="C145" s="65"/>
      <c r="D145" s="65"/>
      <c r="E145" s="65"/>
      <c r="F145" s="89"/>
      <c r="G145" s="66"/>
      <c r="H145" s="60"/>
      <c r="I145" s="60"/>
      <c r="J145" s="60"/>
      <c r="K145" s="97"/>
      <c r="L145" s="66"/>
      <c r="M145" s="60"/>
      <c r="N145" s="60"/>
      <c r="O145" s="60"/>
      <c r="Q145" s="66"/>
      <c r="R145" s="60"/>
      <c r="S145" s="60"/>
      <c r="T145" s="60"/>
    </row>
    <row r="146" spans="2:20" s="90" customFormat="1">
      <c r="B146" s="1102" t="s">
        <v>290</v>
      </c>
      <c r="C146" s="1102"/>
      <c r="D146" s="1102"/>
      <c r="E146" s="1102"/>
      <c r="F146" s="98"/>
      <c r="G146" s="1102" t="s">
        <v>290</v>
      </c>
      <c r="H146" s="1102"/>
      <c r="I146" s="1102"/>
      <c r="J146" s="1102"/>
      <c r="K146" s="99"/>
      <c r="L146" s="1102" t="s">
        <v>290</v>
      </c>
      <c r="M146" s="1102"/>
      <c r="N146" s="1102"/>
      <c r="O146" s="1102"/>
      <c r="Q146" s="1102" t="s">
        <v>358</v>
      </c>
      <c r="R146" s="1102"/>
      <c r="S146" s="1102"/>
      <c r="T146" s="1102"/>
    </row>
    <row r="147" spans="2:20" s="90" customFormat="1" ht="18" customHeight="1">
      <c r="B147" s="67" t="s">
        <v>236</v>
      </c>
      <c r="C147" s="505">
        <v>3</v>
      </c>
      <c r="D147" s="68">
        <f>ROUND(C147*(1+'Pricing Model'!$D$15),1)</f>
        <v>3.1</v>
      </c>
      <c r="E147" s="68">
        <f>ROUND(D147*(1+'Pricing Model'!$E$15),1)</f>
        <v>3.2</v>
      </c>
      <c r="F147" s="98"/>
      <c r="G147" s="69" t="s">
        <v>236</v>
      </c>
      <c r="H147" s="505">
        <v>3</v>
      </c>
      <c r="I147" s="68">
        <f>ROUND(H147*(1+'Pricing Model'!$D$15),1)</f>
        <v>3.1</v>
      </c>
      <c r="J147" s="68">
        <f>ROUND(I147*(1+'Pricing Model'!$E$15),1)</f>
        <v>3.2</v>
      </c>
      <c r="K147" s="103"/>
      <c r="L147" s="69" t="s">
        <v>236</v>
      </c>
      <c r="M147" s="505">
        <v>4.5</v>
      </c>
      <c r="N147" s="68">
        <f>ROUND(M147*(1+'Pricing Model'!$D$15),1)</f>
        <v>4.7</v>
      </c>
      <c r="O147" s="68">
        <f>ROUND(N147*(1+'Pricing Model'!$E$15),1)</f>
        <v>4.9000000000000004</v>
      </c>
      <c r="Q147" s="69" t="s">
        <v>236</v>
      </c>
      <c r="R147" s="70">
        <f>R148+R149</f>
        <v>2.25</v>
      </c>
      <c r="S147" s="68">
        <f>ROUND(R147*(1+'Pricing Model'!$D$15),1)</f>
        <v>2.2999999999999998</v>
      </c>
      <c r="T147" s="68">
        <f>ROUND(S147*(1+'Pricing Model'!$E$15),1)</f>
        <v>2.4</v>
      </c>
    </row>
    <row r="148" spans="2:20" ht="18" customHeight="1">
      <c r="B148" s="64" t="s">
        <v>45</v>
      </c>
      <c r="C148" s="71">
        <f>C147*'Pricing Model'!$C$9/(1+'Pricing Model'!$C$9)</f>
        <v>0.50000000000000011</v>
      </c>
      <c r="D148" s="71">
        <f>D147*'Pricing Model'!$C$9/(1+'Pricing Model'!$C$9)</f>
        <v>0.51666666666666683</v>
      </c>
      <c r="E148" s="71">
        <f>E147*'Pricing Model'!$C$9/(1+'Pricing Model'!$C$9)</f>
        <v>0.53333333333333344</v>
      </c>
      <c r="F148" s="98"/>
      <c r="G148" s="64" t="s">
        <v>45</v>
      </c>
      <c r="H148" s="71">
        <f>H147*'Pricing Model'!$C$9/(1+'Pricing Model'!$C$9)</f>
        <v>0.50000000000000011</v>
      </c>
      <c r="I148" s="71">
        <f>I147*'Pricing Model'!$C$9/(1+'Pricing Model'!$C$9)</f>
        <v>0.51666666666666683</v>
      </c>
      <c r="J148" s="71">
        <f>J147*'Pricing Model'!$C$9/(1+'Pricing Model'!$C$9)</f>
        <v>0.53333333333333344</v>
      </c>
      <c r="K148" s="104"/>
      <c r="L148" s="64" t="s">
        <v>45</v>
      </c>
      <c r="M148" s="71">
        <f>M147*'Pricing Model'!$C$9/(1+'Pricing Model'!$C$9)</f>
        <v>0.75</v>
      </c>
      <c r="N148" s="71">
        <f>N147*'Pricing Model'!$C$9/(1+'Pricing Model'!$C$9)</f>
        <v>0.78333333333333344</v>
      </c>
      <c r="O148" s="71">
        <f>O147*'Pricing Model'!$C$9/(1+'Pricing Model'!$C$9)</f>
        <v>0.81666666666666676</v>
      </c>
      <c r="Q148" s="64" t="s">
        <v>45</v>
      </c>
      <c r="R148" s="72">
        <f>R149*'Pricing Model'!$C$9</f>
        <v>0.375</v>
      </c>
      <c r="S148" s="71">
        <f>S147*'Pricing Model'!$C$9/(1+'Pricing Model'!$C$9)</f>
        <v>0.3833333333333333</v>
      </c>
      <c r="T148" s="71">
        <f>T147*'Pricing Model'!$C$9/(1+'Pricing Model'!$C$9)</f>
        <v>0.4</v>
      </c>
    </row>
    <row r="149" spans="2:20" ht="18" customHeight="1">
      <c r="B149" s="67" t="s">
        <v>235</v>
      </c>
      <c r="C149" s="198">
        <f>C147-C148</f>
        <v>2.5</v>
      </c>
      <c r="D149" s="73">
        <f>D147-D148</f>
        <v>2.583333333333333</v>
      </c>
      <c r="E149" s="73">
        <f>E147-E148</f>
        <v>2.666666666666667</v>
      </c>
      <c r="F149" s="98"/>
      <c r="G149" s="69" t="s">
        <v>235</v>
      </c>
      <c r="H149" s="198">
        <f>H147-H148</f>
        <v>2.5</v>
      </c>
      <c r="I149" s="73">
        <f>I147-I148</f>
        <v>2.583333333333333</v>
      </c>
      <c r="J149" s="73">
        <f>J147-J148</f>
        <v>2.666666666666667</v>
      </c>
      <c r="K149" s="86"/>
      <c r="L149" s="69" t="s">
        <v>235</v>
      </c>
      <c r="M149" s="198">
        <f>M147-M148</f>
        <v>3.75</v>
      </c>
      <c r="N149" s="73">
        <f>N147-N148</f>
        <v>3.916666666666667</v>
      </c>
      <c r="O149" s="73">
        <f>O147-O148</f>
        <v>4.0833333333333339</v>
      </c>
      <c r="Q149" s="69" t="s">
        <v>235</v>
      </c>
      <c r="R149" s="202">
        <f>M149/2</f>
        <v>1.875</v>
      </c>
      <c r="S149" s="73">
        <f>S147-S148</f>
        <v>1.9166666666666665</v>
      </c>
      <c r="T149" s="73">
        <f>T147-T148</f>
        <v>2</v>
      </c>
    </row>
    <row r="150" spans="2:20" ht="18" customHeight="1">
      <c r="B150" s="67"/>
      <c r="C150" s="198"/>
      <c r="D150" s="199"/>
      <c r="E150" s="199"/>
      <c r="F150" s="200"/>
      <c r="G150" s="201"/>
      <c r="H150" s="202"/>
      <c r="I150" s="199"/>
      <c r="J150" s="199"/>
      <c r="K150" s="203"/>
      <c r="L150" s="201"/>
      <c r="M150" s="202"/>
      <c r="N150" s="73"/>
      <c r="O150" s="73"/>
      <c r="Q150" s="201"/>
      <c r="R150" s="202"/>
      <c r="S150" s="73"/>
      <c r="T150" s="73"/>
    </row>
    <row r="151" spans="2:20" ht="18" customHeight="1">
      <c r="B151" s="188" t="s">
        <v>239</v>
      </c>
      <c r="C151" s="189">
        <f>C149-C136</f>
        <v>1.9942857142857142</v>
      </c>
      <c r="D151" s="189">
        <f>D149-D136</f>
        <v>2.0573904761904758</v>
      </c>
      <c r="E151" s="192">
        <f>E149-E136</f>
        <v>2.1183712380952384</v>
      </c>
      <c r="G151" s="190" t="s">
        <v>239</v>
      </c>
      <c r="H151" s="191">
        <f>H149-H136</f>
        <v>1.8419999999999999</v>
      </c>
      <c r="I151" s="191">
        <f>I149-I136</f>
        <v>1.899013333333333</v>
      </c>
      <c r="J151" s="191">
        <f>J149-J136</f>
        <v>1.953263066666667</v>
      </c>
      <c r="K151" s="109"/>
      <c r="L151" s="190" t="s">
        <v>239</v>
      </c>
      <c r="M151" s="191">
        <f>M149-M136</f>
        <v>2.4093</v>
      </c>
      <c r="N151" s="191">
        <f>N149-N136</f>
        <v>2.5223386666666667</v>
      </c>
      <c r="O151" s="191">
        <f>O149-O136</f>
        <v>2.6297463933333338</v>
      </c>
      <c r="Q151" s="190" t="s">
        <v>239</v>
      </c>
      <c r="R151" s="191">
        <f>R149-M136</f>
        <v>0.53429999999999978</v>
      </c>
      <c r="S151" s="191">
        <f t="shared" ref="S151:T151" si="8">S149-N136</f>
        <v>0.52233866666666628</v>
      </c>
      <c r="T151" s="191">
        <f t="shared" si="8"/>
        <v>0.54641305999999989</v>
      </c>
    </row>
    <row r="152" spans="2:20" ht="18" customHeight="1">
      <c r="B152" s="64" t="s">
        <v>270</v>
      </c>
      <c r="C152" s="65">
        <f>C151/C149</f>
        <v>0.79771428571428571</v>
      </c>
      <c r="D152" s="65">
        <f>D151/D149</f>
        <v>0.79640921658986163</v>
      </c>
      <c r="E152" s="65">
        <f>E151/E149</f>
        <v>0.7943892142857143</v>
      </c>
      <c r="G152" s="66" t="s">
        <v>270</v>
      </c>
      <c r="H152" s="60">
        <f>H151/H149</f>
        <v>0.7367999999999999</v>
      </c>
      <c r="I152" s="60">
        <f>I151/I149</f>
        <v>0.73510193548387093</v>
      </c>
      <c r="J152" s="60">
        <f>J151/J149</f>
        <v>0.73247365000000009</v>
      </c>
      <c r="K152" s="97"/>
      <c r="L152" s="66" t="s">
        <v>270</v>
      </c>
      <c r="M152" s="60">
        <f>M151/M149</f>
        <v>0.64248000000000005</v>
      </c>
      <c r="N152" s="60">
        <f>N151/N149</f>
        <v>0.64400136170212763</v>
      </c>
      <c r="O152" s="60">
        <f>O151/O149</f>
        <v>0.64401952489795922</v>
      </c>
      <c r="Q152" s="66" t="s">
        <v>270</v>
      </c>
      <c r="R152" s="60">
        <f>R151/R149</f>
        <v>0.28495999999999988</v>
      </c>
      <c r="S152" s="60">
        <f>S151/S149</f>
        <v>0.27252452173913028</v>
      </c>
      <c r="T152" s="60">
        <f>T151/T149</f>
        <v>0.27320652999999995</v>
      </c>
    </row>
    <row r="153" spans="2:20" ht="18" customHeight="1">
      <c r="B153" s="94"/>
      <c r="C153" s="95"/>
      <c r="D153" s="95"/>
      <c r="E153" s="95"/>
      <c r="G153" s="96"/>
      <c r="H153" s="97"/>
      <c r="I153" s="97"/>
      <c r="J153" s="97"/>
      <c r="K153" s="97"/>
      <c r="L153" s="96"/>
      <c r="M153" s="97"/>
      <c r="N153" s="97"/>
      <c r="O153" s="97"/>
    </row>
    <row r="154" spans="2:20" ht="18" customHeight="1">
      <c r="B154" s="94"/>
      <c r="C154" s="95"/>
      <c r="D154" s="95"/>
      <c r="E154" s="95"/>
      <c r="F154" s="90"/>
      <c r="G154" s="94"/>
      <c r="H154" s="95"/>
      <c r="I154" s="95"/>
      <c r="J154" s="97"/>
      <c r="K154" s="97"/>
      <c r="L154" s="96"/>
      <c r="M154" s="97"/>
      <c r="N154" s="97"/>
      <c r="O154" s="97"/>
    </row>
    <row r="155" spans="2:20" ht="18" customHeight="1">
      <c r="B155" s="1100" t="s">
        <v>378</v>
      </c>
      <c r="C155" s="1100"/>
      <c r="D155" s="1100"/>
      <c r="E155" s="1100"/>
      <c r="F155" s="119"/>
      <c r="G155" s="1100" t="s">
        <v>360</v>
      </c>
      <c r="H155" s="1100"/>
      <c r="I155" s="1100"/>
      <c r="J155" s="1100"/>
      <c r="K155" s="112"/>
    </row>
    <row r="156" spans="2:20" ht="18" customHeight="1">
      <c r="B156" s="1100"/>
      <c r="C156" s="1100"/>
      <c r="D156" s="1100"/>
      <c r="E156" s="1100"/>
      <c r="F156" s="84"/>
      <c r="G156" s="1100"/>
      <c r="H156" s="1100"/>
      <c r="I156" s="1100"/>
      <c r="J156" s="1100"/>
    </row>
    <row r="157" spans="2:20" ht="18" customHeight="1">
      <c r="B157" s="84"/>
      <c r="C157" s="47">
        <f>$C$6</f>
        <v>2025</v>
      </c>
      <c r="D157" s="47">
        <f>C157+1</f>
        <v>2026</v>
      </c>
      <c r="E157" s="47">
        <f>D157+1</f>
        <v>2027</v>
      </c>
      <c r="F157" s="84"/>
      <c r="G157" s="84"/>
      <c r="H157" s="47">
        <f>$C$6</f>
        <v>2025</v>
      </c>
      <c r="I157" s="47">
        <f>H157+1</f>
        <v>2026</v>
      </c>
      <c r="J157" s="47">
        <f>I157+1</f>
        <v>2027</v>
      </c>
    </row>
    <row r="158" spans="2:20" ht="18" customHeight="1">
      <c r="B158" s="108" t="str">
        <f>B41</f>
        <v>Sesame Prawn Toast</v>
      </c>
      <c r="C158" s="321">
        <f>C51</f>
        <v>6.75</v>
      </c>
      <c r="D158" s="327">
        <f>D51</f>
        <v>7</v>
      </c>
      <c r="E158" s="315">
        <f>E51</f>
        <v>7.2</v>
      </c>
      <c r="F158" s="84"/>
      <c r="G158" s="108" t="str">
        <f t="shared" ref="G158:G169" si="9">B158</f>
        <v>Sesame Prawn Toast</v>
      </c>
      <c r="H158" s="321">
        <f>C158/(1+'Pricing Model'!$C$9)</f>
        <v>5.625</v>
      </c>
      <c r="I158" s="321">
        <f>D158/(1+'Pricing Model'!$C$9)</f>
        <v>5.8333333333333339</v>
      </c>
      <c r="J158" s="340">
        <f>E158/(1+'Pricing Model'!$C$9)</f>
        <v>6</v>
      </c>
    </row>
    <row r="159" spans="2:20" ht="18" customHeight="1">
      <c r="B159" s="108" t="str">
        <f>G41</f>
        <v>Chinese Beef with Broccoli</v>
      </c>
      <c r="C159" s="321">
        <f>H51</f>
        <v>7.5</v>
      </c>
      <c r="D159" s="327">
        <f>I51</f>
        <v>7.8</v>
      </c>
      <c r="E159" s="315">
        <f>J51</f>
        <v>8.1</v>
      </c>
      <c r="F159" s="84"/>
      <c r="G159" s="108" t="str">
        <f t="shared" si="9"/>
        <v>Chinese Beef with Broccoli</v>
      </c>
      <c r="H159" s="321">
        <f>C159/(1+'Pricing Model'!$C$9)</f>
        <v>6.25</v>
      </c>
      <c r="I159" s="321">
        <f>D159/(1+'Pricing Model'!$C$9)</f>
        <v>6.5</v>
      </c>
      <c r="J159" s="340">
        <f>E159/(1+'Pricing Model'!$C$9)</f>
        <v>6.75</v>
      </c>
    </row>
    <row r="160" spans="2:20" ht="18" customHeight="1">
      <c r="B160" s="317" t="str">
        <f>L41</f>
        <v>Deep Fried Tofu</v>
      </c>
      <c r="C160" s="322">
        <f>M51</f>
        <v>7.25</v>
      </c>
      <c r="D160" s="328">
        <f>N51</f>
        <v>7.5</v>
      </c>
      <c r="E160" s="318">
        <f>O51</f>
        <v>7.8</v>
      </c>
      <c r="F160" s="84"/>
      <c r="G160" s="317" t="str">
        <f t="shared" si="9"/>
        <v>Deep Fried Tofu</v>
      </c>
      <c r="H160" s="339">
        <f>C160/(1+'Pricing Model'!$C$9)</f>
        <v>6.041666666666667</v>
      </c>
      <c r="I160" s="339">
        <f>D160/(1+'Pricing Model'!$C$9)</f>
        <v>6.25</v>
      </c>
      <c r="J160" s="341">
        <f>E160/(1+'Pricing Model'!$C$9)</f>
        <v>6.5</v>
      </c>
    </row>
    <row r="161" spans="2:15" s="117" customFormat="1" ht="18" customHeight="1">
      <c r="B161" s="1105" t="str">
        <f>B80</f>
        <v xml:space="preserve">Prawn / Vegetable Fried Rice </v>
      </c>
      <c r="C161" s="323">
        <f>C93</f>
        <v>8.5</v>
      </c>
      <c r="D161" s="329">
        <f>D93</f>
        <v>8.8000000000000007</v>
      </c>
      <c r="E161" s="316">
        <f>E93</f>
        <v>9.1</v>
      </c>
      <c r="F161" s="84"/>
      <c r="G161" s="1104" t="str">
        <f t="shared" si="9"/>
        <v xml:space="preserve">Prawn / Vegetable Fried Rice </v>
      </c>
      <c r="H161" s="321">
        <f>C161/(1+'Pricing Model'!$C$9)</f>
        <v>7.0833333333333339</v>
      </c>
      <c r="I161" s="321">
        <f>D161/(1+'Pricing Model'!$C$9)</f>
        <v>7.3333333333333339</v>
      </c>
      <c r="J161" s="340">
        <f>E161/(1+'Pricing Model'!$C$9)</f>
        <v>7.583333333333333</v>
      </c>
      <c r="K161" s="89"/>
      <c r="L161" s="89"/>
      <c r="M161" s="89"/>
      <c r="N161" s="89"/>
      <c r="O161" s="89"/>
    </row>
    <row r="162" spans="2:15" s="117" customFormat="1" ht="18" customHeight="1">
      <c r="B162" s="1104"/>
      <c r="C162" s="324">
        <f>C101</f>
        <v>7</v>
      </c>
      <c r="D162" s="330">
        <f>D101</f>
        <v>7.2</v>
      </c>
      <c r="E162" s="84">
        <f>E101</f>
        <v>7.5</v>
      </c>
      <c r="F162" s="84"/>
      <c r="G162" s="1104"/>
      <c r="H162" s="321">
        <f>C162/(1+'Pricing Model'!$C$9)</f>
        <v>5.8333333333333339</v>
      </c>
      <c r="I162" s="321">
        <f>D162/(1+'Pricing Model'!$C$9)</f>
        <v>6</v>
      </c>
      <c r="J162" s="340">
        <f>E162/(1+'Pricing Model'!$C$9)</f>
        <v>6.25</v>
      </c>
    </row>
    <row r="163" spans="2:15" ht="18" customHeight="1">
      <c r="B163" s="108" t="str">
        <f>G80</f>
        <v>Stir-Fried Noodles with Sliced Beef</v>
      </c>
      <c r="C163" s="325">
        <f>H93</f>
        <v>9</v>
      </c>
      <c r="D163" s="331">
        <f>I93</f>
        <v>9.3000000000000007</v>
      </c>
      <c r="E163" s="106">
        <f>J93</f>
        <v>9.6</v>
      </c>
      <c r="F163" s="90"/>
      <c r="G163" s="108" t="str">
        <f t="shared" si="9"/>
        <v>Stir-Fried Noodles with Sliced Beef</v>
      </c>
      <c r="H163" s="321">
        <f>C163/(1+'Pricing Model'!$C$9)</f>
        <v>7.5</v>
      </c>
      <c r="I163" s="321">
        <f>D163/(1+'Pricing Model'!$C$9)</f>
        <v>7.7500000000000009</v>
      </c>
      <c r="J163" s="340">
        <f>E163/(1+'Pricing Model'!$C$9)</f>
        <v>8</v>
      </c>
      <c r="K163" s="117"/>
      <c r="L163" s="117"/>
      <c r="M163" s="117"/>
      <c r="N163" s="117"/>
      <c r="O163" s="117"/>
    </row>
    <row r="164" spans="2:15" ht="18" customHeight="1">
      <c r="B164" s="319" t="str">
        <f>L80</f>
        <v xml:space="preserve">Crispy Roast Pork Belly with Rice </v>
      </c>
      <c r="C164" s="326">
        <f>M93</f>
        <v>9.5</v>
      </c>
      <c r="D164" s="332">
        <f>N93</f>
        <v>9.8000000000000007</v>
      </c>
      <c r="E164" s="320">
        <f>O93</f>
        <v>10.1</v>
      </c>
      <c r="F164" s="105"/>
      <c r="G164" s="319" t="str">
        <f t="shared" si="9"/>
        <v xml:space="preserve">Crispy Roast Pork Belly with Rice </v>
      </c>
      <c r="H164" s="339">
        <f>C164/(1+'Pricing Model'!$C$9)</f>
        <v>7.916666666666667</v>
      </c>
      <c r="I164" s="339">
        <f>D164/(1+'Pricing Model'!$C$9)</f>
        <v>8.1666666666666679</v>
      </c>
      <c r="J164" s="341">
        <f>E164/(1+'Pricing Model'!$C$9)</f>
        <v>8.4166666666666661</v>
      </c>
    </row>
    <row r="165" spans="2:15" ht="18" customHeight="1">
      <c r="B165" s="1103" t="str">
        <f>B127</f>
        <v>Lemon Tea</v>
      </c>
      <c r="C165" s="333">
        <f>C139</f>
        <v>2.5</v>
      </c>
      <c r="D165" s="334">
        <f t="shared" ref="D165:E165" si="10">D139</f>
        <v>2.6</v>
      </c>
      <c r="E165" s="335">
        <f t="shared" si="10"/>
        <v>2.7</v>
      </c>
      <c r="F165" s="90"/>
      <c r="G165" s="1103" t="str">
        <f t="shared" si="9"/>
        <v>Lemon Tea</v>
      </c>
      <c r="H165" s="333">
        <f>C165/(1+'Pricing Model'!$C$9)</f>
        <v>2.0833333333333335</v>
      </c>
      <c r="I165" s="334">
        <f>D165/(1+'Pricing Model'!$C$9)</f>
        <v>2.166666666666667</v>
      </c>
      <c r="J165" s="342">
        <f>E165/(1+'Pricing Model'!$C$9)</f>
        <v>2.2500000000000004</v>
      </c>
      <c r="M165" s="344"/>
    </row>
    <row r="166" spans="2:15" ht="18" customHeight="1">
      <c r="B166" s="1103"/>
      <c r="C166" s="336">
        <f>C147</f>
        <v>3</v>
      </c>
      <c r="D166" s="337">
        <f t="shared" ref="D166:E166" si="11">D147</f>
        <v>3.1</v>
      </c>
      <c r="E166" s="338">
        <f t="shared" si="11"/>
        <v>3.2</v>
      </c>
      <c r="F166" s="119"/>
      <c r="G166" s="1103"/>
      <c r="H166" s="336">
        <f>C166/(1+'Pricing Model'!$C$9)</f>
        <v>2.5</v>
      </c>
      <c r="I166" s="337">
        <f>D166/(1+'Pricing Model'!$C$9)</f>
        <v>2.5833333333333335</v>
      </c>
      <c r="J166" s="343">
        <f>E166/(1+'Pricing Model'!$C$9)</f>
        <v>2.666666666666667</v>
      </c>
      <c r="M166" s="344"/>
    </row>
    <row r="167" spans="2:15" ht="18" customHeight="1">
      <c r="B167" s="1103" t="str">
        <f>G127</f>
        <v>Hong Kong Style Coffee-Milk Tea</v>
      </c>
      <c r="C167" s="333">
        <f>H139</f>
        <v>2.5</v>
      </c>
      <c r="D167" s="334">
        <f t="shared" ref="D167:E167" si="12">I139</f>
        <v>2.6</v>
      </c>
      <c r="E167" s="335">
        <f t="shared" si="12"/>
        <v>2.7</v>
      </c>
      <c r="F167" s="84"/>
      <c r="G167" s="1103" t="str">
        <f t="shared" si="9"/>
        <v>Hong Kong Style Coffee-Milk Tea</v>
      </c>
      <c r="H167" s="333">
        <f>C167/(1+'Pricing Model'!$C$9)</f>
        <v>2.0833333333333335</v>
      </c>
      <c r="I167" s="334">
        <f>D167/(1+'Pricing Model'!$C$9)</f>
        <v>2.166666666666667</v>
      </c>
      <c r="J167" s="342">
        <f>E167/(1+'Pricing Model'!$C$9)</f>
        <v>2.2500000000000004</v>
      </c>
      <c r="M167" s="344"/>
    </row>
    <row r="168" spans="2:15" s="110" customFormat="1" ht="18" customHeight="1">
      <c r="B168" s="1103"/>
      <c r="C168" s="336">
        <f>H147</f>
        <v>3</v>
      </c>
      <c r="D168" s="337">
        <f t="shared" ref="D168:E168" si="13">I147</f>
        <v>3.1</v>
      </c>
      <c r="E168" s="338">
        <f t="shared" si="13"/>
        <v>3.2</v>
      </c>
      <c r="F168" s="84"/>
      <c r="G168" s="1103"/>
      <c r="H168" s="336">
        <f>C168/(1+'Pricing Model'!$C$9)</f>
        <v>2.5</v>
      </c>
      <c r="I168" s="337">
        <f>D168/(1+'Pricing Model'!$C$9)</f>
        <v>2.5833333333333335</v>
      </c>
      <c r="J168" s="343">
        <f>E168/(1+'Pricing Model'!$C$9)</f>
        <v>2.666666666666667</v>
      </c>
      <c r="K168" s="89"/>
      <c r="L168" s="89"/>
      <c r="M168" s="344"/>
      <c r="N168" s="89"/>
      <c r="O168" s="89"/>
    </row>
    <row r="169" spans="2:15" ht="18" customHeight="1">
      <c r="B169" s="1103" t="str">
        <f>L127</f>
        <v>Brown Sugar Bubble Tea</v>
      </c>
      <c r="C169" s="333">
        <f>M139</f>
        <v>4.2</v>
      </c>
      <c r="D169" s="334">
        <f t="shared" ref="D169:E169" si="14">N139</f>
        <v>4.3</v>
      </c>
      <c r="E169" s="335">
        <f t="shared" si="14"/>
        <v>4.5</v>
      </c>
      <c r="F169" s="84"/>
      <c r="G169" s="1103" t="str">
        <f t="shared" si="9"/>
        <v>Brown Sugar Bubble Tea</v>
      </c>
      <c r="H169" s="333">
        <f>C169/(1+'Pricing Model'!$C$9)</f>
        <v>3.5000000000000004</v>
      </c>
      <c r="I169" s="334">
        <f>D169/(1+'Pricing Model'!$C$9)</f>
        <v>3.5833333333333335</v>
      </c>
      <c r="J169" s="342">
        <f>E169/(1+'Pricing Model'!$C$9)</f>
        <v>3.75</v>
      </c>
      <c r="K169" s="110"/>
      <c r="L169" s="110"/>
      <c r="M169" s="344"/>
      <c r="N169" s="110"/>
      <c r="O169" s="110"/>
    </row>
    <row r="170" spans="2:15" ht="18" customHeight="1">
      <c r="B170" s="1103"/>
      <c r="C170" s="336">
        <f>M147</f>
        <v>4.5</v>
      </c>
      <c r="D170" s="337">
        <f t="shared" ref="D170:E170" si="15">N147</f>
        <v>4.7</v>
      </c>
      <c r="E170" s="338">
        <f t="shared" si="15"/>
        <v>4.9000000000000004</v>
      </c>
      <c r="F170" s="84"/>
      <c r="G170" s="1103"/>
      <c r="H170" s="336">
        <f>C170/(1+'Pricing Model'!$C$9)</f>
        <v>3.75</v>
      </c>
      <c r="I170" s="337">
        <f>D170/(1+'Pricing Model'!$C$9)</f>
        <v>3.916666666666667</v>
      </c>
      <c r="J170" s="343">
        <f>E170/(1+'Pricing Model'!$C$9)</f>
        <v>4.0833333333333339</v>
      </c>
      <c r="M170" s="344"/>
      <c r="N170" s="344"/>
      <c r="O170" s="344"/>
    </row>
    <row r="171" spans="2:15" ht="18" customHeight="1">
      <c r="B171" s="116"/>
      <c r="C171" s="84"/>
      <c r="D171" s="84"/>
      <c r="E171" s="114"/>
      <c r="F171" s="84"/>
      <c r="G171" s="84"/>
      <c r="H171" s="114"/>
      <c r="I171" s="84"/>
    </row>
    <row r="172" spans="2:15" ht="18" customHeight="1">
      <c r="B172" s="116"/>
      <c r="C172" s="84"/>
      <c r="D172" s="84"/>
      <c r="E172" s="114"/>
      <c r="F172" s="84"/>
      <c r="G172" s="84"/>
      <c r="H172" s="84"/>
      <c r="I172" s="84"/>
    </row>
    <row r="173" spans="2:15" ht="18" customHeight="1">
      <c r="B173" s="116"/>
      <c r="C173" s="84"/>
      <c r="D173" s="84"/>
      <c r="E173" s="114"/>
      <c r="F173" s="84"/>
      <c r="G173" s="84"/>
      <c r="H173" s="84"/>
      <c r="I173" s="84"/>
    </row>
    <row r="174" spans="2:15" ht="18" customHeight="1">
      <c r="B174" s="90"/>
      <c r="C174" s="90"/>
      <c r="D174" s="90"/>
      <c r="E174" s="90"/>
      <c r="F174" s="90"/>
      <c r="G174" s="90"/>
      <c r="H174" s="90"/>
      <c r="I174" s="90"/>
    </row>
    <row r="175" spans="2:15" ht="18" customHeight="1">
      <c r="B175" s="118"/>
      <c r="C175" s="105"/>
      <c r="D175" s="105"/>
      <c r="E175" s="105"/>
      <c r="F175" s="105"/>
      <c r="G175" s="105"/>
      <c r="H175" s="105"/>
      <c r="I175" s="105"/>
    </row>
    <row r="176" spans="2:15" ht="18" customHeight="1">
      <c r="B176" s="90"/>
      <c r="C176" s="90"/>
      <c r="D176" s="90"/>
      <c r="E176" s="90"/>
      <c r="F176" s="90"/>
      <c r="G176" s="90"/>
      <c r="H176" s="120"/>
      <c r="I176" s="115"/>
    </row>
    <row r="177" spans="2:15" ht="18" customHeight="1">
      <c r="H177" s="117"/>
      <c r="I177" s="117"/>
    </row>
    <row r="178" spans="2:15" s="117" customFormat="1" ht="18" customHeight="1">
      <c r="B178" s="89"/>
      <c r="C178" s="89"/>
      <c r="D178" s="89"/>
      <c r="E178" s="89"/>
      <c r="F178" s="89"/>
      <c r="G178" s="89"/>
      <c r="H178" s="89"/>
      <c r="I178" s="89"/>
      <c r="J178" s="89"/>
      <c r="K178" s="89"/>
      <c r="L178" s="89"/>
      <c r="M178" s="89"/>
      <c r="N178" s="89"/>
      <c r="O178" s="89"/>
    </row>
    <row r="179" spans="2:15" ht="18" customHeight="1">
      <c r="B179" s="117"/>
      <c r="C179" s="117"/>
      <c r="D179" s="117"/>
      <c r="E179" s="110"/>
      <c r="F179" s="110"/>
      <c r="G179" s="110"/>
      <c r="J179" s="117"/>
      <c r="K179" s="117"/>
      <c r="L179" s="117"/>
      <c r="M179" s="117"/>
      <c r="N179" s="117"/>
      <c r="O179" s="117"/>
    </row>
    <row r="180" spans="2:15" s="117" customFormat="1" ht="18" customHeight="1">
      <c r="B180" s="89"/>
      <c r="C180" s="89"/>
      <c r="D180" s="89"/>
      <c r="E180" s="89"/>
      <c r="F180" s="89"/>
      <c r="G180" s="89"/>
      <c r="H180" s="89"/>
      <c r="I180" s="89"/>
      <c r="J180" s="89"/>
      <c r="K180" s="89"/>
      <c r="L180" s="89"/>
      <c r="M180" s="89"/>
      <c r="N180" s="89"/>
      <c r="O180" s="89"/>
    </row>
    <row r="181" spans="2:15" s="117" customFormat="1" ht="18" customHeight="1">
      <c r="E181" s="89"/>
      <c r="F181" s="112"/>
      <c r="G181" s="89"/>
      <c r="H181" s="89"/>
      <c r="I181" s="89"/>
    </row>
    <row r="182" spans="2:15" ht="18" customHeight="1">
      <c r="B182" s="117"/>
      <c r="C182" s="117"/>
      <c r="D182" s="117"/>
      <c r="F182" s="112"/>
      <c r="J182" s="117"/>
      <c r="K182" s="117"/>
      <c r="L182" s="117"/>
      <c r="M182" s="117"/>
      <c r="N182" s="117"/>
      <c r="O182" s="117"/>
    </row>
    <row r="183" spans="2:15" ht="18" customHeight="1">
      <c r="F183" s="112"/>
      <c r="H183" s="110"/>
      <c r="I183" s="110"/>
    </row>
    <row r="184" spans="2:15" ht="18" customHeight="1">
      <c r="F184" s="112"/>
    </row>
    <row r="189" spans="2:15" ht="18" customHeight="1">
      <c r="E189" s="117"/>
      <c r="F189" s="117"/>
      <c r="G189" s="117"/>
    </row>
    <row r="191" spans="2:15" ht="18" customHeight="1">
      <c r="E191" s="117"/>
      <c r="F191" s="117"/>
      <c r="G191" s="117"/>
    </row>
    <row r="192" spans="2:15" ht="18" customHeight="1">
      <c r="E192" s="117"/>
      <c r="F192" s="117"/>
      <c r="G192" s="117"/>
    </row>
    <row r="193" spans="2:9" ht="18" customHeight="1">
      <c r="H193" s="117"/>
      <c r="I193" s="117"/>
    </row>
    <row r="195" spans="2:9" ht="18" customHeight="1">
      <c r="H195" s="117"/>
      <c r="I195" s="117"/>
    </row>
    <row r="196" spans="2:9" ht="18" customHeight="1">
      <c r="E196" s="117"/>
    </row>
    <row r="201" spans="2:9" ht="18" customHeight="1">
      <c r="B201" s="90"/>
      <c r="C201" s="90"/>
      <c r="D201" s="90"/>
    </row>
    <row r="202" spans="2:9" ht="18" customHeight="1">
      <c r="B202" s="90"/>
      <c r="C202" s="90"/>
      <c r="D202" s="90"/>
    </row>
    <row r="203" spans="2:9" ht="18" customHeight="1">
      <c r="B203" s="90"/>
      <c r="C203" s="90"/>
      <c r="D203" s="90"/>
    </row>
    <row r="204" spans="2:9" ht="18" customHeight="1">
      <c r="B204" s="113"/>
      <c r="C204" s="113"/>
      <c r="D204" s="113"/>
    </row>
    <row r="205" spans="2:9" ht="18" customHeight="1">
      <c r="B205" s="84"/>
      <c r="C205" s="84"/>
      <c r="D205" s="90"/>
    </row>
    <row r="206" spans="2:9" ht="18" customHeight="1">
      <c r="B206" s="121"/>
      <c r="C206" s="121"/>
      <c r="D206" s="121"/>
    </row>
    <row r="207" spans="2:9" ht="18" customHeight="1">
      <c r="B207" s="84"/>
      <c r="C207" s="84"/>
      <c r="D207" s="84"/>
    </row>
    <row r="208" spans="2:9" ht="18" customHeight="1">
      <c r="B208" s="84"/>
      <c r="C208" s="84"/>
      <c r="D208" s="84"/>
    </row>
    <row r="209" spans="2:4" ht="18" customHeight="1">
      <c r="B209" s="121"/>
      <c r="C209" s="121"/>
      <c r="D209" s="121"/>
    </row>
    <row r="210" spans="2:4" ht="18" customHeight="1">
      <c r="B210" s="84"/>
      <c r="C210" s="84"/>
      <c r="D210" s="84"/>
    </row>
    <row r="211" spans="2:4" ht="18" customHeight="1">
      <c r="B211" s="84"/>
      <c r="C211" s="84"/>
      <c r="D211" s="84"/>
    </row>
    <row r="212" spans="2:4" ht="18" customHeight="1">
      <c r="B212" s="84"/>
      <c r="C212" s="84"/>
      <c r="D212" s="84"/>
    </row>
    <row r="213" spans="2:4" ht="18" customHeight="1">
      <c r="B213" s="84"/>
      <c r="C213" s="84"/>
      <c r="D213" s="84"/>
    </row>
    <row r="214" spans="2:4" ht="18" customHeight="1">
      <c r="B214" s="106"/>
      <c r="C214" s="106"/>
      <c r="D214" s="106"/>
    </row>
    <row r="215" spans="2:4" ht="18" customHeight="1">
      <c r="B215" s="90"/>
      <c r="C215" s="90"/>
      <c r="D215" s="90"/>
    </row>
    <row r="216" spans="2:4" ht="18" customHeight="1">
      <c r="B216" s="105"/>
      <c r="C216" s="105"/>
      <c r="D216" s="105"/>
    </row>
    <row r="217" spans="2:4" ht="18" customHeight="1">
      <c r="B217" s="105"/>
      <c r="C217" s="105"/>
      <c r="D217" s="105"/>
    </row>
    <row r="218" spans="2:4" ht="18" customHeight="1">
      <c r="B218" s="122"/>
      <c r="C218" s="122"/>
      <c r="D218" s="122"/>
    </row>
    <row r="219" spans="2:4" ht="18" customHeight="1">
      <c r="B219" s="90"/>
      <c r="C219" s="90"/>
      <c r="D219" s="90"/>
    </row>
    <row r="220" spans="2:4" ht="18" customHeight="1">
      <c r="B220" s="90"/>
      <c r="C220" s="90"/>
      <c r="D220" s="90"/>
    </row>
  </sheetData>
  <sheetProtection formatCells="0" formatColumns="0" formatRows="0" insertColumns="0" insertRows="0" insertHyperlinks="0" deleteColumns="0" deleteRows="0" sort="0" autoFilter="0" pivotTables="0"/>
  <mergeCells count="32">
    <mergeCell ref="B169:B170"/>
    <mergeCell ref="G155:J156"/>
    <mergeCell ref="G161:G162"/>
    <mergeCell ref="G165:G166"/>
    <mergeCell ref="G167:G168"/>
    <mergeCell ref="G169:G170"/>
    <mergeCell ref="B155:E156"/>
    <mergeCell ref="B161:B162"/>
    <mergeCell ref="B165:B166"/>
    <mergeCell ref="B167:B168"/>
    <mergeCell ref="Q138:T138"/>
    <mergeCell ref="Q146:T146"/>
    <mergeCell ref="L80:O81"/>
    <mergeCell ref="B127:E128"/>
    <mergeCell ref="G127:J128"/>
    <mergeCell ref="L127:O128"/>
    <mergeCell ref="B146:E146"/>
    <mergeCell ref="G146:J146"/>
    <mergeCell ref="L146:O146"/>
    <mergeCell ref="B138:E138"/>
    <mergeCell ref="G138:J138"/>
    <mergeCell ref="L138:O138"/>
    <mergeCell ref="B19:O20"/>
    <mergeCell ref="B59:O60"/>
    <mergeCell ref="B110:O111"/>
    <mergeCell ref="B41:E42"/>
    <mergeCell ref="G41:J42"/>
    <mergeCell ref="L41:O42"/>
    <mergeCell ref="B80:E81"/>
    <mergeCell ref="G80:J81"/>
    <mergeCell ref="B92:E92"/>
    <mergeCell ref="B100:E100"/>
  </mergeCells>
  <phoneticPr fontId="10" type="noConversion"/>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79289-4726-0847-A28E-FB36F5265BA2}">
  <sheetPr codeName="Sheet11">
    <tabColor theme="4" tint="0.39997558519241921"/>
  </sheetPr>
  <dimension ref="A1:CQ1019"/>
  <sheetViews>
    <sheetView showGridLines="0" zoomScale="90" zoomScaleNormal="93" workbookViewId="0">
      <selection activeCell="M12" sqref="M12"/>
    </sheetView>
  </sheetViews>
  <sheetFormatPr baseColWidth="10" defaultRowHeight="16" customHeight="1"/>
  <cols>
    <col min="1" max="1" width="10" style="56" customWidth="1"/>
    <col min="2" max="2" width="40.5" style="56" customWidth="1"/>
    <col min="3" max="4" width="8.83203125" style="58" customWidth="1"/>
    <col min="5" max="5" width="8.5" style="56" customWidth="1"/>
    <col min="6" max="6" width="21" style="56" customWidth="1"/>
    <col min="7" max="7" width="28.83203125" style="56" customWidth="1"/>
    <col min="8" max="8" width="11.6640625" style="56" customWidth="1"/>
    <col min="9" max="15" width="11.6640625" style="56" bestFit="1" customWidth="1"/>
    <col min="16" max="16" width="11.6640625" style="882" bestFit="1" customWidth="1"/>
    <col min="17" max="18" width="11.6640625" style="56" bestFit="1" customWidth="1"/>
    <col min="19" max="19" width="13.83203125" style="251" bestFit="1" customWidth="1"/>
    <col min="20" max="21" width="11.6640625" style="181" bestFit="1" customWidth="1"/>
    <col min="22" max="22" width="11.6640625" style="278" bestFit="1" customWidth="1"/>
    <col min="23" max="26" width="11.6640625" style="56" bestFit="1" customWidth="1"/>
    <col min="27" max="27" width="11.6640625" style="181" bestFit="1" customWidth="1"/>
    <col min="28" max="28" width="11.6640625" style="895" bestFit="1" customWidth="1"/>
    <col min="29" max="30" width="11.6640625" style="56" bestFit="1" customWidth="1"/>
    <col min="31" max="31" width="11.6640625" style="251" bestFit="1" customWidth="1"/>
    <col min="32" max="32" width="11.6640625" style="181" bestFit="1" customWidth="1"/>
    <col min="33" max="43" width="11.6640625" style="56" bestFit="1" customWidth="1"/>
    <col min="44" max="44" width="11.6640625" style="164" bestFit="1" customWidth="1"/>
    <col min="45" max="53" width="10.83203125" style="164" customWidth="1"/>
    <col min="54" max="16384" width="10.83203125" style="164"/>
  </cols>
  <sheetData>
    <row r="1" spans="1:43" s="89" customFormat="1" ht="16" customHeight="1">
      <c r="A1" s="61"/>
      <c r="B1" s="63" t="str">
        <f>"v"&amp;'COPYRIGHT PROTECTION'!C15&amp;"     "&amp;'COPYRIGHT PROTECTION'!C6</f>
        <v xml:space="preserve">v2025.1     © Simon Hulme and Chris Drew, 2011-2025     IF PART OF AN ACADEMIC ASSIGNMENT, PLEASE DO NOT DELETE THIS SINGLE LINE.  DELETING IT MAY INVALIDATE YOUR SUBMISSION. </v>
      </c>
      <c r="C1" s="160"/>
      <c r="D1" s="160"/>
      <c r="E1" s="48"/>
      <c r="F1" s="48"/>
      <c r="G1" s="63"/>
      <c r="H1" s="61"/>
      <c r="I1" s="61"/>
      <c r="J1" s="61"/>
      <c r="K1" s="61"/>
      <c r="L1" s="61"/>
      <c r="M1" s="61"/>
      <c r="N1" s="61"/>
      <c r="O1" s="61"/>
      <c r="P1" s="856"/>
      <c r="Q1" s="61"/>
      <c r="R1" s="61"/>
      <c r="S1" s="234"/>
      <c r="T1" s="62"/>
      <c r="U1" s="62"/>
      <c r="V1" s="260"/>
      <c r="W1" s="61"/>
      <c r="X1" s="61"/>
      <c r="Y1" s="61"/>
      <c r="Z1" s="61"/>
      <c r="AA1" s="62"/>
      <c r="AB1" s="892"/>
      <c r="AC1" s="61"/>
      <c r="AD1" s="61"/>
      <c r="AE1" s="234"/>
      <c r="AF1" s="62"/>
      <c r="AG1" s="61"/>
      <c r="AH1" s="61"/>
      <c r="AI1" s="61"/>
      <c r="AJ1" s="61"/>
      <c r="AK1" s="61"/>
      <c r="AL1" s="61"/>
      <c r="AM1" s="61"/>
      <c r="AN1" s="61"/>
      <c r="AO1" s="61"/>
      <c r="AP1" s="61"/>
      <c r="AQ1" s="61"/>
    </row>
    <row r="2" spans="1:43" s="89" customFormat="1" ht="16" customHeight="1">
      <c r="A2" s="63"/>
      <c r="B2" s="61"/>
      <c r="C2" s="161"/>
      <c r="D2" s="161"/>
      <c r="E2" s="48"/>
      <c r="F2" s="48"/>
      <c r="G2" s="61"/>
      <c r="H2" s="61"/>
      <c r="I2" s="61"/>
      <c r="J2" s="61"/>
      <c r="K2" s="61"/>
      <c r="L2" s="61"/>
      <c r="M2" s="61"/>
      <c r="N2" s="61"/>
      <c r="O2" s="61"/>
      <c r="P2" s="856"/>
      <c r="Q2" s="61"/>
      <c r="R2" s="61"/>
      <c r="S2" s="234"/>
      <c r="T2" s="62"/>
      <c r="U2" s="62"/>
      <c r="V2" s="260"/>
      <c r="W2" s="61"/>
      <c r="X2" s="61"/>
      <c r="Y2" s="61"/>
      <c r="Z2" s="61"/>
      <c r="AA2" s="62"/>
      <c r="AB2" s="892"/>
      <c r="AC2" s="61"/>
      <c r="AD2" s="61"/>
      <c r="AE2" s="234"/>
      <c r="AF2" s="62"/>
      <c r="AG2" s="61"/>
      <c r="AH2" s="61"/>
      <c r="AI2" s="61"/>
      <c r="AJ2" s="61"/>
      <c r="AK2" s="61"/>
      <c r="AL2" s="61"/>
      <c r="AM2" s="61"/>
      <c r="AN2" s="61"/>
      <c r="AO2" s="61"/>
      <c r="AP2" s="61"/>
      <c r="AQ2" s="61"/>
    </row>
    <row r="3" spans="1:43" s="289" customFormat="1" ht="16" customHeight="1">
      <c r="A3" s="123"/>
      <c r="B3" s="124"/>
      <c r="C3" s="162"/>
      <c r="D3" s="162"/>
      <c r="E3" s="49"/>
      <c r="F3" s="49"/>
      <c r="G3" s="124"/>
      <c r="H3" s="123"/>
      <c r="I3" s="123"/>
      <c r="J3" s="123"/>
      <c r="K3" s="123"/>
      <c r="L3" s="123"/>
      <c r="M3" s="123"/>
      <c r="N3" s="123"/>
      <c r="O3" s="123"/>
      <c r="P3" s="857"/>
      <c r="Q3" s="123"/>
      <c r="R3" s="123"/>
      <c r="S3" s="235"/>
      <c r="T3" s="156"/>
      <c r="U3" s="156"/>
      <c r="V3" s="261"/>
      <c r="W3" s="123"/>
      <c r="X3" s="123"/>
      <c r="Y3" s="123"/>
      <c r="Z3" s="123"/>
      <c r="AA3" s="156"/>
      <c r="AB3" s="893"/>
      <c r="AC3" s="123"/>
      <c r="AD3" s="123"/>
      <c r="AE3" s="235"/>
      <c r="AF3" s="156"/>
      <c r="AG3" s="123"/>
      <c r="AH3" s="123"/>
      <c r="AI3" s="123"/>
      <c r="AJ3" s="123"/>
      <c r="AK3" s="123"/>
      <c r="AL3" s="123"/>
      <c r="AM3" s="123"/>
      <c r="AN3" s="123"/>
      <c r="AO3" s="123"/>
      <c r="AP3" s="123"/>
      <c r="AQ3" s="123"/>
    </row>
    <row r="4" spans="1:43" s="289" customFormat="1" ht="16" customHeight="1">
      <c r="A4" s="123"/>
      <c r="B4" s="123"/>
      <c r="C4" s="162"/>
      <c r="D4" s="162"/>
      <c r="E4" s="123"/>
      <c r="F4" s="123"/>
      <c r="G4" s="123"/>
      <c r="H4" s="123"/>
      <c r="I4" s="123"/>
      <c r="J4" s="123"/>
      <c r="K4" s="123"/>
      <c r="L4" s="616" t="s">
        <v>376</v>
      </c>
      <c r="M4" s="608"/>
      <c r="N4" s="611">
        <v>0.125</v>
      </c>
      <c r="P4" s="858"/>
      <c r="R4" s="123"/>
      <c r="S4" s="235"/>
      <c r="T4" s="156"/>
      <c r="U4" s="156"/>
      <c r="V4" s="261"/>
      <c r="W4" s="123"/>
      <c r="X4" s="123"/>
      <c r="Y4" s="123"/>
      <c r="Z4" s="123"/>
      <c r="AA4" s="156"/>
      <c r="AB4" s="893"/>
      <c r="AC4" s="123"/>
      <c r="AD4" s="123"/>
      <c r="AE4" s="235"/>
      <c r="AF4" s="156"/>
      <c r="AG4" s="123"/>
      <c r="AH4" s="123"/>
      <c r="AI4" s="123"/>
      <c r="AJ4" s="123"/>
      <c r="AK4" s="123"/>
      <c r="AL4" s="123"/>
      <c r="AM4" s="123"/>
      <c r="AN4" s="123"/>
      <c r="AO4" s="123"/>
      <c r="AP4" s="123"/>
      <c r="AQ4" s="123"/>
    </row>
    <row r="5" spans="1:43" s="289" customFormat="1" ht="16" customHeight="1">
      <c r="A5" s="123"/>
      <c r="B5" s="123"/>
      <c r="C5" s="162"/>
      <c r="D5" s="162"/>
      <c r="E5" s="123"/>
      <c r="F5" s="123"/>
      <c r="G5" s="123"/>
      <c r="H5" s="123"/>
      <c r="I5" s="123"/>
      <c r="J5" s="123"/>
      <c r="K5" s="123"/>
      <c r="L5" s="123"/>
      <c r="M5" s="123"/>
      <c r="P5" s="858"/>
      <c r="R5" s="123"/>
      <c r="S5" s="235"/>
      <c r="T5" s="156"/>
      <c r="U5" s="156"/>
      <c r="V5" s="261"/>
      <c r="W5" s="123"/>
      <c r="X5" s="123"/>
      <c r="Y5" s="123"/>
      <c r="Z5" s="123"/>
      <c r="AA5" s="156"/>
      <c r="AB5" s="893"/>
      <c r="AC5" s="123"/>
      <c r="AD5" s="123"/>
      <c r="AE5" s="235"/>
      <c r="AF5" s="156"/>
      <c r="AG5" s="123"/>
      <c r="AH5" s="123"/>
      <c r="AI5" s="123"/>
      <c r="AJ5" s="123"/>
      <c r="AK5" s="123"/>
      <c r="AL5" s="123"/>
      <c r="AM5" s="123"/>
      <c r="AN5" s="123"/>
      <c r="AO5" s="123"/>
      <c r="AP5" s="123"/>
      <c r="AQ5" s="123"/>
    </row>
    <row r="6" spans="1:43" ht="16" customHeight="1">
      <c r="A6" s="125"/>
      <c r="B6" s="125"/>
      <c r="C6" s="138"/>
      <c r="D6" s="138"/>
      <c r="E6" s="125"/>
      <c r="F6" s="125"/>
      <c r="G6" s="125"/>
      <c r="H6" s="125"/>
      <c r="I6" s="125"/>
      <c r="J6" s="125"/>
      <c r="K6" s="125"/>
      <c r="L6" s="125"/>
      <c r="M6" s="125"/>
      <c r="N6" s="125"/>
      <c r="O6" s="125"/>
      <c r="P6" s="859"/>
      <c r="Q6" s="125"/>
      <c r="R6" s="125"/>
      <c r="S6" s="236"/>
      <c r="T6" s="157"/>
      <c r="U6" s="157"/>
      <c r="V6" s="262"/>
      <c r="W6" s="125"/>
      <c r="X6" s="125"/>
      <c r="Y6" s="125"/>
      <c r="Z6" s="125"/>
      <c r="AA6" s="157"/>
      <c r="AB6" s="894"/>
      <c r="AC6" s="125"/>
      <c r="AD6" s="125"/>
      <c r="AE6" s="236"/>
      <c r="AF6" s="157"/>
      <c r="AG6" s="125"/>
      <c r="AH6" s="125"/>
      <c r="AI6" s="125"/>
      <c r="AJ6" s="125"/>
      <c r="AK6" s="125"/>
      <c r="AL6" s="125"/>
      <c r="AM6" s="125"/>
      <c r="AN6" s="125"/>
      <c r="AO6" s="125"/>
      <c r="AP6" s="125"/>
      <c r="AQ6" s="125"/>
    </row>
    <row r="7" spans="1:43" ht="16" customHeight="1">
      <c r="A7" s="125"/>
      <c r="B7" s="125"/>
      <c r="C7" s="138"/>
      <c r="D7" s="138"/>
      <c r="E7" s="125"/>
      <c r="F7" s="125"/>
      <c r="G7" s="125"/>
      <c r="H7" s="125"/>
      <c r="I7" s="125"/>
      <c r="J7" s="125"/>
      <c r="K7" s="125"/>
      <c r="L7" s="125"/>
      <c r="M7" s="125"/>
      <c r="N7" s="125"/>
      <c r="O7" s="125"/>
      <c r="P7" s="859"/>
      <c r="Q7" s="125"/>
      <c r="R7" s="125"/>
      <c r="S7" s="236"/>
      <c r="T7" s="157"/>
      <c r="U7" s="157"/>
      <c r="V7" s="262"/>
      <c r="W7" s="125"/>
      <c r="X7" s="125"/>
      <c r="Y7" s="125"/>
      <c r="Z7" s="125"/>
      <c r="AA7" s="157"/>
      <c r="AB7" s="894"/>
      <c r="AC7" s="125"/>
      <c r="AD7" s="125"/>
      <c r="AE7" s="236"/>
      <c r="AF7" s="157"/>
      <c r="AG7" s="125"/>
      <c r="AH7" s="125"/>
      <c r="AI7" s="125"/>
      <c r="AJ7" s="125"/>
      <c r="AK7" s="125"/>
      <c r="AL7" s="125"/>
      <c r="AM7" s="125"/>
      <c r="AN7" s="125"/>
      <c r="AO7" s="125"/>
      <c r="AP7" s="125"/>
      <c r="AQ7" s="125"/>
    </row>
    <row r="8" spans="1:43" ht="16" customHeight="1">
      <c r="A8" s="125"/>
      <c r="B8" s="125"/>
      <c r="C8" s="138"/>
      <c r="D8" s="138"/>
      <c r="E8" s="125"/>
      <c r="F8" s="125"/>
      <c r="G8" s="125"/>
      <c r="H8" s="125"/>
      <c r="I8" s="125"/>
      <c r="J8" s="125"/>
      <c r="K8" s="125"/>
      <c r="L8" s="125"/>
      <c r="M8" s="125"/>
      <c r="N8" s="125"/>
      <c r="O8" s="125"/>
      <c r="P8" s="859"/>
      <c r="Q8" s="125"/>
      <c r="R8" s="125"/>
      <c r="S8" s="236"/>
      <c r="T8" s="157"/>
      <c r="U8" s="157"/>
      <c r="V8" s="262"/>
      <c r="W8" s="125"/>
      <c r="X8" s="125"/>
      <c r="Y8" s="125"/>
      <c r="Z8" s="125"/>
      <c r="AA8" s="157"/>
      <c r="AB8" s="894"/>
      <c r="AC8" s="125"/>
      <c r="AD8" s="125"/>
      <c r="AE8" s="236"/>
      <c r="AF8" s="157"/>
      <c r="AG8" s="125"/>
      <c r="AH8" s="125"/>
      <c r="AI8" s="125"/>
      <c r="AJ8" s="125"/>
      <c r="AK8" s="125"/>
      <c r="AL8" s="125"/>
      <c r="AM8" s="125"/>
      <c r="AN8" s="125"/>
      <c r="AO8" s="125"/>
      <c r="AP8" s="125"/>
      <c r="AQ8" s="125"/>
    </row>
    <row r="9" spans="1:43" ht="16" customHeight="1">
      <c r="A9" s="125"/>
      <c r="B9" s="125"/>
      <c r="C9" s="138"/>
      <c r="D9" s="138"/>
      <c r="E9" s="125"/>
      <c r="F9" s="125"/>
      <c r="G9" s="125"/>
      <c r="H9" s="125"/>
      <c r="I9" s="125"/>
      <c r="J9" s="125"/>
      <c r="K9" s="125"/>
      <c r="L9" s="125"/>
      <c r="M9" s="125"/>
      <c r="N9" s="125"/>
      <c r="O9" s="125"/>
      <c r="P9" s="859"/>
      <c r="Q9" s="125"/>
      <c r="R9" s="125"/>
      <c r="S9" s="236"/>
      <c r="T9" s="157"/>
      <c r="U9" s="157"/>
      <c r="V9" s="262"/>
      <c r="W9" s="125"/>
      <c r="X9" s="125"/>
      <c r="Y9" s="125"/>
      <c r="Z9" s="125"/>
      <c r="AA9" s="157"/>
      <c r="AB9" s="894"/>
      <c r="AC9" s="125"/>
      <c r="AD9" s="125"/>
      <c r="AE9" s="236"/>
      <c r="AF9" s="157"/>
      <c r="AG9" s="125"/>
      <c r="AH9" s="125"/>
      <c r="AI9" s="125"/>
      <c r="AJ9" s="125"/>
      <c r="AK9" s="125"/>
      <c r="AL9" s="125"/>
      <c r="AM9" s="125"/>
      <c r="AN9" s="125"/>
      <c r="AO9" s="125"/>
      <c r="AP9" s="125"/>
      <c r="AQ9" s="125"/>
    </row>
    <row r="10" spans="1:43" ht="16" customHeight="1">
      <c r="A10" s="125"/>
      <c r="B10" s="125"/>
      <c r="C10" s="138"/>
      <c r="D10" s="138"/>
      <c r="E10" s="125"/>
      <c r="F10" s="125"/>
      <c r="G10" s="125"/>
      <c r="H10" s="125"/>
      <c r="I10" s="125"/>
      <c r="J10" s="125"/>
      <c r="K10" s="125"/>
      <c r="L10" s="125"/>
      <c r="M10" s="125"/>
      <c r="N10" s="125"/>
      <c r="O10" s="125"/>
      <c r="P10" s="859"/>
      <c r="Q10" s="125"/>
      <c r="R10" s="125"/>
      <c r="S10" s="236"/>
      <c r="T10" s="157"/>
      <c r="U10" s="157"/>
      <c r="V10" s="262"/>
      <c r="W10" s="125"/>
      <c r="X10" s="125"/>
      <c r="Y10" s="125"/>
      <c r="Z10" s="125"/>
      <c r="AA10" s="157"/>
      <c r="AB10" s="894"/>
      <c r="AC10" s="125"/>
      <c r="AD10" s="125"/>
      <c r="AE10" s="236"/>
      <c r="AF10" s="157"/>
      <c r="AG10" s="125"/>
      <c r="AH10" s="125"/>
      <c r="AI10" s="125"/>
      <c r="AJ10" s="125"/>
      <c r="AK10" s="125"/>
      <c r="AL10" s="125"/>
      <c r="AM10" s="125"/>
      <c r="AN10" s="125"/>
      <c r="AO10" s="125"/>
      <c r="AP10" s="125"/>
      <c r="AQ10" s="125"/>
    </row>
    <row r="11" spans="1:43" ht="16" customHeight="1">
      <c r="A11" s="125"/>
      <c r="B11" s="125"/>
      <c r="C11" s="138"/>
      <c r="D11" s="138"/>
      <c r="E11" s="125"/>
      <c r="F11" s="125"/>
      <c r="G11" s="125"/>
      <c r="H11" s="125"/>
      <c r="I11" s="125"/>
      <c r="J11" s="125"/>
      <c r="K11" s="125"/>
      <c r="L11" s="125"/>
      <c r="M11" s="125"/>
      <c r="N11" s="125"/>
      <c r="O11" s="125"/>
      <c r="P11" s="859"/>
      <c r="Q11" s="125"/>
      <c r="R11" s="125"/>
      <c r="S11" s="236"/>
      <c r="T11" s="157"/>
      <c r="U11" s="157"/>
      <c r="V11" s="262"/>
      <c r="W11" s="125"/>
      <c r="X11" s="125"/>
      <c r="Y11" s="125"/>
      <c r="Z11" s="125"/>
      <c r="AA11" s="157"/>
      <c r="AB11" s="894"/>
      <c r="AC11" s="125"/>
      <c r="AD11" s="125"/>
      <c r="AE11" s="236"/>
      <c r="AF11" s="157"/>
      <c r="AG11" s="125"/>
      <c r="AH11" s="125"/>
      <c r="AI11" s="125"/>
      <c r="AJ11" s="125"/>
      <c r="AK11" s="125"/>
      <c r="AL11" s="125"/>
      <c r="AM11" s="125"/>
      <c r="AN11" s="125"/>
      <c r="AO11" s="125"/>
      <c r="AP11" s="125"/>
      <c r="AQ11" s="125"/>
    </row>
    <row r="12" spans="1:43" ht="16" customHeight="1">
      <c r="A12" s="125"/>
      <c r="B12" s="125"/>
      <c r="C12" s="138"/>
      <c r="D12" s="138"/>
      <c r="E12" s="125"/>
      <c r="F12" s="125"/>
      <c r="G12" s="125"/>
      <c r="H12" s="125"/>
      <c r="I12" s="125"/>
      <c r="J12" s="125"/>
      <c r="K12" s="125"/>
      <c r="L12" s="125"/>
      <c r="M12" s="125"/>
      <c r="N12" s="125"/>
      <c r="O12" s="125"/>
      <c r="P12" s="859"/>
      <c r="Q12" s="125"/>
      <c r="R12" s="125"/>
      <c r="S12" s="236"/>
      <c r="T12" s="157"/>
      <c r="U12" s="157"/>
      <c r="V12" s="262"/>
      <c r="W12" s="125"/>
      <c r="X12" s="125"/>
      <c r="Y12" s="125"/>
      <c r="Z12" s="125"/>
      <c r="AA12" s="157"/>
      <c r="AB12" s="894"/>
      <c r="AC12" s="125"/>
      <c r="AD12" s="125"/>
      <c r="AE12" s="236"/>
      <c r="AF12" s="157"/>
      <c r="AG12" s="125"/>
      <c r="AH12" s="125"/>
      <c r="AI12" s="125"/>
      <c r="AJ12" s="125"/>
      <c r="AK12" s="125"/>
      <c r="AL12" s="125"/>
      <c r="AM12" s="125"/>
      <c r="AN12" s="125"/>
      <c r="AO12" s="125"/>
      <c r="AP12" s="125"/>
      <c r="AQ12" s="125"/>
    </row>
    <row r="13" spans="1:43" ht="16" customHeight="1">
      <c r="A13" s="125"/>
      <c r="B13" s="125"/>
      <c r="C13" s="138"/>
      <c r="D13" s="138"/>
      <c r="E13" s="125"/>
      <c r="F13" s="125"/>
      <c r="G13" s="125"/>
      <c r="H13" s="125"/>
      <c r="I13" s="125"/>
      <c r="J13" s="125"/>
      <c r="K13" s="125"/>
      <c r="L13" s="125"/>
      <c r="M13" s="125"/>
      <c r="N13" s="125"/>
      <c r="O13" s="125"/>
      <c r="P13" s="859"/>
      <c r="Q13" s="125"/>
      <c r="R13" s="125"/>
      <c r="S13" s="236"/>
      <c r="T13" s="157"/>
      <c r="U13" s="157"/>
      <c r="V13" s="262"/>
      <c r="W13" s="125"/>
      <c r="X13" s="125"/>
      <c r="Y13" s="125"/>
      <c r="Z13" s="125"/>
      <c r="AA13" s="157"/>
      <c r="AB13" s="894"/>
      <c r="AC13" s="125"/>
      <c r="AD13" s="125"/>
      <c r="AE13" s="236"/>
      <c r="AF13" s="157"/>
      <c r="AG13" s="125"/>
      <c r="AH13" s="125"/>
      <c r="AI13" s="125"/>
      <c r="AJ13" s="125"/>
      <c r="AK13" s="125"/>
      <c r="AL13" s="125"/>
      <c r="AM13" s="125"/>
      <c r="AN13" s="125"/>
      <c r="AO13" s="125"/>
      <c r="AP13" s="125"/>
      <c r="AQ13" s="125"/>
    </row>
    <row r="14" spans="1:43" ht="16" customHeight="1">
      <c r="A14" s="125"/>
      <c r="B14" s="125"/>
      <c r="C14" s="138"/>
      <c r="D14" s="138"/>
      <c r="E14" s="125"/>
      <c r="F14" s="125"/>
      <c r="G14" s="125"/>
      <c r="H14" s="125"/>
      <c r="I14" s="125"/>
      <c r="J14" s="125"/>
      <c r="K14" s="125"/>
      <c r="L14" s="125"/>
      <c r="M14" s="125"/>
      <c r="N14" s="125"/>
      <c r="O14" s="125"/>
      <c r="P14" s="859"/>
      <c r="Q14" s="126"/>
      <c r="R14" s="125"/>
      <c r="S14" s="236"/>
      <c r="T14" s="157"/>
      <c r="U14" s="157"/>
      <c r="V14" s="262"/>
      <c r="W14" s="125"/>
      <c r="X14" s="125"/>
      <c r="Y14" s="125"/>
      <c r="Z14" s="125"/>
      <c r="AA14" s="157"/>
      <c r="AB14" s="894"/>
      <c r="AC14" s="125"/>
      <c r="AD14" s="125"/>
      <c r="AE14" s="236"/>
      <c r="AF14" s="157"/>
      <c r="AG14" s="125"/>
      <c r="AH14" s="125"/>
      <c r="AI14" s="125"/>
      <c r="AJ14" s="125"/>
      <c r="AK14" s="125"/>
      <c r="AL14" s="125"/>
      <c r="AM14" s="125"/>
      <c r="AN14" s="125"/>
      <c r="AO14" s="125"/>
      <c r="AP14" s="125"/>
      <c r="AQ14" s="125"/>
    </row>
    <row r="15" spans="1:43" ht="16" customHeight="1">
      <c r="A15" s="125"/>
      <c r="B15" s="125"/>
      <c r="C15" s="138"/>
      <c r="D15" s="138"/>
      <c r="E15" s="125"/>
      <c r="F15" s="125"/>
      <c r="G15" s="125"/>
      <c r="H15" s="125"/>
      <c r="I15" s="125"/>
      <c r="J15" s="125"/>
      <c r="K15" s="125"/>
      <c r="L15" s="125"/>
      <c r="M15" s="125"/>
      <c r="N15" s="125"/>
      <c r="O15" s="125"/>
      <c r="P15" s="859"/>
      <c r="Q15" s="125"/>
      <c r="R15" s="125"/>
      <c r="S15" s="236"/>
      <c r="T15" s="157"/>
      <c r="U15" s="259"/>
      <c r="V15" s="262"/>
      <c r="W15" s="125"/>
      <c r="X15" s="125"/>
      <c r="Y15" s="125"/>
      <c r="Z15" s="125"/>
      <c r="AD15" s="125"/>
      <c r="AE15" s="236"/>
      <c r="AF15" s="157"/>
      <c r="AG15" s="125"/>
      <c r="AH15" s="125"/>
      <c r="AI15" s="125"/>
      <c r="AJ15" s="125"/>
      <c r="AK15" s="125"/>
      <c r="AL15" s="125"/>
      <c r="AM15" s="125"/>
      <c r="AN15" s="125"/>
      <c r="AO15" s="125"/>
      <c r="AP15" s="125"/>
      <c r="AQ15" s="125"/>
    </row>
    <row r="16" spans="1:43" ht="16" customHeight="1">
      <c r="A16" s="125"/>
      <c r="B16" s="125"/>
      <c r="C16" s="138"/>
      <c r="D16" s="138"/>
      <c r="E16" s="125"/>
      <c r="F16" s="125"/>
      <c r="G16" s="125"/>
      <c r="H16" s="125"/>
      <c r="I16" s="125"/>
      <c r="J16" s="125"/>
      <c r="K16" s="125"/>
      <c r="L16" s="125"/>
      <c r="M16" s="125"/>
      <c r="N16" s="125"/>
      <c r="O16" s="125"/>
      <c r="P16" s="1114" t="s">
        <v>344</v>
      </c>
      <c r="Q16" s="125"/>
      <c r="R16" s="125"/>
      <c r="S16" s="236"/>
      <c r="T16" s="157"/>
      <c r="V16" s="1113" t="s">
        <v>337</v>
      </c>
      <c r="W16" s="125"/>
      <c r="X16" s="125"/>
      <c r="Y16" s="125"/>
      <c r="Z16" s="125"/>
      <c r="AB16" s="1118" t="s">
        <v>329</v>
      </c>
      <c r="AE16" s="236"/>
      <c r="AF16" s="157"/>
      <c r="AG16" s="125"/>
      <c r="AH16" s="125"/>
      <c r="AI16" s="125"/>
      <c r="AJ16" s="125"/>
      <c r="AK16" s="125"/>
      <c r="AL16" s="125"/>
      <c r="AM16" s="125"/>
      <c r="AN16" s="125"/>
      <c r="AO16" s="125"/>
      <c r="AP16" s="125"/>
      <c r="AQ16" s="125"/>
    </row>
    <row r="17" spans="1:88" ht="16" customHeight="1">
      <c r="A17" s="125"/>
      <c r="B17" s="125"/>
      <c r="C17" s="138"/>
      <c r="D17" s="138"/>
      <c r="E17" s="125"/>
      <c r="F17" s="125"/>
      <c r="G17" s="125"/>
      <c r="H17" s="125"/>
      <c r="I17" s="125"/>
      <c r="J17" s="125"/>
      <c r="K17" s="125"/>
      <c r="L17" s="125"/>
      <c r="M17" s="125"/>
      <c r="N17" s="125"/>
      <c r="O17" s="125"/>
      <c r="P17" s="1115"/>
      <c r="Q17" s="125"/>
      <c r="R17" s="125"/>
      <c r="S17" s="236"/>
      <c r="T17" s="157"/>
      <c r="V17" s="1113"/>
      <c r="W17" s="125"/>
      <c r="X17" s="125"/>
      <c r="Y17" s="125"/>
      <c r="Z17" s="125"/>
      <c r="AA17" s="157"/>
      <c r="AB17" s="1118"/>
      <c r="AE17" s="236"/>
      <c r="AF17" s="157"/>
      <c r="AG17" s="125"/>
      <c r="AH17" s="125"/>
      <c r="AI17" s="125"/>
      <c r="AJ17" s="125"/>
      <c r="AK17" s="125"/>
      <c r="AL17" s="125"/>
      <c r="AM17" s="125"/>
      <c r="AN17" s="125"/>
      <c r="AO17" s="125"/>
      <c r="AP17" s="125"/>
      <c r="AQ17" s="125"/>
    </row>
    <row r="18" spans="1:88" ht="16" customHeight="1">
      <c r="A18" s="125"/>
      <c r="B18" s="125"/>
      <c r="C18" s="138"/>
      <c r="D18" s="138"/>
      <c r="E18" s="125"/>
      <c r="F18" s="125"/>
      <c r="G18" s="125"/>
      <c r="H18" s="125"/>
      <c r="I18" s="125"/>
      <c r="J18" s="125"/>
      <c r="K18" s="125"/>
      <c r="L18" s="125"/>
      <c r="M18" s="125"/>
      <c r="N18" s="125"/>
      <c r="O18" s="125"/>
      <c r="P18" s="859"/>
      <c r="Q18" s="125"/>
      <c r="R18" s="125"/>
      <c r="S18" s="236"/>
      <c r="T18" s="157"/>
      <c r="U18" s="157"/>
      <c r="V18" s="262"/>
      <c r="W18" s="125"/>
      <c r="X18" s="125"/>
      <c r="Y18" s="125"/>
      <c r="Z18" s="125"/>
      <c r="AA18" s="157"/>
      <c r="AB18" s="894"/>
      <c r="AD18" s="125"/>
      <c r="AE18" s="236"/>
      <c r="AF18" s="157"/>
      <c r="AG18" s="125"/>
      <c r="AH18" s="125"/>
      <c r="AI18" s="125"/>
      <c r="AJ18" s="125"/>
      <c r="AK18" s="125"/>
      <c r="AL18" s="125"/>
      <c r="AM18" s="125"/>
      <c r="AN18" s="125"/>
      <c r="AO18" s="125"/>
      <c r="AP18" s="125"/>
      <c r="AQ18" s="125"/>
    </row>
    <row r="19" spans="1:88" s="50" customFormat="1" ht="16" customHeight="1">
      <c r="A19" s="127"/>
      <c r="B19" s="127"/>
      <c r="C19" s="129"/>
      <c r="D19" s="129"/>
      <c r="G19" s="132" t="s">
        <v>7</v>
      </c>
      <c r="H19" s="145">
        <f>'Pricing Model'!$C$5</f>
        <v>45658</v>
      </c>
      <c r="I19" s="146">
        <f t="shared" ref="I19:AP19" si="0">DATE(YEAR(H19),MONTH(H19),DAY(EOMONTH(H19,0)))+1</f>
        <v>45689</v>
      </c>
      <c r="J19" s="146">
        <f t="shared" si="0"/>
        <v>45717</v>
      </c>
      <c r="K19" s="146">
        <f t="shared" si="0"/>
        <v>45748</v>
      </c>
      <c r="L19" s="146">
        <f t="shared" si="0"/>
        <v>45778</v>
      </c>
      <c r="M19" s="146">
        <f t="shared" si="0"/>
        <v>45809</v>
      </c>
      <c r="N19" s="146">
        <f t="shared" si="0"/>
        <v>45839</v>
      </c>
      <c r="O19" s="146">
        <f t="shared" si="0"/>
        <v>45870</v>
      </c>
      <c r="P19" s="860">
        <f t="shared" si="0"/>
        <v>45901</v>
      </c>
      <c r="Q19" s="146">
        <f t="shared" si="0"/>
        <v>45931</v>
      </c>
      <c r="R19" s="146">
        <f t="shared" si="0"/>
        <v>45962</v>
      </c>
      <c r="S19" s="237">
        <f t="shared" si="0"/>
        <v>45992</v>
      </c>
      <c r="T19" s="146">
        <f t="shared" si="0"/>
        <v>46023</v>
      </c>
      <c r="U19" s="146">
        <f t="shared" si="0"/>
        <v>46054</v>
      </c>
      <c r="V19" s="263">
        <f t="shared" si="0"/>
        <v>46082</v>
      </c>
      <c r="W19" s="146">
        <f t="shared" si="0"/>
        <v>46113</v>
      </c>
      <c r="X19" s="146">
        <f t="shared" si="0"/>
        <v>46143</v>
      </c>
      <c r="Y19" s="146">
        <f t="shared" si="0"/>
        <v>46174</v>
      </c>
      <c r="Z19" s="146">
        <f t="shared" si="0"/>
        <v>46204</v>
      </c>
      <c r="AA19" s="146">
        <f t="shared" si="0"/>
        <v>46235</v>
      </c>
      <c r="AB19" s="896">
        <f t="shared" si="0"/>
        <v>46266</v>
      </c>
      <c r="AC19" s="146">
        <f t="shared" si="0"/>
        <v>46296</v>
      </c>
      <c r="AD19" s="146">
        <f t="shared" si="0"/>
        <v>46327</v>
      </c>
      <c r="AE19" s="237">
        <f t="shared" si="0"/>
        <v>46357</v>
      </c>
      <c r="AF19" s="146">
        <f t="shared" si="0"/>
        <v>46388</v>
      </c>
      <c r="AG19" s="146">
        <f t="shared" si="0"/>
        <v>46419</v>
      </c>
      <c r="AH19" s="146">
        <f t="shared" si="0"/>
        <v>46447</v>
      </c>
      <c r="AI19" s="146">
        <f t="shared" si="0"/>
        <v>46478</v>
      </c>
      <c r="AJ19" s="146">
        <f t="shared" si="0"/>
        <v>46508</v>
      </c>
      <c r="AK19" s="146">
        <f t="shared" si="0"/>
        <v>46539</v>
      </c>
      <c r="AL19" s="146">
        <f t="shared" si="0"/>
        <v>46569</v>
      </c>
      <c r="AM19" s="146">
        <f t="shared" si="0"/>
        <v>46600</v>
      </c>
      <c r="AN19" s="146">
        <f t="shared" si="0"/>
        <v>46631</v>
      </c>
      <c r="AO19" s="146">
        <f t="shared" si="0"/>
        <v>46661</v>
      </c>
      <c r="AP19" s="146">
        <f t="shared" si="0"/>
        <v>46692</v>
      </c>
      <c r="AQ19" s="146">
        <f>DATE(YEAR(AP19),MONTH(AP19),DAY(EOMONTH(AP19,0)))+1+2025.1-2025.1</f>
        <v>46722</v>
      </c>
    </row>
    <row r="20" spans="1:88" s="50" customFormat="1" ht="20" customHeight="1">
      <c r="A20" s="127"/>
      <c r="B20" s="255" t="str">
        <f>'Pricing Model'!B19</f>
        <v>Appetisers</v>
      </c>
      <c r="C20" s="147"/>
      <c r="D20" s="147"/>
      <c r="E20" s="147"/>
      <c r="F20" s="147"/>
      <c r="G20" s="147"/>
      <c r="H20" s="147"/>
      <c r="I20" s="147"/>
      <c r="J20" s="147"/>
      <c r="K20" s="147"/>
      <c r="L20" s="147"/>
      <c r="M20" s="147"/>
      <c r="N20" s="147"/>
      <c r="O20" s="147"/>
      <c r="P20" s="861"/>
      <c r="Q20" s="147"/>
      <c r="R20" s="147"/>
      <c r="S20" s="238"/>
      <c r="T20" s="147"/>
      <c r="U20" s="147"/>
      <c r="V20" s="264"/>
      <c r="W20" s="147"/>
      <c r="X20" s="147"/>
      <c r="Y20" s="147"/>
      <c r="Z20" s="147"/>
      <c r="AA20" s="147"/>
      <c r="AB20" s="897"/>
      <c r="AC20" s="147"/>
      <c r="AD20" s="147"/>
      <c r="AE20" s="238"/>
      <c r="AF20" s="147"/>
      <c r="AG20" s="147"/>
      <c r="AH20" s="147"/>
      <c r="AI20" s="147"/>
      <c r="AJ20" s="147"/>
      <c r="AK20" s="147"/>
      <c r="AL20" s="147"/>
      <c r="AM20" s="147"/>
      <c r="AN20" s="147"/>
      <c r="AO20" s="147"/>
      <c r="AP20" s="147"/>
      <c r="AQ20" s="147"/>
    </row>
    <row r="21" spans="1:88" s="252" customFormat="1" ht="16" customHeight="1">
      <c r="A21" s="131"/>
      <c r="B21" s="132"/>
      <c r="C21" s="174" t="s">
        <v>286</v>
      </c>
      <c r="D21" s="174"/>
      <c r="E21" s="171"/>
      <c r="F21" s="143"/>
      <c r="G21" s="132"/>
      <c r="H21" s="130"/>
      <c r="I21" s="130"/>
      <c r="J21" s="130"/>
      <c r="K21" s="130"/>
      <c r="L21" s="130"/>
      <c r="M21" s="130"/>
      <c r="N21" s="130"/>
      <c r="O21" s="130"/>
      <c r="P21" s="862"/>
      <c r="Q21" s="130"/>
      <c r="R21" s="130"/>
      <c r="S21" s="239"/>
      <c r="T21" s="130"/>
      <c r="U21" s="130"/>
      <c r="V21" s="265"/>
      <c r="W21" s="130"/>
      <c r="X21" s="130"/>
      <c r="Y21" s="130"/>
      <c r="Z21" s="130"/>
      <c r="AA21" s="130"/>
      <c r="AB21" s="898"/>
      <c r="AC21" s="130"/>
      <c r="AD21" s="232"/>
      <c r="AE21" s="239"/>
      <c r="AF21" s="130"/>
      <c r="AG21" s="130"/>
      <c r="AH21" s="130"/>
      <c r="AI21" s="130"/>
      <c r="AJ21" s="130"/>
      <c r="AK21" s="130"/>
      <c r="AL21" s="130"/>
      <c r="AM21" s="130"/>
      <c r="AN21" s="130"/>
      <c r="AO21" s="130"/>
      <c r="AP21" s="130"/>
      <c r="AQ21" s="130"/>
    </row>
    <row r="22" spans="1:88" s="252" customFormat="1" ht="16" customHeight="1">
      <c r="B22" s="299"/>
      <c r="C22" s="175"/>
      <c r="D22" s="175"/>
      <c r="E22" s="173"/>
      <c r="F22" s="173"/>
      <c r="H22" s="222" t="s">
        <v>308</v>
      </c>
      <c r="I22" s="206"/>
      <c r="J22" s="206"/>
      <c r="K22" s="206"/>
      <c r="L22" s="206"/>
      <c r="M22" s="206"/>
      <c r="N22" s="206"/>
      <c r="O22" s="229"/>
      <c r="P22" s="863"/>
      <c r="Q22" s="229" t="s">
        <v>316</v>
      </c>
      <c r="R22" s="228"/>
      <c r="S22" s="240"/>
      <c r="T22" s="229" t="s">
        <v>312</v>
      </c>
      <c r="U22" s="206"/>
      <c r="V22" s="279"/>
      <c r="W22" s="231" t="s">
        <v>338</v>
      </c>
      <c r="X22" s="206"/>
      <c r="Y22" s="281" t="str">
        <f>'Pricing Model'!B41</f>
        <v>Sesame Prawn Toast</v>
      </c>
      <c r="Z22" s="282"/>
      <c r="AA22" s="228"/>
      <c r="AB22" s="899"/>
      <c r="AC22" s="206"/>
      <c r="AD22" s="231" t="s">
        <v>331</v>
      </c>
      <c r="AE22" s="240"/>
      <c r="AF22" s="222" t="s">
        <v>346</v>
      </c>
      <c r="AG22" s="228"/>
      <c r="AH22" s="206"/>
      <c r="AI22" s="206"/>
      <c r="AJ22" s="206"/>
      <c r="AK22" s="206"/>
      <c r="AL22" s="206"/>
      <c r="AM22" s="206"/>
      <c r="AN22" s="206"/>
      <c r="AO22" s="206"/>
      <c r="AP22" s="206"/>
      <c r="AQ22" s="206"/>
    </row>
    <row r="23" spans="1:88" s="290" customFormat="1">
      <c r="A23" s="134"/>
      <c r="B23" s="1108" t="str">
        <f>'Pricing Model'!B41</f>
        <v>Sesame Prawn Toast</v>
      </c>
      <c r="C23" s="493">
        <f>'Pricing Model'!$C$6</f>
        <v>2025</v>
      </c>
      <c r="D23" s="204"/>
      <c r="E23" s="139">
        <f>'Pricing Model'!C$56</f>
        <v>0.72382222222222226</v>
      </c>
      <c r="F23" s="1109"/>
      <c r="G23" s="141" t="s">
        <v>353</v>
      </c>
      <c r="H23" s="53">
        <v>400</v>
      </c>
      <c r="I23" s="53">
        <v>400</v>
      </c>
      <c r="J23" s="53">
        <v>425</v>
      </c>
      <c r="K23" s="53">
        <v>450</v>
      </c>
      <c r="L23" s="53">
        <v>470</v>
      </c>
      <c r="M23" s="53">
        <v>550</v>
      </c>
      <c r="N23" s="53">
        <v>630</v>
      </c>
      <c r="O23" s="53">
        <v>650</v>
      </c>
      <c r="P23" s="864">
        <v>670</v>
      </c>
      <c r="Q23" s="53">
        <v>680</v>
      </c>
      <c r="R23" s="53">
        <v>695</v>
      </c>
      <c r="S23" s="241">
        <v>715</v>
      </c>
      <c r="T23" s="53">
        <v>740</v>
      </c>
      <c r="U23" s="53">
        <v>800</v>
      </c>
      <c r="V23" s="267">
        <v>900</v>
      </c>
      <c r="W23" s="53">
        <v>1050</v>
      </c>
      <c r="X23" s="53">
        <v>1110</v>
      </c>
      <c r="Y23" s="53">
        <v>1190</v>
      </c>
      <c r="Z23" s="53">
        <v>1250</v>
      </c>
      <c r="AA23" s="53">
        <v>1300</v>
      </c>
      <c r="AB23" s="900">
        <v>1590</v>
      </c>
      <c r="AC23" s="53">
        <v>1680</v>
      </c>
      <c r="AD23" s="53">
        <v>1750</v>
      </c>
      <c r="AE23" s="241">
        <v>1810</v>
      </c>
      <c r="AF23" s="53">
        <v>1890</v>
      </c>
      <c r="AG23" s="53">
        <v>1970</v>
      </c>
      <c r="AH23" s="53">
        <v>2030</v>
      </c>
      <c r="AI23" s="53">
        <v>2100</v>
      </c>
      <c r="AJ23" s="53">
        <v>2175</v>
      </c>
      <c r="AK23" s="53">
        <v>2245</v>
      </c>
      <c r="AL23" s="53">
        <v>2315</v>
      </c>
      <c r="AM23" s="53">
        <v>2340</v>
      </c>
      <c r="AN23" s="53">
        <v>2380</v>
      </c>
      <c r="AO23" s="53">
        <v>2410</v>
      </c>
      <c r="AP23" s="53">
        <v>2440</v>
      </c>
      <c r="AQ23" s="53">
        <v>2475</v>
      </c>
    </row>
    <row r="24" spans="1:88" s="252" customFormat="1">
      <c r="A24" s="131"/>
      <c r="B24" s="1108"/>
      <c r="C24" s="493">
        <f>C23+1</f>
        <v>2026</v>
      </c>
      <c r="D24" s="204"/>
      <c r="E24" s="139">
        <f>'Pricing Model'!D$56</f>
        <v>0.72303314285714282</v>
      </c>
      <c r="F24" s="1109"/>
      <c r="G24" s="133" t="s">
        <v>285</v>
      </c>
      <c r="H24" s="133">
        <f>'Pricing Model'!$C$53</f>
        <v>5.625</v>
      </c>
      <c r="I24" s="133">
        <f>'Pricing Model'!$C$53</f>
        <v>5.625</v>
      </c>
      <c r="J24" s="133">
        <f>'Pricing Model'!$C$53</f>
        <v>5.625</v>
      </c>
      <c r="K24" s="133">
        <f>'Pricing Model'!$C$53</f>
        <v>5.625</v>
      </c>
      <c r="L24" s="133">
        <f>'Pricing Model'!$C$53</f>
        <v>5.625</v>
      </c>
      <c r="M24" s="133">
        <f>'Pricing Model'!$C$53</f>
        <v>5.625</v>
      </c>
      <c r="N24" s="133">
        <f>'Pricing Model'!$C$53</f>
        <v>5.625</v>
      </c>
      <c r="O24" s="133">
        <f>'Pricing Model'!$C$53</f>
        <v>5.625</v>
      </c>
      <c r="P24" s="865">
        <f>'Pricing Model'!$C$53</f>
        <v>5.625</v>
      </c>
      <c r="Q24" s="133">
        <f>'Pricing Model'!$C$53</f>
        <v>5.625</v>
      </c>
      <c r="R24" s="133">
        <f>'Pricing Model'!$C$53</f>
        <v>5.625</v>
      </c>
      <c r="S24" s="242">
        <f>'Pricing Model'!$C$53</f>
        <v>5.625</v>
      </c>
      <c r="T24" s="133">
        <f>'Pricing Model'!$D$53</f>
        <v>5.833333333333333</v>
      </c>
      <c r="U24" s="133">
        <f>'Pricing Model'!$D$53</f>
        <v>5.833333333333333</v>
      </c>
      <c r="V24" s="268">
        <f>'Pricing Model'!$D$53</f>
        <v>5.833333333333333</v>
      </c>
      <c r="W24" s="133">
        <f>'Pricing Model'!$D$53</f>
        <v>5.833333333333333</v>
      </c>
      <c r="X24" s="133">
        <f>'Pricing Model'!$D$53</f>
        <v>5.833333333333333</v>
      </c>
      <c r="Y24" s="133">
        <f>'Pricing Model'!$D$53</f>
        <v>5.833333333333333</v>
      </c>
      <c r="Z24" s="133">
        <f>'Pricing Model'!$D$53</f>
        <v>5.833333333333333</v>
      </c>
      <c r="AA24" s="133">
        <f>'Pricing Model'!$D$53</f>
        <v>5.833333333333333</v>
      </c>
      <c r="AB24" s="901">
        <f>'Pricing Model'!$D$53</f>
        <v>5.833333333333333</v>
      </c>
      <c r="AC24" s="133">
        <f>'Pricing Model'!$D$53</f>
        <v>5.833333333333333</v>
      </c>
      <c r="AD24" s="133">
        <f>'Pricing Model'!$D$53</f>
        <v>5.833333333333333</v>
      </c>
      <c r="AE24" s="242">
        <f>'Pricing Model'!$D$53</f>
        <v>5.833333333333333</v>
      </c>
      <c r="AF24" s="133">
        <f>'Pricing Model'!$E$53</f>
        <v>6</v>
      </c>
      <c r="AG24" s="133">
        <f>'Pricing Model'!$E$53</f>
        <v>6</v>
      </c>
      <c r="AH24" s="133">
        <f>'Pricing Model'!$E$53</f>
        <v>6</v>
      </c>
      <c r="AI24" s="133">
        <f>'Pricing Model'!$E$53</f>
        <v>6</v>
      </c>
      <c r="AJ24" s="133">
        <f>'Pricing Model'!$E$53</f>
        <v>6</v>
      </c>
      <c r="AK24" s="133">
        <f>'Pricing Model'!$E$53</f>
        <v>6</v>
      </c>
      <c r="AL24" s="133">
        <f>'Pricing Model'!$E$53</f>
        <v>6</v>
      </c>
      <c r="AM24" s="133">
        <f>'Pricing Model'!$E$53</f>
        <v>6</v>
      </c>
      <c r="AN24" s="133">
        <f>'Pricing Model'!$E$53</f>
        <v>6</v>
      </c>
      <c r="AO24" s="133">
        <f>'Pricing Model'!$E$53</f>
        <v>6</v>
      </c>
      <c r="AP24" s="133">
        <f>'Pricing Model'!$E$53</f>
        <v>6</v>
      </c>
      <c r="AQ24" s="133">
        <f>'Pricing Model'!$E$53</f>
        <v>6</v>
      </c>
    </row>
    <row r="25" spans="1:88" s="288" customFormat="1">
      <c r="A25" s="130"/>
      <c r="B25" s="1108"/>
      <c r="C25" s="493">
        <f>C24+1</f>
        <v>2027</v>
      </c>
      <c r="D25" s="204"/>
      <c r="E25" s="139">
        <f>'Pricing Model'!E$56</f>
        <v>0.71928254999999996</v>
      </c>
      <c r="F25" s="1109"/>
      <c r="G25" s="133" t="s">
        <v>284</v>
      </c>
      <c r="H25" s="136">
        <f t="shared" ref="H25:AQ25" si="1">H23*H24</f>
        <v>2250</v>
      </c>
      <c r="I25" s="136">
        <f t="shared" si="1"/>
        <v>2250</v>
      </c>
      <c r="J25" s="136">
        <f t="shared" si="1"/>
        <v>2390.625</v>
      </c>
      <c r="K25" s="136">
        <f t="shared" si="1"/>
        <v>2531.25</v>
      </c>
      <c r="L25" s="136">
        <f t="shared" si="1"/>
        <v>2643.75</v>
      </c>
      <c r="M25" s="136">
        <f t="shared" si="1"/>
        <v>3093.75</v>
      </c>
      <c r="N25" s="136">
        <f t="shared" si="1"/>
        <v>3543.75</v>
      </c>
      <c r="O25" s="136">
        <f t="shared" si="1"/>
        <v>3656.25</v>
      </c>
      <c r="P25" s="866">
        <f t="shared" si="1"/>
        <v>3768.75</v>
      </c>
      <c r="Q25" s="136">
        <f t="shared" si="1"/>
        <v>3825</v>
      </c>
      <c r="R25" s="136">
        <f t="shared" si="1"/>
        <v>3909.375</v>
      </c>
      <c r="S25" s="243">
        <f t="shared" si="1"/>
        <v>4021.875</v>
      </c>
      <c r="T25" s="136">
        <f t="shared" si="1"/>
        <v>4316.6666666666661</v>
      </c>
      <c r="U25" s="136">
        <f t="shared" si="1"/>
        <v>4666.6666666666661</v>
      </c>
      <c r="V25" s="269">
        <f t="shared" si="1"/>
        <v>5250</v>
      </c>
      <c r="W25" s="136">
        <f t="shared" si="1"/>
        <v>6125</v>
      </c>
      <c r="X25" s="136">
        <f t="shared" si="1"/>
        <v>6475</v>
      </c>
      <c r="Y25" s="136">
        <f t="shared" si="1"/>
        <v>6941.6666666666661</v>
      </c>
      <c r="Z25" s="136">
        <f t="shared" si="1"/>
        <v>7291.6666666666661</v>
      </c>
      <c r="AA25" s="136">
        <f t="shared" si="1"/>
        <v>7583.333333333333</v>
      </c>
      <c r="AB25" s="902">
        <f t="shared" si="1"/>
        <v>9275</v>
      </c>
      <c r="AC25" s="136">
        <f t="shared" si="1"/>
        <v>9800</v>
      </c>
      <c r="AD25" s="136">
        <f t="shared" si="1"/>
        <v>10208.333333333332</v>
      </c>
      <c r="AE25" s="243">
        <f t="shared" si="1"/>
        <v>10558.333333333332</v>
      </c>
      <c r="AF25" s="136">
        <f t="shared" si="1"/>
        <v>11340</v>
      </c>
      <c r="AG25" s="136">
        <f t="shared" si="1"/>
        <v>11820</v>
      </c>
      <c r="AH25" s="136">
        <f t="shared" si="1"/>
        <v>12180</v>
      </c>
      <c r="AI25" s="136">
        <f t="shared" si="1"/>
        <v>12600</v>
      </c>
      <c r="AJ25" s="136">
        <f t="shared" si="1"/>
        <v>13050</v>
      </c>
      <c r="AK25" s="136">
        <f t="shared" si="1"/>
        <v>13470</v>
      </c>
      <c r="AL25" s="136">
        <f t="shared" si="1"/>
        <v>13890</v>
      </c>
      <c r="AM25" s="136">
        <f t="shared" si="1"/>
        <v>14040</v>
      </c>
      <c r="AN25" s="136">
        <f t="shared" si="1"/>
        <v>14280</v>
      </c>
      <c r="AO25" s="136">
        <f t="shared" si="1"/>
        <v>14460</v>
      </c>
      <c r="AP25" s="136">
        <f t="shared" si="1"/>
        <v>14640</v>
      </c>
      <c r="AQ25" s="136">
        <f t="shared" si="1"/>
        <v>14850</v>
      </c>
      <c r="AR25" s="291"/>
      <c r="AS25" s="291"/>
      <c r="AT25" s="291"/>
      <c r="AU25" s="291"/>
      <c r="AV25" s="291"/>
      <c r="AW25" s="291"/>
      <c r="AX25" s="291"/>
      <c r="AY25" s="291"/>
      <c r="AZ25" s="291"/>
      <c r="BA25" s="291"/>
      <c r="BB25" s="291"/>
      <c r="BC25" s="291"/>
      <c r="BD25" s="291"/>
      <c r="BE25" s="291"/>
      <c r="BF25" s="291"/>
      <c r="BG25" s="291"/>
      <c r="BH25" s="291"/>
      <c r="BI25" s="291"/>
      <c r="BJ25" s="291"/>
      <c r="BK25" s="291"/>
      <c r="BL25" s="291"/>
      <c r="BM25" s="291"/>
      <c r="BN25" s="291"/>
      <c r="BO25" s="291"/>
      <c r="BP25" s="291"/>
      <c r="BQ25" s="291"/>
      <c r="BR25" s="291"/>
      <c r="BS25" s="291"/>
      <c r="BT25" s="291"/>
      <c r="BU25" s="291"/>
      <c r="BV25" s="291"/>
      <c r="BW25" s="291"/>
      <c r="BX25" s="291"/>
      <c r="BY25" s="291"/>
      <c r="BZ25" s="291"/>
      <c r="CA25" s="291"/>
      <c r="CB25" s="291"/>
      <c r="CC25" s="291"/>
      <c r="CD25" s="291"/>
      <c r="CE25" s="291"/>
      <c r="CF25" s="291"/>
      <c r="CG25" s="291"/>
      <c r="CH25" s="291"/>
      <c r="CI25" s="291"/>
      <c r="CJ25" s="291"/>
    </row>
    <row r="26" spans="1:88" s="288" customFormat="1" ht="16" customHeight="1">
      <c r="A26" s="130"/>
      <c r="B26" s="1108"/>
      <c r="C26" s="143"/>
      <c r="D26" s="130"/>
      <c r="E26" s="211"/>
      <c r="F26" s="211"/>
      <c r="G26" s="132" t="s">
        <v>239</v>
      </c>
      <c r="H26" s="135">
        <f t="shared" ref="H26:S26" si="2">$E23*H25</f>
        <v>1628.6000000000001</v>
      </c>
      <c r="I26" s="135">
        <f t="shared" si="2"/>
        <v>1628.6000000000001</v>
      </c>
      <c r="J26" s="135">
        <f t="shared" si="2"/>
        <v>1730.3875</v>
      </c>
      <c r="K26" s="135">
        <f t="shared" si="2"/>
        <v>1832.1750000000002</v>
      </c>
      <c r="L26" s="135">
        <f t="shared" si="2"/>
        <v>1913.605</v>
      </c>
      <c r="M26" s="135">
        <f t="shared" si="2"/>
        <v>2239.3250000000003</v>
      </c>
      <c r="N26" s="135">
        <f t="shared" si="2"/>
        <v>2565.0450000000001</v>
      </c>
      <c r="O26" s="135">
        <f t="shared" si="2"/>
        <v>2646.4749999999999</v>
      </c>
      <c r="P26" s="867">
        <f t="shared" si="2"/>
        <v>2727.9050000000002</v>
      </c>
      <c r="Q26" s="135">
        <f t="shared" si="2"/>
        <v>2768.6200000000003</v>
      </c>
      <c r="R26" s="135">
        <f t="shared" si="2"/>
        <v>2829.6925000000001</v>
      </c>
      <c r="S26" s="244">
        <f t="shared" si="2"/>
        <v>2911.1224999999999</v>
      </c>
      <c r="T26" s="135">
        <f t="shared" ref="T26:AE26" si="3">$E24*T25</f>
        <v>3121.0930666666659</v>
      </c>
      <c r="U26" s="135">
        <f t="shared" si="3"/>
        <v>3374.1546666666659</v>
      </c>
      <c r="V26" s="270">
        <f t="shared" si="3"/>
        <v>3795.924</v>
      </c>
      <c r="W26" s="135">
        <f t="shared" si="3"/>
        <v>4428.5779999999995</v>
      </c>
      <c r="X26" s="135">
        <f t="shared" si="3"/>
        <v>4681.6395999999995</v>
      </c>
      <c r="Y26" s="135">
        <f t="shared" si="3"/>
        <v>5019.0550666666659</v>
      </c>
      <c r="Z26" s="135">
        <f t="shared" si="3"/>
        <v>5272.1166666666659</v>
      </c>
      <c r="AA26" s="135">
        <f t="shared" si="3"/>
        <v>5483.0013333333327</v>
      </c>
      <c r="AB26" s="903">
        <f t="shared" si="3"/>
        <v>6706.1323999999995</v>
      </c>
      <c r="AC26" s="135">
        <f t="shared" si="3"/>
        <v>7085.7248</v>
      </c>
      <c r="AD26" s="135">
        <f t="shared" si="3"/>
        <v>7380.9633333333322</v>
      </c>
      <c r="AE26" s="244">
        <f t="shared" si="3"/>
        <v>7634.0249333333322</v>
      </c>
      <c r="AF26" s="135">
        <f t="shared" ref="AF26:AQ26" si="4">$E25*AF25</f>
        <v>8156.6641169999994</v>
      </c>
      <c r="AG26" s="135">
        <f t="shared" si="4"/>
        <v>8501.9197409999997</v>
      </c>
      <c r="AH26" s="135">
        <f t="shared" si="4"/>
        <v>8760.8614589999997</v>
      </c>
      <c r="AI26" s="135">
        <f t="shared" si="4"/>
        <v>9062.9601299999995</v>
      </c>
      <c r="AJ26" s="135">
        <f t="shared" si="4"/>
        <v>9386.6372775</v>
      </c>
      <c r="AK26" s="135">
        <f t="shared" si="4"/>
        <v>9688.7359484999997</v>
      </c>
      <c r="AL26" s="135">
        <f t="shared" si="4"/>
        <v>9990.8346194999995</v>
      </c>
      <c r="AM26" s="135">
        <f t="shared" si="4"/>
        <v>10098.727002</v>
      </c>
      <c r="AN26" s="135">
        <f t="shared" si="4"/>
        <v>10271.354814</v>
      </c>
      <c r="AO26" s="135">
        <f t="shared" si="4"/>
        <v>10400.825672999999</v>
      </c>
      <c r="AP26" s="135">
        <f t="shared" si="4"/>
        <v>10530.296532</v>
      </c>
      <c r="AQ26" s="135">
        <f t="shared" si="4"/>
        <v>10681.3458675</v>
      </c>
      <c r="AR26" s="291"/>
      <c r="AS26" s="291"/>
      <c r="AT26" s="291"/>
      <c r="AU26" s="291"/>
      <c r="AV26" s="291"/>
      <c r="AW26" s="291"/>
      <c r="AX26" s="291"/>
      <c r="AY26" s="291"/>
      <c r="AZ26" s="291"/>
      <c r="BA26" s="291"/>
      <c r="BB26" s="291"/>
      <c r="BC26" s="291"/>
      <c r="BD26" s="291"/>
      <c r="BE26" s="291"/>
      <c r="BF26" s="291"/>
      <c r="BG26" s="291"/>
      <c r="BH26" s="291"/>
      <c r="BI26" s="291"/>
      <c r="BJ26" s="291"/>
      <c r="BK26" s="291"/>
      <c r="BL26" s="291"/>
      <c r="BM26" s="291"/>
      <c r="BN26" s="291"/>
      <c r="BO26" s="291"/>
      <c r="BP26" s="291"/>
      <c r="BQ26" s="291"/>
      <c r="BR26" s="291"/>
      <c r="BS26" s="291"/>
      <c r="BT26" s="291"/>
      <c r="BU26" s="291"/>
      <c r="BV26" s="291"/>
      <c r="BW26" s="291"/>
      <c r="BX26" s="291"/>
      <c r="BY26" s="291"/>
      <c r="BZ26" s="291"/>
      <c r="CA26" s="291"/>
      <c r="CB26" s="291"/>
      <c r="CC26" s="291"/>
      <c r="CD26" s="291"/>
      <c r="CE26" s="291"/>
      <c r="CF26" s="291"/>
      <c r="CG26" s="291"/>
      <c r="CH26" s="291"/>
      <c r="CI26" s="291"/>
      <c r="CJ26" s="291"/>
    </row>
    <row r="27" spans="1:88" s="288" customFormat="1" ht="16" customHeight="1">
      <c r="A27" s="130"/>
      <c r="B27" s="127"/>
      <c r="C27" s="209"/>
      <c r="D27" s="129"/>
      <c r="E27" s="142"/>
      <c r="F27" s="142"/>
      <c r="G27" s="133"/>
      <c r="H27" s="136"/>
      <c r="I27" s="136"/>
      <c r="J27" s="136"/>
      <c r="K27" s="136"/>
      <c r="L27" s="136"/>
      <c r="M27" s="136"/>
      <c r="N27" s="136"/>
      <c r="O27" s="136"/>
      <c r="P27" s="866"/>
      <c r="Q27" s="136"/>
      <c r="R27" s="136"/>
      <c r="S27" s="243"/>
      <c r="T27" s="136"/>
      <c r="U27" s="136"/>
      <c r="V27" s="269"/>
      <c r="W27" s="136"/>
      <c r="X27" s="136"/>
      <c r="Y27" s="136"/>
      <c r="Z27" s="136"/>
      <c r="AA27" s="136"/>
      <c r="AB27" s="902"/>
      <c r="AC27" s="136"/>
      <c r="AD27" s="51"/>
      <c r="AE27" s="243"/>
      <c r="AF27" s="136"/>
      <c r="AG27" s="136"/>
      <c r="AH27" s="136"/>
      <c r="AI27" s="136"/>
      <c r="AJ27" s="136"/>
      <c r="AK27" s="136"/>
      <c r="AL27" s="136"/>
      <c r="AM27" s="136"/>
      <c r="AN27" s="136"/>
      <c r="AO27" s="136"/>
      <c r="AP27" s="136"/>
      <c r="AQ27" s="136"/>
      <c r="AR27" s="291"/>
      <c r="AS27" s="291"/>
      <c r="AT27" s="291"/>
      <c r="AU27" s="291"/>
      <c r="AV27" s="291"/>
      <c r="AW27" s="291"/>
      <c r="AX27" s="291"/>
      <c r="AY27" s="291"/>
      <c r="AZ27" s="291"/>
      <c r="BA27" s="291"/>
      <c r="BB27" s="291"/>
      <c r="BC27" s="291"/>
      <c r="BD27" s="291"/>
      <c r="BE27" s="291"/>
      <c r="BF27" s="291"/>
      <c r="BG27" s="291"/>
      <c r="BH27" s="291"/>
      <c r="BI27" s="291"/>
      <c r="BJ27" s="291"/>
      <c r="BK27" s="291"/>
      <c r="BL27" s="291"/>
      <c r="BM27" s="291"/>
      <c r="BN27" s="291"/>
      <c r="BO27" s="291"/>
      <c r="BP27" s="291"/>
      <c r="BQ27" s="291"/>
      <c r="BR27" s="291"/>
      <c r="BS27" s="291"/>
      <c r="BT27" s="291"/>
      <c r="BU27" s="291"/>
      <c r="BV27" s="291"/>
      <c r="BW27" s="291"/>
      <c r="BX27" s="291"/>
      <c r="BY27" s="291"/>
      <c r="BZ27" s="291"/>
      <c r="CA27" s="291"/>
      <c r="CB27" s="291"/>
      <c r="CC27" s="291"/>
      <c r="CD27" s="291"/>
      <c r="CE27" s="291"/>
      <c r="CF27" s="291"/>
      <c r="CG27" s="291"/>
      <c r="CH27" s="291"/>
      <c r="CI27" s="291"/>
      <c r="CJ27" s="291"/>
    </row>
    <row r="28" spans="1:88" s="288" customFormat="1" ht="16" customHeight="1">
      <c r="A28" s="130"/>
      <c r="B28" s="283"/>
      <c r="C28" s="494"/>
      <c r="D28" s="286"/>
      <c r="E28" s="287"/>
      <c r="F28" s="287"/>
      <c r="H28" s="222" t="s">
        <v>317</v>
      </c>
      <c r="I28" s="206"/>
      <c r="J28" s="206"/>
      <c r="K28" s="206"/>
      <c r="L28" s="206"/>
      <c r="M28" s="206"/>
      <c r="N28" s="206"/>
      <c r="O28" s="229"/>
      <c r="P28" s="863"/>
      <c r="Q28" s="206"/>
      <c r="R28" s="206"/>
      <c r="S28" s="240"/>
      <c r="T28" s="229" t="s">
        <v>314</v>
      </c>
      <c r="U28" s="206"/>
      <c r="V28" s="266"/>
      <c r="W28" s="231" t="s">
        <v>339</v>
      </c>
      <c r="X28" s="206"/>
      <c r="Y28" s="281" t="str">
        <f>'Pricing Model'!G41</f>
        <v>Chinese Beef with Broccoli</v>
      </c>
      <c r="Z28" s="282"/>
      <c r="AA28" s="206"/>
      <c r="AB28" s="899"/>
      <c r="AC28" s="206"/>
      <c r="AD28" s="231" t="s">
        <v>333</v>
      </c>
      <c r="AE28" s="240"/>
      <c r="AF28" s="222" t="s">
        <v>347</v>
      </c>
      <c r="AG28" s="206"/>
      <c r="AH28" s="206"/>
      <c r="AI28" s="206"/>
      <c r="AJ28" s="206"/>
      <c r="AK28" s="206"/>
      <c r="AL28" s="206"/>
      <c r="AM28" s="206"/>
      <c r="AN28" s="206"/>
      <c r="AO28" s="206"/>
      <c r="AP28" s="206"/>
      <c r="AQ28" s="206"/>
      <c r="AR28" s="291"/>
      <c r="AS28" s="291"/>
      <c r="AT28" s="291"/>
      <c r="AU28" s="291"/>
      <c r="AV28" s="291"/>
      <c r="AW28" s="291"/>
      <c r="AX28" s="291"/>
      <c r="AY28" s="291"/>
      <c r="AZ28" s="291"/>
      <c r="BA28" s="291"/>
      <c r="BB28" s="291"/>
      <c r="BC28" s="291"/>
      <c r="BD28" s="291"/>
      <c r="BE28" s="291"/>
      <c r="BF28" s="291"/>
      <c r="BG28" s="291"/>
      <c r="BH28" s="291"/>
      <c r="BI28" s="291"/>
      <c r="BJ28" s="291"/>
      <c r="BK28" s="291"/>
      <c r="BL28" s="291"/>
      <c r="BM28" s="291"/>
      <c r="BN28" s="291"/>
      <c r="BO28" s="291"/>
      <c r="BP28" s="291"/>
      <c r="BQ28" s="291"/>
      <c r="BR28" s="291"/>
      <c r="BS28" s="291"/>
      <c r="BT28" s="291"/>
      <c r="BU28" s="291"/>
      <c r="BV28" s="291"/>
      <c r="BW28" s="291"/>
      <c r="BX28" s="291"/>
      <c r="BY28" s="291"/>
      <c r="BZ28" s="291"/>
      <c r="CA28" s="291"/>
      <c r="CB28" s="291"/>
      <c r="CC28" s="291"/>
      <c r="CD28" s="291"/>
      <c r="CE28" s="291"/>
      <c r="CF28" s="291"/>
      <c r="CG28" s="291"/>
      <c r="CH28" s="291"/>
      <c r="CI28" s="291"/>
      <c r="CJ28" s="291"/>
    </row>
    <row r="29" spans="1:88" s="50" customFormat="1" ht="16" customHeight="1">
      <c r="A29" s="130"/>
      <c r="B29" s="1108" t="str">
        <f>'Pricing Model'!G41</f>
        <v>Chinese Beef with Broccoli</v>
      </c>
      <c r="C29" s="493">
        <f>'Pricing Model'!$C$6</f>
        <v>2025</v>
      </c>
      <c r="D29" s="158"/>
      <c r="E29" s="139">
        <f>'Pricing Model'!H$56</f>
        <v>0.69490560000000001</v>
      </c>
      <c r="F29" s="1109"/>
      <c r="G29" s="141" t="s">
        <v>353</v>
      </c>
      <c r="H29" s="53">
        <v>250</v>
      </c>
      <c r="I29" s="53">
        <v>250</v>
      </c>
      <c r="J29" s="53">
        <v>300</v>
      </c>
      <c r="K29" s="53">
        <v>300</v>
      </c>
      <c r="L29" s="53">
        <v>320</v>
      </c>
      <c r="M29" s="53">
        <v>320</v>
      </c>
      <c r="N29" s="53">
        <v>360</v>
      </c>
      <c r="O29" s="53">
        <v>360</v>
      </c>
      <c r="P29" s="864">
        <v>340</v>
      </c>
      <c r="Q29" s="53">
        <v>350</v>
      </c>
      <c r="R29" s="53">
        <v>450</v>
      </c>
      <c r="S29" s="241">
        <v>470</v>
      </c>
      <c r="T29" s="53">
        <v>490</v>
      </c>
      <c r="U29" s="53">
        <v>530</v>
      </c>
      <c r="V29" s="267">
        <v>610</v>
      </c>
      <c r="W29" s="53">
        <v>640</v>
      </c>
      <c r="X29" s="53">
        <v>660</v>
      </c>
      <c r="Y29" s="53">
        <v>685</v>
      </c>
      <c r="Z29" s="53">
        <v>705</v>
      </c>
      <c r="AA29" s="53">
        <v>730</v>
      </c>
      <c r="AB29" s="900">
        <v>840</v>
      </c>
      <c r="AC29" s="53">
        <v>870</v>
      </c>
      <c r="AD29" s="53">
        <v>905</v>
      </c>
      <c r="AE29" s="241">
        <v>935</v>
      </c>
      <c r="AF29" s="53">
        <v>980</v>
      </c>
      <c r="AG29" s="53">
        <v>1020</v>
      </c>
      <c r="AH29" s="53">
        <v>1055</v>
      </c>
      <c r="AI29" s="53">
        <v>1090</v>
      </c>
      <c r="AJ29" s="53">
        <v>1120</v>
      </c>
      <c r="AK29" s="53">
        <v>1155</v>
      </c>
      <c r="AL29" s="53">
        <v>1185</v>
      </c>
      <c r="AM29" s="53">
        <v>1230</v>
      </c>
      <c r="AN29" s="53">
        <v>1265</v>
      </c>
      <c r="AO29" s="53">
        <v>1300</v>
      </c>
      <c r="AP29" s="53">
        <v>1340</v>
      </c>
      <c r="AQ29" s="53">
        <v>1380</v>
      </c>
    </row>
    <row r="30" spans="1:88" s="290" customFormat="1" ht="16" customHeight="1">
      <c r="A30" s="130"/>
      <c r="B30" s="1108"/>
      <c r="C30" s="493">
        <f>C29+1</f>
        <v>2026</v>
      </c>
      <c r="D30" s="158"/>
      <c r="E30" s="139">
        <f>'Pricing Model'!I$56</f>
        <v>0.69490560000000012</v>
      </c>
      <c r="F30" s="1109"/>
      <c r="G30" s="133" t="s">
        <v>285</v>
      </c>
      <c r="H30" s="133">
        <f>'Pricing Model'!$H$53</f>
        <v>6.25</v>
      </c>
      <c r="I30" s="133">
        <f>'Pricing Model'!$H$53</f>
        <v>6.25</v>
      </c>
      <c r="J30" s="133">
        <f>'Pricing Model'!$H$53</f>
        <v>6.25</v>
      </c>
      <c r="K30" s="133">
        <f>'Pricing Model'!$H$53</f>
        <v>6.25</v>
      </c>
      <c r="L30" s="133">
        <f>'Pricing Model'!$H$53</f>
        <v>6.25</v>
      </c>
      <c r="M30" s="133">
        <f>'Pricing Model'!$H$53</f>
        <v>6.25</v>
      </c>
      <c r="N30" s="133">
        <f>'Pricing Model'!$H$53</f>
        <v>6.25</v>
      </c>
      <c r="O30" s="133">
        <f>'Pricing Model'!$H$53</f>
        <v>6.25</v>
      </c>
      <c r="P30" s="865">
        <f>'Pricing Model'!$H$53</f>
        <v>6.25</v>
      </c>
      <c r="Q30" s="133">
        <f>'Pricing Model'!$H$53</f>
        <v>6.25</v>
      </c>
      <c r="R30" s="133">
        <f>'Pricing Model'!$H$53</f>
        <v>6.25</v>
      </c>
      <c r="S30" s="242">
        <f>'Pricing Model'!$H$53</f>
        <v>6.25</v>
      </c>
      <c r="T30" s="133">
        <f>'Pricing Model'!$I$53</f>
        <v>6.5</v>
      </c>
      <c r="U30" s="133">
        <f>'Pricing Model'!$I$53</f>
        <v>6.5</v>
      </c>
      <c r="V30" s="268">
        <f>'Pricing Model'!$I$53</f>
        <v>6.5</v>
      </c>
      <c r="W30" s="133">
        <f>'Pricing Model'!$I$53</f>
        <v>6.5</v>
      </c>
      <c r="X30" s="133">
        <f>'Pricing Model'!$I$53</f>
        <v>6.5</v>
      </c>
      <c r="Y30" s="133">
        <f>'Pricing Model'!$I$53</f>
        <v>6.5</v>
      </c>
      <c r="Z30" s="133">
        <f>'Pricing Model'!$I$53</f>
        <v>6.5</v>
      </c>
      <c r="AA30" s="133">
        <f>'Pricing Model'!$I$53</f>
        <v>6.5</v>
      </c>
      <c r="AB30" s="901">
        <f>'Pricing Model'!$I$53</f>
        <v>6.5</v>
      </c>
      <c r="AC30" s="133">
        <f>'Pricing Model'!$I$53</f>
        <v>6.5</v>
      </c>
      <c r="AD30" s="133">
        <f>'Pricing Model'!$I$53</f>
        <v>6.5</v>
      </c>
      <c r="AE30" s="242">
        <f>'Pricing Model'!$I$53</f>
        <v>6.5</v>
      </c>
      <c r="AF30" s="133">
        <f>'Pricing Model'!$J$53</f>
        <v>6.75</v>
      </c>
      <c r="AG30" s="133">
        <f>'Pricing Model'!$J$53</f>
        <v>6.75</v>
      </c>
      <c r="AH30" s="133">
        <f>'Pricing Model'!$J$53</f>
        <v>6.75</v>
      </c>
      <c r="AI30" s="133">
        <f>'Pricing Model'!$J$53</f>
        <v>6.75</v>
      </c>
      <c r="AJ30" s="133">
        <f>'Pricing Model'!$J$53</f>
        <v>6.75</v>
      </c>
      <c r="AK30" s="133">
        <f>'Pricing Model'!$J$53</f>
        <v>6.75</v>
      </c>
      <c r="AL30" s="133">
        <f>'Pricing Model'!$J$53</f>
        <v>6.75</v>
      </c>
      <c r="AM30" s="133">
        <f>'Pricing Model'!$J$53</f>
        <v>6.75</v>
      </c>
      <c r="AN30" s="133">
        <f>'Pricing Model'!$J$53</f>
        <v>6.75</v>
      </c>
      <c r="AO30" s="133">
        <f>'Pricing Model'!$J$53</f>
        <v>6.75</v>
      </c>
      <c r="AP30" s="133">
        <f>'Pricing Model'!$J$53</f>
        <v>6.75</v>
      </c>
      <c r="AQ30" s="133">
        <f>'Pricing Model'!$J$53</f>
        <v>6.75</v>
      </c>
    </row>
    <row r="31" spans="1:88" s="252" customFormat="1" ht="16" customHeight="1">
      <c r="A31" s="130"/>
      <c r="B31" s="1108"/>
      <c r="C31" s="493">
        <f>C30+1</f>
        <v>2027</v>
      </c>
      <c r="D31" s="159"/>
      <c r="E31" s="139">
        <f>'Pricing Model'!J$56</f>
        <v>0.69371912177777784</v>
      </c>
      <c r="F31" s="1109"/>
      <c r="G31" s="133" t="s">
        <v>284</v>
      </c>
      <c r="H31" s="136">
        <f>H29*H30</f>
        <v>1562.5</v>
      </c>
      <c r="I31" s="136">
        <f t="shared" ref="I31:AQ31" si="5">I29*I30</f>
        <v>1562.5</v>
      </c>
      <c r="J31" s="136">
        <f t="shared" si="5"/>
        <v>1875</v>
      </c>
      <c r="K31" s="136">
        <f t="shared" si="5"/>
        <v>1875</v>
      </c>
      <c r="L31" s="136">
        <f t="shared" si="5"/>
        <v>2000</v>
      </c>
      <c r="M31" s="136">
        <f t="shared" si="5"/>
        <v>2000</v>
      </c>
      <c r="N31" s="136">
        <f t="shared" si="5"/>
        <v>2250</v>
      </c>
      <c r="O31" s="136">
        <f t="shared" si="5"/>
        <v>2250</v>
      </c>
      <c r="P31" s="866">
        <f t="shared" si="5"/>
        <v>2125</v>
      </c>
      <c r="Q31" s="136">
        <f t="shared" si="5"/>
        <v>2187.5</v>
      </c>
      <c r="R31" s="136">
        <f t="shared" si="5"/>
        <v>2812.5</v>
      </c>
      <c r="S31" s="243">
        <f t="shared" si="5"/>
        <v>2937.5</v>
      </c>
      <c r="T31" s="136">
        <f t="shared" si="5"/>
        <v>3185</v>
      </c>
      <c r="U31" s="136">
        <f t="shared" si="5"/>
        <v>3445</v>
      </c>
      <c r="V31" s="269">
        <f t="shared" si="5"/>
        <v>3965</v>
      </c>
      <c r="W31" s="136">
        <f t="shared" si="5"/>
        <v>4160</v>
      </c>
      <c r="X31" s="136">
        <f t="shared" si="5"/>
        <v>4290</v>
      </c>
      <c r="Y31" s="136">
        <f t="shared" si="5"/>
        <v>4452.5</v>
      </c>
      <c r="Z31" s="136">
        <f t="shared" si="5"/>
        <v>4582.5</v>
      </c>
      <c r="AA31" s="136">
        <f t="shared" si="5"/>
        <v>4745</v>
      </c>
      <c r="AB31" s="902">
        <f t="shared" si="5"/>
        <v>5460</v>
      </c>
      <c r="AC31" s="136">
        <f t="shared" si="5"/>
        <v>5655</v>
      </c>
      <c r="AD31" s="136">
        <f t="shared" si="5"/>
        <v>5882.5</v>
      </c>
      <c r="AE31" s="243">
        <f t="shared" si="5"/>
        <v>6077.5</v>
      </c>
      <c r="AF31" s="136">
        <f t="shared" si="5"/>
        <v>6615</v>
      </c>
      <c r="AG31" s="136">
        <f t="shared" si="5"/>
        <v>6885</v>
      </c>
      <c r="AH31" s="136">
        <f t="shared" si="5"/>
        <v>7121.25</v>
      </c>
      <c r="AI31" s="136">
        <f t="shared" si="5"/>
        <v>7357.5</v>
      </c>
      <c r="AJ31" s="136">
        <f t="shared" si="5"/>
        <v>7560</v>
      </c>
      <c r="AK31" s="136">
        <f t="shared" si="5"/>
        <v>7796.25</v>
      </c>
      <c r="AL31" s="136">
        <f t="shared" si="5"/>
        <v>7998.75</v>
      </c>
      <c r="AM31" s="136">
        <f t="shared" si="5"/>
        <v>8302.5</v>
      </c>
      <c r="AN31" s="136">
        <f t="shared" si="5"/>
        <v>8538.75</v>
      </c>
      <c r="AO31" s="136">
        <f t="shared" si="5"/>
        <v>8775</v>
      </c>
      <c r="AP31" s="136">
        <f t="shared" si="5"/>
        <v>9045</v>
      </c>
      <c r="AQ31" s="136">
        <f t="shared" si="5"/>
        <v>9315</v>
      </c>
    </row>
    <row r="32" spans="1:88" s="288" customFormat="1" ht="16" customHeight="1">
      <c r="A32" s="130"/>
      <c r="B32" s="1108"/>
      <c r="C32" s="144"/>
      <c r="D32" s="51"/>
      <c r="E32" s="211"/>
      <c r="F32" s="211"/>
      <c r="G32" s="132" t="s">
        <v>239</v>
      </c>
      <c r="H32" s="135">
        <f t="shared" ref="H32:S32" si="6">$E29*H31</f>
        <v>1085.79</v>
      </c>
      <c r="I32" s="135">
        <f t="shared" si="6"/>
        <v>1085.79</v>
      </c>
      <c r="J32" s="135">
        <f t="shared" si="6"/>
        <v>1302.9480000000001</v>
      </c>
      <c r="K32" s="135">
        <f t="shared" si="6"/>
        <v>1302.9480000000001</v>
      </c>
      <c r="L32" s="135">
        <f t="shared" si="6"/>
        <v>1389.8112000000001</v>
      </c>
      <c r="M32" s="135">
        <f t="shared" si="6"/>
        <v>1389.8112000000001</v>
      </c>
      <c r="N32" s="135">
        <f t="shared" si="6"/>
        <v>1563.5376000000001</v>
      </c>
      <c r="O32" s="135">
        <f t="shared" si="6"/>
        <v>1563.5376000000001</v>
      </c>
      <c r="P32" s="867">
        <f t="shared" si="6"/>
        <v>1476.6744000000001</v>
      </c>
      <c r="Q32" s="135">
        <f t="shared" si="6"/>
        <v>1520.106</v>
      </c>
      <c r="R32" s="135">
        <f t="shared" si="6"/>
        <v>1954.422</v>
      </c>
      <c r="S32" s="244">
        <f t="shared" si="6"/>
        <v>2041.2852</v>
      </c>
      <c r="T32" s="135">
        <f t="shared" ref="T32:AE32" si="7">$E30*T31</f>
        <v>2213.2743360000004</v>
      </c>
      <c r="U32" s="135">
        <f t="shared" si="7"/>
        <v>2393.9497920000003</v>
      </c>
      <c r="V32" s="270">
        <f t="shared" si="7"/>
        <v>2755.3007040000007</v>
      </c>
      <c r="W32" s="135">
        <f t="shared" si="7"/>
        <v>2890.8072960000004</v>
      </c>
      <c r="X32" s="135">
        <f t="shared" si="7"/>
        <v>2981.1450240000004</v>
      </c>
      <c r="Y32" s="135">
        <f t="shared" si="7"/>
        <v>3094.0671840000005</v>
      </c>
      <c r="Z32" s="135">
        <f t="shared" si="7"/>
        <v>3184.4049120000004</v>
      </c>
      <c r="AA32" s="135">
        <f t="shared" si="7"/>
        <v>3297.3270720000005</v>
      </c>
      <c r="AB32" s="903">
        <f t="shared" si="7"/>
        <v>3794.1845760000006</v>
      </c>
      <c r="AC32" s="135">
        <f t="shared" si="7"/>
        <v>3929.6911680000007</v>
      </c>
      <c r="AD32" s="135">
        <f t="shared" si="7"/>
        <v>4087.7821920000006</v>
      </c>
      <c r="AE32" s="244">
        <f t="shared" si="7"/>
        <v>4223.2887840000003</v>
      </c>
      <c r="AF32" s="135">
        <f t="shared" ref="AF32:AQ32" si="8">$E31*AF31</f>
        <v>4588.95199056</v>
      </c>
      <c r="AG32" s="135">
        <f t="shared" si="8"/>
        <v>4776.2561534400002</v>
      </c>
      <c r="AH32" s="135">
        <f t="shared" si="8"/>
        <v>4940.1472959600005</v>
      </c>
      <c r="AI32" s="135">
        <f t="shared" si="8"/>
        <v>5104.0384384800009</v>
      </c>
      <c r="AJ32" s="135">
        <f t="shared" si="8"/>
        <v>5244.5165606400005</v>
      </c>
      <c r="AK32" s="135">
        <f t="shared" si="8"/>
        <v>5408.4077031600009</v>
      </c>
      <c r="AL32" s="135">
        <f t="shared" si="8"/>
        <v>5548.8858253200005</v>
      </c>
      <c r="AM32" s="135">
        <f t="shared" si="8"/>
        <v>5759.6030085600005</v>
      </c>
      <c r="AN32" s="135">
        <f t="shared" si="8"/>
        <v>5923.4941510800008</v>
      </c>
      <c r="AO32" s="135">
        <f t="shared" si="8"/>
        <v>6087.3852936000003</v>
      </c>
      <c r="AP32" s="135">
        <f t="shared" si="8"/>
        <v>6274.6894564800004</v>
      </c>
      <c r="AQ32" s="135">
        <f t="shared" si="8"/>
        <v>6461.9936193600006</v>
      </c>
      <c r="AR32" s="291"/>
      <c r="AS32" s="291"/>
      <c r="AT32" s="291"/>
      <c r="AU32" s="291"/>
      <c r="AV32" s="291"/>
      <c r="AW32" s="291"/>
      <c r="AX32" s="291"/>
      <c r="AY32" s="291"/>
      <c r="AZ32" s="291"/>
      <c r="BA32" s="291"/>
      <c r="BB32" s="291"/>
      <c r="BC32" s="291"/>
      <c r="BD32" s="291"/>
      <c r="BE32" s="291"/>
      <c r="BF32" s="291"/>
      <c r="BG32" s="291"/>
      <c r="BH32" s="291"/>
      <c r="BI32" s="291"/>
      <c r="BJ32" s="291"/>
      <c r="BK32" s="291"/>
      <c r="BL32" s="291"/>
      <c r="BM32" s="291"/>
      <c r="BN32" s="291"/>
      <c r="BO32" s="291"/>
      <c r="BP32" s="291"/>
      <c r="BQ32" s="291"/>
      <c r="BR32" s="291"/>
      <c r="BS32" s="291"/>
      <c r="BT32" s="291"/>
      <c r="BU32" s="291"/>
      <c r="BV32" s="291"/>
      <c r="BW32" s="291"/>
      <c r="BX32" s="291"/>
      <c r="BY32" s="291"/>
      <c r="BZ32" s="291"/>
      <c r="CA32" s="291"/>
      <c r="CB32" s="291"/>
      <c r="CC32" s="291"/>
      <c r="CD32" s="291"/>
      <c r="CE32" s="291"/>
      <c r="CF32" s="291"/>
      <c r="CG32" s="291"/>
      <c r="CH32" s="291"/>
      <c r="CI32" s="291"/>
      <c r="CJ32" s="291"/>
    </row>
    <row r="33" spans="1:89" s="288" customFormat="1" ht="16" customHeight="1">
      <c r="A33" s="130"/>
      <c r="B33" s="298"/>
      <c r="C33" s="144"/>
      <c r="D33" s="51"/>
      <c r="E33" s="211"/>
      <c r="F33" s="211"/>
      <c r="G33" s="132"/>
      <c r="H33" s="135"/>
      <c r="I33" s="135"/>
      <c r="J33" s="135"/>
      <c r="K33" s="135"/>
      <c r="L33" s="135"/>
      <c r="M33" s="135"/>
      <c r="N33" s="135"/>
      <c r="O33" s="135"/>
      <c r="P33" s="867"/>
      <c r="Q33" s="135"/>
      <c r="R33" s="135"/>
      <c r="S33" s="244"/>
      <c r="T33" s="135"/>
      <c r="U33" s="135"/>
      <c r="V33" s="270"/>
      <c r="W33" s="135"/>
      <c r="X33" s="135"/>
      <c r="Y33" s="135"/>
      <c r="Z33" s="135"/>
      <c r="AA33" s="135"/>
      <c r="AB33" s="903"/>
      <c r="AC33" s="135"/>
      <c r="AD33" s="135"/>
      <c r="AE33" s="244"/>
      <c r="AF33" s="135"/>
      <c r="AG33" s="135"/>
      <c r="AH33" s="135"/>
      <c r="AI33" s="135"/>
      <c r="AJ33" s="135"/>
      <c r="AK33" s="135"/>
      <c r="AL33" s="135"/>
      <c r="AM33" s="135"/>
      <c r="AN33" s="135"/>
      <c r="AO33" s="135"/>
      <c r="AP33" s="135"/>
      <c r="AQ33" s="135"/>
      <c r="AR33" s="291"/>
      <c r="AS33" s="291"/>
      <c r="AT33" s="291"/>
      <c r="AU33" s="291"/>
      <c r="AV33" s="291"/>
      <c r="AW33" s="291"/>
      <c r="AX33" s="291"/>
      <c r="AY33" s="291"/>
      <c r="AZ33" s="291"/>
      <c r="BA33" s="291"/>
      <c r="BB33" s="291"/>
      <c r="BC33" s="291"/>
      <c r="BD33" s="291"/>
      <c r="BE33" s="291"/>
      <c r="BF33" s="291"/>
      <c r="BG33" s="291"/>
      <c r="BH33" s="291"/>
      <c r="BI33" s="291"/>
      <c r="BJ33" s="291"/>
      <c r="BK33" s="291"/>
      <c r="BL33" s="291"/>
      <c r="BM33" s="291"/>
      <c r="BN33" s="291"/>
      <c r="BO33" s="291"/>
      <c r="BP33" s="291"/>
      <c r="BQ33" s="291"/>
      <c r="BR33" s="291"/>
      <c r="BS33" s="291"/>
      <c r="BT33" s="291"/>
      <c r="BU33" s="291"/>
      <c r="BV33" s="291"/>
      <c r="BW33" s="291"/>
      <c r="BX33" s="291"/>
      <c r="BY33" s="291"/>
      <c r="BZ33" s="291"/>
      <c r="CA33" s="291"/>
      <c r="CB33" s="291"/>
      <c r="CC33" s="291"/>
      <c r="CD33" s="291"/>
      <c r="CE33" s="291"/>
      <c r="CF33" s="291"/>
      <c r="CG33" s="291"/>
      <c r="CH33" s="291"/>
      <c r="CI33" s="291"/>
      <c r="CJ33" s="291"/>
    </row>
    <row r="34" spans="1:89" s="288" customFormat="1" ht="16" customHeight="1">
      <c r="A34" s="130"/>
      <c r="B34" s="300"/>
      <c r="C34" s="494"/>
      <c r="D34" s="286"/>
      <c r="E34" s="287"/>
      <c r="F34" s="287"/>
      <c r="H34" s="222" t="s">
        <v>309</v>
      </c>
      <c r="I34" s="206"/>
      <c r="J34" s="206"/>
      <c r="K34" s="206"/>
      <c r="L34" s="206"/>
      <c r="M34" s="206"/>
      <c r="N34" s="206"/>
      <c r="O34" s="229" t="s">
        <v>315</v>
      </c>
      <c r="P34" s="863"/>
      <c r="Q34" s="206"/>
      <c r="R34" s="206"/>
      <c r="S34" s="240"/>
      <c r="T34" s="229" t="s">
        <v>318</v>
      </c>
      <c r="U34" s="206"/>
      <c r="V34" s="266"/>
      <c r="W34" s="231" t="s">
        <v>340</v>
      </c>
      <c r="X34" s="206"/>
      <c r="Y34" s="281" t="str">
        <f>'Pricing Model'!L41</f>
        <v>Deep Fried Tofu</v>
      </c>
      <c r="Z34" s="282"/>
      <c r="AA34" s="206"/>
      <c r="AB34" s="899"/>
      <c r="AC34" s="206"/>
      <c r="AD34" s="231" t="s">
        <v>332</v>
      </c>
      <c r="AE34" s="240"/>
      <c r="AF34" s="222" t="s">
        <v>348</v>
      </c>
      <c r="AG34" s="206"/>
      <c r="AH34" s="206"/>
      <c r="AI34" s="206"/>
      <c r="AJ34" s="206"/>
      <c r="AK34" s="206"/>
      <c r="AL34" s="206"/>
      <c r="AM34" s="206"/>
      <c r="AN34" s="206"/>
      <c r="AO34" s="206"/>
      <c r="AP34" s="206"/>
      <c r="AQ34" s="206"/>
      <c r="AR34" s="291"/>
      <c r="AS34" s="291"/>
      <c r="AT34" s="291"/>
      <c r="AU34" s="291"/>
      <c r="AV34" s="291"/>
      <c r="AW34" s="291"/>
      <c r="AX34" s="291"/>
      <c r="AY34" s="291"/>
      <c r="AZ34" s="291"/>
      <c r="BA34" s="291"/>
      <c r="BB34" s="291"/>
      <c r="BC34" s="291"/>
      <c r="BD34" s="291"/>
      <c r="BE34" s="291"/>
      <c r="BF34" s="291"/>
      <c r="BG34" s="291"/>
      <c r="BH34" s="291"/>
      <c r="BI34" s="291"/>
      <c r="BJ34" s="291"/>
      <c r="BK34" s="291"/>
      <c r="BL34" s="291"/>
      <c r="BM34" s="291"/>
      <c r="BN34" s="291"/>
      <c r="BO34" s="291"/>
      <c r="BP34" s="291"/>
      <c r="BQ34" s="291"/>
      <c r="BR34" s="291"/>
      <c r="BS34" s="291"/>
      <c r="BT34" s="291"/>
      <c r="BU34" s="291"/>
      <c r="BV34" s="291"/>
      <c r="BW34" s="291"/>
      <c r="BX34" s="291"/>
      <c r="BY34" s="291"/>
      <c r="BZ34" s="291"/>
      <c r="CA34" s="291"/>
      <c r="CB34" s="291"/>
      <c r="CC34" s="291"/>
      <c r="CD34" s="291"/>
      <c r="CE34" s="291"/>
      <c r="CF34" s="291"/>
      <c r="CG34" s="291"/>
      <c r="CH34" s="291"/>
      <c r="CI34" s="291"/>
      <c r="CJ34" s="291"/>
    </row>
    <row r="35" spans="1:89" s="50" customFormat="1" ht="16" customHeight="1">
      <c r="A35" s="130"/>
      <c r="B35" s="1107" t="str">
        <f>'Pricing Model'!L41</f>
        <v>Deep Fried Tofu</v>
      </c>
      <c r="C35" s="493">
        <f>'Pricing Model'!$C$6</f>
        <v>2025</v>
      </c>
      <c r="D35" s="158"/>
      <c r="E35" s="139">
        <f>'Pricing Model'!M$56</f>
        <v>0.71080331034482758</v>
      </c>
      <c r="F35" s="1109"/>
      <c r="G35" s="141" t="s">
        <v>353</v>
      </c>
      <c r="H35" s="53">
        <v>300</v>
      </c>
      <c r="I35" s="53">
        <v>320</v>
      </c>
      <c r="J35" s="53">
        <v>340</v>
      </c>
      <c r="K35" s="53">
        <v>365</v>
      </c>
      <c r="L35" s="53">
        <v>390</v>
      </c>
      <c r="M35" s="53">
        <v>410</v>
      </c>
      <c r="N35" s="53">
        <v>420</v>
      </c>
      <c r="O35" s="53">
        <v>430</v>
      </c>
      <c r="P35" s="864">
        <v>455</v>
      </c>
      <c r="Q35" s="53">
        <v>485</v>
      </c>
      <c r="R35" s="53">
        <v>520</v>
      </c>
      <c r="S35" s="241">
        <v>570</v>
      </c>
      <c r="T35" s="53">
        <v>620</v>
      </c>
      <c r="U35" s="53">
        <v>650</v>
      </c>
      <c r="V35" s="267">
        <v>750</v>
      </c>
      <c r="W35" s="53">
        <v>850</v>
      </c>
      <c r="X35" s="53">
        <v>740</v>
      </c>
      <c r="Y35" s="53">
        <v>775</v>
      </c>
      <c r="Z35" s="53">
        <v>825</v>
      </c>
      <c r="AA35" s="53">
        <v>850</v>
      </c>
      <c r="AB35" s="900">
        <f>AB29+300</f>
        <v>1140</v>
      </c>
      <c r="AC35" s="53">
        <f t="shared" ref="AC35:AN35" si="9">AC29+300</f>
        <v>1170</v>
      </c>
      <c r="AD35" s="53">
        <f t="shared" si="9"/>
        <v>1205</v>
      </c>
      <c r="AE35" s="241">
        <f t="shared" si="9"/>
        <v>1235</v>
      </c>
      <c r="AF35" s="53">
        <f t="shared" si="9"/>
        <v>1280</v>
      </c>
      <c r="AG35" s="53">
        <f t="shared" si="9"/>
        <v>1320</v>
      </c>
      <c r="AH35" s="53">
        <f t="shared" si="9"/>
        <v>1355</v>
      </c>
      <c r="AI35" s="53">
        <f t="shared" si="9"/>
        <v>1390</v>
      </c>
      <c r="AJ35" s="53">
        <f t="shared" si="9"/>
        <v>1420</v>
      </c>
      <c r="AK35" s="53">
        <f t="shared" si="9"/>
        <v>1455</v>
      </c>
      <c r="AL35" s="53">
        <f t="shared" si="9"/>
        <v>1485</v>
      </c>
      <c r="AM35" s="53">
        <f t="shared" si="9"/>
        <v>1530</v>
      </c>
      <c r="AN35" s="53">
        <f t="shared" si="9"/>
        <v>1565</v>
      </c>
      <c r="AO35" s="53">
        <v>1610</v>
      </c>
      <c r="AP35" s="53">
        <v>1680</v>
      </c>
      <c r="AQ35" s="53">
        <v>1755</v>
      </c>
      <c r="AR35" s="170"/>
      <c r="AS35" s="170"/>
      <c r="AT35" s="170"/>
      <c r="AU35" s="170"/>
      <c r="AV35" s="170"/>
      <c r="AW35" s="170"/>
      <c r="AX35" s="170"/>
      <c r="AY35" s="170"/>
      <c r="AZ35" s="170"/>
      <c r="BA35" s="170"/>
      <c r="BB35" s="170"/>
      <c r="BC35" s="170"/>
      <c r="BD35" s="170"/>
      <c r="BE35" s="170"/>
      <c r="BF35" s="170"/>
      <c r="BG35" s="170"/>
      <c r="BH35" s="170"/>
      <c r="BI35" s="170"/>
      <c r="BJ35" s="170"/>
      <c r="BK35" s="170"/>
      <c r="BL35" s="170"/>
      <c r="BM35" s="170"/>
      <c r="BN35" s="170"/>
      <c r="BO35" s="170"/>
      <c r="BP35" s="170"/>
      <c r="BQ35" s="170"/>
      <c r="BR35" s="170"/>
      <c r="BS35" s="170"/>
      <c r="BT35" s="170"/>
      <c r="BU35" s="170"/>
      <c r="BV35" s="170"/>
      <c r="BW35" s="170"/>
      <c r="BX35" s="170"/>
      <c r="BY35" s="170"/>
      <c r="BZ35" s="170"/>
      <c r="CA35" s="170"/>
      <c r="CB35" s="170"/>
      <c r="CC35" s="170"/>
      <c r="CD35" s="170"/>
      <c r="CE35" s="170"/>
      <c r="CF35" s="170"/>
      <c r="CG35" s="170"/>
      <c r="CH35" s="170"/>
      <c r="CI35" s="170"/>
      <c r="CJ35" s="170"/>
    </row>
    <row r="36" spans="1:89" s="294" customFormat="1" ht="16" customHeight="1">
      <c r="A36" s="130"/>
      <c r="B36" s="1107"/>
      <c r="C36" s="493">
        <f>C35+1</f>
        <v>2026</v>
      </c>
      <c r="D36" s="158"/>
      <c r="E36" s="139">
        <f>'Pricing Model'!N$56</f>
        <v>0.70926092799999996</v>
      </c>
      <c r="F36" s="1109"/>
      <c r="G36" s="133" t="s">
        <v>285</v>
      </c>
      <c r="H36" s="133">
        <f>'Pricing Model'!$M$53</f>
        <v>6.0416666666666661</v>
      </c>
      <c r="I36" s="133">
        <f>'Pricing Model'!$M$53</f>
        <v>6.0416666666666661</v>
      </c>
      <c r="J36" s="133">
        <f>'Pricing Model'!$M$53</f>
        <v>6.0416666666666661</v>
      </c>
      <c r="K36" s="133">
        <f>'Pricing Model'!$M$53</f>
        <v>6.0416666666666661</v>
      </c>
      <c r="L36" s="133">
        <f>'Pricing Model'!$M$53</f>
        <v>6.0416666666666661</v>
      </c>
      <c r="M36" s="133">
        <f>'Pricing Model'!$M$53</f>
        <v>6.0416666666666661</v>
      </c>
      <c r="N36" s="133">
        <f>'Pricing Model'!$M$53</f>
        <v>6.0416666666666661</v>
      </c>
      <c r="O36" s="133">
        <f>'Pricing Model'!$M$53</f>
        <v>6.0416666666666661</v>
      </c>
      <c r="P36" s="865">
        <f>'Pricing Model'!$M$53</f>
        <v>6.0416666666666661</v>
      </c>
      <c r="Q36" s="133">
        <f>'Pricing Model'!$M$53</f>
        <v>6.0416666666666661</v>
      </c>
      <c r="R36" s="133">
        <f>'Pricing Model'!$M$53</f>
        <v>6.0416666666666661</v>
      </c>
      <c r="S36" s="242">
        <f>'Pricing Model'!$M$53</f>
        <v>6.0416666666666661</v>
      </c>
      <c r="T36" s="133">
        <f>'Pricing Model'!$N$53</f>
        <v>6.25</v>
      </c>
      <c r="U36" s="133">
        <f>'Pricing Model'!$N$53</f>
        <v>6.25</v>
      </c>
      <c r="V36" s="268">
        <f>'Pricing Model'!$N$53</f>
        <v>6.25</v>
      </c>
      <c r="W36" s="133">
        <f>'Pricing Model'!$N$53</f>
        <v>6.25</v>
      </c>
      <c r="X36" s="133">
        <f>'Pricing Model'!$N$53</f>
        <v>6.25</v>
      </c>
      <c r="Y36" s="133">
        <f>'Pricing Model'!$N$53</f>
        <v>6.25</v>
      </c>
      <c r="Z36" s="133">
        <f>'Pricing Model'!$N$53</f>
        <v>6.25</v>
      </c>
      <c r="AA36" s="133">
        <f>'Pricing Model'!$N$53</f>
        <v>6.25</v>
      </c>
      <c r="AB36" s="901">
        <f>'Pricing Model'!$N$53</f>
        <v>6.25</v>
      </c>
      <c r="AC36" s="133">
        <f>'Pricing Model'!$N$53</f>
        <v>6.25</v>
      </c>
      <c r="AD36" s="133">
        <f>'Pricing Model'!$N$53</f>
        <v>6.25</v>
      </c>
      <c r="AE36" s="242">
        <f>'Pricing Model'!$N$53</f>
        <v>6.25</v>
      </c>
      <c r="AF36" s="133">
        <f>'Pricing Model'!$O$53</f>
        <v>6.5</v>
      </c>
      <c r="AG36" s="133">
        <f>'Pricing Model'!$O$53</f>
        <v>6.5</v>
      </c>
      <c r="AH36" s="133">
        <f>'Pricing Model'!$O$53</f>
        <v>6.5</v>
      </c>
      <c r="AI36" s="133">
        <f>'Pricing Model'!$O$53</f>
        <v>6.5</v>
      </c>
      <c r="AJ36" s="133">
        <f>'Pricing Model'!$O$53</f>
        <v>6.5</v>
      </c>
      <c r="AK36" s="133">
        <f>'Pricing Model'!$O$53</f>
        <v>6.5</v>
      </c>
      <c r="AL36" s="133">
        <f>'Pricing Model'!$O$53</f>
        <v>6.5</v>
      </c>
      <c r="AM36" s="133">
        <f>'Pricing Model'!$O$53</f>
        <v>6.5</v>
      </c>
      <c r="AN36" s="133">
        <f>'Pricing Model'!$O$53</f>
        <v>6.5</v>
      </c>
      <c r="AO36" s="133">
        <f>'Pricing Model'!$O$53</f>
        <v>6.5</v>
      </c>
      <c r="AP36" s="133">
        <f>'Pricing Model'!$O$53</f>
        <v>6.5</v>
      </c>
      <c r="AQ36" s="133">
        <f>'Pricing Model'!$O$53</f>
        <v>6.5</v>
      </c>
      <c r="AR36" s="292"/>
      <c r="AS36" s="292"/>
      <c r="AT36" s="293"/>
      <c r="AU36" s="293"/>
      <c r="AV36" s="293"/>
      <c r="AW36" s="293"/>
      <c r="AX36" s="293"/>
      <c r="AY36" s="293"/>
      <c r="AZ36" s="293"/>
      <c r="BA36" s="293"/>
      <c r="BB36" s="293"/>
      <c r="BC36" s="293"/>
      <c r="BD36" s="293"/>
      <c r="BE36" s="293"/>
      <c r="BF36" s="293"/>
      <c r="BG36" s="293"/>
      <c r="BH36" s="293"/>
      <c r="BI36" s="293"/>
      <c r="BJ36" s="293"/>
      <c r="BK36" s="293"/>
      <c r="BL36" s="293"/>
      <c r="BM36" s="293"/>
      <c r="BN36" s="293"/>
      <c r="BO36" s="293"/>
      <c r="BP36" s="293"/>
      <c r="BQ36" s="293"/>
      <c r="BR36" s="293"/>
      <c r="BS36" s="293"/>
      <c r="BT36" s="293"/>
      <c r="BU36" s="293"/>
      <c r="BV36" s="293"/>
      <c r="BW36" s="293"/>
      <c r="BX36" s="293"/>
      <c r="BY36" s="293"/>
      <c r="BZ36" s="293"/>
      <c r="CA36" s="293"/>
      <c r="CB36" s="293"/>
      <c r="CC36" s="293"/>
      <c r="CD36" s="293"/>
      <c r="CE36" s="293"/>
      <c r="CF36" s="293"/>
      <c r="CG36" s="293"/>
      <c r="CH36" s="293"/>
      <c r="CI36" s="293"/>
      <c r="CJ36" s="293"/>
    </row>
    <row r="37" spans="1:89" s="294" customFormat="1" ht="16" customHeight="1">
      <c r="A37" s="130"/>
      <c r="B37" s="1107"/>
      <c r="C37" s="493">
        <f>C36+1</f>
        <v>2027</v>
      </c>
      <c r="D37" s="159"/>
      <c r="E37" s="139">
        <f>'Pricing Model'!O$56</f>
        <v>0.70856203600000001</v>
      </c>
      <c r="F37" s="1109"/>
      <c r="G37" s="133" t="s">
        <v>284</v>
      </c>
      <c r="H37" s="136">
        <f t="shared" ref="H37:AQ37" si="10">H35*H36</f>
        <v>1812.4999999999998</v>
      </c>
      <c r="I37" s="136">
        <f t="shared" si="10"/>
        <v>1933.333333333333</v>
      </c>
      <c r="J37" s="136">
        <f t="shared" si="10"/>
        <v>2054.1666666666665</v>
      </c>
      <c r="K37" s="136">
        <f t="shared" si="10"/>
        <v>2205.208333333333</v>
      </c>
      <c r="L37" s="136">
        <f t="shared" si="10"/>
        <v>2356.2499999999995</v>
      </c>
      <c r="M37" s="136">
        <f t="shared" si="10"/>
        <v>2477.083333333333</v>
      </c>
      <c r="N37" s="136">
        <f t="shared" si="10"/>
        <v>2537.4999999999995</v>
      </c>
      <c r="O37" s="136">
        <f t="shared" si="10"/>
        <v>2597.9166666666665</v>
      </c>
      <c r="P37" s="866">
        <f t="shared" si="10"/>
        <v>2748.958333333333</v>
      </c>
      <c r="Q37" s="136">
        <f t="shared" si="10"/>
        <v>2930.208333333333</v>
      </c>
      <c r="R37" s="136">
        <f t="shared" si="10"/>
        <v>3141.6666666666665</v>
      </c>
      <c r="S37" s="243">
        <f t="shared" si="10"/>
        <v>3443.7499999999995</v>
      </c>
      <c r="T37" s="136">
        <f t="shared" si="10"/>
        <v>3875</v>
      </c>
      <c r="U37" s="136">
        <f t="shared" si="10"/>
        <v>4062.5</v>
      </c>
      <c r="V37" s="269">
        <f t="shared" si="10"/>
        <v>4687.5</v>
      </c>
      <c r="W37" s="136">
        <f t="shared" si="10"/>
        <v>5312.5</v>
      </c>
      <c r="X37" s="136">
        <f t="shared" si="10"/>
        <v>4625</v>
      </c>
      <c r="Y37" s="136">
        <f t="shared" si="10"/>
        <v>4843.75</v>
      </c>
      <c r="Z37" s="136">
        <f t="shared" si="10"/>
        <v>5156.25</v>
      </c>
      <c r="AA37" s="136">
        <f t="shared" si="10"/>
        <v>5312.5</v>
      </c>
      <c r="AB37" s="902">
        <f t="shared" si="10"/>
        <v>7125</v>
      </c>
      <c r="AC37" s="136">
        <f t="shared" si="10"/>
        <v>7312.5</v>
      </c>
      <c r="AD37" s="136">
        <f t="shared" si="10"/>
        <v>7531.25</v>
      </c>
      <c r="AE37" s="243">
        <f t="shared" si="10"/>
        <v>7718.75</v>
      </c>
      <c r="AF37" s="136">
        <f t="shared" si="10"/>
        <v>8320</v>
      </c>
      <c r="AG37" s="136">
        <f t="shared" si="10"/>
        <v>8580</v>
      </c>
      <c r="AH37" s="136">
        <f t="shared" si="10"/>
        <v>8807.5</v>
      </c>
      <c r="AI37" s="136">
        <f t="shared" si="10"/>
        <v>9035</v>
      </c>
      <c r="AJ37" s="136">
        <f t="shared" si="10"/>
        <v>9230</v>
      </c>
      <c r="AK37" s="136">
        <f t="shared" si="10"/>
        <v>9457.5</v>
      </c>
      <c r="AL37" s="136">
        <f t="shared" si="10"/>
        <v>9652.5</v>
      </c>
      <c r="AM37" s="136">
        <f t="shared" si="10"/>
        <v>9945</v>
      </c>
      <c r="AN37" s="136">
        <f t="shared" si="10"/>
        <v>10172.5</v>
      </c>
      <c r="AO37" s="136">
        <f t="shared" si="10"/>
        <v>10465</v>
      </c>
      <c r="AP37" s="136">
        <f t="shared" si="10"/>
        <v>10920</v>
      </c>
      <c r="AQ37" s="136">
        <f t="shared" si="10"/>
        <v>11407.5</v>
      </c>
      <c r="AR37" s="292"/>
      <c r="AS37" s="292"/>
      <c r="AT37" s="293"/>
      <c r="AU37" s="293"/>
      <c r="AV37" s="293"/>
      <c r="AW37" s="293"/>
      <c r="AX37" s="293"/>
      <c r="AY37" s="293"/>
      <c r="AZ37" s="293"/>
      <c r="BA37" s="293"/>
      <c r="BB37" s="293"/>
      <c r="BC37" s="293"/>
      <c r="BD37" s="293"/>
      <c r="BE37" s="293"/>
      <c r="BF37" s="293"/>
      <c r="BG37" s="293"/>
      <c r="BH37" s="293"/>
      <c r="BI37" s="293"/>
      <c r="BJ37" s="293"/>
      <c r="BK37" s="293"/>
      <c r="BL37" s="293"/>
      <c r="BM37" s="293"/>
      <c r="BN37" s="293"/>
      <c r="BO37" s="293"/>
      <c r="BP37" s="293"/>
      <c r="BQ37" s="293"/>
      <c r="BR37" s="293"/>
      <c r="BS37" s="293"/>
      <c r="BT37" s="293"/>
      <c r="BU37" s="293"/>
      <c r="BV37" s="293"/>
      <c r="BW37" s="293"/>
      <c r="BX37" s="293"/>
      <c r="BY37" s="293"/>
      <c r="BZ37" s="293"/>
      <c r="CA37" s="293"/>
      <c r="CB37" s="293"/>
      <c r="CC37" s="293"/>
      <c r="CD37" s="293"/>
      <c r="CE37" s="293"/>
      <c r="CF37" s="293"/>
      <c r="CG37" s="293"/>
      <c r="CH37" s="293"/>
      <c r="CI37" s="293"/>
      <c r="CJ37" s="293"/>
    </row>
    <row r="38" spans="1:89" s="50" customFormat="1" ht="16" customHeight="1">
      <c r="A38" s="130"/>
      <c r="B38" s="1107"/>
      <c r="C38" s="51"/>
      <c r="D38" s="51"/>
      <c r="E38" s="51"/>
      <c r="F38" s="51"/>
      <c r="G38" s="132" t="s">
        <v>239</v>
      </c>
      <c r="H38" s="135">
        <f t="shared" ref="H38:S38" si="11">$E35*H37</f>
        <v>1288.3309999999999</v>
      </c>
      <c r="I38" s="135">
        <f t="shared" si="11"/>
        <v>1374.2197333333331</v>
      </c>
      <c r="J38" s="135">
        <f t="shared" si="11"/>
        <v>1460.1084666666666</v>
      </c>
      <c r="K38" s="135">
        <f t="shared" si="11"/>
        <v>1567.4693833333331</v>
      </c>
      <c r="L38" s="135">
        <f t="shared" si="11"/>
        <v>1674.8302999999996</v>
      </c>
      <c r="M38" s="135">
        <f t="shared" si="11"/>
        <v>1760.7190333333331</v>
      </c>
      <c r="N38" s="135">
        <f t="shared" si="11"/>
        <v>1803.6633999999997</v>
      </c>
      <c r="O38" s="135">
        <f t="shared" si="11"/>
        <v>1846.6077666666665</v>
      </c>
      <c r="P38" s="867">
        <f t="shared" si="11"/>
        <v>1953.968683333333</v>
      </c>
      <c r="Q38" s="135">
        <f t="shared" si="11"/>
        <v>2082.8017833333329</v>
      </c>
      <c r="R38" s="135">
        <f t="shared" si="11"/>
        <v>2233.1070666666665</v>
      </c>
      <c r="S38" s="244">
        <f t="shared" si="11"/>
        <v>2447.8288999999995</v>
      </c>
      <c r="T38" s="135">
        <f t="shared" ref="T38:AE38" si="12">$E36*T37</f>
        <v>2748.3860959999997</v>
      </c>
      <c r="U38" s="135">
        <f t="shared" si="12"/>
        <v>2881.3725199999999</v>
      </c>
      <c r="V38" s="270">
        <f t="shared" si="12"/>
        <v>3324.6605999999997</v>
      </c>
      <c r="W38" s="135">
        <f t="shared" si="12"/>
        <v>3767.94868</v>
      </c>
      <c r="X38" s="135">
        <f t="shared" si="12"/>
        <v>3280.331792</v>
      </c>
      <c r="Y38" s="135">
        <f t="shared" si="12"/>
        <v>3435.4826199999998</v>
      </c>
      <c r="Z38" s="135">
        <f t="shared" si="12"/>
        <v>3657.1266599999999</v>
      </c>
      <c r="AA38" s="135">
        <f t="shared" si="12"/>
        <v>3767.94868</v>
      </c>
      <c r="AB38" s="903">
        <f t="shared" si="12"/>
        <v>5053.4841120000001</v>
      </c>
      <c r="AC38" s="135">
        <f t="shared" si="12"/>
        <v>5186.4705359999998</v>
      </c>
      <c r="AD38" s="135">
        <f t="shared" si="12"/>
        <v>5341.6213639999996</v>
      </c>
      <c r="AE38" s="244">
        <f t="shared" si="12"/>
        <v>5474.6077879999993</v>
      </c>
      <c r="AF38" s="135">
        <f t="shared" ref="AF38:AQ38" si="13">$E37*AF37</f>
        <v>5895.2361395200005</v>
      </c>
      <c r="AG38" s="135">
        <f t="shared" si="13"/>
        <v>6079.46226888</v>
      </c>
      <c r="AH38" s="135">
        <f t="shared" si="13"/>
        <v>6240.6601320700001</v>
      </c>
      <c r="AI38" s="135">
        <f t="shared" si="13"/>
        <v>6401.8579952600003</v>
      </c>
      <c r="AJ38" s="135">
        <f t="shared" si="13"/>
        <v>6540.0275922800001</v>
      </c>
      <c r="AK38" s="135">
        <f t="shared" si="13"/>
        <v>6701.2254554700003</v>
      </c>
      <c r="AL38" s="135">
        <f t="shared" si="13"/>
        <v>6839.3950524900001</v>
      </c>
      <c r="AM38" s="135">
        <f t="shared" si="13"/>
        <v>7046.6494480199999</v>
      </c>
      <c r="AN38" s="135">
        <f t="shared" si="13"/>
        <v>7207.84731121</v>
      </c>
      <c r="AO38" s="135">
        <f t="shared" si="13"/>
        <v>7415.1017067399998</v>
      </c>
      <c r="AP38" s="135">
        <f t="shared" si="13"/>
        <v>7737.4974331200001</v>
      </c>
      <c r="AQ38" s="135">
        <f t="shared" si="13"/>
        <v>8082.9214256699997</v>
      </c>
      <c r="AR38" s="224"/>
      <c r="AS38" s="224"/>
      <c r="AT38" s="170"/>
      <c r="AU38" s="170"/>
      <c r="AV38" s="170"/>
      <c r="AW38" s="170"/>
      <c r="AX38" s="170"/>
      <c r="AY38" s="170"/>
      <c r="AZ38" s="170"/>
      <c r="BA38" s="170"/>
      <c r="BB38" s="170"/>
      <c r="BC38" s="170"/>
      <c r="BD38" s="170"/>
      <c r="BE38" s="170"/>
      <c r="BF38" s="170"/>
      <c r="BG38" s="170"/>
      <c r="BH38" s="170"/>
      <c r="BI38" s="170"/>
      <c r="BJ38" s="170"/>
      <c r="BK38" s="170"/>
      <c r="BL38" s="170"/>
      <c r="BM38" s="170"/>
      <c r="BN38" s="170"/>
      <c r="BO38" s="170"/>
      <c r="BP38" s="170"/>
      <c r="BQ38" s="170"/>
      <c r="BR38" s="170"/>
      <c r="BS38" s="170"/>
      <c r="BT38" s="170"/>
      <c r="BU38" s="170"/>
      <c r="BV38" s="170"/>
      <c r="BW38" s="170"/>
      <c r="BX38" s="170"/>
      <c r="BY38" s="170"/>
      <c r="BZ38" s="170"/>
      <c r="CA38" s="170"/>
      <c r="CB38" s="170"/>
      <c r="CC38" s="170"/>
      <c r="CD38" s="170"/>
      <c r="CE38" s="170"/>
      <c r="CF38" s="170"/>
      <c r="CG38" s="170"/>
      <c r="CH38" s="170"/>
      <c r="CI38" s="170"/>
      <c r="CJ38" s="170"/>
    </row>
    <row r="39" spans="1:89" s="50" customFormat="1" ht="16" customHeight="1">
      <c r="A39" s="130"/>
      <c r="B39" s="127"/>
      <c r="C39" s="129"/>
      <c r="D39" s="129"/>
      <c r="E39" s="131"/>
      <c r="F39" s="131"/>
      <c r="G39" s="133"/>
      <c r="H39" s="136"/>
      <c r="I39" s="136"/>
      <c r="J39" s="136"/>
      <c r="K39" s="136"/>
      <c r="L39" s="136"/>
      <c r="M39" s="136"/>
      <c r="N39" s="136"/>
      <c r="O39" s="136"/>
      <c r="P39" s="866"/>
      <c r="Q39" s="136"/>
      <c r="R39" s="136"/>
      <c r="S39" s="243"/>
      <c r="T39" s="136"/>
      <c r="U39" s="136"/>
      <c r="V39" s="269"/>
      <c r="W39" s="136"/>
      <c r="X39" s="136"/>
      <c r="Y39" s="136"/>
      <c r="Z39" s="136"/>
      <c r="AA39" s="136"/>
      <c r="AB39" s="902"/>
      <c r="AC39" s="136"/>
      <c r="AD39" s="136"/>
      <c r="AE39" s="243"/>
      <c r="AF39" s="136"/>
      <c r="AG39" s="136"/>
      <c r="AH39" s="136"/>
      <c r="AI39" s="136"/>
      <c r="AJ39" s="136"/>
      <c r="AK39" s="136"/>
      <c r="AL39" s="136"/>
      <c r="AM39" s="136"/>
      <c r="AN39" s="136"/>
      <c r="AO39" s="136"/>
      <c r="AP39" s="136"/>
      <c r="AQ39" s="136"/>
      <c r="AR39" s="169"/>
      <c r="AS39" s="169"/>
      <c r="AT39" s="170"/>
      <c r="AU39" s="170"/>
      <c r="AV39" s="170"/>
      <c r="AW39" s="170"/>
      <c r="AX39" s="170"/>
      <c r="AY39" s="170"/>
      <c r="AZ39" s="170"/>
      <c r="BA39" s="170"/>
      <c r="BB39" s="170"/>
      <c r="BC39" s="170"/>
      <c r="BD39" s="170"/>
      <c r="BE39" s="170"/>
      <c r="BF39" s="170"/>
      <c r="BG39" s="170"/>
      <c r="BH39" s="170"/>
      <c r="BI39" s="170"/>
      <c r="BJ39" s="170"/>
      <c r="BK39" s="170"/>
      <c r="BL39" s="170"/>
      <c r="BM39" s="170"/>
      <c r="BN39" s="170"/>
      <c r="BO39" s="170"/>
      <c r="BP39" s="170"/>
      <c r="BQ39" s="170"/>
      <c r="BR39" s="170"/>
      <c r="BS39" s="170"/>
      <c r="BT39" s="170"/>
      <c r="BU39" s="170"/>
      <c r="BV39" s="170"/>
      <c r="BW39" s="170"/>
      <c r="BX39" s="170"/>
      <c r="BY39" s="170"/>
      <c r="BZ39" s="170"/>
      <c r="CA39" s="170"/>
      <c r="CB39" s="170"/>
      <c r="CC39" s="170"/>
      <c r="CD39" s="170"/>
      <c r="CE39" s="170"/>
      <c r="CF39" s="170"/>
      <c r="CG39" s="170"/>
      <c r="CH39" s="170"/>
      <c r="CI39" s="170"/>
      <c r="CJ39" s="170"/>
    </row>
    <row r="40" spans="1:89" s="50" customFormat="1" ht="16" customHeight="1">
      <c r="A40" s="130"/>
      <c r="B40" s="127"/>
      <c r="C40" s="129"/>
      <c r="D40" s="129"/>
      <c r="E40" s="131"/>
      <c r="F40" s="131"/>
      <c r="G40" s="176" t="s">
        <v>349</v>
      </c>
      <c r="H40" s="304">
        <f>H23+H29+H35</f>
        <v>950</v>
      </c>
      <c r="I40" s="304">
        <f t="shared" ref="I40:AQ40" si="14">I23+I29+I35</f>
        <v>970</v>
      </c>
      <c r="J40" s="304">
        <f t="shared" si="14"/>
        <v>1065</v>
      </c>
      <c r="K40" s="304">
        <f t="shared" si="14"/>
        <v>1115</v>
      </c>
      <c r="L40" s="304">
        <f t="shared" si="14"/>
        <v>1180</v>
      </c>
      <c r="M40" s="304">
        <f t="shared" si="14"/>
        <v>1280</v>
      </c>
      <c r="N40" s="304">
        <f t="shared" si="14"/>
        <v>1410</v>
      </c>
      <c r="O40" s="304">
        <f t="shared" si="14"/>
        <v>1440</v>
      </c>
      <c r="P40" s="868">
        <f t="shared" si="14"/>
        <v>1465</v>
      </c>
      <c r="Q40" s="304">
        <f t="shared" si="14"/>
        <v>1515</v>
      </c>
      <c r="R40" s="304">
        <f t="shared" si="14"/>
        <v>1665</v>
      </c>
      <c r="S40" s="314">
        <f t="shared" si="14"/>
        <v>1755</v>
      </c>
      <c r="T40" s="304">
        <f t="shared" si="14"/>
        <v>1850</v>
      </c>
      <c r="U40" s="304">
        <f t="shared" si="14"/>
        <v>1980</v>
      </c>
      <c r="V40" s="887">
        <f t="shared" si="14"/>
        <v>2260</v>
      </c>
      <c r="W40" s="304">
        <f t="shared" si="14"/>
        <v>2540</v>
      </c>
      <c r="X40" s="304">
        <f t="shared" si="14"/>
        <v>2510</v>
      </c>
      <c r="Y40" s="304">
        <f t="shared" si="14"/>
        <v>2650</v>
      </c>
      <c r="Z40" s="304">
        <f t="shared" si="14"/>
        <v>2780</v>
      </c>
      <c r="AA40" s="304">
        <f t="shared" si="14"/>
        <v>2880</v>
      </c>
      <c r="AB40" s="904">
        <f t="shared" si="14"/>
        <v>3570</v>
      </c>
      <c r="AC40" s="304">
        <f t="shared" si="14"/>
        <v>3720</v>
      </c>
      <c r="AD40" s="304">
        <f t="shared" si="14"/>
        <v>3860</v>
      </c>
      <c r="AE40" s="314">
        <f t="shared" si="14"/>
        <v>3980</v>
      </c>
      <c r="AF40" s="304">
        <f t="shared" si="14"/>
        <v>4150</v>
      </c>
      <c r="AG40" s="304">
        <f t="shared" si="14"/>
        <v>4310</v>
      </c>
      <c r="AH40" s="304">
        <f t="shared" si="14"/>
        <v>4440</v>
      </c>
      <c r="AI40" s="304">
        <f t="shared" si="14"/>
        <v>4580</v>
      </c>
      <c r="AJ40" s="304">
        <f t="shared" si="14"/>
        <v>4715</v>
      </c>
      <c r="AK40" s="304">
        <f t="shared" si="14"/>
        <v>4855</v>
      </c>
      <c r="AL40" s="304">
        <f t="shared" si="14"/>
        <v>4985</v>
      </c>
      <c r="AM40" s="304">
        <f t="shared" si="14"/>
        <v>5100</v>
      </c>
      <c r="AN40" s="304">
        <f t="shared" si="14"/>
        <v>5210</v>
      </c>
      <c r="AO40" s="304">
        <f t="shared" si="14"/>
        <v>5320</v>
      </c>
      <c r="AP40" s="304">
        <f t="shared" si="14"/>
        <v>5460</v>
      </c>
      <c r="AQ40" s="304">
        <f t="shared" si="14"/>
        <v>5610</v>
      </c>
      <c r="AR40" s="224"/>
      <c r="AS40" s="170"/>
      <c r="AT40" s="170"/>
      <c r="AU40" s="170"/>
      <c r="AV40" s="170"/>
      <c r="AW40" s="170"/>
      <c r="AX40" s="170"/>
      <c r="AY40" s="170"/>
      <c r="AZ40" s="170"/>
      <c r="BA40" s="170"/>
      <c r="BB40" s="170"/>
      <c r="BC40" s="170"/>
      <c r="BD40" s="170"/>
      <c r="BE40" s="170"/>
      <c r="BF40" s="170"/>
      <c r="BG40" s="170"/>
      <c r="BH40" s="170"/>
      <c r="BI40" s="170"/>
      <c r="BJ40" s="170"/>
      <c r="BK40" s="170"/>
      <c r="BL40" s="170"/>
      <c r="BM40" s="170"/>
      <c r="BN40" s="170"/>
      <c r="BO40" s="170"/>
      <c r="BP40" s="170"/>
      <c r="BQ40" s="170"/>
      <c r="BR40" s="170"/>
      <c r="BS40" s="170"/>
      <c r="BT40" s="170"/>
      <c r="BU40" s="170"/>
      <c r="BV40" s="170"/>
      <c r="BW40" s="170"/>
      <c r="BX40" s="170"/>
      <c r="BY40" s="170"/>
      <c r="BZ40" s="170"/>
      <c r="CA40" s="170"/>
      <c r="CB40" s="170"/>
      <c r="CC40" s="170"/>
      <c r="CD40" s="170"/>
      <c r="CE40" s="170"/>
      <c r="CF40" s="170"/>
      <c r="CG40" s="170"/>
      <c r="CH40" s="170"/>
      <c r="CI40" s="170"/>
      <c r="CJ40" s="170"/>
      <c r="CK40" s="170"/>
    </row>
    <row r="41" spans="1:89" s="50" customFormat="1" ht="16" customHeight="1">
      <c r="A41" s="130"/>
      <c r="B41" s="1111" t="str">
        <f>B20&amp;" Total"</f>
        <v>Appetisers Total</v>
      </c>
      <c r="C41" s="843"/>
      <c r="D41" s="844"/>
      <c r="E41" s="843"/>
      <c r="F41" s="1109"/>
      <c r="G41" s="153" t="s">
        <v>242</v>
      </c>
      <c r="H41" s="149">
        <f t="shared" ref="H41:AQ41" si="15">H25+H31+H37</f>
        <v>5625</v>
      </c>
      <c r="I41" s="149">
        <f t="shared" si="15"/>
        <v>5745.833333333333</v>
      </c>
      <c r="J41" s="149">
        <f t="shared" si="15"/>
        <v>6319.7916666666661</v>
      </c>
      <c r="K41" s="149">
        <f t="shared" si="15"/>
        <v>6611.458333333333</v>
      </c>
      <c r="L41" s="149">
        <f t="shared" si="15"/>
        <v>7000</v>
      </c>
      <c r="M41" s="149">
        <f t="shared" si="15"/>
        <v>7570.833333333333</v>
      </c>
      <c r="N41" s="149">
        <f t="shared" si="15"/>
        <v>8331.25</v>
      </c>
      <c r="O41" s="149">
        <f t="shared" si="15"/>
        <v>8504.1666666666661</v>
      </c>
      <c r="P41" s="869">
        <f t="shared" si="15"/>
        <v>8642.7083333333321</v>
      </c>
      <c r="Q41" s="149">
        <f t="shared" si="15"/>
        <v>8942.7083333333321</v>
      </c>
      <c r="R41" s="149">
        <f t="shared" si="15"/>
        <v>9863.5416666666661</v>
      </c>
      <c r="S41" s="301">
        <f t="shared" si="15"/>
        <v>10403.125</v>
      </c>
      <c r="T41" s="149">
        <f t="shared" si="15"/>
        <v>11376.666666666666</v>
      </c>
      <c r="U41" s="149">
        <f t="shared" si="15"/>
        <v>12174.166666666666</v>
      </c>
      <c r="V41" s="271">
        <f t="shared" si="15"/>
        <v>13902.5</v>
      </c>
      <c r="W41" s="149">
        <f t="shared" si="15"/>
        <v>15597.5</v>
      </c>
      <c r="X41" s="149">
        <f t="shared" si="15"/>
        <v>15390</v>
      </c>
      <c r="Y41" s="149">
        <f t="shared" si="15"/>
        <v>16237.916666666666</v>
      </c>
      <c r="Z41" s="149">
        <f t="shared" si="15"/>
        <v>17030.416666666664</v>
      </c>
      <c r="AA41" s="149">
        <f t="shared" si="15"/>
        <v>17640.833333333332</v>
      </c>
      <c r="AB41" s="905">
        <f t="shared" si="15"/>
        <v>21860</v>
      </c>
      <c r="AC41" s="149">
        <f t="shared" si="15"/>
        <v>22767.5</v>
      </c>
      <c r="AD41" s="149">
        <f t="shared" si="15"/>
        <v>23622.083333333332</v>
      </c>
      <c r="AE41" s="301">
        <f t="shared" si="15"/>
        <v>24354.583333333332</v>
      </c>
      <c r="AF41" s="149">
        <f t="shared" si="15"/>
        <v>26275</v>
      </c>
      <c r="AG41" s="149">
        <f t="shared" si="15"/>
        <v>27285</v>
      </c>
      <c r="AH41" s="149">
        <f t="shared" si="15"/>
        <v>28108.75</v>
      </c>
      <c r="AI41" s="149">
        <f t="shared" si="15"/>
        <v>28992.5</v>
      </c>
      <c r="AJ41" s="149">
        <f t="shared" si="15"/>
        <v>29840</v>
      </c>
      <c r="AK41" s="149">
        <f t="shared" si="15"/>
        <v>30723.75</v>
      </c>
      <c r="AL41" s="149">
        <f t="shared" si="15"/>
        <v>31541.25</v>
      </c>
      <c r="AM41" s="149">
        <f t="shared" si="15"/>
        <v>32287.5</v>
      </c>
      <c r="AN41" s="149">
        <f t="shared" si="15"/>
        <v>32991.25</v>
      </c>
      <c r="AO41" s="149">
        <f t="shared" si="15"/>
        <v>33700</v>
      </c>
      <c r="AP41" s="149">
        <f t="shared" si="15"/>
        <v>34605</v>
      </c>
      <c r="AQ41" s="149">
        <f t="shared" si="15"/>
        <v>35572.5</v>
      </c>
      <c r="AR41" s="224"/>
      <c r="AS41" s="170"/>
      <c r="AT41" s="170"/>
      <c r="AU41" s="170"/>
      <c r="AV41" s="170"/>
      <c r="AW41" s="170"/>
      <c r="AX41" s="170"/>
      <c r="AY41" s="170"/>
      <c r="AZ41" s="170"/>
      <c r="BA41" s="170"/>
      <c r="BB41" s="170"/>
      <c r="BC41" s="170"/>
      <c r="BD41" s="170"/>
      <c r="BE41" s="170"/>
      <c r="BF41" s="170"/>
      <c r="BG41" s="170"/>
      <c r="BH41" s="170"/>
      <c r="BI41" s="170"/>
      <c r="BJ41" s="170"/>
      <c r="BK41" s="170"/>
      <c r="BL41" s="170"/>
      <c r="BM41" s="170"/>
      <c r="BN41" s="170"/>
      <c r="BO41" s="170"/>
      <c r="BP41" s="170"/>
      <c r="BQ41" s="170"/>
      <c r="BR41" s="170"/>
      <c r="BS41" s="170"/>
      <c r="BT41" s="170"/>
      <c r="BU41" s="170"/>
      <c r="BV41" s="170"/>
      <c r="BW41" s="170"/>
      <c r="BX41" s="170"/>
      <c r="BY41" s="170"/>
      <c r="BZ41" s="170"/>
      <c r="CA41" s="170"/>
      <c r="CB41" s="170"/>
      <c r="CC41" s="170"/>
      <c r="CD41" s="170"/>
      <c r="CE41" s="170"/>
      <c r="CF41" s="170"/>
      <c r="CG41" s="170"/>
      <c r="CH41" s="170"/>
      <c r="CI41" s="170"/>
      <c r="CJ41" s="170"/>
      <c r="CK41" s="170"/>
    </row>
    <row r="42" spans="1:89" s="50" customFormat="1" ht="16" customHeight="1" thickBot="1">
      <c r="A42" s="130"/>
      <c r="B42" s="1111"/>
      <c r="C42" s="843"/>
      <c r="D42" s="844"/>
      <c r="E42" s="843"/>
      <c r="F42" s="1109"/>
      <c r="G42" s="154" t="s">
        <v>241</v>
      </c>
      <c r="H42" s="150">
        <f t="shared" ref="H42:AQ42" si="16">H26+H32+H38</f>
        <v>4002.7210000000005</v>
      </c>
      <c r="I42" s="150">
        <f t="shared" si="16"/>
        <v>4088.6097333333337</v>
      </c>
      <c r="J42" s="150">
        <f t="shared" si="16"/>
        <v>4493.4439666666667</v>
      </c>
      <c r="K42" s="150">
        <f t="shared" si="16"/>
        <v>4702.5923833333336</v>
      </c>
      <c r="L42" s="150">
        <f t="shared" si="16"/>
        <v>4978.2464999999993</v>
      </c>
      <c r="M42" s="150">
        <f t="shared" si="16"/>
        <v>5389.8552333333337</v>
      </c>
      <c r="N42" s="150">
        <f t="shared" si="16"/>
        <v>5932.2459999999992</v>
      </c>
      <c r="O42" s="150">
        <f t="shared" si="16"/>
        <v>6056.6203666666661</v>
      </c>
      <c r="P42" s="870">
        <f t="shared" si="16"/>
        <v>6158.5480833333331</v>
      </c>
      <c r="Q42" s="150">
        <f t="shared" si="16"/>
        <v>6371.527783333333</v>
      </c>
      <c r="R42" s="150">
        <f t="shared" si="16"/>
        <v>7017.2215666666661</v>
      </c>
      <c r="S42" s="302">
        <f t="shared" si="16"/>
        <v>7400.2365999999993</v>
      </c>
      <c r="T42" s="150">
        <f t="shared" si="16"/>
        <v>8082.7534986666669</v>
      </c>
      <c r="U42" s="150">
        <f t="shared" si="16"/>
        <v>8649.4769786666657</v>
      </c>
      <c r="V42" s="272">
        <f t="shared" si="16"/>
        <v>9875.8853039999995</v>
      </c>
      <c r="W42" s="150">
        <f t="shared" si="16"/>
        <v>11087.333976</v>
      </c>
      <c r="X42" s="150">
        <f t="shared" si="16"/>
        <v>10943.116416000001</v>
      </c>
      <c r="Y42" s="150">
        <f t="shared" si="16"/>
        <v>11548.604870666666</v>
      </c>
      <c r="Z42" s="150">
        <f t="shared" si="16"/>
        <v>12113.648238666667</v>
      </c>
      <c r="AA42" s="150">
        <f t="shared" si="16"/>
        <v>12548.277085333333</v>
      </c>
      <c r="AB42" s="906">
        <f t="shared" si="16"/>
        <v>15553.801088</v>
      </c>
      <c r="AC42" s="150">
        <f t="shared" si="16"/>
        <v>16201.886504000002</v>
      </c>
      <c r="AD42" s="150">
        <f t="shared" si="16"/>
        <v>16810.366889333331</v>
      </c>
      <c r="AE42" s="302">
        <f t="shared" si="16"/>
        <v>17331.921505333332</v>
      </c>
      <c r="AF42" s="150">
        <f t="shared" si="16"/>
        <v>18640.852247080002</v>
      </c>
      <c r="AG42" s="150">
        <f t="shared" si="16"/>
        <v>19357.63816332</v>
      </c>
      <c r="AH42" s="150">
        <f t="shared" si="16"/>
        <v>19941.668887029999</v>
      </c>
      <c r="AI42" s="150">
        <f t="shared" si="16"/>
        <v>20568.856563740002</v>
      </c>
      <c r="AJ42" s="150">
        <f t="shared" si="16"/>
        <v>21171.181430420002</v>
      </c>
      <c r="AK42" s="150">
        <f t="shared" si="16"/>
        <v>21798.369107130002</v>
      </c>
      <c r="AL42" s="150">
        <f t="shared" si="16"/>
        <v>22379.115497309998</v>
      </c>
      <c r="AM42" s="150">
        <f t="shared" si="16"/>
        <v>22904.979458579997</v>
      </c>
      <c r="AN42" s="150">
        <f t="shared" si="16"/>
        <v>23402.69627629</v>
      </c>
      <c r="AO42" s="150">
        <f t="shared" si="16"/>
        <v>23903.312673339999</v>
      </c>
      <c r="AP42" s="150">
        <f t="shared" si="16"/>
        <v>24542.483421600002</v>
      </c>
      <c r="AQ42" s="150">
        <f t="shared" si="16"/>
        <v>25226.26091253</v>
      </c>
      <c r="AR42" s="224"/>
      <c r="AS42" s="170"/>
      <c r="AT42" s="170"/>
      <c r="AU42" s="170"/>
      <c r="AV42" s="170"/>
      <c r="AW42" s="170"/>
      <c r="AX42" s="170"/>
      <c r="AY42" s="170"/>
      <c r="AZ42" s="170"/>
      <c r="BA42" s="170"/>
      <c r="BB42" s="170"/>
      <c r="BC42" s="170"/>
      <c r="BD42" s="170"/>
      <c r="BE42" s="170"/>
      <c r="BF42" s="170"/>
      <c r="BG42" s="170"/>
      <c r="BH42" s="170"/>
      <c r="BI42" s="170"/>
      <c r="BJ42" s="170"/>
      <c r="BK42" s="170"/>
      <c r="BL42" s="170"/>
      <c r="BM42" s="170"/>
      <c r="BN42" s="170"/>
      <c r="BO42" s="170"/>
      <c r="BP42" s="170"/>
      <c r="BQ42" s="170"/>
      <c r="BR42" s="170"/>
      <c r="BS42" s="170"/>
      <c r="BT42" s="170"/>
      <c r="BU42" s="170"/>
      <c r="BV42" s="170"/>
      <c r="BW42" s="170"/>
      <c r="BX42" s="170"/>
      <c r="BY42" s="170"/>
      <c r="BZ42" s="170"/>
      <c r="CA42" s="170"/>
      <c r="CB42" s="170"/>
      <c r="CC42" s="170"/>
      <c r="CD42" s="170"/>
      <c r="CE42" s="170"/>
      <c r="CF42" s="170"/>
      <c r="CG42" s="170"/>
      <c r="CH42" s="170"/>
      <c r="CI42" s="170"/>
      <c r="CJ42" s="170"/>
      <c r="CK42" s="170"/>
    </row>
    <row r="43" spans="1:89" s="50" customFormat="1" ht="16" customHeight="1" thickTop="1">
      <c r="A43" s="130"/>
      <c r="B43" s="1111"/>
      <c r="C43" s="843"/>
      <c r="D43" s="844"/>
      <c r="E43" s="843"/>
      <c r="F43" s="1109"/>
      <c r="G43" s="155" t="s">
        <v>436</v>
      </c>
      <c r="H43" s="151"/>
      <c r="I43" s="151"/>
      <c r="J43" s="151"/>
      <c r="K43" s="151"/>
      <c r="L43" s="151"/>
      <c r="M43" s="151"/>
      <c r="N43" s="151"/>
      <c r="O43" s="151"/>
      <c r="P43" s="871"/>
      <c r="Q43" s="151"/>
      <c r="R43" s="151"/>
      <c r="S43" s="245"/>
      <c r="T43" s="625">
        <f>(T41-H41)/H41</f>
        <v>1.0225185185185184</v>
      </c>
      <c r="U43" s="625">
        <f t="shared" ref="U43:AQ43" si="17">(U41-I41)/I41</f>
        <v>1.1187817258883248</v>
      </c>
      <c r="V43" s="888">
        <f t="shared" si="17"/>
        <v>1.1998351738915447</v>
      </c>
      <c r="W43" s="625">
        <f t="shared" si="17"/>
        <v>1.3591618087285333</v>
      </c>
      <c r="X43" s="625">
        <f t="shared" si="17"/>
        <v>1.1985714285714286</v>
      </c>
      <c r="Y43" s="625">
        <f t="shared" si="17"/>
        <v>1.1447991194276279</v>
      </c>
      <c r="Z43" s="625">
        <f t="shared" si="17"/>
        <v>1.0441610402600647</v>
      </c>
      <c r="AA43" s="625">
        <f t="shared" si="17"/>
        <v>1.0743753062224399</v>
      </c>
      <c r="AB43" s="907">
        <f t="shared" si="17"/>
        <v>1.5292997468964689</v>
      </c>
      <c r="AC43" s="625">
        <f t="shared" si="17"/>
        <v>1.5459289458357603</v>
      </c>
      <c r="AD43" s="625">
        <f t="shared" si="17"/>
        <v>1.3948885837997678</v>
      </c>
      <c r="AE43" s="885">
        <f t="shared" si="17"/>
        <v>1.3410834084309602</v>
      </c>
      <c r="AF43" s="625">
        <f t="shared" si="17"/>
        <v>1.3095517140345738</v>
      </c>
      <c r="AG43" s="625">
        <f t="shared" si="17"/>
        <v>1.2412211650352523</v>
      </c>
      <c r="AH43" s="625">
        <f t="shared" si="17"/>
        <v>1.0218485883833843</v>
      </c>
      <c r="AI43" s="625">
        <f t="shared" si="17"/>
        <v>0.85879147299246672</v>
      </c>
      <c r="AJ43" s="625">
        <f t="shared" si="17"/>
        <v>0.93892137751786875</v>
      </c>
      <c r="AK43" s="625">
        <f t="shared" si="17"/>
        <v>0.89209925329090867</v>
      </c>
      <c r="AL43" s="625">
        <f t="shared" si="17"/>
        <v>0.85205392312773742</v>
      </c>
      <c r="AM43" s="625">
        <f t="shared" si="17"/>
        <v>0.83027067882280703</v>
      </c>
      <c r="AN43" s="625">
        <f t="shared" si="17"/>
        <v>0.50920631290027452</v>
      </c>
      <c r="AO43" s="625">
        <f t="shared" si="17"/>
        <v>0.48018008125617656</v>
      </c>
      <c r="AP43" s="625">
        <f t="shared" si="17"/>
        <v>0.46494276189300277</v>
      </c>
      <c r="AQ43" s="625">
        <f t="shared" si="17"/>
        <v>0.4606080306581582</v>
      </c>
      <c r="AR43" s="224"/>
      <c r="AS43" s="170"/>
      <c r="AT43" s="170"/>
      <c r="AU43" s="170"/>
      <c r="AV43" s="170"/>
      <c r="AW43" s="170"/>
      <c r="AX43" s="170"/>
      <c r="AY43" s="170"/>
      <c r="AZ43" s="170"/>
      <c r="BA43" s="170"/>
      <c r="BB43" s="170"/>
      <c r="BC43" s="170"/>
      <c r="BD43" s="170"/>
      <c r="BE43" s="170"/>
      <c r="BF43" s="170"/>
      <c r="BG43" s="170"/>
      <c r="BH43" s="170"/>
      <c r="BI43" s="170"/>
      <c r="BJ43" s="170"/>
      <c r="BK43" s="170"/>
      <c r="BL43" s="170"/>
      <c r="BM43" s="170"/>
      <c r="BN43" s="170"/>
      <c r="BO43" s="170"/>
      <c r="BP43" s="170"/>
      <c r="BQ43" s="170"/>
      <c r="BR43" s="170"/>
      <c r="BS43" s="170"/>
      <c r="BT43" s="170"/>
      <c r="BU43" s="170"/>
      <c r="BV43" s="170"/>
      <c r="BW43" s="170"/>
      <c r="BX43" s="170"/>
      <c r="BY43" s="170"/>
      <c r="BZ43" s="170"/>
      <c r="CA43" s="170"/>
      <c r="CB43" s="170"/>
      <c r="CC43" s="170"/>
      <c r="CD43" s="170"/>
      <c r="CE43" s="170"/>
      <c r="CF43" s="170"/>
      <c r="CG43" s="170"/>
      <c r="CH43" s="170"/>
      <c r="CI43" s="170"/>
      <c r="CJ43" s="170"/>
      <c r="CK43" s="170"/>
    </row>
    <row r="44" spans="1:89" s="50" customFormat="1" ht="16" customHeight="1">
      <c r="A44" s="130"/>
      <c r="B44" s="1111"/>
      <c r="C44" s="843"/>
      <c r="D44" s="844"/>
      <c r="E44" s="843"/>
      <c r="F44" s="843"/>
      <c r="G44" s="155" t="s">
        <v>240</v>
      </c>
      <c r="H44" s="152">
        <f t="shared" ref="H44:AQ44" si="18">H42/H41</f>
        <v>0.71159484444444454</v>
      </c>
      <c r="I44" s="152">
        <f t="shared" si="18"/>
        <v>0.7115781986947064</v>
      </c>
      <c r="J44" s="152">
        <f t="shared" si="18"/>
        <v>0.71101140728531409</v>
      </c>
      <c r="K44" s="152">
        <f t="shared" si="18"/>
        <v>0.71127913786040653</v>
      </c>
      <c r="L44" s="152">
        <f t="shared" si="18"/>
        <v>0.71117807142857137</v>
      </c>
      <c r="M44" s="152">
        <f t="shared" si="18"/>
        <v>0.71192364116675844</v>
      </c>
      <c r="N44" s="152">
        <f t="shared" si="18"/>
        <v>0.71204753188297065</v>
      </c>
      <c r="O44" s="152">
        <f t="shared" si="18"/>
        <v>0.71219445761881428</v>
      </c>
      <c r="P44" s="872">
        <f t="shared" si="18"/>
        <v>0.71257155116307103</v>
      </c>
      <c r="Q44" s="152">
        <f t="shared" si="18"/>
        <v>0.7124830136284217</v>
      </c>
      <c r="R44" s="152">
        <f t="shared" si="18"/>
        <v>0.71143021480620972</v>
      </c>
      <c r="S44" s="246">
        <f t="shared" si="18"/>
        <v>0.71134746530489634</v>
      </c>
      <c r="T44" s="152">
        <f t="shared" si="18"/>
        <v>0.71046763832405513</v>
      </c>
      <c r="U44" s="152">
        <f t="shared" si="18"/>
        <v>0.71047795019508519</v>
      </c>
      <c r="V44" s="273">
        <f t="shared" si="18"/>
        <v>0.7103675816579752</v>
      </c>
      <c r="W44" s="152">
        <f t="shared" si="18"/>
        <v>0.71084045366244586</v>
      </c>
      <c r="X44" s="152">
        <f t="shared" si="18"/>
        <v>0.71105369824561404</v>
      </c>
      <c r="Y44" s="152">
        <f t="shared" si="18"/>
        <v>0.71121222677375484</v>
      </c>
      <c r="Z44" s="152">
        <f t="shared" si="18"/>
        <v>0.71129488348787717</v>
      </c>
      <c r="AA44" s="152">
        <f t="shared" si="18"/>
        <v>0.71131997271481884</v>
      </c>
      <c r="AB44" s="908">
        <f t="shared" si="18"/>
        <v>0.71151880548947855</v>
      </c>
      <c r="AC44" s="152">
        <f t="shared" si="18"/>
        <v>0.71162343270012085</v>
      </c>
      <c r="AD44" s="152">
        <f t="shared" si="18"/>
        <v>0.71163777775739501</v>
      </c>
      <c r="AE44" s="246">
        <f t="shared" si="18"/>
        <v>0.71164927225881502</v>
      </c>
      <c r="AF44" s="152">
        <f t="shared" si="18"/>
        <v>0.7094520360449097</v>
      </c>
      <c r="AG44" s="152">
        <f t="shared" si="18"/>
        <v>0.70946080862451899</v>
      </c>
      <c r="AH44" s="152">
        <f t="shared" si="18"/>
        <v>0.70944701870520743</v>
      </c>
      <c r="AI44" s="152">
        <f t="shared" si="18"/>
        <v>0.70945439557609735</v>
      </c>
      <c r="AJ44" s="152">
        <f t="shared" si="18"/>
        <v>0.7094899943170242</v>
      </c>
      <c r="AK44" s="152">
        <f t="shared" si="18"/>
        <v>0.70949571934187727</v>
      </c>
      <c r="AL44" s="152">
        <f t="shared" si="18"/>
        <v>0.70951897902936623</v>
      </c>
      <c r="AM44" s="152">
        <f t="shared" si="18"/>
        <v>0.70940702930174204</v>
      </c>
      <c r="AN44" s="152">
        <f t="shared" si="18"/>
        <v>0.70936070249808658</v>
      </c>
      <c r="AO44" s="152">
        <f t="shared" si="18"/>
        <v>0.70929711196854595</v>
      </c>
      <c r="AP44" s="152">
        <f t="shared" si="18"/>
        <v>0.70921784197659299</v>
      </c>
      <c r="AQ44" s="152">
        <f t="shared" si="18"/>
        <v>0.70915063356609742</v>
      </c>
      <c r="AR44" s="224"/>
      <c r="AS44" s="170"/>
      <c r="AT44" s="170"/>
      <c r="AU44" s="170"/>
      <c r="AV44" s="170"/>
      <c r="AW44" s="170"/>
      <c r="AX44" s="170"/>
      <c r="AY44" s="170"/>
      <c r="AZ44" s="170"/>
      <c r="BA44" s="170"/>
      <c r="BB44" s="170"/>
      <c r="BC44" s="170"/>
      <c r="BD44" s="170"/>
      <c r="BE44" s="170"/>
      <c r="BF44" s="170"/>
      <c r="BG44" s="170"/>
      <c r="BH44" s="170"/>
      <c r="BI44" s="170"/>
      <c r="BJ44" s="170"/>
      <c r="BK44" s="170"/>
      <c r="BL44" s="170"/>
      <c r="BM44" s="170"/>
      <c r="BN44" s="170"/>
      <c r="BO44" s="170"/>
      <c r="BP44" s="170"/>
      <c r="BQ44" s="170"/>
      <c r="BR44" s="170"/>
      <c r="BS44" s="170"/>
      <c r="BT44" s="170"/>
      <c r="BU44" s="170"/>
      <c r="BV44" s="170"/>
      <c r="BW44" s="170"/>
      <c r="BX44" s="170"/>
      <c r="BY44" s="170"/>
      <c r="BZ44" s="170"/>
      <c r="CA44" s="170"/>
      <c r="CB44" s="170"/>
      <c r="CC44" s="170"/>
      <c r="CD44" s="170"/>
      <c r="CE44" s="170"/>
      <c r="CF44" s="170"/>
      <c r="CG44" s="170"/>
      <c r="CH44" s="170"/>
      <c r="CI44" s="170"/>
      <c r="CJ44" s="170"/>
      <c r="CK44" s="170"/>
    </row>
    <row r="45" spans="1:89" s="50" customFormat="1" ht="16" customHeight="1">
      <c r="A45" s="130"/>
      <c r="B45" s="168"/>
      <c r="C45" s="168"/>
      <c r="D45" s="168"/>
      <c r="E45" s="223"/>
      <c r="F45" s="223"/>
      <c r="G45" s="165"/>
      <c r="H45" s="166"/>
      <c r="I45" s="166"/>
      <c r="J45" s="166"/>
      <c r="K45" s="166"/>
      <c r="L45" s="166"/>
      <c r="M45" s="166"/>
      <c r="N45" s="166"/>
      <c r="O45" s="166"/>
      <c r="P45" s="873"/>
      <c r="Q45" s="166"/>
      <c r="R45" s="166"/>
      <c r="S45" s="1068">
        <f>SUM(H42:S42)</f>
        <v>66591.869216666659</v>
      </c>
      <c r="T45" s="166"/>
      <c r="U45" s="166"/>
      <c r="V45" s="274"/>
      <c r="W45" s="166"/>
      <c r="X45" s="166"/>
      <c r="Y45" s="166"/>
      <c r="Z45" s="166"/>
      <c r="AA45" s="166"/>
      <c r="AB45" s="909"/>
      <c r="AC45" s="166"/>
      <c r="AD45" s="166"/>
      <c r="AE45" s="247"/>
      <c r="AF45" s="166"/>
      <c r="AG45" s="166"/>
      <c r="AH45" s="166"/>
      <c r="AI45" s="166"/>
      <c r="AJ45" s="166"/>
      <c r="AK45" s="166"/>
      <c r="AL45" s="166"/>
      <c r="AM45" s="166"/>
      <c r="AN45" s="166"/>
      <c r="AO45" s="166"/>
      <c r="AP45" s="166"/>
      <c r="AQ45" s="166"/>
      <c r="AR45" s="224"/>
      <c r="AS45" s="170"/>
      <c r="AT45" s="170"/>
      <c r="AU45" s="170"/>
      <c r="AV45" s="170"/>
      <c r="AW45" s="170"/>
      <c r="AX45" s="170"/>
      <c r="AY45" s="170"/>
      <c r="AZ45" s="170"/>
      <c r="BA45" s="170"/>
      <c r="BB45" s="170"/>
      <c r="BC45" s="170"/>
      <c r="BD45" s="170"/>
      <c r="BE45" s="170"/>
      <c r="BF45" s="170"/>
      <c r="BG45" s="170"/>
      <c r="BH45" s="170"/>
      <c r="BI45" s="170"/>
      <c r="BJ45" s="170"/>
      <c r="BK45" s="170"/>
      <c r="BL45" s="170"/>
      <c r="BM45" s="170"/>
      <c r="BN45" s="170"/>
      <c r="BO45" s="170"/>
      <c r="BP45" s="170"/>
      <c r="BQ45" s="170"/>
      <c r="BR45" s="170"/>
      <c r="BS45" s="170"/>
      <c r="BT45" s="170"/>
      <c r="BU45" s="170"/>
      <c r="BV45" s="170"/>
      <c r="BW45" s="170"/>
      <c r="BX45" s="170"/>
      <c r="BY45" s="170"/>
      <c r="BZ45" s="170"/>
      <c r="CA45" s="170"/>
      <c r="CB45" s="170"/>
      <c r="CC45" s="170"/>
      <c r="CD45" s="170"/>
      <c r="CE45" s="170"/>
      <c r="CF45" s="170"/>
      <c r="CG45" s="170"/>
      <c r="CH45" s="170"/>
      <c r="CI45" s="170"/>
      <c r="CJ45" s="170"/>
      <c r="CK45" s="170"/>
    </row>
    <row r="46" spans="1:89" s="50" customFormat="1" ht="15" customHeight="1">
      <c r="A46" s="130"/>
      <c r="B46" s="168"/>
      <c r="C46" s="168"/>
      <c r="D46" s="168"/>
      <c r="E46" s="223"/>
      <c r="F46" s="223"/>
      <c r="G46" s="165"/>
      <c r="H46" s="166"/>
      <c r="I46" s="166"/>
      <c r="J46" s="166"/>
      <c r="K46" s="166"/>
      <c r="L46" s="166"/>
      <c r="M46" s="166"/>
      <c r="N46" s="166"/>
      <c r="O46" s="166"/>
      <c r="P46" s="1114" t="s">
        <v>344</v>
      </c>
      <c r="Q46" s="166"/>
      <c r="R46" s="166"/>
      <c r="S46" s="247"/>
      <c r="T46" s="166"/>
      <c r="U46" s="1119"/>
      <c r="V46" s="1113" t="s">
        <v>337</v>
      </c>
      <c r="W46" s="166"/>
      <c r="X46" s="166"/>
      <c r="Y46" s="166"/>
      <c r="Z46" s="166"/>
      <c r="AA46" s="252"/>
      <c r="AB46" s="1118" t="s">
        <v>329</v>
      </c>
      <c r="AC46" s="166"/>
      <c r="AD46" s="166"/>
      <c r="AE46" s="247"/>
      <c r="AF46" s="166"/>
      <c r="AG46" s="166"/>
      <c r="AH46" s="166"/>
      <c r="AI46" s="166"/>
      <c r="AJ46" s="166"/>
      <c r="AK46" s="166"/>
      <c r="AL46" s="166"/>
      <c r="AM46" s="166"/>
      <c r="AN46" s="166"/>
      <c r="AO46" s="166"/>
      <c r="AP46" s="166"/>
      <c r="AQ46" s="166"/>
      <c r="AR46" s="224"/>
      <c r="AS46" s="170"/>
      <c r="AT46" s="170"/>
      <c r="AU46" s="170"/>
      <c r="AV46" s="170"/>
      <c r="AW46" s="170"/>
      <c r="AX46" s="170"/>
      <c r="AY46" s="170"/>
      <c r="AZ46" s="170"/>
      <c r="BA46" s="170"/>
      <c r="BB46" s="170"/>
      <c r="BC46" s="170"/>
      <c r="BD46" s="170"/>
      <c r="BE46" s="170"/>
      <c r="BF46" s="170"/>
      <c r="BG46" s="170"/>
      <c r="BH46" s="170"/>
      <c r="BI46" s="170"/>
      <c r="BJ46" s="170"/>
      <c r="BK46" s="170"/>
      <c r="BL46" s="170"/>
      <c r="BM46" s="170"/>
      <c r="BN46" s="170"/>
      <c r="BO46" s="170"/>
      <c r="BP46" s="170"/>
      <c r="BQ46" s="170"/>
      <c r="BR46" s="170"/>
      <c r="BS46" s="170"/>
      <c r="BT46" s="170"/>
      <c r="BU46" s="170"/>
      <c r="BV46" s="170"/>
      <c r="BW46" s="170"/>
      <c r="BX46" s="170"/>
      <c r="BY46" s="170"/>
      <c r="BZ46" s="170"/>
      <c r="CA46" s="170"/>
      <c r="CB46" s="170"/>
      <c r="CC46" s="170"/>
      <c r="CD46" s="170"/>
      <c r="CE46" s="170"/>
      <c r="CF46" s="170"/>
      <c r="CG46" s="170"/>
      <c r="CH46" s="170"/>
      <c r="CI46" s="170"/>
      <c r="CJ46" s="170"/>
      <c r="CK46" s="170"/>
    </row>
    <row r="47" spans="1:89" s="50" customFormat="1" ht="16" customHeight="1">
      <c r="A47" s="130"/>
      <c r="B47" s="168"/>
      <c r="C47" s="168"/>
      <c r="D47" s="168"/>
      <c r="E47" s="168"/>
      <c r="F47" s="168"/>
      <c r="G47" s="165"/>
      <c r="H47" s="166"/>
      <c r="I47" s="166"/>
      <c r="J47" s="166"/>
      <c r="K47" s="166"/>
      <c r="L47" s="166"/>
      <c r="M47" s="166"/>
      <c r="N47" s="166"/>
      <c r="O47" s="166"/>
      <c r="P47" s="1115"/>
      <c r="Q47" s="166"/>
      <c r="R47" s="166"/>
      <c r="S47" s="247"/>
      <c r="T47" s="166"/>
      <c r="U47" s="1119"/>
      <c r="V47" s="1113"/>
      <c r="W47" s="166"/>
      <c r="X47" s="166"/>
      <c r="Y47" s="166"/>
      <c r="Z47" s="166"/>
      <c r="AA47" s="52"/>
      <c r="AB47" s="1118"/>
      <c r="AC47" s="166"/>
      <c r="AD47" s="166"/>
      <c r="AE47" s="247"/>
      <c r="AF47" s="166"/>
      <c r="AG47" s="166"/>
      <c r="AH47" s="166"/>
      <c r="AI47" s="166"/>
      <c r="AJ47" s="166"/>
      <c r="AK47" s="166"/>
      <c r="AL47" s="166"/>
      <c r="AM47" s="166"/>
      <c r="AN47" s="166"/>
      <c r="AO47" s="166"/>
      <c r="AP47" s="166"/>
      <c r="AQ47" s="166"/>
    </row>
    <row r="48" spans="1:89" s="50" customFormat="1" ht="16" customHeight="1">
      <c r="A48" s="130"/>
      <c r="B48" s="127"/>
      <c r="C48" s="129"/>
      <c r="D48" s="129"/>
      <c r="E48" s="131"/>
      <c r="F48" s="131"/>
      <c r="G48" s="131"/>
      <c r="H48" s="131"/>
      <c r="I48" s="136"/>
      <c r="J48" s="136"/>
      <c r="K48" s="136"/>
      <c r="L48" s="136"/>
      <c r="M48" s="136"/>
      <c r="N48" s="136"/>
      <c r="O48" s="136"/>
      <c r="P48" s="866"/>
      <c r="Q48" s="136"/>
      <c r="R48" s="136"/>
      <c r="S48" s="243"/>
      <c r="T48" s="136"/>
      <c r="U48" s="136"/>
      <c r="V48" s="269"/>
      <c r="W48" s="136"/>
      <c r="X48" s="136"/>
      <c r="Y48" s="136"/>
      <c r="Z48" s="136"/>
      <c r="AA48" s="233"/>
      <c r="AB48" s="902"/>
      <c r="AC48" s="136"/>
      <c r="AD48" s="136"/>
      <c r="AE48" s="243"/>
      <c r="AF48" s="136"/>
      <c r="AG48" s="136"/>
      <c r="AH48" s="136"/>
      <c r="AI48" s="136"/>
      <c r="AJ48" s="136"/>
      <c r="AK48" s="136"/>
      <c r="AL48" s="136"/>
      <c r="AM48" s="136"/>
      <c r="AN48" s="136"/>
      <c r="AO48" s="136"/>
      <c r="AP48" s="136"/>
      <c r="AQ48" s="136"/>
    </row>
    <row r="49" spans="1:95" ht="16" customHeight="1">
      <c r="A49" s="130"/>
      <c r="B49" s="127"/>
      <c r="C49" s="129"/>
      <c r="D49" s="129"/>
      <c r="E49" s="131"/>
      <c r="F49" s="131"/>
      <c r="G49" s="132" t="s">
        <v>7</v>
      </c>
      <c r="H49" s="145">
        <f>'Pricing Model'!$C$5</f>
        <v>45658</v>
      </c>
      <c r="I49" s="146">
        <f t="shared" ref="I49" si="19">DATE(YEAR(H49),MONTH(H49),DAY(EOMONTH(H49,0)))+1</f>
        <v>45689</v>
      </c>
      <c r="J49" s="146">
        <f t="shared" ref="J49" si="20">DATE(YEAR(I49),MONTH(I49),DAY(EOMONTH(I49,0)))+1</f>
        <v>45717</v>
      </c>
      <c r="K49" s="146">
        <f t="shared" ref="K49" si="21">DATE(YEAR(J49),MONTH(J49),DAY(EOMONTH(J49,0)))+1</f>
        <v>45748</v>
      </c>
      <c r="L49" s="146">
        <f t="shared" ref="L49" si="22">DATE(YEAR(K49),MONTH(K49),DAY(EOMONTH(K49,0)))+1</f>
        <v>45778</v>
      </c>
      <c r="M49" s="146">
        <f t="shared" ref="M49" si="23">DATE(YEAR(L49),MONTH(L49),DAY(EOMONTH(L49,0)))+1</f>
        <v>45809</v>
      </c>
      <c r="N49" s="146">
        <f t="shared" ref="N49" si="24">DATE(YEAR(M49),MONTH(M49),DAY(EOMONTH(M49,0)))+1</f>
        <v>45839</v>
      </c>
      <c r="O49" s="146">
        <f t="shared" ref="O49" si="25">DATE(YEAR(N49),MONTH(N49),DAY(EOMONTH(N49,0)))+1</f>
        <v>45870</v>
      </c>
      <c r="P49" s="860">
        <f t="shared" ref="P49" si="26">DATE(YEAR(O49),MONTH(O49),DAY(EOMONTH(O49,0)))+1</f>
        <v>45901</v>
      </c>
      <c r="Q49" s="146">
        <f t="shared" ref="Q49" si="27">DATE(YEAR(P49),MONTH(P49),DAY(EOMONTH(P49,0)))+1</f>
        <v>45931</v>
      </c>
      <c r="R49" s="146">
        <f t="shared" ref="R49" si="28">DATE(YEAR(Q49),MONTH(Q49),DAY(EOMONTH(Q49,0)))+1</f>
        <v>45962</v>
      </c>
      <c r="S49" s="237">
        <f t="shared" ref="S49" si="29">DATE(YEAR(R49),MONTH(R49),DAY(EOMONTH(R49,0)))+1</f>
        <v>45992</v>
      </c>
      <c r="T49" s="146">
        <f t="shared" ref="T49" si="30">DATE(YEAR(S49),MONTH(S49),DAY(EOMONTH(S49,0)))+1</f>
        <v>46023</v>
      </c>
      <c r="U49" s="146">
        <f t="shared" ref="U49" si="31">DATE(YEAR(T49),MONTH(T49),DAY(EOMONTH(T49,0)))+1</f>
        <v>46054</v>
      </c>
      <c r="V49" s="263">
        <f t="shared" ref="V49" si="32">DATE(YEAR(U49),MONTH(U49),DAY(EOMONTH(U49,0)))+1</f>
        <v>46082</v>
      </c>
      <c r="W49" s="146">
        <f t="shared" ref="W49" si="33">DATE(YEAR(V49),MONTH(V49),DAY(EOMONTH(V49,0)))+1</f>
        <v>46113</v>
      </c>
      <c r="X49" s="146">
        <f t="shared" ref="X49" si="34">DATE(YEAR(W49),MONTH(W49),DAY(EOMONTH(W49,0)))+1</f>
        <v>46143</v>
      </c>
      <c r="Y49" s="146">
        <f t="shared" ref="Y49" si="35">DATE(YEAR(X49),MONTH(X49),DAY(EOMONTH(X49,0)))+1</f>
        <v>46174</v>
      </c>
      <c r="Z49" s="146">
        <f t="shared" ref="Z49" si="36">DATE(YEAR(Y49),MONTH(Y49),DAY(EOMONTH(Y49,0)))+1</f>
        <v>46204</v>
      </c>
      <c r="AA49" s="146">
        <f t="shared" ref="AA49" si="37">DATE(YEAR(Z49),MONTH(Z49),DAY(EOMONTH(Z49,0)))+1</f>
        <v>46235</v>
      </c>
      <c r="AB49" s="896">
        <f t="shared" ref="AB49" si="38">DATE(YEAR(AA49),MONTH(AA49),DAY(EOMONTH(AA49,0)))+1</f>
        <v>46266</v>
      </c>
      <c r="AC49" s="146">
        <f t="shared" ref="AC49" si="39">DATE(YEAR(AB49),MONTH(AB49),DAY(EOMONTH(AB49,0)))+1</f>
        <v>46296</v>
      </c>
      <c r="AD49" s="146">
        <f t="shared" ref="AD49" si="40">DATE(YEAR(AC49),MONTH(AC49),DAY(EOMONTH(AC49,0)))+1</f>
        <v>46327</v>
      </c>
      <c r="AE49" s="237">
        <f t="shared" ref="AE49" si="41">DATE(YEAR(AD49),MONTH(AD49),DAY(EOMONTH(AD49,0)))+1</f>
        <v>46357</v>
      </c>
      <c r="AF49" s="146">
        <f t="shared" ref="AF49" si="42">DATE(YEAR(AE49),MONTH(AE49),DAY(EOMONTH(AE49,0)))+1</f>
        <v>46388</v>
      </c>
      <c r="AG49" s="146">
        <f t="shared" ref="AG49" si="43">DATE(YEAR(AF49),MONTH(AF49),DAY(EOMONTH(AF49,0)))+1</f>
        <v>46419</v>
      </c>
      <c r="AH49" s="146">
        <f t="shared" ref="AH49" si="44">DATE(YEAR(AG49),MONTH(AG49),DAY(EOMONTH(AG49,0)))+1</f>
        <v>46447</v>
      </c>
      <c r="AI49" s="146">
        <f t="shared" ref="AI49" si="45">DATE(YEAR(AH49),MONTH(AH49),DAY(EOMONTH(AH49,0)))+1</f>
        <v>46478</v>
      </c>
      <c r="AJ49" s="146">
        <f t="shared" ref="AJ49" si="46">DATE(YEAR(AI49),MONTH(AI49),DAY(EOMONTH(AI49,0)))+1</f>
        <v>46508</v>
      </c>
      <c r="AK49" s="146">
        <f t="shared" ref="AK49" si="47">DATE(YEAR(AJ49),MONTH(AJ49),DAY(EOMONTH(AJ49,0)))+1</f>
        <v>46539</v>
      </c>
      <c r="AL49" s="146">
        <f t="shared" ref="AL49" si="48">DATE(YEAR(AK49),MONTH(AK49),DAY(EOMONTH(AK49,0)))+1</f>
        <v>46569</v>
      </c>
      <c r="AM49" s="146">
        <f t="shared" ref="AM49" si="49">DATE(YEAR(AL49),MONTH(AL49),DAY(EOMONTH(AL49,0)))+1</f>
        <v>46600</v>
      </c>
      <c r="AN49" s="146">
        <f t="shared" ref="AN49" si="50">DATE(YEAR(AM49),MONTH(AM49),DAY(EOMONTH(AM49,0)))+1</f>
        <v>46631</v>
      </c>
      <c r="AO49" s="146">
        <f t="shared" ref="AO49" si="51">DATE(YEAR(AN49),MONTH(AN49),DAY(EOMONTH(AN49,0)))+1</f>
        <v>46661</v>
      </c>
      <c r="AP49" s="146">
        <f t="shared" ref="AP49" si="52">DATE(YEAR(AO49),MONTH(AO49),DAY(EOMONTH(AO49,0)))+1</f>
        <v>46692</v>
      </c>
      <c r="AQ49" s="146">
        <f>DATE(YEAR(AP49),MONTH(AP49),DAY(EOMONTH(AP49,0)))+1+2025.1-2025.1</f>
        <v>46722</v>
      </c>
      <c r="AS49" s="167"/>
      <c r="AT49" s="167"/>
      <c r="AU49" s="167"/>
      <c r="AV49" s="167"/>
      <c r="AW49" s="167"/>
      <c r="AX49" s="167"/>
      <c r="AY49" s="167"/>
      <c r="AZ49" s="167"/>
      <c r="BA49" s="167"/>
      <c r="BB49" s="167"/>
      <c r="BC49" s="167"/>
      <c r="BD49" s="167"/>
      <c r="BE49" s="167"/>
      <c r="BF49" s="167"/>
      <c r="BG49" s="167"/>
      <c r="BH49" s="167"/>
      <c r="BI49" s="167"/>
      <c r="BJ49" s="167"/>
      <c r="BK49" s="167"/>
      <c r="BL49" s="167"/>
      <c r="BM49" s="167"/>
      <c r="BN49" s="167"/>
      <c r="BO49" s="167"/>
      <c r="BP49" s="167"/>
      <c r="BQ49" s="167"/>
      <c r="BR49" s="167"/>
      <c r="BS49" s="167"/>
      <c r="BT49" s="167"/>
      <c r="BU49" s="167"/>
      <c r="BV49" s="167"/>
      <c r="BW49" s="167"/>
      <c r="BX49" s="167"/>
      <c r="BY49" s="167"/>
      <c r="BZ49" s="167"/>
      <c r="CA49" s="167"/>
      <c r="CB49" s="167"/>
      <c r="CC49" s="167"/>
      <c r="CD49" s="167"/>
      <c r="CE49" s="167"/>
      <c r="CF49" s="167"/>
      <c r="CG49" s="167"/>
      <c r="CH49" s="167"/>
      <c r="CI49" s="167"/>
      <c r="CJ49" s="167"/>
      <c r="CK49" s="167"/>
      <c r="CL49" s="167"/>
      <c r="CM49" s="167"/>
      <c r="CN49" s="167"/>
      <c r="CO49" s="167"/>
      <c r="CP49" s="167"/>
      <c r="CQ49" s="167"/>
    </row>
    <row r="50" spans="1:95" ht="21" customHeight="1">
      <c r="A50" s="130"/>
      <c r="B50" s="1120" t="str">
        <f>'Pricing Model'!B59</f>
        <v>Main Dishes</v>
      </c>
      <c r="C50" s="1120"/>
      <c r="D50" s="1120"/>
      <c r="E50" s="1120"/>
      <c r="F50" s="1120"/>
      <c r="G50" s="1120"/>
      <c r="H50" s="1120"/>
      <c r="I50" s="1120"/>
      <c r="J50" s="1120"/>
      <c r="K50" s="1120"/>
      <c r="L50" s="1120"/>
      <c r="M50" s="1120"/>
      <c r="N50" s="1120"/>
      <c r="O50" s="1120"/>
      <c r="P50" s="1120"/>
      <c r="Q50" s="1120"/>
      <c r="R50" s="1120"/>
      <c r="S50" s="1120"/>
      <c r="T50" s="1120"/>
      <c r="U50" s="1120"/>
      <c r="V50" s="1120"/>
      <c r="W50" s="1120"/>
      <c r="X50" s="1120"/>
      <c r="Y50" s="1120"/>
      <c r="Z50" s="1120"/>
      <c r="AA50" s="1120"/>
      <c r="AB50" s="1120"/>
      <c r="AC50" s="1120"/>
      <c r="AD50" s="1120"/>
      <c r="AE50" s="1120"/>
      <c r="AF50" s="1120"/>
      <c r="AG50" s="1120"/>
      <c r="AH50" s="1120"/>
      <c r="AI50" s="1120"/>
      <c r="AJ50" s="1120"/>
      <c r="AK50" s="1120"/>
      <c r="AL50" s="1120"/>
      <c r="AM50" s="1120"/>
      <c r="AN50" s="1120"/>
      <c r="AO50" s="1120"/>
      <c r="AP50" s="1120"/>
      <c r="AQ50" s="1120"/>
      <c r="AS50" s="167"/>
      <c r="AT50" s="167"/>
      <c r="AU50" s="167"/>
      <c r="AV50" s="167"/>
      <c r="AW50" s="167"/>
      <c r="AX50" s="167"/>
      <c r="AY50" s="167"/>
      <c r="AZ50" s="167"/>
      <c r="BA50" s="167"/>
      <c r="BB50" s="167"/>
      <c r="BC50" s="167"/>
      <c r="BD50" s="167"/>
      <c r="BE50" s="167"/>
      <c r="BF50" s="167"/>
      <c r="BG50" s="167"/>
      <c r="BH50" s="167"/>
      <c r="BI50" s="167"/>
      <c r="BJ50" s="167"/>
      <c r="BK50" s="167"/>
      <c r="BL50" s="167"/>
      <c r="BM50" s="167"/>
      <c r="BN50" s="167"/>
      <c r="BO50" s="167"/>
      <c r="BP50" s="167"/>
      <c r="BQ50" s="167"/>
      <c r="BR50" s="167"/>
      <c r="BS50" s="167"/>
      <c r="BT50" s="167"/>
      <c r="BU50" s="167"/>
      <c r="BV50" s="167"/>
      <c r="BW50" s="167"/>
      <c r="BX50" s="167"/>
      <c r="BY50" s="167"/>
      <c r="BZ50" s="167"/>
      <c r="CA50" s="167"/>
      <c r="CB50" s="167"/>
      <c r="CC50" s="167"/>
      <c r="CD50" s="167"/>
      <c r="CE50" s="167"/>
      <c r="CF50" s="167"/>
      <c r="CG50" s="167"/>
      <c r="CH50" s="167"/>
      <c r="CI50" s="167"/>
      <c r="CJ50" s="167"/>
      <c r="CK50" s="167"/>
      <c r="CL50" s="167"/>
      <c r="CM50" s="167"/>
      <c r="CN50" s="167"/>
      <c r="CO50" s="167"/>
      <c r="CP50" s="167"/>
      <c r="CQ50" s="167"/>
    </row>
    <row r="51" spans="1:95" s="286" customFormat="1" ht="16" customHeight="1">
      <c r="A51" s="130"/>
      <c r="B51" s="132"/>
      <c r="C51" s="174" t="s">
        <v>286</v>
      </c>
      <c r="D51" s="174"/>
      <c r="E51" s="171"/>
      <c r="F51" s="143"/>
      <c r="G51" s="132"/>
      <c r="H51" s="130"/>
      <c r="I51" s="130"/>
      <c r="J51" s="130"/>
      <c r="K51" s="130"/>
      <c r="L51" s="130"/>
      <c r="M51" s="130"/>
      <c r="N51" s="130"/>
      <c r="O51" s="130"/>
      <c r="P51" s="862"/>
      <c r="Q51" s="130"/>
      <c r="R51" s="130"/>
      <c r="S51" s="239"/>
      <c r="T51" s="130"/>
      <c r="U51" s="130"/>
      <c r="V51" s="265"/>
      <c r="W51" s="130"/>
      <c r="X51" s="130"/>
      <c r="Y51" s="130"/>
      <c r="Z51" s="130"/>
      <c r="AA51" s="130"/>
      <c r="AB51" s="898"/>
      <c r="AC51" s="130"/>
      <c r="AD51" s="130"/>
      <c r="AE51" s="239"/>
      <c r="AF51" s="130"/>
      <c r="AG51" s="130"/>
      <c r="AH51" s="130"/>
      <c r="AI51" s="130"/>
      <c r="AJ51" s="130"/>
      <c r="AK51" s="130"/>
      <c r="AL51" s="130"/>
      <c r="AM51" s="130"/>
      <c r="AN51" s="130"/>
      <c r="AO51" s="130"/>
      <c r="AP51" s="130"/>
      <c r="AQ51" s="130"/>
      <c r="AS51" s="295"/>
      <c r="AT51" s="295"/>
      <c r="AU51" s="295"/>
      <c r="AV51" s="295"/>
      <c r="AW51" s="295"/>
      <c r="AX51" s="295"/>
      <c r="AY51" s="295"/>
      <c r="AZ51" s="295"/>
      <c r="BA51" s="295"/>
      <c r="BB51" s="295"/>
      <c r="BC51" s="295"/>
      <c r="BD51" s="295"/>
      <c r="BE51" s="295"/>
      <c r="BF51" s="295"/>
      <c r="BG51" s="295"/>
      <c r="BH51" s="295"/>
      <c r="BI51" s="295"/>
      <c r="BJ51" s="295"/>
      <c r="BK51" s="295"/>
      <c r="BL51" s="295"/>
      <c r="BM51" s="295"/>
      <c r="BN51" s="295"/>
      <c r="BO51" s="295"/>
      <c r="BP51" s="295"/>
      <c r="BQ51" s="295"/>
      <c r="BR51" s="295"/>
      <c r="BS51" s="295"/>
      <c r="BT51" s="295"/>
      <c r="BU51" s="295"/>
      <c r="BV51" s="295"/>
      <c r="BW51" s="295"/>
      <c r="BX51" s="295"/>
      <c r="BY51" s="295"/>
      <c r="BZ51" s="295"/>
      <c r="CA51" s="295"/>
      <c r="CB51" s="295"/>
      <c r="CC51" s="295"/>
      <c r="CD51" s="295"/>
      <c r="CE51" s="295"/>
      <c r="CF51" s="295"/>
      <c r="CG51" s="295"/>
      <c r="CH51" s="295"/>
      <c r="CI51" s="295"/>
      <c r="CJ51" s="295"/>
      <c r="CK51" s="295"/>
    </row>
    <row r="52" spans="1:95" s="50" customFormat="1" ht="16" customHeight="1">
      <c r="A52" s="130"/>
      <c r="B52" s="299"/>
      <c r="C52" s="285"/>
      <c r="D52" s="286"/>
      <c r="E52" s="287"/>
      <c r="G52" s="288"/>
      <c r="H52" s="222" t="s">
        <v>324</v>
      </c>
      <c r="I52" s="206"/>
      <c r="J52" s="206"/>
      <c r="K52" s="206"/>
      <c r="L52" s="206"/>
      <c r="M52" s="206"/>
      <c r="N52" s="206"/>
      <c r="O52" s="206"/>
      <c r="P52" s="863"/>
      <c r="Q52" s="206"/>
      <c r="R52" s="206"/>
      <c r="S52" s="254"/>
      <c r="T52" s="222" t="s">
        <v>325</v>
      </c>
      <c r="U52" s="206"/>
      <c r="V52" s="266"/>
      <c r="W52" s="231" t="s">
        <v>341</v>
      </c>
      <c r="X52" s="206"/>
      <c r="Y52" s="281" t="str">
        <f>'Pricing Model'!B80</f>
        <v xml:space="preserve">Prawn / Vegetable Fried Rice </v>
      </c>
      <c r="Z52" s="281"/>
      <c r="AA52" s="253"/>
      <c r="AB52" s="899"/>
      <c r="AC52" s="206"/>
      <c r="AD52" s="231" t="s">
        <v>336</v>
      </c>
      <c r="AE52" s="303"/>
      <c r="AF52" s="222" t="s">
        <v>352</v>
      </c>
      <c r="AG52" s="206"/>
      <c r="AH52" s="253"/>
      <c r="AI52" s="206"/>
      <c r="AJ52" s="206"/>
      <c r="AK52" s="206"/>
      <c r="AL52" s="206"/>
      <c r="AM52" s="206"/>
      <c r="AN52" s="206"/>
      <c r="AO52" s="206"/>
      <c r="AP52" s="206"/>
      <c r="AQ52" s="206"/>
      <c r="AS52" s="170"/>
      <c r="AT52" s="170"/>
      <c r="AU52" s="170"/>
      <c r="AV52" s="170"/>
      <c r="AW52" s="170"/>
      <c r="AX52" s="170"/>
      <c r="AY52" s="170"/>
      <c r="AZ52" s="170"/>
      <c r="BA52" s="170"/>
      <c r="BB52" s="170"/>
      <c r="BC52" s="170"/>
      <c r="BD52" s="170"/>
      <c r="BE52" s="170"/>
      <c r="BF52" s="170"/>
      <c r="BG52" s="170"/>
      <c r="BH52" s="170"/>
      <c r="BI52" s="170"/>
      <c r="BJ52" s="170"/>
      <c r="BK52" s="170"/>
      <c r="BL52" s="170"/>
      <c r="BM52" s="170"/>
      <c r="BN52" s="170"/>
      <c r="BO52" s="170"/>
      <c r="BP52" s="170"/>
      <c r="BQ52" s="170"/>
      <c r="BR52" s="170"/>
      <c r="BS52" s="170"/>
      <c r="BT52" s="170"/>
      <c r="BU52" s="170"/>
      <c r="BV52" s="170"/>
      <c r="BW52" s="170"/>
      <c r="BX52" s="170"/>
      <c r="BY52" s="170"/>
      <c r="BZ52" s="170"/>
      <c r="CA52" s="170"/>
      <c r="CB52" s="170"/>
      <c r="CC52" s="170"/>
      <c r="CD52" s="170"/>
      <c r="CE52" s="170"/>
      <c r="CF52" s="170"/>
      <c r="CG52" s="170"/>
      <c r="CH52" s="170"/>
      <c r="CI52" s="170"/>
      <c r="CJ52" s="170"/>
      <c r="CK52" s="170"/>
    </row>
    <row r="53" spans="1:95" s="50" customFormat="1" ht="16" customHeight="1">
      <c r="A53" s="130"/>
      <c r="B53" s="1108" t="str">
        <f>'Pricing Model'!B80</f>
        <v xml:space="preserve">Prawn / Vegetable Fried Rice </v>
      </c>
      <c r="C53" s="174"/>
      <c r="D53" s="174"/>
      <c r="E53" s="171"/>
      <c r="G53" s="216" t="s">
        <v>304</v>
      </c>
      <c r="H53" s="53">
        <v>450</v>
      </c>
      <c r="I53" s="53">
        <v>500</v>
      </c>
      <c r="J53" s="53">
        <v>550</v>
      </c>
      <c r="K53" s="53">
        <v>590</v>
      </c>
      <c r="L53" s="53">
        <v>630</v>
      </c>
      <c r="M53" s="53">
        <v>670</v>
      </c>
      <c r="N53" s="53">
        <v>720</v>
      </c>
      <c r="O53" s="53">
        <v>765</v>
      </c>
      <c r="P53" s="864">
        <v>800</v>
      </c>
      <c r="Q53" s="53">
        <v>850</v>
      </c>
      <c r="R53" s="53">
        <v>875</v>
      </c>
      <c r="S53" s="241">
        <v>900</v>
      </c>
      <c r="T53" s="53">
        <v>1000</v>
      </c>
      <c r="U53" s="53">
        <v>1050</v>
      </c>
      <c r="V53" s="267">
        <v>1200</v>
      </c>
      <c r="W53" s="53">
        <v>1270</v>
      </c>
      <c r="X53" s="53">
        <v>1320</v>
      </c>
      <c r="Y53" s="53">
        <v>1365</v>
      </c>
      <c r="Z53" s="53">
        <v>1405</v>
      </c>
      <c r="AA53" s="53">
        <v>1450</v>
      </c>
      <c r="AB53" s="900">
        <v>1800</v>
      </c>
      <c r="AC53" s="53">
        <v>1840</v>
      </c>
      <c r="AD53" s="53">
        <v>1875</v>
      </c>
      <c r="AE53" s="241">
        <v>1910</v>
      </c>
      <c r="AF53" s="53">
        <v>1950</v>
      </c>
      <c r="AG53" s="53">
        <v>1995</v>
      </c>
      <c r="AH53" s="53">
        <v>2035</v>
      </c>
      <c r="AI53" s="53">
        <v>2080</v>
      </c>
      <c r="AJ53" s="53">
        <v>2120</v>
      </c>
      <c r="AK53" s="53">
        <v>2165</v>
      </c>
      <c r="AL53" s="53">
        <v>2205</v>
      </c>
      <c r="AM53" s="53">
        <v>2250</v>
      </c>
      <c r="AN53" s="53">
        <v>2290</v>
      </c>
      <c r="AO53" s="53">
        <v>2335</v>
      </c>
      <c r="AP53" s="53">
        <v>2375</v>
      </c>
      <c r="AQ53" s="53">
        <v>2420</v>
      </c>
      <c r="AS53" s="170"/>
      <c r="AT53" s="170"/>
      <c r="AU53" s="170"/>
      <c r="AV53" s="170"/>
      <c r="AW53" s="170"/>
      <c r="AX53" s="170"/>
      <c r="AY53" s="170"/>
      <c r="AZ53" s="170"/>
      <c r="BA53" s="170"/>
      <c r="BB53" s="170"/>
      <c r="BC53" s="170"/>
      <c r="BD53" s="170"/>
      <c r="BE53" s="170"/>
      <c r="BF53" s="170"/>
      <c r="BG53" s="170"/>
      <c r="BH53" s="170"/>
      <c r="BI53" s="170"/>
      <c r="BJ53" s="170"/>
      <c r="BK53" s="170"/>
      <c r="BL53" s="170"/>
      <c r="BM53" s="170"/>
      <c r="BN53" s="170"/>
      <c r="BO53" s="170"/>
      <c r="BP53" s="170"/>
      <c r="BQ53" s="170"/>
      <c r="BR53" s="170"/>
      <c r="BS53" s="170"/>
      <c r="BT53" s="170"/>
      <c r="BU53" s="170"/>
      <c r="BV53" s="170"/>
      <c r="BW53" s="170"/>
      <c r="BX53" s="170"/>
      <c r="BY53" s="170"/>
      <c r="BZ53" s="170"/>
      <c r="CA53" s="170"/>
      <c r="CB53" s="170"/>
      <c r="CC53" s="170"/>
      <c r="CD53" s="170"/>
      <c r="CE53" s="170"/>
      <c r="CF53" s="170"/>
      <c r="CG53" s="170"/>
      <c r="CH53" s="170"/>
      <c r="CI53" s="170"/>
      <c r="CJ53" s="170"/>
      <c r="CK53" s="170"/>
    </row>
    <row r="54" spans="1:95" ht="16" customHeight="1">
      <c r="A54" s="130"/>
      <c r="B54" s="1108"/>
      <c r="C54" s="174"/>
      <c r="D54" s="227" t="s">
        <v>302</v>
      </c>
      <c r="E54" s="227" t="s">
        <v>303</v>
      </c>
      <c r="G54" s="133" t="s">
        <v>306</v>
      </c>
      <c r="H54" s="133">
        <f>'Pricing Model'!$C95</f>
        <v>7.083333333333333</v>
      </c>
      <c r="I54" s="133">
        <f>'Pricing Model'!$C95</f>
        <v>7.083333333333333</v>
      </c>
      <c r="J54" s="133">
        <f>'Pricing Model'!$C95</f>
        <v>7.083333333333333</v>
      </c>
      <c r="K54" s="133">
        <f>'Pricing Model'!$C95</f>
        <v>7.083333333333333</v>
      </c>
      <c r="L54" s="133">
        <f>'Pricing Model'!$C95</f>
        <v>7.083333333333333</v>
      </c>
      <c r="M54" s="133">
        <f>'Pricing Model'!$C95</f>
        <v>7.083333333333333</v>
      </c>
      <c r="N54" s="133">
        <f>'Pricing Model'!$C95</f>
        <v>7.083333333333333</v>
      </c>
      <c r="O54" s="133">
        <f>'Pricing Model'!$C95</f>
        <v>7.083333333333333</v>
      </c>
      <c r="P54" s="865">
        <f>'Pricing Model'!$C95</f>
        <v>7.083333333333333</v>
      </c>
      <c r="Q54" s="133">
        <f>'Pricing Model'!$C95</f>
        <v>7.083333333333333</v>
      </c>
      <c r="R54" s="133">
        <f>'Pricing Model'!$C95</f>
        <v>7.083333333333333</v>
      </c>
      <c r="S54" s="242">
        <f>'Pricing Model'!$C95</f>
        <v>7.083333333333333</v>
      </c>
      <c r="T54" s="133">
        <f>'Pricing Model'!$D95</f>
        <v>7.3333333333333339</v>
      </c>
      <c r="U54" s="133">
        <f>'Pricing Model'!$D95</f>
        <v>7.3333333333333339</v>
      </c>
      <c r="V54" s="268">
        <f>'Pricing Model'!$D95</f>
        <v>7.3333333333333339</v>
      </c>
      <c r="W54" s="133">
        <f>'Pricing Model'!$D95</f>
        <v>7.3333333333333339</v>
      </c>
      <c r="X54" s="133">
        <f>'Pricing Model'!$D95</f>
        <v>7.3333333333333339</v>
      </c>
      <c r="Y54" s="133">
        <f>'Pricing Model'!$D95</f>
        <v>7.3333333333333339</v>
      </c>
      <c r="Z54" s="133">
        <f>'Pricing Model'!$D95</f>
        <v>7.3333333333333339</v>
      </c>
      <c r="AA54" s="133">
        <f>'Pricing Model'!$D95</f>
        <v>7.3333333333333339</v>
      </c>
      <c r="AB54" s="901">
        <f>'Pricing Model'!$D95</f>
        <v>7.3333333333333339</v>
      </c>
      <c r="AC54" s="133">
        <f>'Pricing Model'!$D95</f>
        <v>7.3333333333333339</v>
      </c>
      <c r="AD54" s="133">
        <f>'Pricing Model'!$D95</f>
        <v>7.3333333333333339</v>
      </c>
      <c r="AE54" s="242">
        <f>'Pricing Model'!$D95</f>
        <v>7.3333333333333339</v>
      </c>
      <c r="AF54" s="133">
        <f>'Pricing Model'!$E95</f>
        <v>7.583333333333333</v>
      </c>
      <c r="AG54" s="133">
        <f>'Pricing Model'!$E95</f>
        <v>7.583333333333333</v>
      </c>
      <c r="AH54" s="133">
        <f>'Pricing Model'!$E95</f>
        <v>7.583333333333333</v>
      </c>
      <c r="AI54" s="133">
        <f>'Pricing Model'!$E95</f>
        <v>7.583333333333333</v>
      </c>
      <c r="AJ54" s="133">
        <f>'Pricing Model'!$E95</f>
        <v>7.583333333333333</v>
      </c>
      <c r="AK54" s="133">
        <f>'Pricing Model'!$E95</f>
        <v>7.583333333333333</v>
      </c>
      <c r="AL54" s="133">
        <f>'Pricing Model'!$E95</f>
        <v>7.583333333333333</v>
      </c>
      <c r="AM54" s="133">
        <f>'Pricing Model'!$E95</f>
        <v>7.583333333333333</v>
      </c>
      <c r="AN54" s="133">
        <f>'Pricing Model'!$E95</f>
        <v>7.583333333333333</v>
      </c>
      <c r="AO54" s="133">
        <f>'Pricing Model'!$E95</f>
        <v>7.583333333333333</v>
      </c>
      <c r="AP54" s="133">
        <f>'Pricing Model'!$E95</f>
        <v>7.583333333333333</v>
      </c>
      <c r="AQ54" s="133">
        <f>'Pricing Model'!$E95</f>
        <v>7.583333333333333</v>
      </c>
      <c r="AS54" s="167"/>
      <c r="AT54" s="167"/>
      <c r="AU54" s="167"/>
      <c r="AV54" s="167"/>
      <c r="AW54" s="167"/>
      <c r="AX54" s="167"/>
      <c r="AY54" s="167"/>
      <c r="AZ54" s="167"/>
      <c r="BA54" s="167"/>
      <c r="BB54" s="167"/>
      <c r="BC54" s="167"/>
      <c r="BD54" s="167"/>
      <c r="BE54" s="167"/>
      <c r="BF54" s="167"/>
      <c r="BG54" s="167"/>
      <c r="BH54" s="167"/>
      <c r="BI54" s="167"/>
      <c r="BJ54" s="167"/>
      <c r="BK54" s="167"/>
      <c r="BL54" s="167"/>
      <c r="BM54" s="167"/>
      <c r="BN54" s="167"/>
      <c r="BO54" s="167"/>
      <c r="BP54" s="167"/>
      <c r="BQ54" s="167"/>
      <c r="BR54" s="167"/>
      <c r="BS54" s="167"/>
      <c r="BT54" s="167"/>
      <c r="BU54" s="167"/>
      <c r="BV54" s="167"/>
      <c r="BW54" s="167"/>
      <c r="BX54" s="167"/>
      <c r="BY54" s="167"/>
      <c r="BZ54" s="167"/>
      <c r="CA54" s="167"/>
      <c r="CB54" s="167"/>
      <c r="CC54" s="167"/>
      <c r="CD54" s="167"/>
      <c r="CE54" s="167"/>
      <c r="CF54" s="167"/>
      <c r="CG54" s="167"/>
      <c r="CH54" s="167"/>
      <c r="CI54" s="167"/>
      <c r="CJ54" s="167"/>
      <c r="CK54" s="167"/>
      <c r="CL54" s="167"/>
      <c r="CM54" s="167"/>
      <c r="CN54" s="167"/>
      <c r="CO54" s="167"/>
      <c r="CP54" s="167"/>
      <c r="CQ54" s="167"/>
    </row>
    <row r="55" spans="1:95" s="286" customFormat="1" ht="16" customHeight="1">
      <c r="A55" s="130"/>
      <c r="B55" s="1108"/>
      <c r="C55" s="493">
        <f>'Pricing Model'!$C$6</f>
        <v>2025</v>
      </c>
      <c r="D55" s="140">
        <f>'Pricing Model'!C$98</f>
        <v>0.76336000000000004</v>
      </c>
      <c r="E55" s="172">
        <f>'Pricing Model'!C$106</f>
        <v>0.8492371428571428</v>
      </c>
      <c r="F55" s="1109"/>
      <c r="G55" s="217" t="s">
        <v>305</v>
      </c>
      <c r="H55" s="53">
        <v>250</v>
      </c>
      <c r="I55" s="53">
        <v>280</v>
      </c>
      <c r="J55" s="53">
        <v>300</v>
      </c>
      <c r="K55" s="53">
        <v>320</v>
      </c>
      <c r="L55" s="53">
        <v>340</v>
      </c>
      <c r="M55" s="53">
        <v>380</v>
      </c>
      <c r="N55" s="53">
        <v>390</v>
      </c>
      <c r="O55" s="53">
        <v>420</v>
      </c>
      <c r="P55" s="864">
        <v>420</v>
      </c>
      <c r="Q55" s="53">
        <v>450</v>
      </c>
      <c r="R55" s="53">
        <v>460</v>
      </c>
      <c r="S55" s="241">
        <v>470</v>
      </c>
      <c r="T55" s="53">
        <v>490</v>
      </c>
      <c r="U55" s="53">
        <v>530</v>
      </c>
      <c r="V55" s="267">
        <v>600</v>
      </c>
      <c r="W55" s="53">
        <v>600</v>
      </c>
      <c r="X55" s="53">
        <v>650</v>
      </c>
      <c r="Y55" s="53">
        <v>670</v>
      </c>
      <c r="Z55" s="53">
        <v>705</v>
      </c>
      <c r="AA55" s="53">
        <v>735</v>
      </c>
      <c r="AB55" s="900">
        <v>945</v>
      </c>
      <c r="AC55" s="53">
        <v>965</v>
      </c>
      <c r="AD55" s="53">
        <v>980</v>
      </c>
      <c r="AE55" s="241">
        <v>1000</v>
      </c>
      <c r="AF55" s="53">
        <v>1020</v>
      </c>
      <c r="AG55" s="53">
        <v>1035</v>
      </c>
      <c r="AH55" s="53">
        <v>1055</v>
      </c>
      <c r="AI55" s="53">
        <v>1070</v>
      </c>
      <c r="AJ55" s="53">
        <v>1090</v>
      </c>
      <c r="AK55" s="53">
        <v>1105</v>
      </c>
      <c r="AL55" s="53">
        <v>1125</v>
      </c>
      <c r="AM55" s="53">
        <v>1140</v>
      </c>
      <c r="AN55" s="53">
        <v>1160</v>
      </c>
      <c r="AO55" s="53">
        <v>1175</v>
      </c>
      <c r="AP55" s="53">
        <v>1195</v>
      </c>
      <c r="AQ55" s="53">
        <v>1210</v>
      </c>
      <c r="AS55" s="295"/>
      <c r="AT55" s="295"/>
      <c r="AU55" s="295"/>
      <c r="AV55" s="295"/>
      <c r="AW55" s="295"/>
      <c r="AX55" s="295"/>
      <c r="AY55" s="295"/>
      <c r="AZ55" s="295"/>
      <c r="BA55" s="295"/>
      <c r="BB55" s="295"/>
      <c r="BC55" s="295"/>
      <c r="BD55" s="295"/>
      <c r="BE55" s="295"/>
      <c r="BF55" s="295"/>
      <c r="BG55" s="295"/>
      <c r="BH55" s="295"/>
      <c r="BI55" s="295"/>
      <c r="BJ55" s="295"/>
      <c r="BK55" s="295"/>
      <c r="BL55" s="295"/>
      <c r="BM55" s="295"/>
      <c r="BN55" s="295"/>
      <c r="BO55" s="295"/>
      <c r="BP55" s="295"/>
      <c r="BQ55" s="295"/>
      <c r="BR55" s="295"/>
      <c r="BS55" s="295"/>
      <c r="BT55" s="295"/>
      <c r="BU55" s="295"/>
      <c r="BV55" s="295"/>
      <c r="BW55" s="295"/>
      <c r="BX55" s="295"/>
      <c r="BY55" s="295"/>
      <c r="BZ55" s="295"/>
      <c r="CA55" s="295"/>
      <c r="CB55" s="295"/>
      <c r="CC55" s="295"/>
      <c r="CD55" s="295"/>
      <c r="CE55" s="295"/>
      <c r="CF55" s="295"/>
      <c r="CG55" s="295"/>
      <c r="CH55" s="295"/>
      <c r="CI55" s="295"/>
      <c r="CJ55" s="295"/>
      <c r="CK55" s="295"/>
    </row>
    <row r="56" spans="1:95" s="50" customFormat="1" ht="16" customHeight="1">
      <c r="A56" s="130"/>
      <c r="B56" s="1108"/>
      <c r="C56" s="493">
        <f>C55+1</f>
        <v>2026</v>
      </c>
      <c r="D56" s="140">
        <f>'Pricing Model'!D$98</f>
        <v>0.76228436363636365</v>
      </c>
      <c r="E56" s="172">
        <f>'Pricing Model'!D$106</f>
        <v>0.84756199999999993</v>
      </c>
      <c r="F56" s="1109"/>
      <c r="G56" s="133" t="s">
        <v>307</v>
      </c>
      <c r="H56" s="133">
        <f>'Pricing Model'!$C97</f>
        <v>5.4071333333333333</v>
      </c>
      <c r="I56" s="133">
        <f>'Pricing Model'!$C97</f>
        <v>5.4071333333333333</v>
      </c>
      <c r="J56" s="133">
        <f>'Pricing Model'!$C97</f>
        <v>5.4071333333333333</v>
      </c>
      <c r="K56" s="133">
        <f>'Pricing Model'!$C97</f>
        <v>5.4071333333333333</v>
      </c>
      <c r="L56" s="133">
        <f>'Pricing Model'!$C97</f>
        <v>5.4071333333333333</v>
      </c>
      <c r="M56" s="133">
        <f>'Pricing Model'!$C97</f>
        <v>5.4071333333333333</v>
      </c>
      <c r="N56" s="133">
        <f>'Pricing Model'!$C97</f>
        <v>5.4071333333333333</v>
      </c>
      <c r="O56" s="133">
        <f>'Pricing Model'!$C97</f>
        <v>5.4071333333333333</v>
      </c>
      <c r="P56" s="865">
        <f>'Pricing Model'!$C97</f>
        <v>5.4071333333333333</v>
      </c>
      <c r="Q56" s="133">
        <f>'Pricing Model'!$C97</f>
        <v>5.4071333333333333</v>
      </c>
      <c r="R56" s="133">
        <f>'Pricing Model'!$C97</f>
        <v>5.4071333333333333</v>
      </c>
      <c r="S56" s="242">
        <f>'Pricing Model'!$C97</f>
        <v>5.4071333333333333</v>
      </c>
      <c r="T56" s="133">
        <f>'Pricing Model'!$D97</f>
        <v>5.5900853333333336</v>
      </c>
      <c r="U56" s="133">
        <f>'Pricing Model'!$D97</f>
        <v>5.5900853333333336</v>
      </c>
      <c r="V56" s="268">
        <f>'Pricing Model'!$D97</f>
        <v>5.5900853333333336</v>
      </c>
      <c r="W56" s="133">
        <f>'Pricing Model'!$D97</f>
        <v>5.5900853333333336</v>
      </c>
      <c r="X56" s="133">
        <f>'Pricing Model'!$D97</f>
        <v>5.5900853333333336</v>
      </c>
      <c r="Y56" s="133">
        <f>'Pricing Model'!$D97</f>
        <v>5.5900853333333336</v>
      </c>
      <c r="Z56" s="133">
        <f>'Pricing Model'!$D97</f>
        <v>5.5900853333333336</v>
      </c>
      <c r="AA56" s="133">
        <f>'Pricing Model'!$D97</f>
        <v>5.5900853333333336</v>
      </c>
      <c r="AB56" s="901">
        <f>'Pricing Model'!$D97</f>
        <v>5.5900853333333336</v>
      </c>
      <c r="AC56" s="133">
        <f>'Pricing Model'!$D97</f>
        <v>5.5900853333333336</v>
      </c>
      <c r="AD56" s="133">
        <f>'Pricing Model'!$D97</f>
        <v>5.5900853333333336</v>
      </c>
      <c r="AE56" s="242">
        <f>'Pricing Model'!$D97</f>
        <v>5.5900853333333336</v>
      </c>
      <c r="AF56" s="133">
        <f>'Pricing Model'!$E97</f>
        <v>5.7659972933333332</v>
      </c>
      <c r="AG56" s="133">
        <f>'Pricing Model'!$E97</f>
        <v>5.7659972933333332</v>
      </c>
      <c r="AH56" s="133">
        <f>'Pricing Model'!$E97</f>
        <v>5.7659972933333332</v>
      </c>
      <c r="AI56" s="133">
        <f>'Pricing Model'!$E97</f>
        <v>5.7659972933333332</v>
      </c>
      <c r="AJ56" s="133">
        <f>'Pricing Model'!$E97</f>
        <v>5.7659972933333332</v>
      </c>
      <c r="AK56" s="133">
        <f>'Pricing Model'!$E97</f>
        <v>5.7659972933333332</v>
      </c>
      <c r="AL56" s="133">
        <f>'Pricing Model'!$E97</f>
        <v>5.7659972933333332</v>
      </c>
      <c r="AM56" s="133">
        <f>'Pricing Model'!$E97</f>
        <v>5.7659972933333332</v>
      </c>
      <c r="AN56" s="133">
        <f>'Pricing Model'!$E97</f>
        <v>5.7659972933333332</v>
      </c>
      <c r="AO56" s="133">
        <f>'Pricing Model'!$E97</f>
        <v>5.7659972933333332</v>
      </c>
      <c r="AP56" s="133">
        <f>'Pricing Model'!$E97</f>
        <v>5.7659972933333332</v>
      </c>
      <c r="AQ56" s="133">
        <f>'Pricing Model'!$E97</f>
        <v>5.7659972933333332</v>
      </c>
      <c r="AS56" s="170"/>
      <c r="AT56" s="170"/>
      <c r="AU56" s="170"/>
      <c r="AV56" s="170"/>
      <c r="AW56" s="170"/>
      <c r="AX56" s="170"/>
      <c r="AY56" s="170"/>
      <c r="AZ56" s="170"/>
      <c r="BA56" s="170"/>
      <c r="BB56" s="170"/>
      <c r="BC56" s="170"/>
      <c r="BD56" s="170"/>
      <c r="BE56" s="170"/>
      <c r="BF56" s="170"/>
      <c r="BG56" s="170"/>
      <c r="BH56" s="170"/>
      <c r="BI56" s="170"/>
      <c r="BJ56" s="170"/>
      <c r="BK56" s="170"/>
      <c r="BL56" s="170"/>
      <c r="BM56" s="170"/>
      <c r="BN56" s="170"/>
      <c r="BO56" s="170"/>
      <c r="BP56" s="170"/>
      <c r="BQ56" s="170"/>
      <c r="BR56" s="170"/>
      <c r="BS56" s="170"/>
      <c r="BT56" s="170"/>
      <c r="BU56" s="170"/>
      <c r="BV56" s="170"/>
      <c r="BW56" s="170"/>
      <c r="BX56" s="170"/>
      <c r="BY56" s="170"/>
      <c r="BZ56" s="170"/>
      <c r="CA56" s="170"/>
      <c r="CB56" s="170"/>
      <c r="CC56" s="170"/>
      <c r="CD56" s="170"/>
      <c r="CE56" s="170"/>
      <c r="CF56" s="170"/>
      <c r="CG56" s="170"/>
      <c r="CH56" s="170"/>
      <c r="CI56" s="170"/>
      <c r="CJ56" s="170"/>
      <c r="CK56" s="170"/>
    </row>
    <row r="57" spans="1:95" s="50" customFormat="1" ht="16" customHeight="1">
      <c r="A57" s="130"/>
      <c r="B57" s="1108"/>
      <c r="C57" s="493">
        <f>C56+1</f>
        <v>2027</v>
      </c>
      <c r="D57" s="140">
        <f>'Pricing Model'!E$98</f>
        <v>0.7603512914285715</v>
      </c>
      <c r="E57" s="172">
        <f>'Pricing Model'!E$106</f>
        <v>0.84744004959999997</v>
      </c>
      <c r="F57" s="1109"/>
      <c r="G57" s="256" t="s">
        <v>327</v>
      </c>
      <c r="H57" s="308">
        <f t="shared" ref="H57:U57" si="53">H53+H55</f>
        <v>700</v>
      </c>
      <c r="I57" s="308">
        <f t="shared" si="53"/>
        <v>780</v>
      </c>
      <c r="J57" s="308">
        <f t="shared" si="53"/>
        <v>850</v>
      </c>
      <c r="K57" s="308">
        <f t="shared" si="53"/>
        <v>910</v>
      </c>
      <c r="L57" s="308">
        <f t="shared" si="53"/>
        <v>970</v>
      </c>
      <c r="M57" s="308">
        <f t="shared" si="53"/>
        <v>1050</v>
      </c>
      <c r="N57" s="308">
        <f t="shared" si="53"/>
        <v>1110</v>
      </c>
      <c r="O57" s="308">
        <f t="shared" si="53"/>
        <v>1185</v>
      </c>
      <c r="P57" s="874">
        <f t="shared" si="53"/>
        <v>1220</v>
      </c>
      <c r="Q57" s="308">
        <f t="shared" si="53"/>
        <v>1300</v>
      </c>
      <c r="R57" s="308">
        <f t="shared" si="53"/>
        <v>1335</v>
      </c>
      <c r="S57" s="310">
        <f t="shared" si="53"/>
        <v>1370</v>
      </c>
      <c r="T57" s="308">
        <f t="shared" si="53"/>
        <v>1490</v>
      </c>
      <c r="U57" s="308">
        <f t="shared" si="53"/>
        <v>1580</v>
      </c>
      <c r="V57" s="309">
        <f t="shared" ref="V57:AQ57" si="54">V53+V55</f>
        <v>1800</v>
      </c>
      <c r="W57" s="308">
        <f t="shared" si="54"/>
        <v>1870</v>
      </c>
      <c r="X57" s="308">
        <f t="shared" si="54"/>
        <v>1970</v>
      </c>
      <c r="Y57" s="308">
        <f t="shared" si="54"/>
        <v>2035</v>
      </c>
      <c r="Z57" s="308">
        <f t="shared" si="54"/>
        <v>2110</v>
      </c>
      <c r="AA57" s="308">
        <f t="shared" si="54"/>
        <v>2185</v>
      </c>
      <c r="AB57" s="910">
        <f t="shared" si="54"/>
        <v>2745</v>
      </c>
      <c r="AC57" s="308">
        <f t="shared" si="54"/>
        <v>2805</v>
      </c>
      <c r="AD57" s="308">
        <f t="shared" si="54"/>
        <v>2855</v>
      </c>
      <c r="AE57" s="310">
        <f t="shared" si="54"/>
        <v>2910</v>
      </c>
      <c r="AF57" s="308">
        <f t="shared" si="54"/>
        <v>2970</v>
      </c>
      <c r="AG57" s="308">
        <f t="shared" si="54"/>
        <v>3030</v>
      </c>
      <c r="AH57" s="308">
        <f t="shared" si="54"/>
        <v>3090</v>
      </c>
      <c r="AI57" s="308">
        <f t="shared" si="54"/>
        <v>3150</v>
      </c>
      <c r="AJ57" s="308">
        <f t="shared" si="54"/>
        <v>3210</v>
      </c>
      <c r="AK57" s="308">
        <f t="shared" si="54"/>
        <v>3270</v>
      </c>
      <c r="AL57" s="308">
        <f t="shared" si="54"/>
        <v>3330</v>
      </c>
      <c r="AM57" s="308">
        <f t="shared" si="54"/>
        <v>3390</v>
      </c>
      <c r="AN57" s="308">
        <f t="shared" si="54"/>
        <v>3450</v>
      </c>
      <c r="AO57" s="308">
        <f t="shared" si="54"/>
        <v>3510</v>
      </c>
      <c r="AP57" s="308">
        <f t="shared" si="54"/>
        <v>3570</v>
      </c>
      <c r="AQ57" s="308">
        <f t="shared" si="54"/>
        <v>3630</v>
      </c>
      <c r="AS57" s="170"/>
      <c r="AT57" s="170"/>
      <c r="AU57" s="170"/>
      <c r="AV57" s="170"/>
      <c r="AW57" s="170"/>
      <c r="AX57" s="170"/>
      <c r="AY57" s="170"/>
      <c r="AZ57" s="170"/>
      <c r="BA57" s="170"/>
      <c r="BB57" s="170"/>
      <c r="BC57" s="170"/>
      <c r="BD57" s="170"/>
      <c r="BE57" s="170"/>
      <c r="BF57" s="170"/>
      <c r="BG57" s="170"/>
      <c r="BH57" s="170"/>
      <c r="BI57" s="170"/>
      <c r="BJ57" s="170"/>
      <c r="BK57" s="170"/>
      <c r="BL57" s="170"/>
      <c r="BM57" s="170"/>
      <c r="BN57" s="170"/>
      <c r="BO57" s="170"/>
      <c r="BP57" s="170"/>
      <c r="BQ57" s="170"/>
      <c r="BR57" s="170"/>
      <c r="BS57" s="170"/>
      <c r="BT57" s="170"/>
      <c r="BU57" s="170"/>
      <c r="BV57" s="170"/>
      <c r="BW57" s="170"/>
      <c r="BX57" s="170"/>
      <c r="BY57" s="170"/>
      <c r="BZ57" s="170"/>
      <c r="CA57" s="170"/>
      <c r="CB57" s="170"/>
      <c r="CC57" s="170"/>
      <c r="CD57" s="170"/>
      <c r="CE57" s="170"/>
      <c r="CF57" s="170"/>
      <c r="CG57" s="170"/>
      <c r="CH57" s="170"/>
      <c r="CI57" s="170"/>
      <c r="CJ57" s="170"/>
      <c r="CK57" s="170"/>
    </row>
    <row r="58" spans="1:95" s="50" customFormat="1" ht="16" customHeight="1">
      <c r="A58" s="130"/>
      <c r="B58" s="1108"/>
      <c r="C58" s="213"/>
      <c r="D58" s="58"/>
      <c r="E58" s="56"/>
      <c r="G58" s="133" t="s">
        <v>284</v>
      </c>
      <c r="H58" s="136">
        <f t="shared" ref="H58:U58" si="55">H53*H54+H55*H56</f>
        <v>4539.2833333333328</v>
      </c>
      <c r="I58" s="136">
        <f t="shared" si="55"/>
        <v>5055.6639999999998</v>
      </c>
      <c r="J58" s="136">
        <f t="shared" si="55"/>
        <v>5517.9733333333334</v>
      </c>
      <c r="K58" s="136">
        <f t="shared" si="55"/>
        <v>5909.449333333333</v>
      </c>
      <c r="L58" s="136">
        <f t="shared" si="55"/>
        <v>6300.9253333333336</v>
      </c>
      <c r="M58" s="136">
        <f t="shared" si="55"/>
        <v>6800.5439999999999</v>
      </c>
      <c r="N58" s="136">
        <f t="shared" si="55"/>
        <v>7208.7820000000002</v>
      </c>
      <c r="O58" s="136">
        <f t="shared" si="55"/>
        <v>7689.7460000000001</v>
      </c>
      <c r="P58" s="866">
        <f t="shared" si="55"/>
        <v>7937.6626666666662</v>
      </c>
      <c r="Q58" s="136">
        <f t="shared" si="55"/>
        <v>8454.0433333333331</v>
      </c>
      <c r="R58" s="136">
        <f t="shared" si="55"/>
        <v>8685.1980000000003</v>
      </c>
      <c r="S58" s="243">
        <f t="shared" si="55"/>
        <v>8916.3526666666658</v>
      </c>
      <c r="T58" s="136">
        <f t="shared" si="55"/>
        <v>10072.475146666668</v>
      </c>
      <c r="U58" s="136">
        <f t="shared" si="55"/>
        <v>10662.745226666668</v>
      </c>
      <c r="V58" s="269">
        <f t="shared" ref="V58:AQ58" si="56">V53*V54+V55*V56</f>
        <v>12154.0512</v>
      </c>
      <c r="W58" s="136">
        <f t="shared" si="56"/>
        <v>12667.384533333334</v>
      </c>
      <c r="X58" s="136">
        <f t="shared" si="56"/>
        <v>13313.555466666667</v>
      </c>
      <c r="Y58" s="136">
        <f t="shared" si="56"/>
        <v>13755.357173333334</v>
      </c>
      <c r="Z58" s="136">
        <f t="shared" si="56"/>
        <v>14244.343493333334</v>
      </c>
      <c r="AA58" s="136">
        <f t="shared" si="56"/>
        <v>14742.046053333335</v>
      </c>
      <c r="AB58" s="902">
        <f t="shared" si="56"/>
        <v>18482.630640000003</v>
      </c>
      <c r="AC58" s="136">
        <f t="shared" si="56"/>
        <v>18887.76568</v>
      </c>
      <c r="AD58" s="136">
        <f t="shared" si="56"/>
        <v>19228.283626666671</v>
      </c>
      <c r="AE58" s="243">
        <f t="shared" si="56"/>
        <v>19596.752</v>
      </c>
      <c r="AF58" s="136">
        <f t="shared" si="56"/>
        <v>20668.817239199998</v>
      </c>
      <c r="AG58" s="136">
        <f t="shared" si="56"/>
        <v>21096.5571986</v>
      </c>
      <c r="AH58" s="136">
        <f t="shared" si="56"/>
        <v>21515.210477799999</v>
      </c>
      <c r="AI58" s="136">
        <f t="shared" si="56"/>
        <v>21942.950437199997</v>
      </c>
      <c r="AJ58" s="136">
        <f t="shared" si="56"/>
        <v>22361.603716400001</v>
      </c>
      <c r="AK58" s="136">
        <f t="shared" si="56"/>
        <v>22789.343675799995</v>
      </c>
      <c r="AL58" s="136">
        <f t="shared" si="56"/>
        <v>23207.996954999999</v>
      </c>
      <c r="AM58" s="136">
        <f t="shared" si="56"/>
        <v>23635.7369144</v>
      </c>
      <c r="AN58" s="136">
        <f t="shared" si="56"/>
        <v>24054.390193599997</v>
      </c>
      <c r="AO58" s="136">
        <f t="shared" si="56"/>
        <v>24482.130152999998</v>
      </c>
      <c r="AP58" s="136">
        <f t="shared" si="56"/>
        <v>24900.783432199998</v>
      </c>
      <c r="AQ58" s="136">
        <f t="shared" si="56"/>
        <v>25328.523391599996</v>
      </c>
      <c r="AS58" s="170"/>
      <c r="AT58" s="170"/>
      <c r="AU58" s="170"/>
      <c r="AV58" s="170"/>
      <c r="AW58" s="170"/>
      <c r="AX58" s="170"/>
      <c r="AY58" s="170"/>
      <c r="AZ58" s="170"/>
      <c r="BA58" s="170"/>
      <c r="BB58" s="170"/>
      <c r="BC58" s="170"/>
      <c r="BD58" s="170"/>
      <c r="BE58" s="170"/>
      <c r="BF58" s="170"/>
      <c r="BG58" s="170"/>
      <c r="BH58" s="170"/>
      <c r="BI58" s="170"/>
      <c r="BJ58" s="170"/>
      <c r="BK58" s="170"/>
      <c r="BL58" s="170"/>
      <c r="BM58" s="170"/>
      <c r="BN58" s="170"/>
      <c r="BO58" s="170"/>
      <c r="BP58" s="170"/>
      <c r="BQ58" s="170"/>
      <c r="BR58" s="170"/>
      <c r="BS58" s="170"/>
      <c r="BT58" s="170"/>
      <c r="BU58" s="170"/>
      <c r="BV58" s="170"/>
      <c r="BW58" s="170"/>
      <c r="BX58" s="170"/>
      <c r="BY58" s="170"/>
      <c r="BZ58" s="170"/>
      <c r="CA58" s="170"/>
      <c r="CB58" s="170"/>
      <c r="CC58" s="170"/>
      <c r="CD58" s="170"/>
      <c r="CE58" s="170"/>
      <c r="CF58" s="170"/>
      <c r="CG58" s="170"/>
      <c r="CH58" s="170"/>
      <c r="CI58" s="170"/>
      <c r="CJ58" s="170"/>
      <c r="CK58" s="170"/>
    </row>
    <row r="59" spans="1:95" s="50" customFormat="1" ht="16" customHeight="1">
      <c r="A59" s="130"/>
      <c r="B59" s="1108"/>
      <c r="C59" s="143"/>
      <c r="D59" s="130"/>
      <c r="E59" s="211"/>
      <c r="F59" s="211"/>
      <c r="G59" s="132" t="s">
        <v>239</v>
      </c>
      <c r="H59" s="135">
        <f t="shared" ref="H59:S59" si="57">$D55*H53*H54+$E55*H55*H56</f>
        <v>3581.194615761905</v>
      </c>
      <c r="I59" s="135">
        <f t="shared" si="57"/>
        <v>3989.3094363199998</v>
      </c>
      <c r="J59" s="135">
        <f t="shared" si="57"/>
        <v>4351.5048722476186</v>
      </c>
      <c r="K59" s="135">
        <f t="shared" si="57"/>
        <v>4659.6289748419049</v>
      </c>
      <c r="L59" s="135">
        <f t="shared" si="57"/>
        <v>4967.7530774361903</v>
      </c>
      <c r="M59" s="135">
        <f t="shared" si="57"/>
        <v>5367.7159492914288</v>
      </c>
      <c r="N59" s="135">
        <f t="shared" si="57"/>
        <v>5683.9920005885706</v>
      </c>
      <c r="O59" s="135">
        <f t="shared" si="57"/>
        <v>6065.0711544800006</v>
      </c>
      <c r="P59" s="867">
        <f t="shared" si="57"/>
        <v>6254.3208211466663</v>
      </c>
      <c r="Q59" s="135">
        <f t="shared" si="57"/>
        <v>6662.435641704762</v>
      </c>
      <c r="R59" s="135">
        <f t="shared" si="57"/>
        <v>6843.5333596685714</v>
      </c>
      <c r="S59" s="244">
        <f t="shared" si="57"/>
        <v>7024.6310776323808</v>
      </c>
      <c r="T59" s="135">
        <f>$D56*T53*T54+$E56*T55*T56</f>
        <v>7911.6778469257606</v>
      </c>
      <c r="U59" s="135">
        <f>$D56*U53*U54+$E56*U55*U56</f>
        <v>8380.6998698040534</v>
      </c>
      <c r="V59" s="270">
        <f t="shared" ref="V59:AE59" si="58">$D56*V53*V54+$E56*V55*V56</f>
        <v>9550.8687431744002</v>
      </c>
      <c r="W59" s="135">
        <f t="shared" si="58"/>
        <v>9942.174716507734</v>
      </c>
      <c r="X59" s="135">
        <f t="shared" si="58"/>
        <v>10458.576178438934</v>
      </c>
      <c r="Y59" s="135">
        <f t="shared" si="58"/>
        <v>10804.888896544748</v>
      </c>
      <c r="Z59" s="135">
        <f t="shared" si="58"/>
        <v>11194.320346563254</v>
      </c>
      <c r="AA59" s="135">
        <f t="shared" si="58"/>
        <v>11588.012503721975</v>
      </c>
      <c r="AB59" s="903">
        <f t="shared" si="58"/>
        <v>14539.510590499682</v>
      </c>
      <c r="AC59" s="135">
        <f t="shared" si="58"/>
        <v>14857.872881938827</v>
      </c>
      <c r="AD59" s="135">
        <f t="shared" si="58"/>
        <v>15124.595027184856</v>
      </c>
      <c r="AE59" s="244">
        <f t="shared" si="58"/>
        <v>15415.006891957335</v>
      </c>
      <c r="AF59" s="135">
        <f t="shared" ref="AF59:AQ59" si="59">$D57*AF53*AF54+$E57*AF55*AF56</f>
        <v>16227.758494900983</v>
      </c>
      <c r="AG59" s="135">
        <f t="shared" si="59"/>
        <v>16560.52342858482</v>
      </c>
      <c r="AH59" s="135">
        <f t="shared" si="59"/>
        <v>16888.890060963269</v>
      </c>
      <c r="AI59" s="135">
        <f t="shared" si="59"/>
        <v>17221.65499464711</v>
      </c>
      <c r="AJ59" s="135">
        <f t="shared" si="59"/>
        <v>17550.021627025562</v>
      </c>
      <c r="AK59" s="135">
        <f t="shared" si="59"/>
        <v>17882.786560709399</v>
      </c>
      <c r="AL59" s="135">
        <f t="shared" si="59"/>
        <v>18211.153193087848</v>
      </c>
      <c r="AM59" s="135">
        <f t="shared" si="59"/>
        <v>18543.918126771689</v>
      </c>
      <c r="AN59" s="135">
        <f t="shared" si="59"/>
        <v>18872.284759150138</v>
      </c>
      <c r="AO59" s="135">
        <f t="shared" si="59"/>
        <v>19205.049692833978</v>
      </c>
      <c r="AP59" s="135">
        <f t="shared" si="59"/>
        <v>19533.416325212427</v>
      </c>
      <c r="AQ59" s="135">
        <f t="shared" si="59"/>
        <v>19866.181258896264</v>
      </c>
    </row>
    <row r="60" spans="1:95" ht="16" customHeight="1">
      <c r="A60" s="130"/>
      <c r="B60" s="127"/>
      <c r="C60" s="209"/>
      <c r="D60" s="129"/>
      <c r="E60" s="142"/>
      <c r="F60" s="142"/>
      <c r="G60" s="133"/>
      <c r="H60" s="136"/>
      <c r="I60" s="136"/>
      <c r="J60" s="136"/>
      <c r="K60" s="136"/>
      <c r="L60" s="136"/>
      <c r="M60" s="136"/>
      <c r="N60" s="136"/>
      <c r="O60" s="136"/>
      <c r="P60" s="866"/>
      <c r="Q60" s="136"/>
      <c r="R60" s="136"/>
      <c r="S60" s="243"/>
      <c r="T60" s="136"/>
      <c r="U60" s="136"/>
      <c r="V60" s="269"/>
      <c r="W60" s="136"/>
      <c r="X60" s="136"/>
      <c r="Y60" s="136"/>
      <c r="Z60" s="136"/>
      <c r="AA60" s="136"/>
      <c r="AB60" s="902"/>
      <c r="AC60" s="136"/>
      <c r="AD60" s="136"/>
      <c r="AE60" s="243"/>
      <c r="AF60" s="136"/>
      <c r="AG60" s="136"/>
      <c r="AH60" s="136"/>
      <c r="AI60" s="136"/>
      <c r="AJ60" s="136"/>
      <c r="AK60" s="136"/>
      <c r="AL60" s="136"/>
      <c r="AM60" s="136"/>
      <c r="AN60" s="136"/>
      <c r="AO60" s="136"/>
      <c r="AP60" s="136"/>
      <c r="AQ60" s="136"/>
      <c r="AS60" s="167"/>
      <c r="AT60" s="167"/>
      <c r="AU60" s="167"/>
      <c r="AV60" s="167"/>
      <c r="AW60" s="167"/>
      <c r="AX60" s="167"/>
      <c r="AY60" s="167"/>
      <c r="AZ60" s="167"/>
      <c r="BA60" s="167"/>
      <c r="BB60" s="167"/>
      <c r="BC60" s="167"/>
      <c r="BD60" s="167"/>
      <c r="BE60" s="167"/>
      <c r="BF60" s="167"/>
      <c r="BG60" s="167"/>
      <c r="BH60" s="167"/>
      <c r="BI60" s="167"/>
      <c r="BJ60" s="167"/>
      <c r="BK60" s="167"/>
      <c r="BL60" s="167"/>
      <c r="BM60" s="167"/>
      <c r="BN60" s="167"/>
      <c r="BO60" s="167"/>
      <c r="BP60" s="167"/>
      <c r="BQ60" s="167"/>
      <c r="BR60" s="167"/>
      <c r="BS60" s="167"/>
      <c r="BT60" s="167"/>
      <c r="BU60" s="167"/>
      <c r="BV60" s="167"/>
      <c r="BW60" s="167"/>
      <c r="BX60" s="167"/>
      <c r="BY60" s="167"/>
      <c r="BZ60" s="167"/>
      <c r="CA60" s="167"/>
      <c r="CB60" s="167"/>
      <c r="CC60" s="167"/>
      <c r="CD60" s="167"/>
      <c r="CE60" s="167"/>
      <c r="CF60" s="167"/>
      <c r="CG60" s="167"/>
      <c r="CH60" s="167"/>
      <c r="CI60" s="167"/>
      <c r="CJ60" s="167"/>
      <c r="CK60" s="167"/>
      <c r="CL60" s="167"/>
      <c r="CM60" s="167"/>
      <c r="CN60" s="167"/>
      <c r="CO60" s="167"/>
      <c r="CP60" s="167"/>
      <c r="CQ60" s="167"/>
    </row>
    <row r="61" spans="1:95" ht="16" customHeight="1">
      <c r="A61" s="130"/>
      <c r="B61" s="299"/>
      <c r="C61" s="494"/>
      <c r="D61" s="286"/>
      <c r="E61" s="287"/>
      <c r="F61" s="287"/>
      <c r="G61" s="288"/>
      <c r="H61" s="222" t="s">
        <v>319</v>
      </c>
      <c r="I61" s="206"/>
      <c r="J61" s="206"/>
      <c r="K61" s="206"/>
      <c r="L61" s="206"/>
      <c r="M61" s="206"/>
      <c r="N61" s="206"/>
      <c r="O61" s="206"/>
      <c r="P61" s="863"/>
      <c r="Q61" s="206"/>
      <c r="R61" s="206"/>
      <c r="S61" s="240"/>
      <c r="T61" s="222" t="s">
        <v>310</v>
      </c>
      <c r="U61" s="206"/>
      <c r="V61" s="266"/>
      <c r="W61" s="231" t="s">
        <v>342</v>
      </c>
      <c r="X61" s="206"/>
      <c r="Y61" s="281" t="str">
        <f>'Pricing Model'!G80</f>
        <v>Stir-Fried Noodles with Sliced Beef</v>
      </c>
      <c r="Z61" s="281"/>
      <c r="AA61" s="253"/>
      <c r="AB61" s="899"/>
      <c r="AC61" s="206"/>
      <c r="AD61" s="231" t="s">
        <v>334</v>
      </c>
      <c r="AE61" s="240"/>
      <c r="AF61" s="222" t="s">
        <v>346</v>
      </c>
      <c r="AG61" s="206"/>
      <c r="AH61" s="253"/>
      <c r="AI61" s="206"/>
      <c r="AJ61" s="206"/>
      <c r="AK61" s="206"/>
      <c r="AL61" s="206"/>
      <c r="AM61" s="206"/>
      <c r="AN61" s="206"/>
      <c r="AO61" s="206"/>
      <c r="AP61" s="206"/>
      <c r="AQ61" s="206"/>
      <c r="AS61" s="167"/>
      <c r="AT61" s="167"/>
      <c r="AU61" s="167"/>
      <c r="AV61" s="167"/>
      <c r="AW61" s="167"/>
      <c r="AX61" s="167"/>
      <c r="AY61" s="167"/>
      <c r="AZ61" s="167"/>
      <c r="BA61" s="167"/>
      <c r="BB61" s="167"/>
      <c r="BC61" s="167"/>
      <c r="BD61" s="167"/>
      <c r="BE61" s="167"/>
      <c r="BF61" s="167"/>
      <c r="BG61" s="167"/>
      <c r="BH61" s="167"/>
      <c r="BI61" s="167"/>
      <c r="BJ61" s="167"/>
      <c r="BK61" s="167"/>
      <c r="BL61" s="167"/>
      <c r="BM61" s="167"/>
      <c r="BN61" s="167"/>
      <c r="BO61" s="167"/>
      <c r="BP61" s="167"/>
      <c r="BQ61" s="167"/>
      <c r="BR61" s="167"/>
      <c r="BS61" s="167"/>
      <c r="BT61" s="167"/>
      <c r="BU61" s="167"/>
      <c r="BV61" s="167"/>
      <c r="BW61" s="167"/>
      <c r="BX61" s="167"/>
      <c r="BY61" s="167"/>
      <c r="BZ61" s="167"/>
      <c r="CA61" s="167"/>
      <c r="CB61" s="167"/>
      <c r="CC61" s="167"/>
      <c r="CD61" s="167"/>
      <c r="CE61" s="167"/>
      <c r="CF61" s="167"/>
      <c r="CG61" s="167"/>
      <c r="CH61" s="167"/>
      <c r="CI61" s="167"/>
      <c r="CJ61" s="167"/>
      <c r="CK61" s="167"/>
      <c r="CL61" s="167"/>
      <c r="CM61" s="167"/>
      <c r="CN61" s="167"/>
      <c r="CO61" s="167"/>
      <c r="CP61" s="167"/>
      <c r="CQ61" s="167"/>
    </row>
    <row r="62" spans="1:95" ht="16" customHeight="1">
      <c r="A62" s="130"/>
      <c r="B62" s="1108" t="str">
        <f>'Pricing Model'!G80</f>
        <v>Stir-Fried Noodles with Sliced Beef</v>
      </c>
      <c r="C62" s="493">
        <f>'Pricing Model'!$C$6</f>
        <v>2025</v>
      </c>
      <c r="D62" s="158"/>
      <c r="E62" s="140">
        <f>'Pricing Model'!H$98</f>
        <v>0.74046239999999997</v>
      </c>
      <c r="F62" s="1109"/>
      <c r="G62" s="141" t="s">
        <v>353</v>
      </c>
      <c r="H62" s="53">
        <v>600</v>
      </c>
      <c r="I62" s="53">
        <v>630</v>
      </c>
      <c r="J62" s="53">
        <v>670</v>
      </c>
      <c r="K62" s="53">
        <v>720</v>
      </c>
      <c r="L62" s="53">
        <v>765</v>
      </c>
      <c r="M62" s="53">
        <v>800</v>
      </c>
      <c r="N62" s="53">
        <v>850</v>
      </c>
      <c r="O62" s="53">
        <v>850</v>
      </c>
      <c r="P62" s="864">
        <v>880</v>
      </c>
      <c r="Q62" s="53">
        <v>920</v>
      </c>
      <c r="R62" s="53">
        <v>950</v>
      </c>
      <c r="S62" s="241">
        <v>970</v>
      </c>
      <c r="T62" s="53">
        <v>1005</v>
      </c>
      <c r="U62" s="53">
        <v>1045</v>
      </c>
      <c r="V62" s="267">
        <v>1150</v>
      </c>
      <c r="W62" s="53">
        <v>1195</v>
      </c>
      <c r="X62" s="53">
        <v>1230</v>
      </c>
      <c r="Y62" s="53">
        <v>1270</v>
      </c>
      <c r="Z62" s="53">
        <v>1320</v>
      </c>
      <c r="AA62" s="53">
        <v>1365</v>
      </c>
      <c r="AB62" s="900">
        <v>1670</v>
      </c>
      <c r="AC62" s="53">
        <v>1740</v>
      </c>
      <c r="AD62" s="53">
        <v>1800</v>
      </c>
      <c r="AE62" s="241">
        <v>1840</v>
      </c>
      <c r="AF62" s="53">
        <v>1875</v>
      </c>
      <c r="AG62" s="53">
        <v>1910</v>
      </c>
      <c r="AH62" s="53">
        <v>1950</v>
      </c>
      <c r="AI62" s="53">
        <v>1995</v>
      </c>
      <c r="AJ62" s="53">
        <v>2035</v>
      </c>
      <c r="AK62" s="53">
        <v>2080</v>
      </c>
      <c r="AL62" s="53">
        <v>2120</v>
      </c>
      <c r="AM62" s="53">
        <v>2165</v>
      </c>
      <c r="AN62" s="53">
        <v>2205</v>
      </c>
      <c r="AO62" s="53">
        <v>2250</v>
      </c>
      <c r="AP62" s="53">
        <v>2290</v>
      </c>
      <c r="AQ62" s="53">
        <v>2335</v>
      </c>
      <c r="AS62" s="167"/>
      <c r="AT62" s="167"/>
      <c r="AU62" s="167"/>
      <c r="AV62" s="167"/>
      <c r="AW62" s="167"/>
      <c r="AX62" s="167"/>
      <c r="AY62" s="167"/>
      <c r="AZ62" s="167"/>
      <c r="BA62" s="167"/>
      <c r="BB62" s="167"/>
      <c r="BC62" s="167"/>
      <c r="BD62" s="167"/>
      <c r="BE62" s="167"/>
      <c r="BF62" s="167"/>
      <c r="BG62" s="167"/>
      <c r="BH62" s="167"/>
      <c r="BI62" s="167"/>
      <c r="BJ62" s="167"/>
      <c r="BK62" s="167"/>
      <c r="BL62" s="167"/>
      <c r="BM62" s="167"/>
      <c r="BN62" s="167"/>
      <c r="BO62" s="167"/>
      <c r="BP62" s="167"/>
      <c r="BQ62" s="167"/>
      <c r="BR62" s="167"/>
      <c r="BS62" s="167"/>
      <c r="BT62" s="167"/>
      <c r="BU62" s="167"/>
      <c r="BV62" s="167"/>
      <c r="BW62" s="167"/>
      <c r="BX62" s="167"/>
      <c r="BY62" s="167"/>
      <c r="BZ62" s="167"/>
      <c r="CA62" s="167"/>
      <c r="CB62" s="167"/>
      <c r="CC62" s="167"/>
      <c r="CD62" s="167"/>
      <c r="CE62" s="167"/>
      <c r="CF62" s="167"/>
      <c r="CG62" s="167"/>
      <c r="CH62" s="167"/>
      <c r="CI62" s="167"/>
      <c r="CJ62" s="167"/>
      <c r="CK62" s="167"/>
      <c r="CL62" s="167"/>
      <c r="CM62" s="167"/>
      <c r="CN62" s="167"/>
      <c r="CO62" s="167"/>
      <c r="CP62" s="167"/>
      <c r="CQ62" s="167"/>
    </row>
    <row r="63" spans="1:95" ht="16" customHeight="1">
      <c r="A63" s="130"/>
      <c r="B63" s="1108"/>
      <c r="C63" s="493">
        <f>C62+1</f>
        <v>2026</v>
      </c>
      <c r="D63" s="158"/>
      <c r="E63" s="140">
        <f>'Pricing Model'!I$98</f>
        <v>0.73878796387096779</v>
      </c>
      <c r="F63" s="1109"/>
      <c r="G63" s="133" t="s">
        <v>285</v>
      </c>
      <c r="H63" s="133">
        <f>'Pricing Model'!$H$95</f>
        <v>7.5</v>
      </c>
      <c r="I63" s="133">
        <f>'Pricing Model'!$H$95</f>
        <v>7.5</v>
      </c>
      <c r="J63" s="133">
        <f>'Pricing Model'!$H$95</f>
        <v>7.5</v>
      </c>
      <c r="K63" s="133">
        <f>'Pricing Model'!$H$95</f>
        <v>7.5</v>
      </c>
      <c r="L63" s="133">
        <f>'Pricing Model'!$H$95</f>
        <v>7.5</v>
      </c>
      <c r="M63" s="133">
        <f>'Pricing Model'!$H$95</f>
        <v>7.5</v>
      </c>
      <c r="N63" s="133">
        <f>'Pricing Model'!$H$95</f>
        <v>7.5</v>
      </c>
      <c r="O63" s="133">
        <f>'Pricing Model'!$H$95</f>
        <v>7.5</v>
      </c>
      <c r="P63" s="865">
        <f>'Pricing Model'!$H$95</f>
        <v>7.5</v>
      </c>
      <c r="Q63" s="133">
        <f>'Pricing Model'!$H$95</f>
        <v>7.5</v>
      </c>
      <c r="R63" s="133">
        <f>'Pricing Model'!$H$95</f>
        <v>7.5</v>
      </c>
      <c r="S63" s="242">
        <f>'Pricing Model'!$H$95</f>
        <v>7.5</v>
      </c>
      <c r="T63" s="133">
        <f>'Pricing Model'!$I$95</f>
        <v>7.75</v>
      </c>
      <c r="U63" s="133">
        <f>'Pricing Model'!$I$95</f>
        <v>7.75</v>
      </c>
      <c r="V63" s="268">
        <f>'Pricing Model'!$I$95</f>
        <v>7.75</v>
      </c>
      <c r="W63" s="133">
        <f>'Pricing Model'!$I$95</f>
        <v>7.75</v>
      </c>
      <c r="X63" s="133">
        <f>'Pricing Model'!$I$95</f>
        <v>7.75</v>
      </c>
      <c r="Y63" s="133">
        <f>'Pricing Model'!$I$95</f>
        <v>7.75</v>
      </c>
      <c r="Z63" s="133">
        <f>'Pricing Model'!$I$95</f>
        <v>7.75</v>
      </c>
      <c r="AA63" s="133">
        <f>'Pricing Model'!$I$95</f>
        <v>7.75</v>
      </c>
      <c r="AB63" s="901">
        <f>'Pricing Model'!$I$95</f>
        <v>7.75</v>
      </c>
      <c r="AC63" s="133">
        <f>'Pricing Model'!$I$95</f>
        <v>7.75</v>
      </c>
      <c r="AD63" s="133">
        <f>'Pricing Model'!$I$95</f>
        <v>7.75</v>
      </c>
      <c r="AE63" s="242">
        <f>'Pricing Model'!$I$95</f>
        <v>7.75</v>
      </c>
      <c r="AF63" s="133">
        <f>'Pricing Model'!$J$95</f>
        <v>8</v>
      </c>
      <c r="AG63" s="133">
        <f>'Pricing Model'!$J$95</f>
        <v>8</v>
      </c>
      <c r="AH63" s="133">
        <f>'Pricing Model'!$J$95</f>
        <v>8</v>
      </c>
      <c r="AI63" s="133">
        <f>'Pricing Model'!$J$95</f>
        <v>8</v>
      </c>
      <c r="AJ63" s="133">
        <f>'Pricing Model'!$J$95</f>
        <v>8</v>
      </c>
      <c r="AK63" s="133">
        <f>'Pricing Model'!$J$95</f>
        <v>8</v>
      </c>
      <c r="AL63" s="133">
        <f>'Pricing Model'!$J$95</f>
        <v>8</v>
      </c>
      <c r="AM63" s="133">
        <f>'Pricing Model'!$J$95</f>
        <v>8</v>
      </c>
      <c r="AN63" s="133">
        <f>'Pricing Model'!$J$95</f>
        <v>8</v>
      </c>
      <c r="AO63" s="133">
        <f>'Pricing Model'!$J$95</f>
        <v>8</v>
      </c>
      <c r="AP63" s="133">
        <f>'Pricing Model'!$J$95</f>
        <v>8</v>
      </c>
      <c r="AQ63" s="133">
        <f>'Pricing Model'!$J$95</f>
        <v>8</v>
      </c>
      <c r="AS63" s="167"/>
      <c r="AT63" s="167"/>
      <c r="AU63" s="167"/>
      <c r="AV63" s="167"/>
      <c r="AW63" s="167"/>
      <c r="AX63" s="167"/>
      <c r="AY63" s="167"/>
      <c r="AZ63" s="167"/>
      <c r="BA63" s="167"/>
      <c r="BB63" s="167"/>
      <c r="BC63" s="167"/>
      <c r="BD63" s="167"/>
      <c r="BE63" s="167"/>
      <c r="BF63" s="167"/>
      <c r="BG63" s="167"/>
      <c r="BH63" s="167"/>
      <c r="BI63" s="167"/>
      <c r="BJ63" s="167"/>
      <c r="BK63" s="167"/>
      <c r="BL63" s="167"/>
      <c r="BM63" s="167"/>
      <c r="BN63" s="167"/>
      <c r="BO63" s="167"/>
      <c r="BP63" s="167"/>
      <c r="BQ63" s="167"/>
      <c r="BR63" s="167"/>
      <c r="BS63" s="167"/>
      <c r="BT63" s="167"/>
      <c r="BU63" s="167"/>
      <c r="BV63" s="167"/>
      <c r="BW63" s="167"/>
      <c r="BX63" s="167"/>
      <c r="BY63" s="167"/>
      <c r="BZ63" s="167"/>
      <c r="CA63" s="167"/>
      <c r="CB63" s="167"/>
      <c r="CC63" s="167"/>
      <c r="CD63" s="167"/>
      <c r="CE63" s="167"/>
      <c r="CF63" s="167"/>
      <c r="CG63" s="167"/>
      <c r="CH63" s="167"/>
      <c r="CI63" s="167"/>
      <c r="CJ63" s="167"/>
      <c r="CK63" s="167"/>
      <c r="CL63" s="167"/>
      <c r="CM63" s="167"/>
      <c r="CN63" s="167"/>
      <c r="CO63" s="167"/>
      <c r="CP63" s="167"/>
      <c r="CQ63" s="167"/>
    </row>
    <row r="64" spans="1:95" s="50" customFormat="1" ht="16" customHeight="1">
      <c r="A64" s="130"/>
      <c r="B64" s="1108"/>
      <c r="C64" s="493">
        <f>C63+1</f>
        <v>2027</v>
      </c>
      <c r="D64" s="159"/>
      <c r="E64" s="140">
        <f>'Pricing Model'!J$98</f>
        <v>0.73619625069999994</v>
      </c>
      <c r="F64" s="1109"/>
      <c r="G64" s="133" t="s">
        <v>284</v>
      </c>
      <c r="H64" s="136">
        <f t="shared" ref="H64:AQ64" si="60">H62*H63</f>
        <v>4500</v>
      </c>
      <c r="I64" s="136">
        <f t="shared" si="60"/>
        <v>4725</v>
      </c>
      <c r="J64" s="136">
        <f t="shared" si="60"/>
        <v>5025</v>
      </c>
      <c r="K64" s="136">
        <f t="shared" si="60"/>
        <v>5400</v>
      </c>
      <c r="L64" s="136">
        <f t="shared" si="60"/>
        <v>5737.5</v>
      </c>
      <c r="M64" s="136">
        <f t="shared" si="60"/>
        <v>6000</v>
      </c>
      <c r="N64" s="136">
        <f t="shared" si="60"/>
        <v>6375</v>
      </c>
      <c r="O64" s="136">
        <f t="shared" si="60"/>
        <v>6375</v>
      </c>
      <c r="P64" s="866">
        <f t="shared" si="60"/>
        <v>6600</v>
      </c>
      <c r="Q64" s="136">
        <f t="shared" si="60"/>
        <v>6900</v>
      </c>
      <c r="R64" s="136">
        <f t="shared" si="60"/>
        <v>7125</v>
      </c>
      <c r="S64" s="243">
        <f t="shared" si="60"/>
        <v>7275</v>
      </c>
      <c r="T64" s="136">
        <f t="shared" si="60"/>
        <v>7788.75</v>
      </c>
      <c r="U64" s="136">
        <f t="shared" si="60"/>
        <v>8098.75</v>
      </c>
      <c r="V64" s="269">
        <f t="shared" si="60"/>
        <v>8912.5</v>
      </c>
      <c r="W64" s="136">
        <f t="shared" si="60"/>
        <v>9261.25</v>
      </c>
      <c r="X64" s="136">
        <f t="shared" si="60"/>
        <v>9532.5</v>
      </c>
      <c r="Y64" s="136">
        <f t="shared" si="60"/>
        <v>9842.5</v>
      </c>
      <c r="Z64" s="136">
        <f t="shared" si="60"/>
        <v>10230</v>
      </c>
      <c r="AA64" s="136">
        <f t="shared" si="60"/>
        <v>10578.75</v>
      </c>
      <c r="AB64" s="902">
        <f t="shared" si="60"/>
        <v>12942.5</v>
      </c>
      <c r="AC64" s="136">
        <f t="shared" si="60"/>
        <v>13485</v>
      </c>
      <c r="AD64" s="136">
        <f t="shared" si="60"/>
        <v>13950</v>
      </c>
      <c r="AE64" s="243">
        <f t="shared" si="60"/>
        <v>14260</v>
      </c>
      <c r="AF64" s="136">
        <f t="shared" si="60"/>
        <v>15000</v>
      </c>
      <c r="AG64" s="136">
        <f t="shared" si="60"/>
        <v>15280</v>
      </c>
      <c r="AH64" s="136">
        <f t="shared" si="60"/>
        <v>15600</v>
      </c>
      <c r="AI64" s="136">
        <f t="shared" si="60"/>
        <v>15960</v>
      </c>
      <c r="AJ64" s="136">
        <f t="shared" si="60"/>
        <v>16280</v>
      </c>
      <c r="AK64" s="136">
        <f t="shared" si="60"/>
        <v>16640</v>
      </c>
      <c r="AL64" s="136">
        <f t="shared" si="60"/>
        <v>16960</v>
      </c>
      <c r="AM64" s="136">
        <f t="shared" si="60"/>
        <v>17320</v>
      </c>
      <c r="AN64" s="136">
        <f t="shared" si="60"/>
        <v>17640</v>
      </c>
      <c r="AO64" s="136">
        <f t="shared" si="60"/>
        <v>18000</v>
      </c>
      <c r="AP64" s="136">
        <f t="shared" si="60"/>
        <v>18320</v>
      </c>
      <c r="AQ64" s="136">
        <f t="shared" si="60"/>
        <v>18680</v>
      </c>
      <c r="AR64" s="224"/>
      <c r="AS64" s="170"/>
      <c r="AT64" s="170"/>
      <c r="AU64" s="170"/>
      <c r="AV64" s="170"/>
      <c r="AW64" s="170"/>
      <c r="AX64" s="170"/>
      <c r="AY64" s="170"/>
      <c r="AZ64" s="170"/>
      <c r="BA64" s="170"/>
      <c r="BB64" s="170"/>
      <c r="BC64" s="170"/>
      <c r="BD64" s="170"/>
      <c r="BE64" s="170"/>
      <c r="BF64" s="170"/>
      <c r="BG64" s="170"/>
      <c r="BH64" s="170"/>
      <c r="BI64" s="170"/>
      <c r="BJ64" s="170"/>
      <c r="BK64" s="170"/>
      <c r="BL64" s="170"/>
      <c r="BM64" s="170"/>
      <c r="BN64" s="170"/>
      <c r="BO64" s="170"/>
      <c r="BP64" s="170"/>
      <c r="BQ64" s="170"/>
      <c r="BR64" s="170"/>
      <c r="BS64" s="170"/>
      <c r="BT64" s="170"/>
      <c r="BU64" s="170"/>
      <c r="BV64" s="170"/>
      <c r="BW64" s="170"/>
      <c r="BX64" s="170"/>
      <c r="BY64" s="170"/>
      <c r="BZ64" s="170"/>
      <c r="CA64" s="170"/>
      <c r="CB64" s="170"/>
      <c r="CC64" s="170"/>
      <c r="CD64" s="170"/>
      <c r="CE64" s="170"/>
      <c r="CF64" s="170"/>
      <c r="CG64" s="170"/>
      <c r="CH64" s="170"/>
      <c r="CI64" s="170"/>
      <c r="CJ64" s="170"/>
      <c r="CK64" s="170"/>
    </row>
    <row r="65" spans="1:95" s="50" customFormat="1" ht="16" customHeight="1">
      <c r="A65" s="130"/>
      <c r="B65" s="1108"/>
      <c r="C65" s="213"/>
      <c r="D65" s="58"/>
      <c r="E65" s="207"/>
      <c r="F65" s="207"/>
      <c r="G65" s="132" t="s">
        <v>239</v>
      </c>
      <c r="H65" s="135">
        <f t="shared" ref="H65:S65" si="61">$E62*H64</f>
        <v>3332.0807999999997</v>
      </c>
      <c r="I65" s="135">
        <f t="shared" si="61"/>
        <v>3498.6848399999999</v>
      </c>
      <c r="J65" s="135">
        <f t="shared" si="61"/>
        <v>3720.8235599999998</v>
      </c>
      <c r="K65" s="135">
        <f t="shared" si="61"/>
        <v>3998.4969599999999</v>
      </c>
      <c r="L65" s="135">
        <f t="shared" si="61"/>
        <v>4248.4030199999997</v>
      </c>
      <c r="M65" s="135">
        <f t="shared" si="61"/>
        <v>4442.7744000000002</v>
      </c>
      <c r="N65" s="135">
        <f t="shared" si="61"/>
        <v>4720.4477999999999</v>
      </c>
      <c r="O65" s="135">
        <f t="shared" si="61"/>
        <v>4720.4477999999999</v>
      </c>
      <c r="P65" s="867">
        <f t="shared" si="61"/>
        <v>4887.0518400000001</v>
      </c>
      <c r="Q65" s="135">
        <f t="shared" si="61"/>
        <v>5109.19056</v>
      </c>
      <c r="R65" s="135">
        <f t="shared" si="61"/>
        <v>5275.7946000000002</v>
      </c>
      <c r="S65" s="244">
        <f t="shared" si="61"/>
        <v>5386.8639599999997</v>
      </c>
      <c r="T65" s="135">
        <f t="shared" ref="T65:AE65" si="62">$E63*T64</f>
        <v>5754.2347536000007</v>
      </c>
      <c r="U65" s="135">
        <f t="shared" si="62"/>
        <v>5983.2590224000005</v>
      </c>
      <c r="V65" s="270">
        <f t="shared" si="62"/>
        <v>6584.4477280000001</v>
      </c>
      <c r="W65" s="135">
        <f t="shared" si="62"/>
        <v>6842.1000304000008</v>
      </c>
      <c r="X65" s="135">
        <f t="shared" si="62"/>
        <v>7042.4962656000007</v>
      </c>
      <c r="Y65" s="135">
        <f t="shared" si="62"/>
        <v>7271.5205344000005</v>
      </c>
      <c r="Z65" s="135">
        <f t="shared" si="62"/>
        <v>7557.8008704000003</v>
      </c>
      <c r="AA65" s="135">
        <f t="shared" si="62"/>
        <v>7815.4531728000002</v>
      </c>
      <c r="AB65" s="903">
        <f t="shared" si="62"/>
        <v>9561.7632224000008</v>
      </c>
      <c r="AC65" s="135">
        <f t="shared" si="62"/>
        <v>9962.5556928000005</v>
      </c>
      <c r="AD65" s="135">
        <f t="shared" si="62"/>
        <v>10306.092096</v>
      </c>
      <c r="AE65" s="244">
        <f t="shared" si="62"/>
        <v>10535.1163648</v>
      </c>
      <c r="AF65" s="135">
        <f t="shared" ref="AF65:AQ65" si="63">$E64*AF64</f>
        <v>11042.943760499998</v>
      </c>
      <c r="AG65" s="135">
        <f t="shared" si="63"/>
        <v>11249.078710696</v>
      </c>
      <c r="AH65" s="135">
        <f t="shared" si="63"/>
        <v>11484.661510919999</v>
      </c>
      <c r="AI65" s="135">
        <f t="shared" si="63"/>
        <v>11749.692161171999</v>
      </c>
      <c r="AJ65" s="135">
        <f t="shared" si="63"/>
        <v>11985.274961395999</v>
      </c>
      <c r="AK65" s="135">
        <f t="shared" si="63"/>
        <v>12250.305611647998</v>
      </c>
      <c r="AL65" s="135">
        <f t="shared" si="63"/>
        <v>12485.888411872</v>
      </c>
      <c r="AM65" s="135">
        <f t="shared" si="63"/>
        <v>12750.919062124</v>
      </c>
      <c r="AN65" s="135">
        <f t="shared" si="63"/>
        <v>12986.501862347999</v>
      </c>
      <c r="AO65" s="135">
        <f t="shared" si="63"/>
        <v>13251.532512599999</v>
      </c>
      <c r="AP65" s="135">
        <f t="shared" si="63"/>
        <v>13487.115312823998</v>
      </c>
      <c r="AQ65" s="135">
        <f t="shared" si="63"/>
        <v>13752.145963075998</v>
      </c>
      <c r="AR65" s="224"/>
      <c r="AS65" s="170"/>
      <c r="AT65" s="170"/>
      <c r="AU65" s="170"/>
      <c r="AV65" s="170"/>
      <c r="AW65" s="170"/>
      <c r="AX65" s="170"/>
      <c r="AY65" s="170"/>
      <c r="AZ65" s="170"/>
      <c r="BA65" s="170"/>
      <c r="BB65" s="170"/>
      <c r="BC65" s="170"/>
      <c r="BD65" s="170"/>
      <c r="BE65" s="170"/>
      <c r="BF65" s="170"/>
      <c r="BG65" s="170"/>
      <c r="BH65" s="170"/>
      <c r="BI65" s="170"/>
      <c r="BJ65" s="170"/>
      <c r="BK65" s="170"/>
      <c r="BL65" s="170"/>
      <c r="BM65" s="170"/>
      <c r="BN65" s="170"/>
      <c r="BO65" s="170"/>
      <c r="BP65" s="170"/>
      <c r="BQ65" s="170"/>
      <c r="BR65" s="170"/>
      <c r="BS65" s="170"/>
      <c r="BT65" s="170"/>
      <c r="BU65" s="170"/>
      <c r="BV65" s="170"/>
      <c r="BW65" s="170"/>
      <c r="BX65" s="170"/>
      <c r="BY65" s="170"/>
      <c r="BZ65" s="170"/>
      <c r="CA65" s="170"/>
      <c r="CB65" s="170"/>
      <c r="CC65" s="170"/>
      <c r="CD65" s="170"/>
      <c r="CE65" s="170"/>
      <c r="CF65" s="170"/>
      <c r="CG65" s="170"/>
      <c r="CH65" s="170"/>
      <c r="CI65" s="170"/>
      <c r="CJ65" s="170"/>
      <c r="CK65" s="170"/>
    </row>
    <row r="66" spans="1:95" s="50" customFormat="1" ht="16" customHeight="1">
      <c r="A66" s="130"/>
      <c r="B66" s="226"/>
      <c r="C66" s="213"/>
      <c r="D66" s="58"/>
      <c r="E66" s="207"/>
      <c r="F66" s="207"/>
      <c r="G66" s="132"/>
      <c r="H66" s="135"/>
      <c r="I66" s="135"/>
      <c r="J66" s="135"/>
      <c r="K66" s="135"/>
      <c r="L66" s="135"/>
      <c r="M66" s="135"/>
      <c r="N66" s="135"/>
      <c r="O66" s="135"/>
      <c r="P66" s="867"/>
      <c r="Q66" s="135"/>
      <c r="R66" s="135"/>
      <c r="S66" s="244"/>
      <c r="T66" s="135"/>
      <c r="U66" s="135"/>
      <c r="V66" s="270"/>
      <c r="W66" s="135"/>
      <c r="X66" s="135"/>
      <c r="Y66" s="135"/>
      <c r="Z66" s="135"/>
      <c r="AA66" s="135"/>
      <c r="AB66" s="903"/>
      <c r="AC66" s="135"/>
      <c r="AD66" s="135"/>
      <c r="AE66" s="244"/>
      <c r="AF66" s="135"/>
      <c r="AG66" s="135"/>
      <c r="AH66" s="135"/>
      <c r="AI66" s="135"/>
      <c r="AJ66" s="135"/>
      <c r="AK66" s="135"/>
      <c r="AL66" s="135"/>
      <c r="AM66" s="135"/>
      <c r="AN66" s="135"/>
      <c r="AO66" s="135"/>
      <c r="AP66" s="135"/>
      <c r="AQ66" s="135"/>
      <c r="AR66" s="224"/>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row>
    <row r="67" spans="1:95" s="50" customFormat="1" ht="16" customHeight="1">
      <c r="A67" s="130"/>
      <c r="B67" s="299"/>
      <c r="C67" s="494"/>
      <c r="D67" s="286"/>
      <c r="E67" s="287"/>
      <c r="F67" s="287"/>
      <c r="G67" s="288"/>
      <c r="H67" s="222" t="s">
        <v>308</v>
      </c>
      <c r="I67" s="206"/>
      <c r="J67" s="206"/>
      <c r="K67" s="206"/>
      <c r="L67" s="206"/>
      <c r="M67" s="206"/>
      <c r="N67" s="206"/>
      <c r="O67" s="206"/>
      <c r="P67" s="863"/>
      <c r="Q67" s="206"/>
      <c r="R67" s="206"/>
      <c r="S67" s="240"/>
      <c r="T67" s="222" t="s">
        <v>311</v>
      </c>
      <c r="U67" s="206"/>
      <c r="V67" s="266"/>
      <c r="W67" s="231" t="s">
        <v>343</v>
      </c>
      <c r="X67" s="206"/>
      <c r="Y67" s="281" t="str">
        <f>'Pricing Model'!L80</f>
        <v xml:space="preserve">Crispy Roast Pork Belly with Rice </v>
      </c>
      <c r="Z67" s="281"/>
      <c r="AA67" s="284"/>
      <c r="AB67" s="899"/>
      <c r="AC67" s="206"/>
      <c r="AD67" s="231" t="s">
        <v>331</v>
      </c>
      <c r="AE67" s="240"/>
      <c r="AF67" s="222" t="s">
        <v>351</v>
      </c>
      <c r="AG67" s="206"/>
      <c r="AH67" s="258"/>
      <c r="AI67" s="206"/>
      <c r="AJ67" s="206"/>
      <c r="AK67" s="206"/>
      <c r="AL67" s="206"/>
      <c r="AM67" s="206"/>
      <c r="AN67" s="206"/>
      <c r="AO67" s="206"/>
      <c r="AP67" s="206"/>
      <c r="AQ67" s="206"/>
      <c r="AR67" s="224"/>
      <c r="AS67" s="170"/>
      <c r="AT67" s="170"/>
      <c r="AU67" s="170"/>
      <c r="AV67" s="170"/>
      <c r="AW67" s="170"/>
      <c r="AX67" s="170"/>
      <c r="AY67" s="170"/>
      <c r="AZ67" s="170"/>
      <c r="BA67" s="170"/>
      <c r="BB67" s="170"/>
      <c r="BC67" s="170"/>
      <c r="BD67" s="170"/>
      <c r="BE67" s="170"/>
      <c r="BF67" s="170"/>
      <c r="BG67" s="170"/>
      <c r="BH67" s="170"/>
      <c r="BI67" s="170"/>
      <c r="BJ67" s="170"/>
      <c r="BK67" s="170"/>
      <c r="BL67" s="170"/>
      <c r="BM67" s="170"/>
      <c r="BN67" s="170"/>
      <c r="BO67" s="170"/>
      <c r="BP67" s="170"/>
      <c r="BQ67" s="170"/>
      <c r="BR67" s="170"/>
      <c r="BS67" s="170"/>
      <c r="BT67" s="170"/>
      <c r="BU67" s="170"/>
      <c r="BV67" s="170"/>
      <c r="BW67" s="170"/>
      <c r="BX67" s="170"/>
      <c r="BY67" s="170"/>
      <c r="BZ67" s="170"/>
      <c r="CA67" s="170"/>
      <c r="CB67" s="170"/>
      <c r="CC67" s="170"/>
      <c r="CD67" s="170"/>
      <c r="CE67" s="170"/>
      <c r="CF67" s="170"/>
      <c r="CG67" s="170"/>
      <c r="CH67" s="170"/>
      <c r="CI67" s="170"/>
      <c r="CJ67" s="170"/>
      <c r="CK67" s="170"/>
    </row>
    <row r="68" spans="1:95" s="50" customFormat="1" ht="16" customHeight="1">
      <c r="A68" s="130"/>
      <c r="B68" s="1107" t="str">
        <f>'Pricing Model'!L80</f>
        <v xml:space="preserve">Crispy Roast Pork Belly with Rice </v>
      </c>
      <c r="C68" s="493">
        <f>'Pricing Model'!$C$6</f>
        <v>2025</v>
      </c>
      <c r="D68" s="158"/>
      <c r="E68" s="140">
        <f>'Pricing Model'!M$98</f>
        <v>0.72611578947368416</v>
      </c>
      <c r="F68" s="1109"/>
      <c r="G68" s="141" t="s">
        <v>353</v>
      </c>
      <c r="H68" s="53">
        <v>400</v>
      </c>
      <c r="I68" s="53">
        <v>450</v>
      </c>
      <c r="J68" s="53">
        <v>500</v>
      </c>
      <c r="K68" s="53">
        <v>550</v>
      </c>
      <c r="L68" s="53">
        <v>590</v>
      </c>
      <c r="M68" s="53">
        <v>630</v>
      </c>
      <c r="N68" s="53">
        <v>650</v>
      </c>
      <c r="O68" s="53">
        <v>680</v>
      </c>
      <c r="P68" s="864">
        <v>710</v>
      </c>
      <c r="Q68" s="53">
        <v>745</v>
      </c>
      <c r="R68" s="53">
        <v>780</v>
      </c>
      <c r="S68" s="241">
        <v>800</v>
      </c>
      <c r="T68" s="311">
        <v>855</v>
      </c>
      <c r="U68" s="311">
        <v>890</v>
      </c>
      <c r="V68" s="889">
        <v>1030</v>
      </c>
      <c r="W68" s="311">
        <v>1068</v>
      </c>
      <c r="X68" s="311">
        <v>1110</v>
      </c>
      <c r="Y68" s="311">
        <v>1150</v>
      </c>
      <c r="Z68" s="311">
        <v>1195</v>
      </c>
      <c r="AA68" s="311">
        <v>1240</v>
      </c>
      <c r="AB68" s="911">
        <v>1495</v>
      </c>
      <c r="AC68" s="53">
        <v>1510</v>
      </c>
      <c r="AD68" s="53">
        <v>1570</v>
      </c>
      <c r="AE68" s="241">
        <v>1635</v>
      </c>
      <c r="AF68" s="53">
        <v>1690</v>
      </c>
      <c r="AG68" s="53">
        <v>1735</v>
      </c>
      <c r="AH68" s="53">
        <v>1780</v>
      </c>
      <c r="AI68" s="53">
        <v>1830</v>
      </c>
      <c r="AJ68" s="53">
        <v>1860</v>
      </c>
      <c r="AK68" s="53">
        <v>1890</v>
      </c>
      <c r="AL68" s="53">
        <v>1915</v>
      </c>
      <c r="AM68" s="53">
        <v>1950</v>
      </c>
      <c r="AN68" s="53">
        <v>1985</v>
      </c>
      <c r="AO68" s="53">
        <v>2005</v>
      </c>
      <c r="AP68" s="53">
        <v>2025</v>
      </c>
      <c r="AQ68" s="53">
        <v>2055</v>
      </c>
      <c r="AR68" s="224"/>
      <c r="AS68" s="170"/>
      <c r="AT68" s="170"/>
      <c r="AU68" s="170"/>
      <c r="AV68" s="170"/>
      <c r="AW68" s="170"/>
      <c r="AX68" s="170"/>
      <c r="AY68" s="170"/>
      <c r="AZ68" s="170"/>
      <c r="BA68" s="170"/>
      <c r="BB68" s="170"/>
      <c r="BC68" s="170"/>
      <c r="BD68" s="170"/>
      <c r="BE68" s="170"/>
      <c r="BF68" s="170"/>
      <c r="BG68" s="170"/>
      <c r="BH68" s="170"/>
      <c r="BI68" s="170"/>
      <c r="BJ68" s="170"/>
      <c r="BK68" s="170"/>
      <c r="BL68" s="170"/>
      <c r="BM68" s="170"/>
      <c r="BN68" s="170"/>
      <c r="BO68" s="170"/>
      <c r="BP68" s="170"/>
      <c r="BQ68" s="170"/>
      <c r="BR68" s="170"/>
      <c r="BS68" s="170"/>
      <c r="BT68" s="170"/>
      <c r="BU68" s="170"/>
      <c r="BV68" s="170"/>
      <c r="BW68" s="170"/>
      <c r="BX68" s="170"/>
      <c r="BY68" s="170"/>
      <c r="BZ68" s="170"/>
      <c r="CA68" s="170"/>
      <c r="CB68" s="170"/>
      <c r="CC68" s="170"/>
      <c r="CD68" s="170"/>
      <c r="CE68" s="170"/>
      <c r="CF68" s="170"/>
      <c r="CG68" s="170"/>
      <c r="CH68" s="170"/>
      <c r="CI68" s="170"/>
      <c r="CJ68" s="170"/>
      <c r="CK68" s="170"/>
    </row>
    <row r="69" spans="1:95" s="50" customFormat="1" ht="16" customHeight="1">
      <c r="A69" s="130"/>
      <c r="B69" s="1107"/>
      <c r="C69" s="493">
        <f>C68+1</f>
        <v>2026</v>
      </c>
      <c r="D69" s="158"/>
      <c r="E69" s="140">
        <f>'Pricing Model'!N$98</f>
        <v>0.72388000000000008</v>
      </c>
      <c r="F69" s="1109"/>
      <c r="G69" s="133" t="s">
        <v>285</v>
      </c>
      <c r="H69" s="133">
        <f>'Pricing Model'!$M95</f>
        <v>7.9166666666666661</v>
      </c>
      <c r="I69" s="133">
        <f>'Pricing Model'!$M95</f>
        <v>7.9166666666666661</v>
      </c>
      <c r="J69" s="133">
        <f>'Pricing Model'!$M95</f>
        <v>7.9166666666666661</v>
      </c>
      <c r="K69" s="133">
        <f>'Pricing Model'!$M95</f>
        <v>7.9166666666666661</v>
      </c>
      <c r="L69" s="133">
        <f>'Pricing Model'!$M95</f>
        <v>7.9166666666666661</v>
      </c>
      <c r="M69" s="133">
        <f>'Pricing Model'!$M95</f>
        <v>7.9166666666666661</v>
      </c>
      <c r="N69" s="133">
        <f>'Pricing Model'!$M95</f>
        <v>7.9166666666666661</v>
      </c>
      <c r="O69" s="133">
        <f>'Pricing Model'!$M95</f>
        <v>7.9166666666666661</v>
      </c>
      <c r="P69" s="865">
        <f>'Pricing Model'!$M95</f>
        <v>7.9166666666666661</v>
      </c>
      <c r="Q69" s="133">
        <f>'Pricing Model'!$M95</f>
        <v>7.9166666666666661</v>
      </c>
      <c r="R69" s="133">
        <f>'Pricing Model'!$M95</f>
        <v>7.9166666666666661</v>
      </c>
      <c r="S69" s="242">
        <f>'Pricing Model'!$M95</f>
        <v>7.9166666666666661</v>
      </c>
      <c r="T69" s="133">
        <f>'Pricing Model'!$N95</f>
        <v>8.1666666666666679</v>
      </c>
      <c r="U69" s="133">
        <f>'Pricing Model'!$N95</f>
        <v>8.1666666666666679</v>
      </c>
      <c r="V69" s="268">
        <f>'Pricing Model'!$N95</f>
        <v>8.1666666666666679</v>
      </c>
      <c r="W69" s="133">
        <f>'Pricing Model'!$N95</f>
        <v>8.1666666666666679</v>
      </c>
      <c r="X69" s="133">
        <f>'Pricing Model'!$N95</f>
        <v>8.1666666666666679</v>
      </c>
      <c r="Y69" s="133">
        <f>'Pricing Model'!$N95</f>
        <v>8.1666666666666679</v>
      </c>
      <c r="Z69" s="133">
        <f>'Pricing Model'!$N95</f>
        <v>8.1666666666666679</v>
      </c>
      <c r="AA69" s="133">
        <f>'Pricing Model'!$N95</f>
        <v>8.1666666666666679</v>
      </c>
      <c r="AB69" s="901">
        <f>'Pricing Model'!$N95</f>
        <v>8.1666666666666679</v>
      </c>
      <c r="AC69" s="133">
        <f>'Pricing Model'!$N95</f>
        <v>8.1666666666666679</v>
      </c>
      <c r="AD69" s="133">
        <f>'Pricing Model'!$N95</f>
        <v>8.1666666666666679</v>
      </c>
      <c r="AE69" s="242">
        <f>'Pricing Model'!$N95</f>
        <v>8.1666666666666679</v>
      </c>
      <c r="AF69" s="133">
        <f>'Pricing Model'!$O95</f>
        <v>8.4166666666666661</v>
      </c>
      <c r="AG69" s="133">
        <f>'Pricing Model'!$O95</f>
        <v>8.4166666666666661</v>
      </c>
      <c r="AH69" s="133">
        <f>'Pricing Model'!$O95</f>
        <v>8.4166666666666661</v>
      </c>
      <c r="AI69" s="133">
        <f>'Pricing Model'!$O95</f>
        <v>8.4166666666666661</v>
      </c>
      <c r="AJ69" s="133">
        <f>'Pricing Model'!$O95</f>
        <v>8.4166666666666661</v>
      </c>
      <c r="AK69" s="133">
        <f>'Pricing Model'!$O95</f>
        <v>8.4166666666666661</v>
      </c>
      <c r="AL69" s="133">
        <f>'Pricing Model'!$O95</f>
        <v>8.4166666666666661</v>
      </c>
      <c r="AM69" s="133">
        <f>'Pricing Model'!$O95</f>
        <v>8.4166666666666661</v>
      </c>
      <c r="AN69" s="133">
        <f>'Pricing Model'!$O95</f>
        <v>8.4166666666666661</v>
      </c>
      <c r="AO69" s="133">
        <f>'Pricing Model'!$O95</f>
        <v>8.4166666666666661</v>
      </c>
      <c r="AP69" s="133">
        <f>'Pricing Model'!$O95</f>
        <v>8.4166666666666661</v>
      </c>
      <c r="AQ69" s="133">
        <f>'Pricing Model'!$O95</f>
        <v>8.4166666666666661</v>
      </c>
      <c r="AR69" s="224"/>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70"/>
      <c r="BZ69" s="170"/>
      <c r="CA69" s="170"/>
      <c r="CB69" s="170"/>
      <c r="CC69" s="170"/>
      <c r="CD69" s="170"/>
      <c r="CE69" s="170"/>
      <c r="CF69" s="170"/>
      <c r="CG69" s="170"/>
      <c r="CH69" s="170"/>
      <c r="CI69" s="170"/>
      <c r="CJ69" s="170"/>
      <c r="CK69" s="170"/>
    </row>
    <row r="70" spans="1:95" s="50" customFormat="1" ht="16" customHeight="1">
      <c r="A70" s="130"/>
      <c r="B70" s="1107"/>
      <c r="C70" s="493">
        <f>C69+1</f>
        <v>2027</v>
      </c>
      <c r="D70" s="159"/>
      <c r="E70" s="140">
        <f>'Pricing Model'!O$98</f>
        <v>0.72069505148514845</v>
      </c>
      <c r="F70" s="1109"/>
      <c r="G70" s="133" t="s">
        <v>284</v>
      </c>
      <c r="H70" s="136">
        <f t="shared" ref="H70:AQ70" si="64">H68*H69</f>
        <v>3166.6666666666665</v>
      </c>
      <c r="I70" s="136">
        <f t="shared" si="64"/>
        <v>3562.4999999999995</v>
      </c>
      <c r="J70" s="136">
        <f t="shared" si="64"/>
        <v>3958.333333333333</v>
      </c>
      <c r="K70" s="136">
        <f t="shared" si="64"/>
        <v>4354.1666666666661</v>
      </c>
      <c r="L70" s="136">
        <f t="shared" si="64"/>
        <v>4670.833333333333</v>
      </c>
      <c r="M70" s="136">
        <f t="shared" si="64"/>
        <v>4987.5</v>
      </c>
      <c r="N70" s="136">
        <f t="shared" si="64"/>
        <v>5145.833333333333</v>
      </c>
      <c r="O70" s="136">
        <f t="shared" si="64"/>
        <v>5383.333333333333</v>
      </c>
      <c r="P70" s="866">
        <f t="shared" si="64"/>
        <v>5620.833333333333</v>
      </c>
      <c r="Q70" s="136">
        <f t="shared" si="64"/>
        <v>5897.9166666666661</v>
      </c>
      <c r="R70" s="136">
        <f t="shared" si="64"/>
        <v>6174.9999999999991</v>
      </c>
      <c r="S70" s="243">
        <f t="shared" si="64"/>
        <v>6333.333333333333</v>
      </c>
      <c r="T70" s="136">
        <f t="shared" si="64"/>
        <v>6982.5000000000009</v>
      </c>
      <c r="U70" s="136">
        <f t="shared" si="64"/>
        <v>7268.3333333333339</v>
      </c>
      <c r="V70" s="269">
        <f t="shared" si="64"/>
        <v>8411.6666666666679</v>
      </c>
      <c r="W70" s="136">
        <f t="shared" si="64"/>
        <v>8722.0000000000018</v>
      </c>
      <c r="X70" s="136">
        <f t="shared" si="64"/>
        <v>9065.0000000000018</v>
      </c>
      <c r="Y70" s="136">
        <f t="shared" si="64"/>
        <v>9391.6666666666679</v>
      </c>
      <c r="Z70" s="136">
        <f t="shared" si="64"/>
        <v>9759.1666666666679</v>
      </c>
      <c r="AA70" s="136">
        <f t="shared" si="64"/>
        <v>10126.666666666668</v>
      </c>
      <c r="AB70" s="902">
        <f t="shared" si="64"/>
        <v>12209.166666666668</v>
      </c>
      <c r="AC70" s="136">
        <f t="shared" si="64"/>
        <v>12331.666666666668</v>
      </c>
      <c r="AD70" s="136">
        <f t="shared" si="64"/>
        <v>12821.666666666668</v>
      </c>
      <c r="AE70" s="243">
        <f t="shared" si="64"/>
        <v>13352.500000000002</v>
      </c>
      <c r="AF70" s="136">
        <f t="shared" si="64"/>
        <v>14224.166666666666</v>
      </c>
      <c r="AG70" s="136">
        <f t="shared" si="64"/>
        <v>14602.916666666666</v>
      </c>
      <c r="AH70" s="136">
        <f t="shared" si="64"/>
        <v>14981.666666666666</v>
      </c>
      <c r="AI70" s="136">
        <f t="shared" si="64"/>
        <v>15402.499999999998</v>
      </c>
      <c r="AJ70" s="136">
        <f t="shared" si="64"/>
        <v>15654.999999999998</v>
      </c>
      <c r="AK70" s="136">
        <f t="shared" si="64"/>
        <v>15907.499999999998</v>
      </c>
      <c r="AL70" s="136">
        <f t="shared" si="64"/>
        <v>16117.916666666666</v>
      </c>
      <c r="AM70" s="136">
        <f t="shared" si="64"/>
        <v>16412.5</v>
      </c>
      <c r="AN70" s="136">
        <f t="shared" si="64"/>
        <v>16707.083333333332</v>
      </c>
      <c r="AO70" s="136">
        <f t="shared" si="64"/>
        <v>16875.416666666664</v>
      </c>
      <c r="AP70" s="136">
        <f t="shared" si="64"/>
        <v>17043.75</v>
      </c>
      <c r="AQ70" s="136">
        <f t="shared" si="64"/>
        <v>17296.25</v>
      </c>
    </row>
    <row r="71" spans="1:95" s="50" customFormat="1" ht="16" customHeight="1">
      <c r="A71" s="130"/>
      <c r="B71" s="1107"/>
      <c r="C71" s="54"/>
      <c r="D71" s="54"/>
      <c r="E71" s="54"/>
      <c r="F71" s="54"/>
      <c r="G71" s="132" t="s">
        <v>239</v>
      </c>
      <c r="H71" s="135">
        <f t="shared" ref="H71:S71" si="65">$E68*H70</f>
        <v>2299.3666666666663</v>
      </c>
      <c r="I71" s="135">
        <f t="shared" si="65"/>
        <v>2586.7874999999995</v>
      </c>
      <c r="J71" s="135">
        <f t="shared" si="65"/>
        <v>2874.208333333333</v>
      </c>
      <c r="K71" s="135">
        <f t="shared" si="65"/>
        <v>3161.6291666666662</v>
      </c>
      <c r="L71" s="135">
        <f t="shared" si="65"/>
        <v>3391.5658333333326</v>
      </c>
      <c r="M71" s="135">
        <f t="shared" si="65"/>
        <v>3621.5024999999996</v>
      </c>
      <c r="N71" s="135">
        <f t="shared" si="65"/>
        <v>3736.4708333333328</v>
      </c>
      <c r="O71" s="135">
        <f t="shared" si="65"/>
        <v>3908.9233333333327</v>
      </c>
      <c r="P71" s="867">
        <f t="shared" si="65"/>
        <v>4081.375833333333</v>
      </c>
      <c r="Q71" s="135">
        <f t="shared" si="65"/>
        <v>4282.5704166666656</v>
      </c>
      <c r="R71" s="135">
        <f t="shared" si="65"/>
        <v>4483.7649999999994</v>
      </c>
      <c r="S71" s="244">
        <f t="shared" si="65"/>
        <v>4598.7333333333327</v>
      </c>
      <c r="T71" s="135">
        <f t="shared" ref="T71:AE71" si="66">$E69*T70</f>
        <v>5054.4921000000013</v>
      </c>
      <c r="U71" s="135">
        <f t="shared" si="66"/>
        <v>5261.4011333333347</v>
      </c>
      <c r="V71" s="270">
        <f t="shared" si="66"/>
        <v>6089.0372666666681</v>
      </c>
      <c r="W71" s="135">
        <f t="shared" si="66"/>
        <v>6313.6813600000023</v>
      </c>
      <c r="X71" s="135">
        <f t="shared" si="66"/>
        <v>6561.972200000002</v>
      </c>
      <c r="Y71" s="135">
        <f t="shared" si="66"/>
        <v>6798.439666666668</v>
      </c>
      <c r="Z71" s="135">
        <f t="shared" si="66"/>
        <v>7064.4655666666686</v>
      </c>
      <c r="AA71" s="135">
        <f t="shared" si="66"/>
        <v>7330.4914666666682</v>
      </c>
      <c r="AB71" s="903">
        <f t="shared" si="66"/>
        <v>8837.9715666666689</v>
      </c>
      <c r="AC71" s="135">
        <f t="shared" si="66"/>
        <v>8926.6468666666678</v>
      </c>
      <c r="AD71" s="135">
        <f t="shared" si="66"/>
        <v>9281.3480666666692</v>
      </c>
      <c r="AE71" s="244">
        <f t="shared" si="66"/>
        <v>9665.6077000000023</v>
      </c>
      <c r="AF71" s="135">
        <f t="shared" ref="AF71:AQ71" si="67">$E70*AF70</f>
        <v>10251.286528166665</v>
      </c>
      <c r="AG71" s="135">
        <f t="shared" si="67"/>
        <v>10524.249778916665</v>
      </c>
      <c r="AH71" s="135">
        <f t="shared" si="67"/>
        <v>10797.213029666666</v>
      </c>
      <c r="AI71" s="135">
        <f t="shared" si="67"/>
        <v>11100.505530499997</v>
      </c>
      <c r="AJ71" s="135">
        <f t="shared" si="67"/>
        <v>11282.481030999998</v>
      </c>
      <c r="AK71" s="135">
        <f t="shared" si="67"/>
        <v>11464.456531499998</v>
      </c>
      <c r="AL71" s="135">
        <f t="shared" si="67"/>
        <v>11616.102781916665</v>
      </c>
      <c r="AM71" s="135">
        <f t="shared" si="67"/>
        <v>11828.407532499999</v>
      </c>
      <c r="AN71" s="135">
        <f t="shared" si="67"/>
        <v>12040.712283083332</v>
      </c>
      <c r="AO71" s="135">
        <f t="shared" si="67"/>
        <v>12162.029283416663</v>
      </c>
      <c r="AP71" s="135">
        <f t="shared" si="67"/>
        <v>12283.346283749999</v>
      </c>
      <c r="AQ71" s="135">
        <f t="shared" si="67"/>
        <v>12465.321784249998</v>
      </c>
    </row>
    <row r="72" spans="1:95" s="50" customFormat="1" ht="16" customHeight="1">
      <c r="A72" s="130"/>
      <c r="B72" s="127"/>
      <c r="C72" s="129"/>
      <c r="D72" s="129"/>
      <c r="E72" s="131"/>
      <c r="F72" s="131"/>
      <c r="G72" s="133"/>
      <c r="H72" s="136"/>
      <c r="I72" s="136"/>
      <c r="J72" s="136"/>
      <c r="K72" s="136"/>
      <c r="L72" s="136"/>
      <c r="M72" s="136"/>
      <c r="N72" s="136"/>
      <c r="O72" s="136"/>
      <c r="P72" s="866"/>
      <c r="Q72" s="136"/>
      <c r="R72" s="136"/>
      <c r="S72" s="243"/>
      <c r="T72" s="136"/>
      <c r="U72" s="136"/>
      <c r="V72" s="269"/>
      <c r="W72" s="136"/>
      <c r="X72" s="136"/>
      <c r="Y72" s="136"/>
      <c r="Z72" s="136"/>
      <c r="AA72" s="136"/>
      <c r="AB72" s="902"/>
      <c r="AC72" s="136"/>
      <c r="AD72" s="136"/>
      <c r="AE72" s="243"/>
      <c r="AF72" s="136"/>
      <c r="AG72" s="136"/>
      <c r="AH72" s="136"/>
      <c r="AI72" s="136"/>
      <c r="AJ72" s="136"/>
      <c r="AK72" s="136"/>
      <c r="AL72" s="136"/>
      <c r="AM72" s="136"/>
      <c r="AN72" s="136"/>
      <c r="AO72" s="136"/>
      <c r="AP72" s="136"/>
      <c r="AQ72" s="136"/>
    </row>
    <row r="73" spans="1:95" ht="16" customHeight="1">
      <c r="A73" s="130"/>
      <c r="B73" s="127"/>
      <c r="C73" s="129"/>
      <c r="D73" s="129"/>
      <c r="E73" s="131"/>
      <c r="F73" s="131"/>
      <c r="G73" s="176" t="s">
        <v>349</v>
      </c>
      <c r="H73" s="304">
        <f>H57+H62+H68</f>
        <v>1700</v>
      </c>
      <c r="I73" s="304">
        <f t="shared" ref="I73:AQ73" si="68">I57+I62+I68</f>
        <v>1860</v>
      </c>
      <c r="J73" s="304">
        <f t="shared" si="68"/>
        <v>2020</v>
      </c>
      <c r="K73" s="304">
        <f t="shared" si="68"/>
        <v>2180</v>
      </c>
      <c r="L73" s="304">
        <f t="shared" si="68"/>
        <v>2325</v>
      </c>
      <c r="M73" s="304">
        <f t="shared" si="68"/>
        <v>2480</v>
      </c>
      <c r="N73" s="304">
        <f t="shared" si="68"/>
        <v>2610</v>
      </c>
      <c r="O73" s="304">
        <f t="shared" si="68"/>
        <v>2715</v>
      </c>
      <c r="P73" s="868">
        <f t="shared" si="68"/>
        <v>2810</v>
      </c>
      <c r="Q73" s="304">
        <f t="shared" si="68"/>
        <v>2965</v>
      </c>
      <c r="R73" s="304">
        <f t="shared" si="68"/>
        <v>3065</v>
      </c>
      <c r="S73" s="314">
        <f t="shared" si="68"/>
        <v>3140</v>
      </c>
      <c r="T73" s="304">
        <f t="shared" si="68"/>
        <v>3350</v>
      </c>
      <c r="U73" s="304">
        <f t="shared" si="68"/>
        <v>3515</v>
      </c>
      <c r="V73" s="887">
        <f t="shared" ref="V73:AA73" si="69">V57+V62+V68</f>
        <v>3980</v>
      </c>
      <c r="W73" s="304">
        <f t="shared" si="69"/>
        <v>4133</v>
      </c>
      <c r="X73" s="304">
        <f t="shared" si="69"/>
        <v>4310</v>
      </c>
      <c r="Y73" s="304">
        <f t="shared" si="69"/>
        <v>4455</v>
      </c>
      <c r="Z73" s="304">
        <f t="shared" si="69"/>
        <v>4625</v>
      </c>
      <c r="AA73" s="304">
        <f t="shared" si="69"/>
        <v>4790</v>
      </c>
      <c r="AB73" s="904">
        <f t="shared" si="68"/>
        <v>5910</v>
      </c>
      <c r="AC73" s="304">
        <f t="shared" si="68"/>
        <v>6055</v>
      </c>
      <c r="AD73" s="304">
        <f t="shared" si="68"/>
        <v>6225</v>
      </c>
      <c r="AE73" s="314">
        <f t="shared" si="68"/>
        <v>6385</v>
      </c>
      <c r="AF73" s="304">
        <f t="shared" si="68"/>
        <v>6535</v>
      </c>
      <c r="AG73" s="304">
        <f t="shared" si="68"/>
        <v>6675</v>
      </c>
      <c r="AH73" s="304">
        <f t="shared" si="68"/>
        <v>6820</v>
      </c>
      <c r="AI73" s="304">
        <f t="shared" si="68"/>
        <v>6975</v>
      </c>
      <c r="AJ73" s="304">
        <f t="shared" si="68"/>
        <v>7105</v>
      </c>
      <c r="AK73" s="304">
        <f t="shared" si="68"/>
        <v>7240</v>
      </c>
      <c r="AL73" s="304">
        <f t="shared" si="68"/>
        <v>7365</v>
      </c>
      <c r="AM73" s="304">
        <f t="shared" si="68"/>
        <v>7505</v>
      </c>
      <c r="AN73" s="304">
        <f t="shared" si="68"/>
        <v>7640</v>
      </c>
      <c r="AO73" s="304">
        <f t="shared" si="68"/>
        <v>7765</v>
      </c>
      <c r="AP73" s="304">
        <f t="shared" si="68"/>
        <v>7885</v>
      </c>
      <c r="AQ73" s="304">
        <f t="shared" si="68"/>
        <v>8020</v>
      </c>
      <c r="AS73" s="167"/>
      <c r="AT73" s="167"/>
      <c r="AU73" s="167"/>
      <c r="AV73" s="167"/>
      <c r="AW73" s="167"/>
      <c r="AX73" s="167"/>
      <c r="AY73" s="167"/>
      <c r="AZ73" s="167"/>
      <c r="BA73" s="167"/>
      <c r="BB73" s="167"/>
      <c r="BC73" s="167"/>
      <c r="BD73" s="167"/>
      <c r="BE73" s="167"/>
      <c r="BF73" s="167"/>
      <c r="BG73" s="167"/>
      <c r="BH73" s="167"/>
      <c r="BI73" s="167"/>
      <c r="BJ73" s="167"/>
      <c r="BK73" s="167"/>
      <c r="BL73" s="167"/>
      <c r="BM73" s="167"/>
      <c r="BN73" s="167"/>
      <c r="BO73" s="167"/>
      <c r="BP73" s="167"/>
      <c r="BQ73" s="167"/>
      <c r="BR73" s="167"/>
      <c r="BS73" s="167"/>
      <c r="BT73" s="167"/>
      <c r="BU73" s="167"/>
      <c r="BV73" s="167"/>
      <c r="BW73" s="167"/>
      <c r="BX73" s="167"/>
      <c r="BY73" s="167"/>
      <c r="BZ73" s="167"/>
      <c r="CA73" s="167"/>
      <c r="CB73" s="167"/>
      <c r="CC73" s="167"/>
      <c r="CD73" s="167"/>
      <c r="CE73" s="167"/>
      <c r="CF73" s="167"/>
      <c r="CG73" s="167"/>
      <c r="CH73" s="167"/>
      <c r="CI73" s="167"/>
      <c r="CJ73" s="167"/>
      <c r="CK73" s="167"/>
      <c r="CL73" s="167"/>
      <c r="CM73" s="167"/>
      <c r="CN73" s="167"/>
      <c r="CO73" s="167"/>
      <c r="CP73" s="167"/>
      <c r="CQ73" s="167"/>
    </row>
    <row r="74" spans="1:95" ht="16" customHeight="1">
      <c r="A74" s="130"/>
      <c r="B74" s="1111" t="str">
        <f>B50&amp;" Total"</f>
        <v>Main Dishes Total</v>
      </c>
      <c r="C74" s="843"/>
      <c r="D74" s="844"/>
      <c r="E74" s="845"/>
      <c r="F74" s="1109"/>
      <c r="G74" s="153" t="s">
        <v>242</v>
      </c>
      <c r="H74" s="149">
        <f t="shared" ref="H74:AQ74" si="70">H58+H64+H70</f>
        <v>12205.949999999999</v>
      </c>
      <c r="I74" s="149">
        <f t="shared" si="70"/>
        <v>13343.164000000001</v>
      </c>
      <c r="J74" s="149">
        <f t="shared" si="70"/>
        <v>14501.306666666667</v>
      </c>
      <c r="K74" s="149">
        <f t="shared" si="70"/>
        <v>15663.616</v>
      </c>
      <c r="L74" s="149">
        <f t="shared" si="70"/>
        <v>16709.258666666665</v>
      </c>
      <c r="M74" s="149">
        <f t="shared" si="70"/>
        <v>17788.044000000002</v>
      </c>
      <c r="N74" s="149">
        <f t="shared" si="70"/>
        <v>18729.615333333331</v>
      </c>
      <c r="O74" s="149">
        <f t="shared" si="70"/>
        <v>19448.079333333331</v>
      </c>
      <c r="P74" s="869">
        <f t="shared" si="70"/>
        <v>20158.495999999999</v>
      </c>
      <c r="Q74" s="149">
        <f t="shared" si="70"/>
        <v>21251.96</v>
      </c>
      <c r="R74" s="149">
        <f t="shared" si="70"/>
        <v>21985.198</v>
      </c>
      <c r="S74" s="301">
        <f t="shared" si="70"/>
        <v>22524.685999999998</v>
      </c>
      <c r="T74" s="149">
        <f t="shared" si="70"/>
        <v>24843.725146666668</v>
      </c>
      <c r="U74" s="149">
        <f t="shared" si="70"/>
        <v>26029.828560000002</v>
      </c>
      <c r="V74" s="271">
        <f t="shared" si="70"/>
        <v>29478.21786666667</v>
      </c>
      <c r="W74" s="149">
        <f t="shared" si="70"/>
        <v>30650.634533333337</v>
      </c>
      <c r="X74" s="149">
        <f t="shared" si="70"/>
        <v>31911.055466666665</v>
      </c>
      <c r="Y74" s="149">
        <f t="shared" si="70"/>
        <v>32989.523840000002</v>
      </c>
      <c r="Z74" s="149">
        <f t="shared" si="70"/>
        <v>34233.510160000005</v>
      </c>
      <c r="AA74" s="149">
        <f t="shared" si="70"/>
        <v>35447.462720000003</v>
      </c>
      <c r="AB74" s="905">
        <f t="shared" si="70"/>
        <v>43634.297306666675</v>
      </c>
      <c r="AC74" s="149">
        <f t="shared" si="70"/>
        <v>44704.432346666668</v>
      </c>
      <c r="AD74" s="149">
        <f t="shared" si="70"/>
        <v>45999.950293333342</v>
      </c>
      <c r="AE74" s="301">
        <f t="shared" si="70"/>
        <v>47209.252</v>
      </c>
      <c r="AF74" s="149">
        <f t="shared" si="70"/>
        <v>49892.983905866662</v>
      </c>
      <c r="AG74" s="149">
        <f t="shared" si="70"/>
        <v>50979.473865266664</v>
      </c>
      <c r="AH74" s="149">
        <f t="shared" si="70"/>
        <v>52096.877144466664</v>
      </c>
      <c r="AI74" s="149">
        <f t="shared" si="70"/>
        <v>53305.450437199994</v>
      </c>
      <c r="AJ74" s="149">
        <f t="shared" si="70"/>
        <v>54296.603716400001</v>
      </c>
      <c r="AK74" s="149">
        <f t="shared" si="70"/>
        <v>55336.843675799995</v>
      </c>
      <c r="AL74" s="149">
        <f t="shared" si="70"/>
        <v>56285.913621666659</v>
      </c>
      <c r="AM74" s="149">
        <f t="shared" si="70"/>
        <v>57368.236914399997</v>
      </c>
      <c r="AN74" s="149">
        <f t="shared" si="70"/>
        <v>58401.473526933332</v>
      </c>
      <c r="AO74" s="149">
        <f t="shared" si="70"/>
        <v>59357.546819666662</v>
      </c>
      <c r="AP74" s="149">
        <f t="shared" si="70"/>
        <v>60264.533432199998</v>
      </c>
      <c r="AQ74" s="149">
        <f t="shared" si="70"/>
        <v>61304.7733916</v>
      </c>
      <c r="AS74" s="167"/>
      <c r="AT74" s="167"/>
      <c r="AU74" s="167"/>
      <c r="AV74" s="167"/>
      <c r="AW74" s="167"/>
      <c r="AX74" s="167"/>
      <c r="AY74" s="167"/>
      <c r="AZ74" s="167"/>
      <c r="BA74" s="167"/>
      <c r="BB74" s="167"/>
      <c r="BC74" s="167"/>
      <c r="BD74" s="167"/>
      <c r="BE74" s="167"/>
      <c r="BF74" s="167"/>
      <c r="BG74" s="167"/>
      <c r="BH74" s="167"/>
      <c r="BI74" s="167"/>
      <c r="BJ74" s="167"/>
      <c r="BK74" s="167"/>
      <c r="BL74" s="167"/>
      <c r="BM74" s="167"/>
      <c r="BN74" s="167"/>
      <c r="BO74" s="167"/>
      <c r="BP74" s="167"/>
      <c r="BQ74" s="167"/>
      <c r="BR74" s="167"/>
      <c r="BS74" s="167"/>
      <c r="BT74" s="167"/>
      <c r="BU74" s="167"/>
      <c r="BV74" s="167"/>
      <c r="BW74" s="167"/>
      <c r="BX74" s="167"/>
      <c r="BY74" s="167"/>
      <c r="BZ74" s="167"/>
      <c r="CA74" s="167"/>
      <c r="CB74" s="167"/>
      <c r="CC74" s="167"/>
      <c r="CD74" s="167"/>
      <c r="CE74" s="167"/>
      <c r="CF74" s="167"/>
      <c r="CG74" s="167"/>
      <c r="CH74" s="167"/>
      <c r="CI74" s="167"/>
      <c r="CJ74" s="167"/>
      <c r="CK74" s="167"/>
      <c r="CL74" s="167"/>
      <c r="CM74" s="167"/>
      <c r="CN74" s="167"/>
      <c r="CO74" s="167"/>
      <c r="CP74" s="167"/>
      <c r="CQ74" s="167"/>
    </row>
    <row r="75" spans="1:95" s="50" customFormat="1" ht="16" customHeight="1" thickBot="1">
      <c r="A75" s="130"/>
      <c r="B75" s="1111"/>
      <c r="C75" s="843"/>
      <c r="D75" s="844"/>
      <c r="E75" s="845"/>
      <c r="F75" s="1109"/>
      <c r="G75" s="154" t="s">
        <v>241</v>
      </c>
      <c r="H75" s="150">
        <f t="shared" ref="H75:AQ75" si="71">H59+H65+H71</f>
        <v>9212.6420824285706</v>
      </c>
      <c r="I75" s="150">
        <f t="shared" si="71"/>
        <v>10074.78177632</v>
      </c>
      <c r="J75" s="150">
        <f t="shared" si="71"/>
        <v>10946.536765580951</v>
      </c>
      <c r="K75" s="150">
        <f t="shared" si="71"/>
        <v>11819.75510150857</v>
      </c>
      <c r="L75" s="150">
        <f t="shared" si="71"/>
        <v>12607.721930769521</v>
      </c>
      <c r="M75" s="150">
        <f t="shared" si="71"/>
        <v>13431.99284929143</v>
      </c>
      <c r="N75" s="150">
        <f t="shared" si="71"/>
        <v>14140.910633921903</v>
      </c>
      <c r="O75" s="150">
        <f t="shared" si="71"/>
        <v>14694.442287813334</v>
      </c>
      <c r="P75" s="870">
        <f t="shared" si="71"/>
        <v>15222.74849448</v>
      </c>
      <c r="Q75" s="150">
        <f t="shared" si="71"/>
        <v>16054.196618371428</v>
      </c>
      <c r="R75" s="150">
        <f t="shared" si="71"/>
        <v>16603.092959668571</v>
      </c>
      <c r="S75" s="302">
        <f t="shared" si="71"/>
        <v>17010.228370965713</v>
      </c>
      <c r="T75" s="150">
        <f t="shared" si="71"/>
        <v>18720.40470052576</v>
      </c>
      <c r="U75" s="150">
        <f t="shared" si="71"/>
        <v>19625.360025537389</v>
      </c>
      <c r="V75" s="272">
        <f t="shared" si="71"/>
        <v>22224.353737841069</v>
      </c>
      <c r="W75" s="150">
        <f t="shared" si="71"/>
        <v>23097.956106907739</v>
      </c>
      <c r="X75" s="150">
        <f t="shared" si="71"/>
        <v>24063.044644038935</v>
      </c>
      <c r="Y75" s="150">
        <f t="shared" si="71"/>
        <v>24874.849097611415</v>
      </c>
      <c r="Z75" s="150">
        <f t="shared" si="71"/>
        <v>25816.586783629926</v>
      </c>
      <c r="AA75" s="150">
        <f t="shared" si="71"/>
        <v>26733.957143188643</v>
      </c>
      <c r="AB75" s="906">
        <f t="shared" si="71"/>
        <v>32939.245379566353</v>
      </c>
      <c r="AC75" s="150">
        <f t="shared" si="71"/>
        <v>33747.075441405497</v>
      </c>
      <c r="AD75" s="150">
        <f t="shared" si="71"/>
        <v>34712.035189851522</v>
      </c>
      <c r="AE75" s="302">
        <f t="shared" si="71"/>
        <v>35615.730956757339</v>
      </c>
      <c r="AF75" s="150">
        <f t="shared" si="71"/>
        <v>37521.988783567649</v>
      </c>
      <c r="AG75" s="150">
        <f t="shared" si="71"/>
        <v>38333.851918197484</v>
      </c>
      <c r="AH75" s="150">
        <f t="shared" si="71"/>
        <v>39170.764601549934</v>
      </c>
      <c r="AI75" s="150">
        <f t="shared" si="71"/>
        <v>40071.852686319107</v>
      </c>
      <c r="AJ75" s="150">
        <f t="shared" si="71"/>
        <v>40817.777619421555</v>
      </c>
      <c r="AK75" s="150">
        <f t="shared" si="71"/>
        <v>41597.548703857399</v>
      </c>
      <c r="AL75" s="150">
        <f t="shared" si="71"/>
        <v>42313.144386876513</v>
      </c>
      <c r="AM75" s="150">
        <f t="shared" si="71"/>
        <v>43123.244721395691</v>
      </c>
      <c r="AN75" s="150">
        <f t="shared" si="71"/>
        <v>43899.498904581473</v>
      </c>
      <c r="AO75" s="150">
        <f t="shared" si="71"/>
        <v>44618.611488850642</v>
      </c>
      <c r="AP75" s="150">
        <f t="shared" si="71"/>
        <v>45303.877921786421</v>
      </c>
      <c r="AQ75" s="150">
        <f t="shared" si="71"/>
        <v>46083.649006222258</v>
      </c>
    </row>
    <row r="76" spans="1:95" s="50" customFormat="1" ht="16" customHeight="1" thickTop="1">
      <c r="A76" s="130"/>
      <c r="B76" s="1111"/>
      <c r="C76" s="843"/>
      <c r="D76" s="844"/>
      <c r="E76" s="845"/>
      <c r="F76" s="1109"/>
      <c r="G76" s="155" t="s">
        <v>436</v>
      </c>
      <c r="H76" s="151"/>
      <c r="I76" s="151"/>
      <c r="J76" s="151"/>
      <c r="K76" s="151"/>
      <c r="L76" s="151"/>
      <c r="M76" s="151"/>
      <c r="N76" s="151"/>
      <c r="O76" s="151"/>
      <c r="P76" s="871"/>
      <c r="Q76" s="151"/>
      <c r="R76" s="151"/>
      <c r="S76" s="245"/>
      <c r="T76" s="625">
        <f>(T74-H74)/H74</f>
        <v>1.0353782496787771</v>
      </c>
      <c r="U76" s="625">
        <f t="shared" ref="U76:AQ76" si="72">(U74-I74)/I74</f>
        <v>0.95079881803146549</v>
      </c>
      <c r="V76" s="888">
        <f t="shared" si="72"/>
        <v>1.032797357111727</v>
      </c>
      <c r="W76" s="625">
        <f t="shared" si="72"/>
        <v>0.95680451648797682</v>
      </c>
      <c r="X76" s="625">
        <f t="shared" si="72"/>
        <v>0.90978283975734342</v>
      </c>
      <c r="Y76" s="625">
        <f t="shared" si="72"/>
        <v>0.8545897367917461</v>
      </c>
      <c r="Z76" s="625">
        <f t="shared" si="72"/>
        <v>0.8277743322936375</v>
      </c>
      <c r="AA76" s="625">
        <f t="shared" si="72"/>
        <v>0.82267164342775412</v>
      </c>
      <c r="AB76" s="907">
        <f t="shared" si="72"/>
        <v>1.164561151122915</v>
      </c>
      <c r="AC76" s="625">
        <f t="shared" si="72"/>
        <v>1.1035439717873867</v>
      </c>
      <c r="AD76" s="625">
        <f t="shared" si="72"/>
        <v>1.0923145788058557</v>
      </c>
      <c r="AE76" s="885">
        <f t="shared" si="72"/>
        <v>1.0958894610117986</v>
      </c>
      <c r="AF76" s="625">
        <f t="shared" si="72"/>
        <v>1.0082730593467746</v>
      </c>
      <c r="AG76" s="625">
        <f t="shared" si="72"/>
        <v>0.95850209876551951</v>
      </c>
      <c r="AH76" s="625">
        <f t="shared" si="72"/>
        <v>0.7673007703554795</v>
      </c>
      <c r="AI76" s="625">
        <f t="shared" si="72"/>
        <v>0.73913040459991042</v>
      </c>
      <c r="AJ76" s="625">
        <f t="shared" si="72"/>
        <v>0.7014982087670717</v>
      </c>
      <c r="AK76" s="625">
        <f t="shared" si="72"/>
        <v>0.67740655925150794</v>
      </c>
      <c r="AL76" s="625">
        <f t="shared" si="72"/>
        <v>0.64417593634419901</v>
      </c>
      <c r="AM76" s="625">
        <f t="shared" si="72"/>
        <v>0.61840178428432213</v>
      </c>
      <c r="AN76" s="625">
        <f t="shared" si="72"/>
        <v>0.33843048087795036</v>
      </c>
      <c r="AO76" s="625">
        <f t="shared" si="72"/>
        <v>0.32777766552028675</v>
      </c>
      <c r="AP76" s="625">
        <f t="shared" si="72"/>
        <v>0.31009996854135702</v>
      </c>
      <c r="AQ76" s="625">
        <f t="shared" si="72"/>
        <v>0.29857540194875359</v>
      </c>
    </row>
    <row r="77" spans="1:95" s="50" customFormat="1" ht="16" customHeight="1">
      <c r="A77" s="130"/>
      <c r="B77" s="1111"/>
      <c r="C77" s="843"/>
      <c r="D77" s="844"/>
      <c r="E77" s="845"/>
      <c r="F77" s="845"/>
      <c r="G77" s="155" t="s">
        <v>240</v>
      </c>
      <c r="H77" s="152">
        <f t="shared" ref="H77:AQ77" si="73">H75/H74</f>
        <v>0.75476649358948478</v>
      </c>
      <c r="I77" s="152">
        <f t="shared" si="73"/>
        <v>0.75505193343347943</v>
      </c>
      <c r="J77" s="152">
        <f t="shared" si="73"/>
        <v>0.7548655453748272</v>
      </c>
      <c r="K77" s="152">
        <f t="shared" si="73"/>
        <v>0.75459939145013322</v>
      </c>
      <c r="L77" s="152">
        <f t="shared" si="73"/>
        <v>0.7545350863423218</v>
      </c>
      <c r="M77" s="152">
        <f t="shared" si="73"/>
        <v>0.75511353858195018</v>
      </c>
      <c r="N77" s="152">
        <f t="shared" si="73"/>
        <v>0.75500272601729024</v>
      </c>
      <c r="O77" s="152">
        <f t="shared" si="73"/>
        <v>0.75557293015704496</v>
      </c>
      <c r="P77" s="872">
        <f t="shared" si="73"/>
        <v>0.75515298832214472</v>
      </c>
      <c r="Q77" s="152">
        <f t="shared" si="73"/>
        <v>0.75542192900661531</v>
      </c>
      <c r="R77" s="152">
        <f t="shared" si="73"/>
        <v>0.75519415197755191</v>
      </c>
      <c r="S77" s="246">
        <f t="shared" si="73"/>
        <v>0.75518159813485142</v>
      </c>
      <c r="T77" s="152">
        <f t="shared" si="73"/>
        <v>0.75352647761189362</v>
      </c>
      <c r="U77" s="152">
        <f t="shared" si="73"/>
        <v>0.75395656103919373</v>
      </c>
      <c r="V77" s="273">
        <f t="shared" si="73"/>
        <v>0.75392460420654828</v>
      </c>
      <c r="W77" s="152">
        <f t="shared" si="73"/>
        <v>0.75358818695215357</v>
      </c>
      <c r="X77" s="152">
        <f t="shared" si="73"/>
        <v>0.7540660843755066</v>
      </c>
      <c r="Y77" s="152">
        <f t="shared" si="73"/>
        <v>0.75402267757046271</v>
      </c>
      <c r="Z77" s="152">
        <f t="shared" si="73"/>
        <v>0.75413203796422845</v>
      </c>
      <c r="AA77" s="152">
        <f t="shared" si="73"/>
        <v>0.75418535183633706</v>
      </c>
      <c r="AB77" s="908">
        <f t="shared" si="73"/>
        <v>0.75489345337832958</v>
      </c>
      <c r="AC77" s="152">
        <f t="shared" si="73"/>
        <v>0.75489327724170974</v>
      </c>
      <c r="AD77" s="152">
        <f t="shared" si="73"/>
        <v>0.75461027606549935</v>
      </c>
      <c r="AE77" s="246">
        <f t="shared" si="73"/>
        <v>0.75442269148338426</v>
      </c>
      <c r="AF77" s="152">
        <f t="shared" si="73"/>
        <v>0.75204940346643867</v>
      </c>
      <c r="AG77" s="152">
        <f t="shared" si="73"/>
        <v>0.75194679371367745</v>
      </c>
      <c r="AH77" s="152">
        <f t="shared" si="73"/>
        <v>0.75188315977036169</v>
      </c>
      <c r="AI77" s="152">
        <f t="shared" si="73"/>
        <v>0.75174025090601948</v>
      </c>
      <c r="AJ77" s="152">
        <f t="shared" si="73"/>
        <v>0.75175563157908465</v>
      </c>
      <c r="AK77" s="152">
        <f t="shared" si="73"/>
        <v>0.75171523962522124</v>
      </c>
      <c r="AL77" s="152">
        <f t="shared" si="73"/>
        <v>0.75175371001863811</v>
      </c>
      <c r="AM77" s="152">
        <f t="shared" si="73"/>
        <v>0.75169199962935118</v>
      </c>
      <c r="AN77" s="152">
        <f t="shared" si="73"/>
        <v>0.75168478213715095</v>
      </c>
      <c r="AO77" s="152">
        <f t="shared" si="73"/>
        <v>0.75169231006810011</v>
      </c>
      <c r="AP77" s="152">
        <f t="shared" si="73"/>
        <v>0.75175024747773234</v>
      </c>
      <c r="AQ77" s="152">
        <f t="shared" si="73"/>
        <v>0.75171387898053388</v>
      </c>
    </row>
    <row r="78" spans="1:95" ht="16" customHeight="1">
      <c r="A78" s="130"/>
      <c r="B78" s="164"/>
      <c r="C78" s="164"/>
      <c r="D78" s="164"/>
      <c r="E78" s="164"/>
      <c r="F78" s="164"/>
      <c r="G78" s="165"/>
      <c r="H78" s="166"/>
      <c r="I78" s="166"/>
      <c r="J78" s="166"/>
      <c r="K78" s="166"/>
      <c r="L78" s="166"/>
      <c r="M78" s="166"/>
      <c r="N78" s="166"/>
      <c r="O78" s="166"/>
      <c r="P78" s="873"/>
      <c r="Q78" s="166"/>
      <c r="R78" s="166"/>
      <c r="S78" s="1068">
        <f>SUM(H75:S75)</f>
        <v>161819.04987111999</v>
      </c>
      <c r="T78" s="166"/>
      <c r="U78" s="166"/>
      <c r="V78" s="274"/>
      <c r="W78" s="166"/>
      <c r="X78" s="166"/>
      <c r="Y78" s="166"/>
      <c r="Z78" s="166"/>
      <c r="AA78" s="166"/>
      <c r="AB78" s="909"/>
      <c r="AC78" s="166"/>
      <c r="AD78" s="166"/>
      <c r="AE78" s="247"/>
      <c r="AF78" s="166"/>
      <c r="AG78" s="166"/>
      <c r="AH78" s="166"/>
      <c r="AI78" s="166"/>
      <c r="AJ78" s="166"/>
      <c r="AK78" s="166"/>
      <c r="AL78" s="166"/>
      <c r="AM78" s="166"/>
      <c r="AN78" s="166"/>
      <c r="AO78" s="166"/>
      <c r="AP78" s="166"/>
      <c r="AQ78" s="166"/>
      <c r="AS78" s="167"/>
      <c r="AT78" s="167"/>
      <c r="AU78" s="167"/>
      <c r="AV78" s="167"/>
      <c r="AW78" s="167"/>
      <c r="AX78" s="167"/>
      <c r="AY78" s="167"/>
      <c r="AZ78" s="167"/>
      <c r="BA78" s="167"/>
      <c r="BB78" s="167"/>
      <c r="BC78" s="167"/>
      <c r="BD78" s="167"/>
      <c r="BE78" s="167"/>
      <c r="BF78" s="167"/>
      <c r="BG78" s="167"/>
      <c r="BH78" s="167"/>
      <c r="BI78" s="167"/>
      <c r="BJ78" s="167"/>
      <c r="BK78" s="167"/>
      <c r="BL78" s="167"/>
      <c r="BM78" s="167"/>
      <c r="BN78" s="167"/>
      <c r="BO78" s="167"/>
      <c r="BP78" s="167"/>
      <c r="BQ78" s="167"/>
      <c r="BR78" s="167"/>
      <c r="BS78" s="167"/>
      <c r="BT78" s="167"/>
      <c r="BU78" s="167"/>
      <c r="BV78" s="167"/>
      <c r="BW78" s="167"/>
      <c r="BX78" s="167"/>
      <c r="BY78" s="167"/>
      <c r="BZ78" s="167"/>
      <c r="CA78" s="167"/>
      <c r="CB78" s="167"/>
      <c r="CC78" s="167"/>
      <c r="CD78" s="167"/>
      <c r="CE78" s="167"/>
      <c r="CF78" s="167"/>
      <c r="CG78" s="167"/>
      <c r="CH78" s="167"/>
      <c r="CI78" s="167"/>
      <c r="CJ78" s="167"/>
      <c r="CK78" s="167"/>
      <c r="CL78" s="167"/>
      <c r="CM78" s="167"/>
      <c r="CN78" s="167"/>
      <c r="CO78" s="167"/>
      <c r="CP78" s="167"/>
      <c r="CQ78" s="167"/>
    </row>
    <row r="79" spans="1:95" s="296" customFormat="1" ht="15" customHeight="1">
      <c r="A79" s="130"/>
      <c r="B79" s="164"/>
      <c r="C79" s="164"/>
      <c r="D79" s="164"/>
      <c r="E79" s="164"/>
      <c r="F79" s="164"/>
      <c r="G79" s="165"/>
      <c r="H79" s="166"/>
      <c r="I79" s="166"/>
      <c r="J79" s="166"/>
      <c r="K79" s="166"/>
      <c r="L79" s="166"/>
      <c r="M79" s="166"/>
      <c r="N79" s="166"/>
      <c r="O79" s="166"/>
      <c r="P79" s="1114" t="s">
        <v>344</v>
      </c>
      <c r="Q79" s="166"/>
      <c r="R79" s="166"/>
      <c r="S79" s="247"/>
      <c r="T79" s="166"/>
      <c r="U79" s="1119"/>
      <c r="V79" s="1113" t="s">
        <v>337</v>
      </c>
      <c r="W79" s="166"/>
      <c r="X79" s="166"/>
      <c r="Y79" s="166"/>
      <c r="Z79" s="166"/>
      <c r="AA79" s="52"/>
      <c r="AB79" s="1118" t="s">
        <v>329</v>
      </c>
      <c r="AC79" s="166"/>
      <c r="AD79" s="166"/>
      <c r="AE79" s="247"/>
      <c r="AF79" s="166"/>
      <c r="AG79" s="166"/>
      <c r="AH79" s="166"/>
      <c r="AI79" s="166"/>
      <c r="AJ79" s="166"/>
      <c r="AK79" s="166"/>
      <c r="AL79" s="166"/>
      <c r="AM79" s="166"/>
      <c r="AN79" s="166"/>
      <c r="AO79" s="166"/>
      <c r="AP79" s="166"/>
      <c r="AQ79" s="166"/>
      <c r="AS79" s="297"/>
      <c r="AT79" s="297"/>
      <c r="AU79" s="297"/>
      <c r="AV79" s="297"/>
      <c r="AW79" s="297"/>
      <c r="AX79" s="297"/>
      <c r="AY79" s="297"/>
      <c r="AZ79" s="297"/>
      <c r="BA79" s="297"/>
      <c r="BB79" s="297"/>
      <c r="BC79" s="297"/>
      <c r="BD79" s="297"/>
      <c r="BE79" s="297"/>
      <c r="BF79" s="297"/>
      <c r="BG79" s="297"/>
      <c r="BH79" s="297"/>
      <c r="BI79" s="297"/>
      <c r="BJ79" s="297"/>
      <c r="BK79" s="297"/>
      <c r="BL79" s="297"/>
      <c r="BM79" s="297"/>
      <c r="BN79" s="297"/>
      <c r="BO79" s="297"/>
      <c r="BP79" s="297"/>
      <c r="BQ79" s="297"/>
      <c r="BR79" s="297"/>
      <c r="BS79" s="297"/>
      <c r="BT79" s="297"/>
      <c r="BU79" s="297"/>
      <c r="BV79" s="297"/>
      <c r="BW79" s="297"/>
      <c r="BX79" s="297"/>
      <c r="BY79" s="297"/>
      <c r="BZ79" s="297"/>
      <c r="CA79" s="297"/>
      <c r="CB79" s="297"/>
      <c r="CC79" s="297"/>
      <c r="CD79" s="297"/>
      <c r="CE79" s="297"/>
      <c r="CF79" s="297"/>
      <c r="CG79" s="297"/>
      <c r="CH79" s="297"/>
      <c r="CI79" s="297"/>
      <c r="CJ79" s="297"/>
      <c r="CK79" s="297"/>
      <c r="CL79" s="297"/>
      <c r="CM79" s="297"/>
      <c r="CN79" s="297"/>
      <c r="CO79" s="297"/>
      <c r="CP79" s="297"/>
      <c r="CQ79" s="297"/>
    </row>
    <row r="80" spans="1:95" s="50" customFormat="1" ht="16" customHeight="1">
      <c r="A80" s="130"/>
      <c r="B80" s="164"/>
      <c r="C80" s="164"/>
      <c r="D80" s="164"/>
      <c r="E80" s="164"/>
      <c r="F80" s="164"/>
      <c r="G80" s="165"/>
      <c r="H80" s="166"/>
      <c r="I80" s="166"/>
      <c r="J80" s="166"/>
      <c r="K80" s="166"/>
      <c r="L80" s="166"/>
      <c r="M80" s="166"/>
      <c r="N80" s="166"/>
      <c r="O80" s="166"/>
      <c r="P80" s="1115"/>
      <c r="Q80" s="166"/>
      <c r="R80" s="166"/>
      <c r="S80" s="247"/>
      <c r="T80" s="166"/>
      <c r="U80" s="1119"/>
      <c r="V80" s="1113"/>
      <c r="W80" s="166"/>
      <c r="X80" s="166"/>
      <c r="Y80" s="166"/>
      <c r="Z80" s="166"/>
      <c r="AA80" s="52"/>
      <c r="AB80" s="1118"/>
      <c r="AC80" s="166"/>
      <c r="AD80" s="166"/>
      <c r="AE80" s="247"/>
      <c r="AF80" s="166"/>
      <c r="AG80" s="166"/>
      <c r="AH80" s="166"/>
      <c r="AI80" s="166"/>
      <c r="AJ80" s="166"/>
      <c r="AK80" s="166"/>
      <c r="AL80" s="166"/>
      <c r="AM80" s="166"/>
      <c r="AN80" s="166"/>
      <c r="AO80" s="166"/>
      <c r="AP80" s="166"/>
      <c r="AQ80" s="166"/>
    </row>
    <row r="81" spans="1:95" s="50" customFormat="1" ht="16" customHeight="1">
      <c r="A81" s="130"/>
      <c r="B81" s="164"/>
      <c r="C81" s="164"/>
      <c r="D81" s="164"/>
      <c r="E81" s="164"/>
      <c r="F81" s="164"/>
      <c r="G81" s="165"/>
      <c r="H81" s="166"/>
      <c r="I81" s="166"/>
      <c r="J81" s="166"/>
      <c r="K81" s="166"/>
      <c r="L81" s="166"/>
      <c r="M81" s="166"/>
      <c r="N81" s="166"/>
      <c r="O81" s="166"/>
      <c r="P81" s="873"/>
      <c r="Q81" s="166"/>
      <c r="R81" s="166"/>
      <c r="S81" s="247"/>
      <c r="T81" s="166"/>
      <c r="U81" s="166"/>
      <c r="V81" s="274"/>
      <c r="W81" s="166"/>
      <c r="X81" s="166"/>
      <c r="Y81" s="166"/>
      <c r="Z81" s="166"/>
      <c r="AA81" s="166"/>
      <c r="AB81" s="909"/>
      <c r="AC81" s="166"/>
      <c r="AD81" s="166"/>
      <c r="AE81" s="247"/>
      <c r="AF81" s="166"/>
      <c r="AG81" s="166"/>
      <c r="AH81" s="166"/>
      <c r="AI81" s="166"/>
      <c r="AJ81" s="166"/>
      <c r="AK81" s="166"/>
      <c r="AL81" s="166"/>
      <c r="AM81" s="166"/>
      <c r="AN81" s="166"/>
      <c r="AO81" s="166"/>
      <c r="AP81" s="166"/>
      <c r="AQ81" s="166"/>
    </row>
    <row r="82" spans="1:95" s="286" customFormat="1" ht="16" customHeight="1">
      <c r="A82" s="130"/>
      <c r="B82" s="56"/>
      <c r="C82" s="58"/>
      <c r="D82" s="58"/>
      <c r="E82" s="56"/>
      <c r="F82" s="56"/>
      <c r="G82" s="132" t="s">
        <v>7</v>
      </c>
      <c r="H82" s="145">
        <f>'Pricing Model'!$C$5</f>
        <v>45658</v>
      </c>
      <c r="I82" s="146">
        <f t="shared" ref="I82" si="74">DATE(YEAR(H82),MONTH(H82),DAY(EOMONTH(H82,0)))+1</f>
        <v>45689</v>
      </c>
      <c r="J82" s="146">
        <f t="shared" ref="J82" si="75">DATE(YEAR(I82),MONTH(I82),DAY(EOMONTH(I82,0)))+1</f>
        <v>45717</v>
      </c>
      <c r="K82" s="146">
        <f t="shared" ref="K82" si="76">DATE(YEAR(J82),MONTH(J82),DAY(EOMONTH(J82,0)))+1</f>
        <v>45748</v>
      </c>
      <c r="L82" s="146">
        <f t="shared" ref="L82" si="77">DATE(YEAR(K82),MONTH(K82),DAY(EOMONTH(K82,0)))+1</f>
        <v>45778</v>
      </c>
      <c r="M82" s="146">
        <f t="shared" ref="M82" si="78">DATE(YEAR(L82),MONTH(L82),DAY(EOMONTH(L82,0)))+1</f>
        <v>45809</v>
      </c>
      <c r="N82" s="146">
        <f t="shared" ref="N82" si="79">DATE(YEAR(M82),MONTH(M82),DAY(EOMONTH(M82,0)))+1</f>
        <v>45839</v>
      </c>
      <c r="O82" s="146">
        <f t="shared" ref="O82" si="80">DATE(YEAR(N82),MONTH(N82),DAY(EOMONTH(N82,0)))+1</f>
        <v>45870</v>
      </c>
      <c r="P82" s="860">
        <f t="shared" ref="P82" si="81">DATE(YEAR(O82),MONTH(O82),DAY(EOMONTH(O82,0)))+1</f>
        <v>45901</v>
      </c>
      <c r="Q82" s="146">
        <f t="shared" ref="Q82" si="82">DATE(YEAR(P82),MONTH(P82),DAY(EOMONTH(P82,0)))+1</f>
        <v>45931</v>
      </c>
      <c r="R82" s="146">
        <f t="shared" ref="R82" si="83">DATE(YEAR(Q82),MONTH(Q82),DAY(EOMONTH(Q82,0)))+1</f>
        <v>45962</v>
      </c>
      <c r="S82" s="237">
        <f t="shared" ref="S82" si="84">DATE(YEAR(R82),MONTH(R82),DAY(EOMONTH(R82,0)))+1</f>
        <v>45992</v>
      </c>
      <c r="T82" s="146">
        <f t="shared" ref="T82" si="85">DATE(YEAR(S82),MONTH(S82),DAY(EOMONTH(S82,0)))+1</f>
        <v>46023</v>
      </c>
      <c r="U82" s="146">
        <f t="shared" ref="U82" si="86">DATE(YEAR(T82),MONTH(T82),DAY(EOMONTH(T82,0)))+1</f>
        <v>46054</v>
      </c>
      <c r="V82" s="263">
        <f t="shared" ref="V82" si="87">DATE(YEAR(U82),MONTH(U82),DAY(EOMONTH(U82,0)))+1</f>
        <v>46082</v>
      </c>
      <c r="W82" s="146">
        <f t="shared" ref="W82" si="88">DATE(YEAR(V82),MONTH(V82),DAY(EOMONTH(V82,0)))+1</f>
        <v>46113</v>
      </c>
      <c r="X82" s="146">
        <f t="shared" ref="X82" si="89">DATE(YEAR(W82),MONTH(W82),DAY(EOMONTH(W82,0)))+1</f>
        <v>46143</v>
      </c>
      <c r="Y82" s="146">
        <f t="shared" ref="Y82" si="90">DATE(YEAR(X82),MONTH(X82),DAY(EOMONTH(X82,0)))+1</f>
        <v>46174</v>
      </c>
      <c r="Z82" s="146">
        <f t="shared" ref="Z82" si="91">DATE(YEAR(Y82),MONTH(Y82),DAY(EOMONTH(Y82,0)))+1</f>
        <v>46204</v>
      </c>
      <c r="AA82" s="146">
        <f t="shared" ref="AA82" si="92">DATE(YEAR(Z82),MONTH(Z82),DAY(EOMONTH(Z82,0)))+1</f>
        <v>46235</v>
      </c>
      <c r="AB82" s="896">
        <f t="shared" ref="AB82" si="93">DATE(YEAR(AA82),MONTH(AA82),DAY(EOMONTH(AA82,0)))+1</f>
        <v>46266</v>
      </c>
      <c r="AC82" s="146">
        <f t="shared" ref="AC82" si="94">DATE(YEAR(AB82),MONTH(AB82),DAY(EOMONTH(AB82,0)))+1</f>
        <v>46296</v>
      </c>
      <c r="AD82" s="146">
        <f t="shared" ref="AD82" si="95">DATE(YEAR(AC82),MONTH(AC82),DAY(EOMONTH(AC82,0)))+1</f>
        <v>46327</v>
      </c>
      <c r="AE82" s="237">
        <f t="shared" ref="AE82" si="96">DATE(YEAR(AD82),MONTH(AD82),DAY(EOMONTH(AD82,0)))+1</f>
        <v>46357</v>
      </c>
      <c r="AF82" s="146">
        <f t="shared" ref="AF82" si="97">DATE(YEAR(AE82),MONTH(AE82),DAY(EOMONTH(AE82,0)))+1</f>
        <v>46388</v>
      </c>
      <c r="AG82" s="146">
        <f t="shared" ref="AG82" si="98">DATE(YEAR(AF82),MONTH(AF82),DAY(EOMONTH(AF82,0)))+1</f>
        <v>46419</v>
      </c>
      <c r="AH82" s="146">
        <f t="shared" ref="AH82" si="99">DATE(YEAR(AG82),MONTH(AG82),DAY(EOMONTH(AG82,0)))+1</f>
        <v>46447</v>
      </c>
      <c r="AI82" s="146">
        <f t="shared" ref="AI82" si="100">DATE(YEAR(AH82),MONTH(AH82),DAY(EOMONTH(AH82,0)))+1</f>
        <v>46478</v>
      </c>
      <c r="AJ82" s="146">
        <f t="shared" ref="AJ82" si="101">DATE(YEAR(AI82),MONTH(AI82),DAY(EOMONTH(AI82,0)))+1</f>
        <v>46508</v>
      </c>
      <c r="AK82" s="146">
        <f t="shared" ref="AK82" si="102">DATE(YEAR(AJ82),MONTH(AJ82),DAY(EOMONTH(AJ82,0)))+1</f>
        <v>46539</v>
      </c>
      <c r="AL82" s="146">
        <f t="shared" ref="AL82" si="103">DATE(YEAR(AK82),MONTH(AK82),DAY(EOMONTH(AK82,0)))+1</f>
        <v>46569</v>
      </c>
      <c r="AM82" s="146">
        <f t="shared" ref="AM82" si="104">DATE(YEAR(AL82),MONTH(AL82),DAY(EOMONTH(AL82,0)))+1</f>
        <v>46600</v>
      </c>
      <c r="AN82" s="146">
        <f t="shared" ref="AN82" si="105">DATE(YEAR(AM82),MONTH(AM82),DAY(EOMONTH(AM82,0)))+1</f>
        <v>46631</v>
      </c>
      <c r="AO82" s="146">
        <f t="shared" ref="AO82" si="106">DATE(YEAR(AN82),MONTH(AN82),DAY(EOMONTH(AN82,0)))+1</f>
        <v>46661</v>
      </c>
      <c r="AP82" s="146">
        <f t="shared" ref="AP82" si="107">DATE(YEAR(AO82),MONTH(AO82),DAY(EOMONTH(AO82,0)))+1</f>
        <v>46692</v>
      </c>
      <c r="AQ82" s="146">
        <f>DATE(YEAR(AP82),MONTH(AP82),DAY(EOMONTH(AP82,0)))+1+2025.1-2025.1</f>
        <v>46722</v>
      </c>
      <c r="AS82" s="295"/>
      <c r="AT82" s="295"/>
      <c r="AU82" s="295"/>
      <c r="AV82" s="295"/>
      <c r="AW82" s="295"/>
      <c r="AX82" s="295"/>
      <c r="AY82" s="295"/>
      <c r="AZ82" s="295"/>
      <c r="BA82" s="295"/>
      <c r="BB82" s="295"/>
      <c r="BC82" s="295"/>
      <c r="BD82" s="295"/>
      <c r="BE82" s="295"/>
      <c r="BF82" s="295"/>
      <c r="BG82" s="295"/>
      <c r="BH82" s="295"/>
      <c r="BI82" s="295"/>
      <c r="BJ82" s="295"/>
      <c r="BK82" s="295"/>
      <c r="BL82" s="295"/>
      <c r="BM82" s="295"/>
      <c r="BN82" s="295"/>
      <c r="BO82" s="295"/>
      <c r="BP82" s="295"/>
      <c r="BQ82" s="295"/>
      <c r="BR82" s="295"/>
      <c r="BS82" s="295"/>
      <c r="BT82" s="295"/>
      <c r="BU82" s="295"/>
      <c r="BV82" s="295"/>
      <c r="BW82" s="295"/>
      <c r="BX82" s="295"/>
      <c r="BY82" s="295"/>
      <c r="BZ82" s="295"/>
      <c r="CA82" s="295"/>
      <c r="CB82" s="295"/>
      <c r="CC82" s="295"/>
      <c r="CD82" s="295"/>
      <c r="CE82" s="295"/>
      <c r="CF82" s="295"/>
      <c r="CG82" s="295"/>
      <c r="CH82" s="295"/>
      <c r="CI82" s="295"/>
      <c r="CJ82" s="295"/>
      <c r="CK82" s="295"/>
    </row>
    <row r="83" spans="1:95" s="50" customFormat="1" ht="21" customHeight="1">
      <c r="A83" s="130"/>
      <c r="B83" s="1117" t="str">
        <f>'Pricing Model'!B110</f>
        <v>Drinks</v>
      </c>
      <c r="C83" s="1117"/>
      <c r="D83" s="1117"/>
      <c r="E83" s="1117"/>
      <c r="F83" s="1117"/>
      <c r="G83" s="1117"/>
      <c r="H83" s="1117"/>
      <c r="I83" s="1117"/>
      <c r="J83" s="1117"/>
      <c r="K83" s="1117"/>
      <c r="L83" s="1117"/>
      <c r="M83" s="1117"/>
      <c r="N83" s="1117"/>
      <c r="O83" s="1117"/>
      <c r="P83" s="1117"/>
      <c r="Q83" s="1117"/>
      <c r="R83" s="1117"/>
      <c r="S83" s="1117"/>
      <c r="T83" s="1117"/>
      <c r="U83" s="1117"/>
      <c r="V83" s="1117"/>
      <c r="W83" s="1117"/>
      <c r="X83" s="1117"/>
      <c r="Y83" s="1117"/>
      <c r="Z83" s="1117"/>
      <c r="AA83" s="1117"/>
      <c r="AB83" s="1117"/>
      <c r="AC83" s="1117"/>
      <c r="AD83" s="1117"/>
      <c r="AE83" s="1117"/>
      <c r="AF83" s="1117"/>
      <c r="AG83" s="1117"/>
      <c r="AH83" s="1117"/>
      <c r="AI83" s="1117"/>
      <c r="AJ83" s="1117"/>
      <c r="AK83" s="1117"/>
      <c r="AL83" s="1117"/>
      <c r="AM83" s="1117"/>
      <c r="AN83" s="1117"/>
      <c r="AO83" s="1117"/>
      <c r="AP83" s="1117"/>
      <c r="AQ83" s="1117"/>
      <c r="AS83" s="170"/>
      <c r="AT83" s="170"/>
      <c r="AU83" s="170"/>
      <c r="AV83" s="170"/>
      <c r="AW83" s="170"/>
      <c r="AX83" s="170"/>
      <c r="AY83" s="170"/>
      <c r="AZ83" s="170"/>
      <c r="BA83" s="170"/>
      <c r="BB83" s="170"/>
      <c r="BC83" s="170"/>
      <c r="BD83" s="170"/>
      <c r="BE83" s="170"/>
      <c r="BF83" s="170"/>
      <c r="BG83" s="170"/>
      <c r="BH83" s="170"/>
      <c r="BI83" s="170"/>
      <c r="BJ83" s="170"/>
      <c r="BK83" s="170"/>
      <c r="BL83" s="170"/>
      <c r="BM83" s="170"/>
      <c r="BN83" s="170"/>
      <c r="BO83" s="170"/>
      <c r="BP83" s="170"/>
      <c r="BQ83" s="170"/>
      <c r="BR83" s="170"/>
      <c r="BS83" s="170"/>
      <c r="BT83" s="170"/>
      <c r="BU83" s="170"/>
      <c r="BV83" s="170"/>
      <c r="BW83" s="170"/>
      <c r="BX83" s="170"/>
      <c r="BY83" s="170"/>
      <c r="BZ83" s="170"/>
      <c r="CA83" s="170"/>
      <c r="CB83" s="170"/>
      <c r="CC83" s="170"/>
      <c r="CD83" s="170"/>
      <c r="CE83" s="170"/>
      <c r="CF83" s="170"/>
      <c r="CG83" s="170"/>
      <c r="CH83" s="170"/>
      <c r="CI83" s="170"/>
      <c r="CJ83" s="170"/>
      <c r="CK83" s="170"/>
    </row>
    <row r="84" spans="1:95" s="50" customFormat="1" ht="16" customHeight="1">
      <c r="A84" s="130"/>
      <c r="B84" s="132"/>
      <c r="C84" s="174" t="s">
        <v>286</v>
      </c>
      <c r="D84" s="174"/>
      <c r="E84" s="171"/>
      <c r="F84" s="171"/>
      <c r="G84" s="132"/>
      <c r="H84" s="130"/>
      <c r="I84" s="130"/>
      <c r="J84" s="130"/>
      <c r="K84" s="130"/>
      <c r="L84" s="130"/>
      <c r="M84" s="130"/>
      <c r="N84" s="230" t="s">
        <v>350</v>
      </c>
      <c r="O84" s="130"/>
      <c r="P84" s="862"/>
      <c r="Q84" s="130"/>
      <c r="R84" s="130"/>
      <c r="S84" s="239"/>
      <c r="T84" s="130"/>
      <c r="U84" s="130"/>
      <c r="V84" s="265"/>
      <c r="W84" s="130"/>
      <c r="X84" s="130"/>
      <c r="Y84" s="130"/>
      <c r="Z84" s="130"/>
      <c r="AA84" s="130"/>
      <c r="AB84" s="898"/>
      <c r="AC84" s="130"/>
      <c r="AD84" s="130"/>
      <c r="AE84" s="239"/>
      <c r="AF84" s="130"/>
      <c r="AG84" s="130"/>
      <c r="AH84" s="130"/>
      <c r="AI84" s="130"/>
      <c r="AJ84" s="130"/>
      <c r="AK84" s="130"/>
      <c r="AL84" s="130"/>
      <c r="AM84" s="130"/>
      <c r="AN84" s="130"/>
      <c r="AO84" s="130"/>
      <c r="AP84" s="130"/>
      <c r="AQ84" s="130"/>
      <c r="AS84" s="170"/>
      <c r="AT84" s="170"/>
      <c r="AU84" s="170"/>
      <c r="AV84" s="170"/>
      <c r="AW84" s="170"/>
      <c r="AX84" s="170"/>
      <c r="AY84" s="170"/>
      <c r="AZ84" s="170"/>
      <c r="BA84" s="170"/>
      <c r="BB84" s="170"/>
      <c r="BC84" s="170"/>
      <c r="BD84" s="170"/>
      <c r="BE84" s="170"/>
      <c r="BF84" s="170"/>
      <c r="BG84" s="170"/>
      <c r="BH84" s="170"/>
      <c r="BI84" s="170"/>
      <c r="BJ84" s="170"/>
      <c r="BK84" s="170"/>
      <c r="BL84" s="170"/>
      <c r="BM84" s="170"/>
      <c r="BN84" s="170"/>
      <c r="BO84" s="170"/>
      <c r="BP84" s="170"/>
      <c r="BQ84" s="170"/>
      <c r="BR84" s="170"/>
      <c r="BS84" s="170"/>
      <c r="BT84" s="170"/>
      <c r="BU84" s="170"/>
      <c r="BV84" s="170"/>
      <c r="BW84" s="170"/>
      <c r="BX84" s="170"/>
      <c r="BY84" s="170"/>
      <c r="BZ84" s="170"/>
      <c r="CA84" s="170"/>
      <c r="CB84" s="170"/>
      <c r="CC84" s="170"/>
      <c r="CD84" s="170"/>
      <c r="CE84" s="170"/>
      <c r="CF84" s="170"/>
      <c r="CG84" s="170"/>
      <c r="CH84" s="170"/>
      <c r="CI84" s="170"/>
      <c r="CJ84" s="170"/>
      <c r="CK84" s="170"/>
    </row>
    <row r="85" spans="1:95" s="50" customFormat="1" ht="16" customHeight="1">
      <c r="A85" s="130"/>
      <c r="B85" s="299"/>
      <c r="C85" s="285"/>
      <c r="D85" s="286"/>
      <c r="E85" s="287"/>
      <c r="F85" s="287"/>
      <c r="G85" s="288"/>
      <c r="H85" s="222" t="s">
        <v>319</v>
      </c>
      <c r="I85" s="206"/>
      <c r="J85" s="206"/>
      <c r="K85" s="206"/>
      <c r="L85" s="206"/>
      <c r="M85" s="206"/>
      <c r="N85" s="206"/>
      <c r="O85" s="206"/>
      <c r="P85" s="863"/>
      <c r="Q85" s="206"/>
      <c r="R85" s="206"/>
      <c r="S85" s="240"/>
      <c r="T85" s="312" t="s">
        <v>354</v>
      </c>
      <c r="U85" s="206"/>
      <c r="V85" s="266"/>
      <c r="W85" s="206"/>
      <c r="X85" s="206"/>
      <c r="Y85" s="281" t="str">
        <f>'Pricing Model'!B127</f>
        <v>Lemon Tea</v>
      </c>
      <c r="Z85" s="280"/>
      <c r="AA85" s="253"/>
      <c r="AB85" s="899"/>
      <c r="AC85" s="206"/>
      <c r="AD85" s="231" t="s">
        <v>334</v>
      </c>
      <c r="AE85" s="240"/>
      <c r="AF85" s="229" t="s">
        <v>355</v>
      </c>
      <c r="AG85" s="253"/>
      <c r="AH85" s="206"/>
      <c r="AI85" s="206"/>
      <c r="AJ85" s="206"/>
      <c r="AK85" s="206"/>
      <c r="AL85" s="206"/>
      <c r="AM85" s="206"/>
      <c r="AN85" s="206"/>
      <c r="AO85" s="206"/>
      <c r="AP85" s="206"/>
      <c r="AQ85" s="206"/>
    </row>
    <row r="86" spans="1:95" s="50" customFormat="1" ht="16" customHeight="1">
      <c r="A86" s="130"/>
      <c r="B86" s="1116" t="str">
        <f>'Pricing Model'!B127</f>
        <v>Lemon Tea</v>
      </c>
      <c r="C86" s="54"/>
      <c r="D86" s="54"/>
      <c r="E86" s="54"/>
      <c r="F86" s="54"/>
      <c r="G86" s="216" t="s">
        <v>296</v>
      </c>
      <c r="H86" s="53">
        <v>480</v>
      </c>
      <c r="I86" s="53">
        <v>430</v>
      </c>
      <c r="J86" s="53">
        <v>390</v>
      </c>
      <c r="K86" s="53">
        <v>250</v>
      </c>
      <c r="L86" s="53">
        <v>180</v>
      </c>
      <c r="M86" s="53">
        <v>120</v>
      </c>
      <c r="N86" s="53">
        <v>100</v>
      </c>
      <c r="O86" s="53">
        <v>110</v>
      </c>
      <c r="P86" s="864">
        <v>70</v>
      </c>
      <c r="Q86" s="53">
        <v>250</v>
      </c>
      <c r="R86" s="53">
        <v>435</v>
      </c>
      <c r="S86" s="241">
        <v>625</v>
      </c>
      <c r="T86" s="53">
        <f>H86*1.5</f>
        <v>720</v>
      </c>
      <c r="U86" s="53">
        <f>I86*1.5</f>
        <v>645</v>
      </c>
      <c r="V86" s="267">
        <v>480</v>
      </c>
      <c r="W86" s="53">
        <f>ROUND(K86*1.75,-1)</f>
        <v>440</v>
      </c>
      <c r="X86" s="53">
        <f t="shared" ref="X86:AA86" si="108">ROUND(L86*1.75,-1)</f>
        <v>320</v>
      </c>
      <c r="Y86" s="53">
        <f t="shared" si="108"/>
        <v>210</v>
      </c>
      <c r="Z86" s="53">
        <f t="shared" si="108"/>
        <v>180</v>
      </c>
      <c r="AA86" s="53">
        <f t="shared" si="108"/>
        <v>190</v>
      </c>
      <c r="AB86" s="900">
        <v>375</v>
      </c>
      <c r="AC86" s="53">
        <v>630</v>
      </c>
      <c r="AD86" s="53">
        <f>ROUND(R86*2.5,-1)</f>
        <v>1090</v>
      </c>
      <c r="AE86" s="241">
        <f>ROUND(S86*2.5,-1)</f>
        <v>1560</v>
      </c>
      <c r="AF86" s="53">
        <v>1655</v>
      </c>
      <c r="AG86" s="53">
        <f>ROUND(U86*2.3,-1)</f>
        <v>1480</v>
      </c>
      <c r="AH86" s="53">
        <f t="shared" ref="AH86" si="109">ROUND(V86*2.3,-1)</f>
        <v>1100</v>
      </c>
      <c r="AI86" s="53">
        <v>815</v>
      </c>
      <c r="AJ86" s="53">
        <f>ROUND(X86*2.15,-1)</f>
        <v>690</v>
      </c>
      <c r="AK86" s="53">
        <f t="shared" ref="AK86:AM86" si="110">ROUND(Y86*2.15,-1)</f>
        <v>450</v>
      </c>
      <c r="AL86" s="53">
        <f t="shared" si="110"/>
        <v>390</v>
      </c>
      <c r="AM86" s="53">
        <f t="shared" si="110"/>
        <v>410</v>
      </c>
      <c r="AN86" s="53">
        <f>ROUND(AB86*1.85,-1)</f>
        <v>690</v>
      </c>
      <c r="AO86" s="53">
        <f t="shared" ref="AO86:AQ86" si="111">ROUND(AC86*1.85,-1)</f>
        <v>1170</v>
      </c>
      <c r="AP86" s="53">
        <f t="shared" si="111"/>
        <v>2020</v>
      </c>
      <c r="AQ86" s="53">
        <f t="shared" si="111"/>
        <v>2890</v>
      </c>
    </row>
    <row r="87" spans="1:95" s="286" customFormat="1" ht="16" customHeight="1">
      <c r="A87" s="130"/>
      <c r="B87" s="1116"/>
      <c r="C87" s="54"/>
      <c r="D87" s="215" t="s">
        <v>294</v>
      </c>
      <c r="E87" s="215" t="s">
        <v>295</v>
      </c>
      <c r="F87" s="215"/>
      <c r="G87" s="133" t="s">
        <v>292</v>
      </c>
      <c r="H87" s="133">
        <f>'Pricing Model'!$C$141</f>
        <v>2.0833333333333335</v>
      </c>
      <c r="I87" s="133">
        <f>'Pricing Model'!$C$141</f>
        <v>2.0833333333333335</v>
      </c>
      <c r="J87" s="133">
        <f>'Pricing Model'!$C$141</f>
        <v>2.0833333333333335</v>
      </c>
      <c r="K87" s="133">
        <f>'Pricing Model'!$C$141</f>
        <v>2.0833333333333335</v>
      </c>
      <c r="L87" s="133">
        <f>'Pricing Model'!$C$141</f>
        <v>2.0833333333333335</v>
      </c>
      <c r="M87" s="133">
        <f>'Pricing Model'!$C$141</f>
        <v>2.0833333333333335</v>
      </c>
      <c r="N87" s="133">
        <f>'Pricing Model'!$C$141</f>
        <v>2.0833333333333335</v>
      </c>
      <c r="O87" s="133">
        <f>'Pricing Model'!$C$141</f>
        <v>2.0833333333333335</v>
      </c>
      <c r="P87" s="865">
        <f>'Pricing Model'!$C$141</f>
        <v>2.0833333333333335</v>
      </c>
      <c r="Q87" s="133">
        <f>'Pricing Model'!$C$141</f>
        <v>2.0833333333333335</v>
      </c>
      <c r="R87" s="133">
        <f>'Pricing Model'!$C$141</f>
        <v>2.0833333333333335</v>
      </c>
      <c r="S87" s="242">
        <f>'Pricing Model'!$C$141</f>
        <v>2.0833333333333335</v>
      </c>
      <c r="T87" s="133">
        <f>'Pricing Model'!$D$141</f>
        <v>2.166666666666667</v>
      </c>
      <c r="U87" s="133">
        <f>'Pricing Model'!$D$141</f>
        <v>2.166666666666667</v>
      </c>
      <c r="V87" s="268">
        <f>'Pricing Model'!$D$141</f>
        <v>2.166666666666667</v>
      </c>
      <c r="W87" s="133">
        <f>'Pricing Model'!$D$141</f>
        <v>2.166666666666667</v>
      </c>
      <c r="X87" s="133">
        <f>'Pricing Model'!$D$141</f>
        <v>2.166666666666667</v>
      </c>
      <c r="Y87" s="133">
        <f>'Pricing Model'!$D$141</f>
        <v>2.166666666666667</v>
      </c>
      <c r="Z87" s="133">
        <f>'Pricing Model'!$D$141</f>
        <v>2.166666666666667</v>
      </c>
      <c r="AA87" s="133">
        <f>'Pricing Model'!$D$141</f>
        <v>2.166666666666667</v>
      </c>
      <c r="AB87" s="901">
        <f>'Pricing Model'!$D$141</f>
        <v>2.166666666666667</v>
      </c>
      <c r="AC87" s="133">
        <f>'Pricing Model'!$D$141</f>
        <v>2.166666666666667</v>
      </c>
      <c r="AD87" s="133">
        <f>'Pricing Model'!$D$141</f>
        <v>2.166666666666667</v>
      </c>
      <c r="AE87" s="242">
        <f>'Pricing Model'!$D$141</f>
        <v>2.166666666666667</v>
      </c>
      <c r="AF87" s="133">
        <f>'Pricing Model'!$E$141</f>
        <v>2.25</v>
      </c>
      <c r="AG87" s="133">
        <f>'Pricing Model'!$E$141</f>
        <v>2.25</v>
      </c>
      <c r="AH87" s="133">
        <f>'Pricing Model'!$E$141</f>
        <v>2.25</v>
      </c>
      <c r="AI87" s="133">
        <f>'Pricing Model'!$E$141</f>
        <v>2.25</v>
      </c>
      <c r="AJ87" s="133">
        <f>'Pricing Model'!$E$141</f>
        <v>2.25</v>
      </c>
      <c r="AK87" s="133">
        <f>'Pricing Model'!$E$141</f>
        <v>2.25</v>
      </c>
      <c r="AL87" s="133">
        <f>'Pricing Model'!$E$141</f>
        <v>2.25</v>
      </c>
      <c r="AM87" s="133">
        <f>'Pricing Model'!$E$141</f>
        <v>2.25</v>
      </c>
      <c r="AN87" s="133">
        <f>'Pricing Model'!$E$141</f>
        <v>2.25</v>
      </c>
      <c r="AO87" s="133">
        <f>'Pricing Model'!$E$141</f>
        <v>2.25</v>
      </c>
      <c r="AP87" s="133">
        <f>'Pricing Model'!$E$141</f>
        <v>2.25</v>
      </c>
      <c r="AQ87" s="133">
        <f>'Pricing Model'!$E$141</f>
        <v>2.25</v>
      </c>
      <c r="AS87" s="295"/>
      <c r="AT87" s="295"/>
      <c r="AU87" s="295"/>
      <c r="AV87" s="295"/>
      <c r="AW87" s="295"/>
      <c r="AX87" s="295"/>
      <c r="AY87" s="295"/>
      <c r="AZ87" s="295"/>
      <c r="BA87" s="295"/>
      <c r="BB87" s="295"/>
      <c r="BC87" s="295"/>
      <c r="BD87" s="295"/>
      <c r="BE87" s="295"/>
      <c r="BF87" s="295"/>
      <c r="BG87" s="295"/>
      <c r="BH87" s="295"/>
      <c r="BI87" s="295"/>
      <c r="BJ87" s="295"/>
      <c r="BK87" s="295"/>
      <c r="BL87" s="295"/>
      <c r="BM87" s="295"/>
      <c r="BN87" s="295"/>
      <c r="BO87" s="295"/>
      <c r="BP87" s="295"/>
      <c r="BQ87" s="295"/>
      <c r="BR87" s="295"/>
      <c r="BS87" s="295"/>
      <c r="BT87" s="295"/>
      <c r="BU87" s="295"/>
      <c r="BV87" s="295"/>
      <c r="BW87" s="295"/>
      <c r="BX87" s="295"/>
      <c r="BY87" s="295"/>
      <c r="BZ87" s="295"/>
      <c r="CA87" s="295"/>
      <c r="CB87" s="295"/>
      <c r="CC87" s="295"/>
      <c r="CD87" s="295"/>
      <c r="CE87" s="295"/>
      <c r="CF87" s="295"/>
      <c r="CG87" s="295"/>
      <c r="CH87" s="295"/>
      <c r="CI87" s="295"/>
      <c r="CJ87" s="295"/>
      <c r="CK87" s="295"/>
    </row>
    <row r="88" spans="1:95" s="50" customFormat="1" ht="16" customHeight="1">
      <c r="A88" s="130"/>
      <c r="B88" s="1116"/>
      <c r="C88" s="493">
        <f>'Pricing Model'!$C$6</f>
        <v>2025</v>
      </c>
      <c r="D88" s="140">
        <f>'Pricing Model'!C$144</f>
        <v>0.80580571428571435</v>
      </c>
      <c r="E88" s="140">
        <f>'Pricing Model'!C$152</f>
        <v>0.79771428571428571</v>
      </c>
      <c r="F88" s="1109"/>
      <c r="G88" s="217" t="s">
        <v>297</v>
      </c>
      <c r="H88" s="53">
        <v>120</v>
      </c>
      <c r="I88" s="53">
        <v>220</v>
      </c>
      <c r="J88" s="53">
        <v>320</v>
      </c>
      <c r="K88" s="53">
        <v>430</v>
      </c>
      <c r="L88" s="53">
        <v>540</v>
      </c>
      <c r="M88" s="53">
        <v>630</v>
      </c>
      <c r="N88" s="53">
        <v>680</v>
      </c>
      <c r="O88" s="53">
        <v>690</v>
      </c>
      <c r="P88" s="864">
        <v>505</v>
      </c>
      <c r="Q88" s="53">
        <v>420</v>
      </c>
      <c r="R88" s="53">
        <v>335</v>
      </c>
      <c r="S88" s="241">
        <v>235</v>
      </c>
      <c r="T88" s="53">
        <f>H88*1.5</f>
        <v>180</v>
      </c>
      <c r="U88" s="53">
        <f t="shared" ref="U88" si="112">I88*1.5</f>
        <v>330</v>
      </c>
      <c r="V88" s="267">
        <v>520</v>
      </c>
      <c r="W88" s="53">
        <f>ROUND(K88*1.75,-1)</f>
        <v>750</v>
      </c>
      <c r="X88" s="53">
        <f t="shared" ref="X88:AA88" si="113">ROUND(L88*1.75,-1)</f>
        <v>950</v>
      </c>
      <c r="Y88" s="53">
        <f t="shared" si="113"/>
        <v>1100</v>
      </c>
      <c r="Z88" s="53">
        <f t="shared" si="113"/>
        <v>1190</v>
      </c>
      <c r="AA88" s="53">
        <f t="shared" si="113"/>
        <v>1210</v>
      </c>
      <c r="AB88" s="900">
        <v>1320</v>
      </c>
      <c r="AC88" s="53">
        <v>1050</v>
      </c>
      <c r="AD88" s="53">
        <f>ROUND(R88*2.5,-1)</f>
        <v>840</v>
      </c>
      <c r="AE88" s="241">
        <f>ROUND(S88*2.5,-1)</f>
        <v>590</v>
      </c>
      <c r="AF88" s="53">
        <v>620</v>
      </c>
      <c r="AG88" s="53">
        <f>ROUND(U88*2.3,-1)</f>
        <v>760</v>
      </c>
      <c r="AH88" s="53">
        <f t="shared" ref="AH88:AI88" si="114">ROUND(V88*2.3,-1)</f>
        <v>1200</v>
      </c>
      <c r="AI88" s="53">
        <f t="shared" si="114"/>
        <v>1730</v>
      </c>
      <c r="AJ88" s="53">
        <f>ROUND(X88*2.15,-1)</f>
        <v>2040</v>
      </c>
      <c r="AK88" s="53">
        <f t="shared" ref="AK88:AM88" si="115">ROUND(Y88*2.15,-1)</f>
        <v>2370</v>
      </c>
      <c r="AL88" s="53">
        <f t="shared" si="115"/>
        <v>2560</v>
      </c>
      <c r="AM88" s="53">
        <f t="shared" si="115"/>
        <v>2600</v>
      </c>
      <c r="AN88" s="53">
        <f>ROUND(AB88*1.85,-1)</f>
        <v>2440</v>
      </c>
      <c r="AO88" s="53">
        <f t="shared" ref="AO88:AQ88" si="116">ROUND(AC88*1.85,-1)</f>
        <v>1940</v>
      </c>
      <c r="AP88" s="53">
        <f t="shared" si="116"/>
        <v>1550</v>
      </c>
      <c r="AQ88" s="53">
        <f t="shared" si="116"/>
        <v>1090</v>
      </c>
      <c r="AS88" s="170"/>
      <c r="AT88" s="170"/>
      <c r="AU88" s="170"/>
      <c r="AV88" s="170"/>
      <c r="AW88" s="170"/>
      <c r="AX88" s="170"/>
      <c r="AY88" s="170"/>
      <c r="AZ88" s="170"/>
      <c r="BA88" s="170"/>
      <c r="BB88" s="170"/>
      <c r="BC88" s="170"/>
      <c r="BD88" s="170"/>
      <c r="BE88" s="170"/>
      <c r="BF88" s="170"/>
      <c r="BG88" s="170"/>
      <c r="BH88" s="170"/>
      <c r="BI88" s="170"/>
      <c r="BJ88" s="170"/>
      <c r="BK88" s="170"/>
      <c r="BL88" s="170"/>
      <c r="BM88" s="170"/>
      <c r="BN88" s="170"/>
      <c r="BO88" s="170"/>
      <c r="BP88" s="170"/>
      <c r="BQ88" s="170"/>
      <c r="BR88" s="170"/>
      <c r="BS88" s="170"/>
      <c r="BT88" s="170"/>
      <c r="BU88" s="170"/>
      <c r="BV88" s="170"/>
      <c r="BW88" s="170"/>
      <c r="BX88" s="170"/>
      <c r="BY88" s="170"/>
      <c r="BZ88" s="170"/>
      <c r="CA88" s="170"/>
      <c r="CB88" s="170"/>
      <c r="CC88" s="170"/>
      <c r="CD88" s="170"/>
      <c r="CE88" s="170"/>
      <c r="CF88" s="170"/>
      <c r="CG88" s="170"/>
      <c r="CH88" s="170"/>
      <c r="CI88" s="170"/>
      <c r="CJ88" s="170"/>
      <c r="CK88" s="170"/>
    </row>
    <row r="89" spans="1:95" s="50" customFormat="1" ht="16" customHeight="1">
      <c r="A89" s="130"/>
      <c r="B89" s="1116"/>
      <c r="C89" s="493">
        <f>C88+1</f>
        <v>2026</v>
      </c>
      <c r="D89" s="140">
        <f>'Pricing Model'!D$144</f>
        <v>0.80580571428571435</v>
      </c>
      <c r="E89" s="140">
        <f>'Pricing Model'!D$152</f>
        <v>0.79640921658986163</v>
      </c>
      <c r="F89" s="1109"/>
      <c r="G89" s="133" t="s">
        <v>293</v>
      </c>
      <c r="H89" s="133">
        <f>'Pricing Model'!$C$149</f>
        <v>2.5</v>
      </c>
      <c r="I89" s="133">
        <f>'Pricing Model'!$C$149</f>
        <v>2.5</v>
      </c>
      <c r="J89" s="133">
        <f>'Pricing Model'!$C$149</f>
        <v>2.5</v>
      </c>
      <c r="K89" s="133">
        <f>'Pricing Model'!$C$149</f>
        <v>2.5</v>
      </c>
      <c r="L89" s="133">
        <f>'Pricing Model'!$C$149</f>
        <v>2.5</v>
      </c>
      <c r="M89" s="133">
        <f>'Pricing Model'!$C$149</f>
        <v>2.5</v>
      </c>
      <c r="N89" s="133">
        <f>'Pricing Model'!$C$149</f>
        <v>2.5</v>
      </c>
      <c r="O89" s="133">
        <f>'Pricing Model'!$C$149</f>
        <v>2.5</v>
      </c>
      <c r="P89" s="865">
        <f>'Pricing Model'!$C$149</f>
        <v>2.5</v>
      </c>
      <c r="Q89" s="133">
        <f>'Pricing Model'!$C$149</f>
        <v>2.5</v>
      </c>
      <c r="R89" s="133">
        <f>'Pricing Model'!$C$149</f>
        <v>2.5</v>
      </c>
      <c r="S89" s="242">
        <f>'Pricing Model'!$C$149</f>
        <v>2.5</v>
      </c>
      <c r="T89" s="133">
        <f>'Pricing Model'!$D$149</f>
        <v>2.583333333333333</v>
      </c>
      <c r="U89" s="133">
        <f>'Pricing Model'!$D$149</f>
        <v>2.583333333333333</v>
      </c>
      <c r="V89" s="268">
        <f>'Pricing Model'!$D$149</f>
        <v>2.583333333333333</v>
      </c>
      <c r="W89" s="133">
        <f>'Pricing Model'!$D$149</f>
        <v>2.583333333333333</v>
      </c>
      <c r="X89" s="133">
        <f>'Pricing Model'!$D$149</f>
        <v>2.583333333333333</v>
      </c>
      <c r="Y89" s="133">
        <f>'Pricing Model'!$D$149</f>
        <v>2.583333333333333</v>
      </c>
      <c r="Z89" s="133">
        <f>'Pricing Model'!$D$149</f>
        <v>2.583333333333333</v>
      </c>
      <c r="AA89" s="133">
        <f>'Pricing Model'!$D$149</f>
        <v>2.583333333333333</v>
      </c>
      <c r="AB89" s="901">
        <f>'Pricing Model'!$D$149</f>
        <v>2.583333333333333</v>
      </c>
      <c r="AC89" s="133">
        <f>'Pricing Model'!$D$149</f>
        <v>2.583333333333333</v>
      </c>
      <c r="AD89" s="133">
        <f>'Pricing Model'!$D$149</f>
        <v>2.583333333333333</v>
      </c>
      <c r="AE89" s="242">
        <f>'Pricing Model'!$D$149</f>
        <v>2.583333333333333</v>
      </c>
      <c r="AF89" s="133">
        <f>'Pricing Model'!$E$149</f>
        <v>2.666666666666667</v>
      </c>
      <c r="AG89" s="133">
        <f>'Pricing Model'!$E$149</f>
        <v>2.666666666666667</v>
      </c>
      <c r="AH89" s="133">
        <f>'Pricing Model'!$E$149</f>
        <v>2.666666666666667</v>
      </c>
      <c r="AI89" s="133">
        <f>'Pricing Model'!$E$149</f>
        <v>2.666666666666667</v>
      </c>
      <c r="AJ89" s="133">
        <f>'Pricing Model'!$E$149</f>
        <v>2.666666666666667</v>
      </c>
      <c r="AK89" s="133">
        <f>'Pricing Model'!$E$149</f>
        <v>2.666666666666667</v>
      </c>
      <c r="AL89" s="133">
        <f>'Pricing Model'!$E$149</f>
        <v>2.666666666666667</v>
      </c>
      <c r="AM89" s="133">
        <f>'Pricing Model'!$E$149</f>
        <v>2.666666666666667</v>
      </c>
      <c r="AN89" s="133">
        <f>'Pricing Model'!$E$149</f>
        <v>2.666666666666667</v>
      </c>
      <c r="AO89" s="133">
        <f>'Pricing Model'!$E$149</f>
        <v>2.666666666666667</v>
      </c>
      <c r="AP89" s="133">
        <f>'Pricing Model'!$E$149</f>
        <v>2.666666666666667</v>
      </c>
      <c r="AQ89" s="133">
        <f>'Pricing Model'!$E$149</f>
        <v>2.666666666666667</v>
      </c>
      <c r="AS89" s="170"/>
      <c r="AT89" s="170"/>
      <c r="AU89" s="170"/>
      <c r="AV89" s="170"/>
      <c r="AW89" s="170"/>
      <c r="AX89" s="170"/>
      <c r="AY89" s="170"/>
      <c r="AZ89" s="170"/>
      <c r="BA89" s="170"/>
      <c r="BB89" s="170"/>
      <c r="BC89" s="170"/>
      <c r="BD89" s="170"/>
      <c r="BE89" s="170"/>
      <c r="BF89" s="170"/>
      <c r="BG89" s="170"/>
      <c r="BH89" s="170"/>
      <c r="BI89" s="170"/>
      <c r="BJ89" s="170"/>
      <c r="BK89" s="170"/>
      <c r="BL89" s="170"/>
      <c r="BM89" s="170"/>
      <c r="BN89" s="170"/>
      <c r="BO89" s="170"/>
      <c r="BP89" s="170"/>
      <c r="BQ89" s="170"/>
      <c r="BR89" s="170"/>
      <c r="BS89" s="170"/>
      <c r="BT89" s="170"/>
      <c r="BU89" s="170"/>
      <c r="BV89" s="170"/>
      <c r="BW89" s="170"/>
      <c r="BX89" s="170"/>
      <c r="BY89" s="170"/>
      <c r="BZ89" s="170"/>
      <c r="CA89" s="170"/>
      <c r="CB89" s="170"/>
      <c r="CC89" s="170"/>
      <c r="CD89" s="170"/>
      <c r="CE89" s="170"/>
      <c r="CF89" s="170"/>
      <c r="CG89" s="170"/>
      <c r="CH89" s="170"/>
      <c r="CI89" s="170"/>
      <c r="CJ89" s="170"/>
      <c r="CK89" s="170"/>
    </row>
    <row r="90" spans="1:95" s="50" customFormat="1" ht="16" customHeight="1">
      <c r="A90" s="130"/>
      <c r="B90" s="1116"/>
      <c r="C90" s="493">
        <f>C89+1</f>
        <v>2027</v>
      </c>
      <c r="D90" s="140">
        <f>'Pricing Model'!E$144</f>
        <v>0.80505051428571428</v>
      </c>
      <c r="E90" s="140">
        <f>'Pricing Model'!E$152</f>
        <v>0.7943892142857143</v>
      </c>
      <c r="F90" s="1109"/>
      <c r="G90" s="257" t="s">
        <v>327</v>
      </c>
      <c r="H90" s="305">
        <f>H86+H88</f>
        <v>600</v>
      </c>
      <c r="I90" s="305">
        <f t="shared" ref="I90:AQ90" si="117">I86+I88</f>
        <v>650</v>
      </c>
      <c r="J90" s="305">
        <f t="shared" si="117"/>
        <v>710</v>
      </c>
      <c r="K90" s="305">
        <f t="shared" si="117"/>
        <v>680</v>
      </c>
      <c r="L90" s="305">
        <f t="shared" si="117"/>
        <v>720</v>
      </c>
      <c r="M90" s="305">
        <f t="shared" si="117"/>
        <v>750</v>
      </c>
      <c r="N90" s="305">
        <f t="shared" si="117"/>
        <v>780</v>
      </c>
      <c r="O90" s="305">
        <f t="shared" si="117"/>
        <v>800</v>
      </c>
      <c r="P90" s="875">
        <f t="shared" si="117"/>
        <v>575</v>
      </c>
      <c r="Q90" s="305">
        <f t="shared" si="117"/>
        <v>670</v>
      </c>
      <c r="R90" s="305">
        <f t="shared" si="117"/>
        <v>770</v>
      </c>
      <c r="S90" s="307">
        <f t="shared" si="117"/>
        <v>860</v>
      </c>
      <c r="T90" s="305">
        <f t="shared" si="117"/>
        <v>900</v>
      </c>
      <c r="U90" s="305">
        <f t="shared" si="117"/>
        <v>975</v>
      </c>
      <c r="V90" s="306">
        <f t="shared" si="117"/>
        <v>1000</v>
      </c>
      <c r="W90" s="305">
        <f t="shared" si="117"/>
        <v>1190</v>
      </c>
      <c r="X90" s="305">
        <f t="shared" si="117"/>
        <v>1270</v>
      </c>
      <c r="Y90" s="305">
        <f t="shared" si="117"/>
        <v>1310</v>
      </c>
      <c r="Z90" s="305">
        <f t="shared" si="117"/>
        <v>1370</v>
      </c>
      <c r="AA90" s="305">
        <f t="shared" si="117"/>
        <v>1400</v>
      </c>
      <c r="AB90" s="912">
        <f t="shared" si="117"/>
        <v>1695</v>
      </c>
      <c r="AC90" s="305">
        <f t="shared" si="117"/>
        <v>1680</v>
      </c>
      <c r="AD90" s="305">
        <f t="shared" si="117"/>
        <v>1930</v>
      </c>
      <c r="AE90" s="307">
        <f t="shared" si="117"/>
        <v>2150</v>
      </c>
      <c r="AF90" s="305">
        <f t="shared" si="117"/>
        <v>2275</v>
      </c>
      <c r="AG90" s="305">
        <f t="shared" si="117"/>
        <v>2240</v>
      </c>
      <c r="AH90" s="305">
        <f t="shared" si="117"/>
        <v>2300</v>
      </c>
      <c r="AI90" s="305">
        <f t="shared" si="117"/>
        <v>2545</v>
      </c>
      <c r="AJ90" s="305">
        <f t="shared" si="117"/>
        <v>2730</v>
      </c>
      <c r="AK90" s="305">
        <f t="shared" si="117"/>
        <v>2820</v>
      </c>
      <c r="AL90" s="305">
        <f t="shared" si="117"/>
        <v>2950</v>
      </c>
      <c r="AM90" s="305">
        <f t="shared" si="117"/>
        <v>3010</v>
      </c>
      <c r="AN90" s="305">
        <f t="shared" si="117"/>
        <v>3130</v>
      </c>
      <c r="AO90" s="305">
        <f t="shared" si="117"/>
        <v>3110</v>
      </c>
      <c r="AP90" s="305">
        <f t="shared" si="117"/>
        <v>3570</v>
      </c>
      <c r="AQ90" s="305">
        <f t="shared" si="117"/>
        <v>3980</v>
      </c>
    </row>
    <row r="91" spans="1:95" ht="16" customHeight="1">
      <c r="A91" s="130"/>
      <c r="B91" s="1116"/>
      <c r="C91" s="214"/>
      <c r="D91" s="55"/>
      <c r="E91" s="55"/>
      <c r="G91" s="133" t="s">
        <v>284</v>
      </c>
      <c r="H91" s="136">
        <f>H86*H87+H88*H89</f>
        <v>1300</v>
      </c>
      <c r="I91" s="136">
        <f t="shared" ref="I91:AQ91" si="118">I86*I87+I88*I89</f>
        <v>1445.8333333333335</v>
      </c>
      <c r="J91" s="136">
        <f t="shared" si="118"/>
        <v>1612.5</v>
      </c>
      <c r="K91" s="136">
        <f t="shared" si="118"/>
        <v>1595.8333333333335</v>
      </c>
      <c r="L91" s="136">
        <f t="shared" si="118"/>
        <v>1725</v>
      </c>
      <c r="M91" s="136">
        <f t="shared" si="118"/>
        <v>1825</v>
      </c>
      <c r="N91" s="136">
        <f t="shared" si="118"/>
        <v>1908.3333333333333</v>
      </c>
      <c r="O91" s="136">
        <f t="shared" si="118"/>
        <v>1954.1666666666667</v>
      </c>
      <c r="P91" s="866">
        <f t="shared" si="118"/>
        <v>1408.3333333333333</v>
      </c>
      <c r="Q91" s="136">
        <f t="shared" si="118"/>
        <v>1570.8333333333335</v>
      </c>
      <c r="R91" s="136">
        <f t="shared" si="118"/>
        <v>1743.75</v>
      </c>
      <c r="S91" s="243">
        <f t="shared" si="118"/>
        <v>1889.5833333333335</v>
      </c>
      <c r="T91" s="136">
        <f t="shared" si="118"/>
        <v>2025.0000000000002</v>
      </c>
      <c r="U91" s="136">
        <f t="shared" si="118"/>
        <v>2250</v>
      </c>
      <c r="V91" s="269">
        <f t="shared" si="118"/>
        <v>2383.3333333333335</v>
      </c>
      <c r="W91" s="136">
        <f t="shared" si="118"/>
        <v>2890.833333333333</v>
      </c>
      <c r="X91" s="136">
        <f t="shared" si="118"/>
        <v>3147.5</v>
      </c>
      <c r="Y91" s="136">
        <f t="shared" si="118"/>
        <v>3296.6666666666665</v>
      </c>
      <c r="Z91" s="136">
        <f t="shared" si="118"/>
        <v>3464.1666666666665</v>
      </c>
      <c r="AA91" s="136">
        <f t="shared" si="118"/>
        <v>3537.5</v>
      </c>
      <c r="AB91" s="902">
        <f t="shared" si="118"/>
        <v>4222.5</v>
      </c>
      <c r="AC91" s="136">
        <f t="shared" si="118"/>
        <v>4077.5</v>
      </c>
      <c r="AD91" s="136">
        <f t="shared" si="118"/>
        <v>4531.6666666666661</v>
      </c>
      <c r="AE91" s="243">
        <f t="shared" si="118"/>
        <v>4904.166666666667</v>
      </c>
      <c r="AF91" s="136">
        <f t="shared" si="118"/>
        <v>5377.0833333333339</v>
      </c>
      <c r="AG91" s="136">
        <f t="shared" si="118"/>
        <v>5356.666666666667</v>
      </c>
      <c r="AH91" s="136">
        <f t="shared" si="118"/>
        <v>5675</v>
      </c>
      <c r="AI91" s="136">
        <f t="shared" si="118"/>
        <v>6447.0833333333339</v>
      </c>
      <c r="AJ91" s="136">
        <f t="shared" si="118"/>
        <v>6992.5000000000009</v>
      </c>
      <c r="AK91" s="136">
        <f t="shared" si="118"/>
        <v>7332.5000000000009</v>
      </c>
      <c r="AL91" s="136">
        <f t="shared" si="118"/>
        <v>7704.1666666666679</v>
      </c>
      <c r="AM91" s="136">
        <f t="shared" si="118"/>
        <v>7855.8333333333339</v>
      </c>
      <c r="AN91" s="136">
        <f t="shared" si="118"/>
        <v>8059.166666666667</v>
      </c>
      <c r="AO91" s="136">
        <f t="shared" si="118"/>
        <v>7805.8333333333339</v>
      </c>
      <c r="AP91" s="136">
        <f t="shared" si="118"/>
        <v>8678.3333333333339</v>
      </c>
      <c r="AQ91" s="136">
        <f t="shared" si="118"/>
        <v>9409.1666666666679</v>
      </c>
      <c r="AS91" s="167"/>
      <c r="AT91" s="167"/>
      <c r="AU91" s="167"/>
      <c r="AV91" s="167"/>
      <c r="AW91" s="167"/>
      <c r="AX91" s="167"/>
      <c r="AY91" s="167"/>
      <c r="AZ91" s="167"/>
      <c r="BA91" s="167"/>
      <c r="BB91" s="167"/>
      <c r="BC91" s="167"/>
      <c r="BD91" s="167"/>
      <c r="BE91" s="167"/>
      <c r="BF91" s="167"/>
      <c r="BG91" s="167"/>
      <c r="BH91" s="167"/>
      <c r="BI91" s="167"/>
      <c r="BJ91" s="167"/>
      <c r="BK91" s="167"/>
      <c r="BL91" s="167"/>
      <c r="BM91" s="167"/>
      <c r="BN91" s="167"/>
      <c r="BO91" s="167"/>
      <c r="BP91" s="167"/>
      <c r="BQ91" s="167"/>
      <c r="BR91" s="167"/>
      <c r="BS91" s="167"/>
      <c r="BT91" s="167"/>
      <c r="BU91" s="167"/>
      <c r="BV91" s="167"/>
      <c r="BW91" s="167"/>
      <c r="BX91" s="167"/>
      <c r="BY91" s="167"/>
      <c r="BZ91" s="167"/>
      <c r="CA91" s="167"/>
      <c r="CB91" s="167"/>
      <c r="CC91" s="167"/>
      <c r="CD91" s="167"/>
      <c r="CE91" s="167"/>
      <c r="CF91" s="167"/>
      <c r="CG91" s="167"/>
      <c r="CH91" s="167"/>
      <c r="CI91" s="167"/>
      <c r="CJ91" s="167"/>
      <c r="CK91" s="167"/>
      <c r="CL91" s="167"/>
      <c r="CM91" s="167"/>
      <c r="CN91" s="167"/>
      <c r="CO91" s="167"/>
      <c r="CP91" s="167"/>
      <c r="CQ91" s="167"/>
    </row>
    <row r="92" spans="1:95" ht="16" customHeight="1">
      <c r="A92" s="130"/>
      <c r="B92" s="1116"/>
      <c r="C92" s="209"/>
      <c r="D92" s="140"/>
      <c r="E92" s="131"/>
      <c r="G92" s="132" t="s">
        <v>239</v>
      </c>
      <c r="H92" s="135">
        <f t="shared" ref="H92:S92" si="119">$D88*H86*H87+$E88*H88*H89</f>
        <v>1045.1200000000001</v>
      </c>
      <c r="I92" s="135">
        <f t="shared" si="119"/>
        <v>1160.6104761904762</v>
      </c>
      <c r="J92" s="135">
        <f t="shared" si="119"/>
        <v>1292.8885714285716</v>
      </c>
      <c r="K92" s="135">
        <f t="shared" si="119"/>
        <v>1277.2333333333336</v>
      </c>
      <c r="L92" s="135">
        <f t="shared" si="119"/>
        <v>1379.0914285714289</v>
      </c>
      <c r="M92" s="135">
        <f t="shared" si="119"/>
        <v>1457.8514285714286</v>
      </c>
      <c r="N92" s="135">
        <f t="shared" si="119"/>
        <v>1523.9904761904763</v>
      </c>
      <c r="O92" s="135">
        <f t="shared" si="119"/>
        <v>1560.7209523809522</v>
      </c>
      <c r="P92" s="867">
        <f t="shared" si="119"/>
        <v>1124.627619047619</v>
      </c>
      <c r="Q92" s="135">
        <f t="shared" si="119"/>
        <v>1257.2904761904763</v>
      </c>
      <c r="R92" s="135">
        <f t="shared" si="119"/>
        <v>1398.3471428571429</v>
      </c>
      <c r="S92" s="244">
        <f t="shared" si="119"/>
        <v>1517.8833333333334</v>
      </c>
      <c r="T92" s="135">
        <f t="shared" ref="T92:AE92" si="120">$D89*T86*T87+$E89*T88*T89</f>
        <v>1627.3872000000001</v>
      </c>
      <c r="U92" s="135">
        <f t="shared" si="120"/>
        <v>1805.052342857143</v>
      </c>
      <c r="V92" s="270">
        <f t="shared" si="120"/>
        <v>1907.8809904761904</v>
      </c>
      <c r="W92" s="135">
        <f t="shared" si="120"/>
        <v>2311.2443047619045</v>
      </c>
      <c r="X92" s="135">
        <f t="shared" si="120"/>
        <v>2513.2129142857139</v>
      </c>
      <c r="Y92" s="135">
        <f t="shared" si="120"/>
        <v>2629.771123809523</v>
      </c>
      <c r="Z92" s="135">
        <f t="shared" si="120"/>
        <v>2762.5588952380949</v>
      </c>
      <c r="AA92" s="135">
        <f t="shared" si="120"/>
        <v>2821.1658285714279</v>
      </c>
      <c r="AB92" s="903">
        <f t="shared" si="120"/>
        <v>3370.4725714285705</v>
      </c>
      <c r="AC92" s="135">
        <f t="shared" si="120"/>
        <v>3260.1847999999995</v>
      </c>
      <c r="AD92" s="135">
        <f t="shared" si="120"/>
        <v>3631.2524952380954</v>
      </c>
      <c r="AE92" s="244">
        <f t="shared" si="120"/>
        <v>3937.4836952380956</v>
      </c>
      <c r="AF92" s="135">
        <f t="shared" ref="AF92:AQ92" si="121">$D90*AF86*AF87+$E90*AF88*AF89</f>
        <v>4311.1970201904769</v>
      </c>
      <c r="AG92" s="135">
        <f t="shared" si="121"/>
        <v>4290.7803535238099</v>
      </c>
      <c r="AH92" s="135">
        <f t="shared" si="121"/>
        <v>4534.5455085714293</v>
      </c>
      <c r="AI92" s="135">
        <f t="shared" si="121"/>
        <v>5141.0436224761906</v>
      </c>
      <c r="AJ92" s="135">
        <f t="shared" si="121"/>
        <v>5571.3182491428579</v>
      </c>
      <c r="AK92" s="135">
        <f t="shared" si="121"/>
        <v>5835.6534800000009</v>
      </c>
      <c r="AL92" s="135">
        <f t="shared" si="121"/>
        <v>6129.462195809524</v>
      </c>
      <c r="AM92" s="135">
        <f t="shared" si="121"/>
        <v>6250.4243184761917</v>
      </c>
      <c r="AN92" s="135">
        <f t="shared" si="121"/>
        <v>6418.6667443809529</v>
      </c>
      <c r="AO92" s="135">
        <f t="shared" si="121"/>
        <v>6228.935680761906</v>
      </c>
      <c r="AP92" s="135">
        <f t="shared" si="121"/>
        <v>6942.430006476191</v>
      </c>
      <c r="AQ92" s="135">
        <f t="shared" si="121"/>
        <v>7543.8656186666667</v>
      </c>
      <c r="AS92" s="167"/>
      <c r="AT92" s="167"/>
      <c r="AU92" s="167"/>
      <c r="AV92" s="167"/>
      <c r="AW92" s="167"/>
      <c r="AX92" s="167"/>
      <c r="AY92" s="167"/>
      <c r="AZ92" s="167"/>
      <c r="BA92" s="167"/>
      <c r="BB92" s="167"/>
      <c r="BC92" s="167"/>
      <c r="BD92" s="167"/>
      <c r="BE92" s="167"/>
      <c r="BF92" s="167"/>
      <c r="BG92" s="167"/>
      <c r="BH92" s="167"/>
      <c r="BI92" s="167"/>
      <c r="BJ92" s="167"/>
      <c r="BK92" s="167"/>
      <c r="BL92" s="167"/>
      <c r="BM92" s="167"/>
      <c r="BN92" s="167"/>
      <c r="BO92" s="167"/>
      <c r="BP92" s="167"/>
      <c r="BQ92" s="167"/>
      <c r="BR92" s="167"/>
      <c r="BS92" s="167"/>
      <c r="BT92" s="167"/>
      <c r="BU92" s="167"/>
      <c r="BV92" s="167"/>
      <c r="BW92" s="167"/>
      <c r="BX92" s="167"/>
      <c r="BY92" s="167"/>
      <c r="BZ92" s="167"/>
      <c r="CA92" s="167"/>
      <c r="CB92" s="167"/>
      <c r="CC92" s="167"/>
      <c r="CD92" s="167"/>
      <c r="CE92" s="167"/>
      <c r="CF92" s="167"/>
      <c r="CG92" s="167"/>
      <c r="CH92" s="167"/>
      <c r="CI92" s="167"/>
      <c r="CJ92" s="167"/>
      <c r="CK92" s="167"/>
      <c r="CL92" s="167"/>
      <c r="CM92" s="167"/>
      <c r="CN92" s="167"/>
      <c r="CO92" s="167"/>
      <c r="CP92" s="167"/>
      <c r="CQ92" s="167"/>
    </row>
    <row r="93" spans="1:95" ht="16" customHeight="1">
      <c r="A93" s="130"/>
      <c r="B93" s="225"/>
      <c r="C93" s="209"/>
      <c r="D93" s="140"/>
      <c r="E93" s="131"/>
      <c r="G93" s="132"/>
      <c r="H93" s="135"/>
      <c r="I93" s="135"/>
      <c r="J93" s="135"/>
      <c r="K93" s="135"/>
      <c r="L93" s="135"/>
      <c r="M93" s="135"/>
      <c r="N93" s="135"/>
      <c r="O93" s="135"/>
      <c r="P93" s="867"/>
      <c r="Q93" s="135"/>
      <c r="R93" s="135"/>
      <c r="S93" s="244"/>
      <c r="T93" s="135"/>
      <c r="U93" s="135"/>
      <c r="V93" s="270"/>
      <c r="W93" s="135"/>
      <c r="X93" s="135"/>
      <c r="Y93" s="135"/>
      <c r="Z93" s="135"/>
      <c r="AA93" s="135"/>
      <c r="AB93" s="903"/>
      <c r="AC93" s="135"/>
      <c r="AD93" s="135"/>
      <c r="AE93" s="244"/>
      <c r="AF93" s="135"/>
      <c r="AG93" s="135"/>
      <c r="AH93" s="135"/>
      <c r="AI93" s="135"/>
      <c r="AJ93" s="135"/>
      <c r="AK93" s="135"/>
      <c r="AL93" s="135"/>
      <c r="AM93" s="135"/>
      <c r="AN93" s="135"/>
      <c r="AO93" s="135"/>
      <c r="AP93" s="135"/>
      <c r="AQ93" s="135"/>
      <c r="AS93" s="167"/>
      <c r="AT93" s="167"/>
      <c r="AU93" s="167"/>
      <c r="AV93" s="167"/>
      <c r="AW93" s="167"/>
      <c r="AX93" s="167"/>
      <c r="AY93" s="167"/>
      <c r="AZ93" s="167"/>
      <c r="BA93" s="167"/>
      <c r="BB93" s="167"/>
      <c r="BC93" s="167"/>
      <c r="BD93" s="167"/>
      <c r="BE93" s="167"/>
      <c r="BF93" s="167"/>
      <c r="BG93" s="167"/>
      <c r="BH93" s="167"/>
      <c r="BI93" s="167"/>
      <c r="BJ93" s="167"/>
      <c r="BK93" s="167"/>
      <c r="BL93" s="167"/>
      <c r="BM93" s="167"/>
      <c r="BN93" s="167"/>
      <c r="BO93" s="167"/>
      <c r="BP93" s="167"/>
      <c r="BQ93" s="167"/>
      <c r="BR93" s="167"/>
      <c r="BS93" s="167"/>
      <c r="BT93" s="167"/>
      <c r="BU93" s="167"/>
      <c r="BV93" s="167"/>
      <c r="BW93" s="167"/>
      <c r="BX93" s="167"/>
      <c r="BY93" s="167"/>
      <c r="BZ93" s="167"/>
      <c r="CA93" s="167"/>
      <c r="CB93" s="167"/>
      <c r="CC93" s="167"/>
      <c r="CD93" s="167"/>
      <c r="CE93" s="167"/>
      <c r="CF93" s="167"/>
      <c r="CG93" s="167"/>
      <c r="CH93" s="167"/>
      <c r="CI93" s="167"/>
      <c r="CJ93" s="167"/>
      <c r="CK93" s="167"/>
      <c r="CL93" s="167"/>
      <c r="CM93" s="167"/>
      <c r="CN93" s="167"/>
      <c r="CO93" s="167"/>
      <c r="CP93" s="167"/>
      <c r="CQ93" s="167"/>
    </row>
    <row r="94" spans="1:95" s="50" customFormat="1" ht="16" customHeight="1">
      <c r="A94" s="130"/>
      <c r="B94" s="299"/>
      <c r="C94" s="494"/>
      <c r="D94" s="286"/>
      <c r="E94" s="287"/>
      <c r="G94" s="288"/>
      <c r="H94" s="222" t="s">
        <v>326</v>
      </c>
      <c r="I94" s="206"/>
      <c r="J94" s="206"/>
      <c r="K94" s="206"/>
      <c r="L94" s="206"/>
      <c r="M94" s="206"/>
      <c r="N94" s="206"/>
      <c r="O94" s="206"/>
      <c r="P94" s="863"/>
      <c r="Q94" s="206"/>
      <c r="R94" s="206"/>
      <c r="S94" s="240"/>
      <c r="T94" s="222" t="s">
        <v>313</v>
      </c>
      <c r="U94" s="206"/>
      <c r="V94" s="266"/>
      <c r="W94" s="206"/>
      <c r="X94" s="206"/>
      <c r="Y94" s="281" t="str">
        <f>'Pricing Model'!G127</f>
        <v>Hong Kong Style Coffee-Milk Tea</v>
      </c>
      <c r="Z94" s="280"/>
      <c r="AA94" s="253"/>
      <c r="AB94" s="899"/>
      <c r="AC94" s="206"/>
      <c r="AD94" s="231" t="s">
        <v>335</v>
      </c>
      <c r="AE94" s="240"/>
      <c r="AF94" s="229" t="s">
        <v>345</v>
      </c>
      <c r="AG94" s="253"/>
      <c r="AH94" s="206"/>
      <c r="AI94" s="206"/>
      <c r="AJ94" s="206"/>
      <c r="AK94" s="206"/>
      <c r="AL94" s="206"/>
      <c r="AM94" s="206"/>
      <c r="AN94" s="206"/>
      <c r="AO94" s="206"/>
      <c r="AP94" s="206"/>
      <c r="AQ94" s="206"/>
    </row>
    <row r="95" spans="1:95" s="50" customFormat="1" ht="16" customHeight="1">
      <c r="A95" s="130"/>
      <c r="B95" s="1108" t="str">
        <f>'Pricing Model'!G127</f>
        <v>Hong Kong Style Coffee-Milk Tea</v>
      </c>
      <c r="C95" s="495"/>
      <c r="D95" s="164"/>
      <c r="E95" s="164"/>
      <c r="F95" s="164"/>
      <c r="G95" s="216" t="s">
        <v>296</v>
      </c>
      <c r="H95" s="53">
        <f>ROUND(H86/1.5,-1)</f>
        <v>320</v>
      </c>
      <c r="I95" s="53">
        <f t="shared" ref="I95:S95" si="122">ROUND(I86/1.5,-1)</f>
        <v>290</v>
      </c>
      <c r="J95" s="53">
        <f t="shared" si="122"/>
        <v>260</v>
      </c>
      <c r="K95" s="53">
        <f t="shared" si="122"/>
        <v>170</v>
      </c>
      <c r="L95" s="53">
        <f t="shared" si="122"/>
        <v>120</v>
      </c>
      <c r="M95" s="53">
        <f t="shared" si="122"/>
        <v>80</v>
      </c>
      <c r="N95" s="53">
        <f t="shared" si="122"/>
        <v>70</v>
      </c>
      <c r="O95" s="53">
        <f t="shared" si="122"/>
        <v>70</v>
      </c>
      <c r="P95" s="864">
        <f t="shared" si="122"/>
        <v>50</v>
      </c>
      <c r="Q95" s="53">
        <v>165</v>
      </c>
      <c r="R95" s="53">
        <f t="shared" si="122"/>
        <v>290</v>
      </c>
      <c r="S95" s="241">
        <f t="shared" si="122"/>
        <v>420</v>
      </c>
      <c r="T95" s="53">
        <f>ROUND(T86/2,-1)</f>
        <v>360</v>
      </c>
      <c r="U95" s="53">
        <f t="shared" ref="U95:AB95" si="123">ROUND(U86/2,-1)</f>
        <v>320</v>
      </c>
      <c r="V95" s="267">
        <f t="shared" si="123"/>
        <v>240</v>
      </c>
      <c r="W95" s="53">
        <f t="shared" si="123"/>
        <v>220</v>
      </c>
      <c r="X95" s="53">
        <f t="shared" si="123"/>
        <v>160</v>
      </c>
      <c r="Y95" s="53">
        <f t="shared" si="123"/>
        <v>110</v>
      </c>
      <c r="Z95" s="53">
        <f t="shared" si="123"/>
        <v>90</v>
      </c>
      <c r="AA95" s="53">
        <f t="shared" si="123"/>
        <v>100</v>
      </c>
      <c r="AB95" s="900">
        <f t="shared" si="123"/>
        <v>190</v>
      </c>
      <c r="AC95" s="53">
        <f>ROUND(AC86/1.5,-1)</f>
        <v>420</v>
      </c>
      <c r="AD95" s="53">
        <f t="shared" ref="AD95:AQ95" si="124">ROUND(AD86/1.5,-1)</f>
        <v>730</v>
      </c>
      <c r="AE95" s="241">
        <f t="shared" si="124"/>
        <v>1040</v>
      </c>
      <c r="AF95" s="53">
        <f t="shared" si="124"/>
        <v>1100</v>
      </c>
      <c r="AG95" s="53">
        <f t="shared" si="124"/>
        <v>990</v>
      </c>
      <c r="AH95" s="53">
        <f t="shared" si="124"/>
        <v>730</v>
      </c>
      <c r="AI95" s="53">
        <f t="shared" si="124"/>
        <v>540</v>
      </c>
      <c r="AJ95" s="53">
        <f t="shared" si="124"/>
        <v>460</v>
      </c>
      <c r="AK95" s="53">
        <f t="shared" si="124"/>
        <v>300</v>
      </c>
      <c r="AL95" s="53">
        <f t="shared" si="124"/>
        <v>260</v>
      </c>
      <c r="AM95" s="53">
        <f t="shared" si="124"/>
        <v>270</v>
      </c>
      <c r="AN95" s="53">
        <f t="shared" si="124"/>
        <v>460</v>
      </c>
      <c r="AO95" s="53">
        <f t="shared" si="124"/>
        <v>780</v>
      </c>
      <c r="AP95" s="53">
        <f t="shared" si="124"/>
        <v>1350</v>
      </c>
      <c r="AQ95" s="53">
        <f t="shared" si="124"/>
        <v>1930</v>
      </c>
    </row>
    <row r="96" spans="1:95">
      <c r="A96" s="130"/>
      <c r="B96" s="1108"/>
      <c r="C96" s="213"/>
      <c r="D96" s="215" t="s">
        <v>294</v>
      </c>
      <c r="E96" s="215" t="s">
        <v>295</v>
      </c>
      <c r="F96" s="215"/>
      <c r="G96" s="133" t="s">
        <v>292</v>
      </c>
      <c r="H96" s="133">
        <f>'Pricing Model'!$H$141</f>
        <v>2.0833333333333335</v>
      </c>
      <c r="I96" s="133">
        <f>'Pricing Model'!$H$141</f>
        <v>2.0833333333333335</v>
      </c>
      <c r="J96" s="133">
        <f>'Pricing Model'!$H$141</f>
        <v>2.0833333333333335</v>
      </c>
      <c r="K96" s="133">
        <f>'Pricing Model'!$H$141</f>
        <v>2.0833333333333335</v>
      </c>
      <c r="L96" s="133">
        <f>'Pricing Model'!$H$141</f>
        <v>2.0833333333333335</v>
      </c>
      <c r="M96" s="133">
        <f>'Pricing Model'!$H$141</f>
        <v>2.0833333333333335</v>
      </c>
      <c r="N96" s="133">
        <f>'Pricing Model'!$H$141</f>
        <v>2.0833333333333335</v>
      </c>
      <c r="O96" s="133">
        <f>'Pricing Model'!$H$141</f>
        <v>2.0833333333333335</v>
      </c>
      <c r="P96" s="865">
        <f>'Pricing Model'!$H$141</f>
        <v>2.0833333333333335</v>
      </c>
      <c r="Q96" s="133">
        <f>'Pricing Model'!$H$141</f>
        <v>2.0833333333333335</v>
      </c>
      <c r="R96" s="133">
        <f>'Pricing Model'!$H$141</f>
        <v>2.0833333333333335</v>
      </c>
      <c r="S96" s="242">
        <f>'Pricing Model'!$H$141</f>
        <v>2.0833333333333335</v>
      </c>
      <c r="T96" s="133">
        <f>'Pricing Model'!$I$141</f>
        <v>2.166666666666667</v>
      </c>
      <c r="U96" s="133">
        <f>'Pricing Model'!$I$141</f>
        <v>2.166666666666667</v>
      </c>
      <c r="V96" s="268">
        <f>'Pricing Model'!$I$141</f>
        <v>2.166666666666667</v>
      </c>
      <c r="W96" s="133">
        <f>'Pricing Model'!$I$141</f>
        <v>2.166666666666667</v>
      </c>
      <c r="X96" s="133">
        <f>'Pricing Model'!$I$141</f>
        <v>2.166666666666667</v>
      </c>
      <c r="Y96" s="133">
        <f>'Pricing Model'!$I$141</f>
        <v>2.166666666666667</v>
      </c>
      <c r="Z96" s="133">
        <f>'Pricing Model'!$I$141</f>
        <v>2.166666666666667</v>
      </c>
      <c r="AA96" s="133">
        <f>'Pricing Model'!$I$141</f>
        <v>2.166666666666667</v>
      </c>
      <c r="AB96" s="901">
        <f>'Pricing Model'!$I$141</f>
        <v>2.166666666666667</v>
      </c>
      <c r="AC96" s="133">
        <f>'Pricing Model'!$I$141</f>
        <v>2.166666666666667</v>
      </c>
      <c r="AD96" s="133">
        <f>'Pricing Model'!$I$141</f>
        <v>2.166666666666667</v>
      </c>
      <c r="AE96" s="242">
        <f>'Pricing Model'!$I$141</f>
        <v>2.166666666666667</v>
      </c>
      <c r="AF96" s="133">
        <f>'Pricing Model'!$J$141</f>
        <v>2.25</v>
      </c>
      <c r="AG96" s="133">
        <f>'Pricing Model'!$J$141</f>
        <v>2.25</v>
      </c>
      <c r="AH96" s="133">
        <f>'Pricing Model'!$J$141</f>
        <v>2.25</v>
      </c>
      <c r="AI96" s="133">
        <f>'Pricing Model'!$J$141</f>
        <v>2.25</v>
      </c>
      <c r="AJ96" s="133">
        <f>'Pricing Model'!$J$141</f>
        <v>2.25</v>
      </c>
      <c r="AK96" s="133">
        <f>'Pricing Model'!$J$141</f>
        <v>2.25</v>
      </c>
      <c r="AL96" s="133">
        <f>'Pricing Model'!$J$141</f>
        <v>2.25</v>
      </c>
      <c r="AM96" s="133">
        <f>'Pricing Model'!$J$141</f>
        <v>2.25</v>
      </c>
      <c r="AN96" s="133">
        <f>'Pricing Model'!$J$141</f>
        <v>2.25</v>
      </c>
      <c r="AO96" s="133">
        <f>'Pricing Model'!$J$141</f>
        <v>2.25</v>
      </c>
      <c r="AP96" s="133">
        <f>'Pricing Model'!$J$141</f>
        <v>2.25</v>
      </c>
      <c r="AQ96" s="133">
        <f>'Pricing Model'!$J$141</f>
        <v>2.25</v>
      </c>
      <c r="AS96" s="167"/>
      <c r="AT96" s="167"/>
      <c r="AU96" s="167"/>
      <c r="AV96" s="167"/>
      <c r="AW96" s="167"/>
      <c r="AX96" s="167"/>
      <c r="AY96" s="167"/>
      <c r="AZ96" s="167"/>
      <c r="BA96" s="167"/>
      <c r="BB96" s="167"/>
      <c r="BC96" s="167"/>
      <c r="BD96" s="167"/>
      <c r="BE96" s="167"/>
      <c r="BF96" s="167"/>
      <c r="BG96" s="167"/>
      <c r="BH96" s="167"/>
      <c r="BI96" s="167"/>
      <c r="BJ96" s="167"/>
      <c r="BK96" s="167"/>
      <c r="BL96" s="167"/>
      <c r="BM96" s="167"/>
      <c r="BN96" s="167"/>
      <c r="BO96" s="167"/>
      <c r="BP96" s="167"/>
      <c r="BQ96" s="167"/>
      <c r="BR96" s="167"/>
      <c r="BS96" s="167"/>
      <c r="BT96" s="167"/>
      <c r="BU96" s="167"/>
      <c r="BV96" s="167"/>
      <c r="BW96" s="167"/>
      <c r="BX96" s="167"/>
      <c r="BY96" s="167"/>
      <c r="BZ96" s="167"/>
      <c r="CA96" s="167"/>
      <c r="CB96" s="167"/>
      <c r="CC96" s="167"/>
      <c r="CD96" s="167"/>
      <c r="CE96" s="167"/>
      <c r="CF96" s="167"/>
      <c r="CG96" s="167"/>
      <c r="CH96" s="167"/>
      <c r="CI96" s="167"/>
      <c r="CJ96" s="167"/>
      <c r="CK96" s="167"/>
      <c r="CL96" s="167"/>
      <c r="CM96" s="167"/>
      <c r="CN96" s="167"/>
      <c r="CO96" s="167"/>
      <c r="CP96" s="167"/>
      <c r="CQ96" s="167"/>
    </row>
    <row r="97" spans="1:95">
      <c r="A97" s="130"/>
      <c r="B97" s="1108"/>
      <c r="C97" s="493">
        <f>'Pricing Model'!$C$6</f>
        <v>2025</v>
      </c>
      <c r="D97" s="140">
        <f>'Pricing Model'!H$144</f>
        <v>0.74732799999999988</v>
      </c>
      <c r="E97" s="140">
        <f>'Pricing Model'!H$152</f>
        <v>0.7367999999999999</v>
      </c>
      <c r="F97" s="1109"/>
      <c r="G97" s="217" t="s">
        <v>297</v>
      </c>
      <c r="H97" s="53">
        <f>ROUND(H88/1.5,-1)</f>
        <v>80</v>
      </c>
      <c r="I97" s="53">
        <f t="shared" ref="I97:S97" si="125">ROUND(I88/1.5,-1)</f>
        <v>150</v>
      </c>
      <c r="J97" s="53">
        <f t="shared" si="125"/>
        <v>210</v>
      </c>
      <c r="K97" s="53">
        <f t="shared" si="125"/>
        <v>290</v>
      </c>
      <c r="L97" s="53">
        <f t="shared" si="125"/>
        <v>360</v>
      </c>
      <c r="M97" s="53">
        <f t="shared" si="125"/>
        <v>420</v>
      </c>
      <c r="N97" s="53">
        <f t="shared" si="125"/>
        <v>450</v>
      </c>
      <c r="O97" s="53">
        <f t="shared" si="125"/>
        <v>460</v>
      </c>
      <c r="P97" s="864">
        <f t="shared" si="125"/>
        <v>340</v>
      </c>
      <c r="Q97" s="53">
        <f t="shared" si="125"/>
        <v>280</v>
      </c>
      <c r="R97" s="53">
        <f t="shared" si="125"/>
        <v>220</v>
      </c>
      <c r="S97" s="241">
        <f t="shared" si="125"/>
        <v>160</v>
      </c>
      <c r="T97" s="53">
        <f>ROUND(T88/2,-1)</f>
        <v>90</v>
      </c>
      <c r="U97" s="53">
        <f t="shared" ref="U97:AA97" si="126">ROUND(U88/2,-1)</f>
        <v>170</v>
      </c>
      <c r="V97" s="267">
        <f t="shared" si="126"/>
        <v>260</v>
      </c>
      <c r="W97" s="53">
        <f t="shared" si="126"/>
        <v>380</v>
      </c>
      <c r="X97" s="53">
        <f t="shared" si="126"/>
        <v>480</v>
      </c>
      <c r="Y97" s="53">
        <f t="shared" si="126"/>
        <v>550</v>
      </c>
      <c r="Z97" s="53">
        <f t="shared" si="126"/>
        <v>600</v>
      </c>
      <c r="AA97" s="53">
        <f t="shared" si="126"/>
        <v>610</v>
      </c>
      <c r="AB97" s="900">
        <v>650</v>
      </c>
      <c r="AC97" s="53">
        <f>ROUND(AC88/1.5,-1)</f>
        <v>700</v>
      </c>
      <c r="AD97" s="53">
        <f t="shared" ref="AD97:AQ97" si="127">ROUND(AD88/1.5,-1)</f>
        <v>560</v>
      </c>
      <c r="AE97" s="241">
        <f t="shared" si="127"/>
        <v>390</v>
      </c>
      <c r="AF97" s="53">
        <f t="shared" si="127"/>
        <v>410</v>
      </c>
      <c r="AG97" s="53">
        <f t="shared" si="127"/>
        <v>510</v>
      </c>
      <c r="AH97" s="53">
        <f t="shared" si="127"/>
        <v>800</v>
      </c>
      <c r="AI97" s="53">
        <f t="shared" si="127"/>
        <v>1150</v>
      </c>
      <c r="AJ97" s="53">
        <f t="shared" si="127"/>
        <v>1360</v>
      </c>
      <c r="AK97" s="53">
        <f t="shared" si="127"/>
        <v>1580</v>
      </c>
      <c r="AL97" s="53">
        <f t="shared" si="127"/>
        <v>1710</v>
      </c>
      <c r="AM97" s="53">
        <f t="shared" si="127"/>
        <v>1730</v>
      </c>
      <c r="AN97" s="53">
        <f t="shared" si="127"/>
        <v>1630</v>
      </c>
      <c r="AO97" s="53">
        <f t="shared" si="127"/>
        <v>1290</v>
      </c>
      <c r="AP97" s="53">
        <f t="shared" si="127"/>
        <v>1030</v>
      </c>
      <c r="AQ97" s="53">
        <f t="shared" si="127"/>
        <v>730</v>
      </c>
      <c r="AS97" s="167"/>
      <c r="AT97" s="167"/>
      <c r="AU97" s="167"/>
      <c r="AV97" s="167"/>
      <c r="AW97" s="167"/>
      <c r="AX97" s="167"/>
      <c r="AY97" s="167"/>
      <c r="AZ97" s="167"/>
      <c r="BA97" s="167"/>
      <c r="BB97" s="167"/>
      <c r="BC97" s="167"/>
      <c r="BD97" s="167"/>
      <c r="BE97" s="167"/>
      <c r="BF97" s="167"/>
      <c r="BG97" s="167"/>
      <c r="BH97" s="167"/>
      <c r="BI97" s="167"/>
      <c r="BJ97" s="167"/>
      <c r="BK97" s="167"/>
      <c r="BL97" s="167"/>
      <c r="BM97" s="167"/>
      <c r="BN97" s="167"/>
      <c r="BO97" s="167"/>
      <c r="BP97" s="167"/>
      <c r="BQ97" s="167"/>
      <c r="BR97" s="167"/>
      <c r="BS97" s="167"/>
      <c r="BT97" s="167"/>
      <c r="BU97" s="167"/>
      <c r="BV97" s="167"/>
      <c r="BW97" s="167"/>
      <c r="BX97" s="167"/>
      <c r="BY97" s="167"/>
      <c r="BZ97" s="167"/>
      <c r="CA97" s="167"/>
      <c r="CB97" s="167"/>
      <c r="CC97" s="167"/>
      <c r="CD97" s="167"/>
      <c r="CE97" s="167"/>
      <c r="CF97" s="167"/>
      <c r="CG97" s="167"/>
      <c r="CH97" s="167"/>
      <c r="CI97" s="167"/>
      <c r="CJ97" s="167"/>
      <c r="CK97" s="167"/>
      <c r="CL97" s="167"/>
      <c r="CM97" s="167"/>
      <c r="CN97" s="167"/>
      <c r="CO97" s="167"/>
      <c r="CP97" s="167"/>
      <c r="CQ97" s="167"/>
    </row>
    <row r="98" spans="1:95">
      <c r="A98" s="130"/>
      <c r="B98" s="1108"/>
      <c r="C98" s="493">
        <f>C97+1</f>
        <v>2026</v>
      </c>
      <c r="D98" s="140">
        <f>'Pricing Model'!I$144</f>
        <v>0.7473280000000001</v>
      </c>
      <c r="E98" s="140">
        <f>'Pricing Model'!I$152</f>
        <v>0.73510193548387093</v>
      </c>
      <c r="F98" s="1109"/>
      <c r="G98" s="133" t="s">
        <v>293</v>
      </c>
      <c r="H98" s="133">
        <f>'Pricing Model'!$H$149</f>
        <v>2.5</v>
      </c>
      <c r="I98" s="133">
        <f>'Pricing Model'!$H$149</f>
        <v>2.5</v>
      </c>
      <c r="J98" s="133">
        <f>'Pricing Model'!$H$149</f>
        <v>2.5</v>
      </c>
      <c r="K98" s="133">
        <f>'Pricing Model'!$H$149</f>
        <v>2.5</v>
      </c>
      <c r="L98" s="133">
        <f>'Pricing Model'!$H$149</f>
        <v>2.5</v>
      </c>
      <c r="M98" s="133">
        <f>'Pricing Model'!$H$149</f>
        <v>2.5</v>
      </c>
      <c r="N98" s="133">
        <f>'Pricing Model'!$H$149</f>
        <v>2.5</v>
      </c>
      <c r="O98" s="133">
        <f>'Pricing Model'!$H$149</f>
        <v>2.5</v>
      </c>
      <c r="P98" s="865">
        <f>'Pricing Model'!$H$149</f>
        <v>2.5</v>
      </c>
      <c r="Q98" s="133">
        <f>'Pricing Model'!$H$149</f>
        <v>2.5</v>
      </c>
      <c r="R98" s="133">
        <f>'Pricing Model'!$H$149</f>
        <v>2.5</v>
      </c>
      <c r="S98" s="242">
        <f>'Pricing Model'!$H$149</f>
        <v>2.5</v>
      </c>
      <c r="T98" s="133">
        <f>'Pricing Model'!$I$149</f>
        <v>2.583333333333333</v>
      </c>
      <c r="U98" s="133">
        <f>'Pricing Model'!$I$149</f>
        <v>2.583333333333333</v>
      </c>
      <c r="V98" s="268">
        <f>'Pricing Model'!$I$149</f>
        <v>2.583333333333333</v>
      </c>
      <c r="W98" s="133">
        <f>'Pricing Model'!$I$149</f>
        <v>2.583333333333333</v>
      </c>
      <c r="X98" s="133">
        <f>'Pricing Model'!$I$149</f>
        <v>2.583333333333333</v>
      </c>
      <c r="Y98" s="133">
        <f>'Pricing Model'!$I$149</f>
        <v>2.583333333333333</v>
      </c>
      <c r="Z98" s="133">
        <f>'Pricing Model'!$I$149</f>
        <v>2.583333333333333</v>
      </c>
      <c r="AA98" s="133">
        <f>'Pricing Model'!$I$149</f>
        <v>2.583333333333333</v>
      </c>
      <c r="AB98" s="901">
        <f>'Pricing Model'!$I$149</f>
        <v>2.583333333333333</v>
      </c>
      <c r="AC98" s="133">
        <f>'Pricing Model'!$I$149</f>
        <v>2.583333333333333</v>
      </c>
      <c r="AD98" s="133">
        <f>'Pricing Model'!$I$149</f>
        <v>2.583333333333333</v>
      </c>
      <c r="AE98" s="242">
        <f>'Pricing Model'!$I$149</f>
        <v>2.583333333333333</v>
      </c>
      <c r="AF98" s="133">
        <f>'Pricing Model'!$J$149</f>
        <v>2.666666666666667</v>
      </c>
      <c r="AG98" s="133">
        <f>'Pricing Model'!$J$149</f>
        <v>2.666666666666667</v>
      </c>
      <c r="AH98" s="133">
        <f>'Pricing Model'!$J$149</f>
        <v>2.666666666666667</v>
      </c>
      <c r="AI98" s="133">
        <f>'Pricing Model'!$J$149</f>
        <v>2.666666666666667</v>
      </c>
      <c r="AJ98" s="133">
        <f>'Pricing Model'!$J$149</f>
        <v>2.666666666666667</v>
      </c>
      <c r="AK98" s="133">
        <f>'Pricing Model'!$J$149</f>
        <v>2.666666666666667</v>
      </c>
      <c r="AL98" s="133">
        <f>'Pricing Model'!$J$149</f>
        <v>2.666666666666667</v>
      </c>
      <c r="AM98" s="133">
        <f>'Pricing Model'!$J$149</f>
        <v>2.666666666666667</v>
      </c>
      <c r="AN98" s="133">
        <f>'Pricing Model'!$J$149</f>
        <v>2.666666666666667</v>
      </c>
      <c r="AO98" s="133">
        <f>'Pricing Model'!$J$149</f>
        <v>2.666666666666667</v>
      </c>
      <c r="AP98" s="133">
        <f>'Pricing Model'!$J$149</f>
        <v>2.666666666666667</v>
      </c>
      <c r="AQ98" s="133">
        <f>'Pricing Model'!$J$149</f>
        <v>2.666666666666667</v>
      </c>
      <c r="AS98" s="167"/>
      <c r="AT98" s="167"/>
      <c r="AU98" s="167"/>
      <c r="AV98" s="167"/>
      <c r="AW98" s="167"/>
      <c r="AX98" s="167"/>
      <c r="AY98" s="167"/>
      <c r="AZ98" s="167"/>
      <c r="BA98" s="167"/>
      <c r="BB98" s="167"/>
      <c r="BC98" s="167"/>
      <c r="BD98" s="167"/>
      <c r="BE98" s="167"/>
      <c r="BF98" s="167"/>
      <c r="BG98" s="167"/>
      <c r="BH98" s="167"/>
      <c r="BI98" s="167"/>
      <c r="BJ98" s="167"/>
      <c r="BK98" s="167"/>
      <c r="BL98" s="167"/>
      <c r="BM98" s="167"/>
      <c r="BN98" s="167"/>
      <c r="BO98" s="167"/>
      <c r="BP98" s="167"/>
      <c r="BQ98" s="167"/>
      <c r="BR98" s="167"/>
      <c r="BS98" s="167"/>
      <c r="BT98" s="167"/>
      <c r="BU98" s="167"/>
      <c r="BV98" s="167"/>
      <c r="BW98" s="167"/>
      <c r="BX98" s="167"/>
      <c r="BY98" s="167"/>
      <c r="BZ98" s="167"/>
      <c r="CA98" s="167"/>
      <c r="CB98" s="167"/>
      <c r="CC98" s="167"/>
      <c r="CD98" s="167"/>
      <c r="CE98" s="167"/>
      <c r="CF98" s="167"/>
      <c r="CG98" s="167"/>
      <c r="CH98" s="167"/>
      <c r="CI98" s="167"/>
      <c r="CJ98" s="167"/>
      <c r="CK98" s="167"/>
      <c r="CL98" s="167"/>
      <c r="CM98" s="167"/>
      <c r="CN98" s="167"/>
      <c r="CO98" s="167"/>
      <c r="CP98" s="167"/>
      <c r="CQ98" s="167"/>
    </row>
    <row r="99" spans="1:95" ht="16" customHeight="1">
      <c r="A99" s="130"/>
      <c r="B99" s="1108"/>
      <c r="C99" s="493">
        <f>C98+1</f>
        <v>2027</v>
      </c>
      <c r="D99" s="140">
        <f>'Pricing Model'!J$144</f>
        <v>0.74634538666666672</v>
      </c>
      <c r="E99" s="140">
        <f>'Pricing Model'!J$152</f>
        <v>0.73247365000000009</v>
      </c>
      <c r="F99" s="1109"/>
      <c r="G99" s="257" t="s">
        <v>327</v>
      </c>
      <c r="H99" s="305">
        <f>H95+H97</f>
        <v>400</v>
      </c>
      <c r="I99" s="305">
        <f t="shared" ref="I99:AQ99" si="128">I95+I97</f>
        <v>440</v>
      </c>
      <c r="J99" s="305">
        <f t="shared" si="128"/>
        <v>470</v>
      </c>
      <c r="K99" s="305">
        <f t="shared" si="128"/>
        <v>460</v>
      </c>
      <c r="L99" s="305">
        <f t="shared" si="128"/>
        <v>480</v>
      </c>
      <c r="M99" s="305">
        <f t="shared" si="128"/>
        <v>500</v>
      </c>
      <c r="N99" s="305">
        <f t="shared" si="128"/>
        <v>520</v>
      </c>
      <c r="O99" s="305">
        <f t="shared" si="128"/>
        <v>530</v>
      </c>
      <c r="P99" s="875">
        <f t="shared" si="128"/>
        <v>390</v>
      </c>
      <c r="Q99" s="305">
        <f t="shared" si="128"/>
        <v>445</v>
      </c>
      <c r="R99" s="305">
        <f t="shared" si="128"/>
        <v>510</v>
      </c>
      <c r="S99" s="307">
        <f t="shared" si="128"/>
        <v>580</v>
      </c>
      <c r="T99" s="305">
        <f t="shared" si="128"/>
        <v>450</v>
      </c>
      <c r="U99" s="305">
        <f t="shared" si="128"/>
        <v>490</v>
      </c>
      <c r="V99" s="306">
        <f t="shared" si="128"/>
        <v>500</v>
      </c>
      <c r="W99" s="305">
        <f t="shared" si="128"/>
        <v>600</v>
      </c>
      <c r="X99" s="305">
        <f t="shared" si="128"/>
        <v>640</v>
      </c>
      <c r="Y99" s="305">
        <f t="shared" si="128"/>
        <v>660</v>
      </c>
      <c r="Z99" s="305">
        <f t="shared" si="128"/>
        <v>690</v>
      </c>
      <c r="AA99" s="305">
        <f t="shared" si="128"/>
        <v>710</v>
      </c>
      <c r="AB99" s="912">
        <f t="shared" si="128"/>
        <v>840</v>
      </c>
      <c r="AC99" s="305">
        <f t="shared" si="128"/>
        <v>1120</v>
      </c>
      <c r="AD99" s="305">
        <f t="shared" si="128"/>
        <v>1290</v>
      </c>
      <c r="AE99" s="307">
        <f t="shared" si="128"/>
        <v>1430</v>
      </c>
      <c r="AF99" s="305">
        <f t="shared" si="128"/>
        <v>1510</v>
      </c>
      <c r="AG99" s="305">
        <f t="shared" si="128"/>
        <v>1500</v>
      </c>
      <c r="AH99" s="305">
        <f t="shared" si="128"/>
        <v>1530</v>
      </c>
      <c r="AI99" s="305">
        <f t="shared" si="128"/>
        <v>1690</v>
      </c>
      <c r="AJ99" s="305">
        <f t="shared" si="128"/>
        <v>1820</v>
      </c>
      <c r="AK99" s="305">
        <f t="shared" si="128"/>
        <v>1880</v>
      </c>
      <c r="AL99" s="305">
        <f t="shared" si="128"/>
        <v>1970</v>
      </c>
      <c r="AM99" s="305">
        <f t="shared" si="128"/>
        <v>2000</v>
      </c>
      <c r="AN99" s="305">
        <f t="shared" si="128"/>
        <v>2090</v>
      </c>
      <c r="AO99" s="305">
        <f t="shared" si="128"/>
        <v>2070</v>
      </c>
      <c r="AP99" s="305">
        <f t="shared" si="128"/>
        <v>2380</v>
      </c>
      <c r="AQ99" s="305">
        <f t="shared" si="128"/>
        <v>2660</v>
      </c>
      <c r="AS99" s="167"/>
      <c r="AT99" s="167"/>
      <c r="AU99" s="167"/>
      <c r="AV99" s="167"/>
      <c r="AW99" s="167"/>
      <c r="AX99" s="167"/>
      <c r="AY99" s="167"/>
      <c r="AZ99" s="167"/>
      <c r="BA99" s="167"/>
      <c r="BB99" s="167"/>
      <c r="BC99" s="167"/>
      <c r="BD99" s="167"/>
      <c r="BE99" s="167"/>
      <c r="BF99" s="167"/>
      <c r="BG99" s="167"/>
      <c r="BH99" s="167"/>
      <c r="BI99" s="167"/>
      <c r="BJ99" s="167"/>
      <c r="BK99" s="167"/>
      <c r="BL99" s="167"/>
      <c r="BM99" s="167"/>
      <c r="BN99" s="167"/>
      <c r="BO99" s="167"/>
      <c r="BP99" s="167"/>
      <c r="BQ99" s="167"/>
      <c r="BR99" s="167"/>
      <c r="BS99" s="167"/>
      <c r="BT99" s="167"/>
      <c r="BU99" s="167"/>
      <c r="BV99" s="167"/>
      <c r="BW99" s="167"/>
      <c r="BX99" s="167"/>
      <c r="BY99" s="167"/>
      <c r="BZ99" s="167"/>
      <c r="CA99" s="167"/>
      <c r="CB99" s="167"/>
      <c r="CC99" s="167"/>
      <c r="CD99" s="167"/>
      <c r="CE99" s="167"/>
      <c r="CF99" s="167"/>
      <c r="CG99" s="167"/>
      <c r="CH99" s="167"/>
      <c r="CI99" s="167"/>
      <c r="CJ99" s="167"/>
      <c r="CK99" s="167"/>
      <c r="CL99" s="167"/>
      <c r="CM99" s="167"/>
      <c r="CN99" s="167"/>
      <c r="CO99" s="167"/>
      <c r="CP99" s="167"/>
      <c r="CQ99" s="167"/>
    </row>
    <row r="100" spans="1:95" ht="16" customHeight="1">
      <c r="A100" s="130"/>
      <c r="B100" s="1108"/>
      <c r="C100" s="495"/>
      <c r="D100" s="164"/>
      <c r="E100" s="164"/>
      <c r="G100" s="133" t="s">
        <v>284</v>
      </c>
      <c r="H100" s="136">
        <f t="shared" ref="H100:AQ100" si="129">H95*H96+H97*H98</f>
        <v>866.66666666666674</v>
      </c>
      <c r="I100" s="136">
        <f t="shared" si="129"/>
        <v>979.16666666666674</v>
      </c>
      <c r="J100" s="136">
        <f t="shared" si="129"/>
        <v>1066.6666666666667</v>
      </c>
      <c r="K100" s="136">
        <f t="shared" si="129"/>
        <v>1079.1666666666667</v>
      </c>
      <c r="L100" s="136">
        <f t="shared" si="129"/>
        <v>1150</v>
      </c>
      <c r="M100" s="136">
        <f t="shared" si="129"/>
        <v>1216.6666666666667</v>
      </c>
      <c r="N100" s="136">
        <f t="shared" si="129"/>
        <v>1270.8333333333333</v>
      </c>
      <c r="O100" s="136">
        <f t="shared" si="129"/>
        <v>1295.8333333333333</v>
      </c>
      <c r="P100" s="866">
        <f t="shared" si="129"/>
        <v>954.16666666666663</v>
      </c>
      <c r="Q100" s="136">
        <f t="shared" si="129"/>
        <v>1043.75</v>
      </c>
      <c r="R100" s="136">
        <f t="shared" si="129"/>
        <v>1154.1666666666667</v>
      </c>
      <c r="S100" s="243">
        <f t="shared" si="129"/>
        <v>1275</v>
      </c>
      <c r="T100" s="136">
        <f t="shared" si="129"/>
        <v>1012.5000000000001</v>
      </c>
      <c r="U100" s="136">
        <f t="shared" si="129"/>
        <v>1132.5</v>
      </c>
      <c r="V100" s="269">
        <f t="shared" si="129"/>
        <v>1191.6666666666667</v>
      </c>
      <c r="W100" s="136">
        <f t="shared" si="129"/>
        <v>1458.3333333333333</v>
      </c>
      <c r="X100" s="136">
        <f t="shared" si="129"/>
        <v>1586.6666666666665</v>
      </c>
      <c r="Y100" s="136">
        <f t="shared" si="129"/>
        <v>1659.1666666666665</v>
      </c>
      <c r="Z100" s="136">
        <f t="shared" si="129"/>
        <v>1744.9999999999998</v>
      </c>
      <c r="AA100" s="136">
        <f t="shared" si="129"/>
        <v>1792.5</v>
      </c>
      <c r="AB100" s="902">
        <f t="shared" si="129"/>
        <v>2090.833333333333</v>
      </c>
      <c r="AC100" s="136">
        <f t="shared" si="129"/>
        <v>2718.333333333333</v>
      </c>
      <c r="AD100" s="136">
        <f t="shared" si="129"/>
        <v>3028.3333333333335</v>
      </c>
      <c r="AE100" s="243">
        <f t="shared" si="129"/>
        <v>3260.8333333333335</v>
      </c>
      <c r="AF100" s="136">
        <f t="shared" si="129"/>
        <v>3568.3333333333335</v>
      </c>
      <c r="AG100" s="136">
        <f t="shared" si="129"/>
        <v>3587.5</v>
      </c>
      <c r="AH100" s="136">
        <f t="shared" si="129"/>
        <v>3775.8333333333335</v>
      </c>
      <c r="AI100" s="136">
        <f t="shared" si="129"/>
        <v>4281.666666666667</v>
      </c>
      <c r="AJ100" s="136">
        <f t="shared" si="129"/>
        <v>4661.666666666667</v>
      </c>
      <c r="AK100" s="136">
        <f t="shared" si="129"/>
        <v>4888.3333333333339</v>
      </c>
      <c r="AL100" s="136">
        <f t="shared" si="129"/>
        <v>5145.0000000000009</v>
      </c>
      <c r="AM100" s="136">
        <f t="shared" si="129"/>
        <v>5220.8333333333339</v>
      </c>
      <c r="AN100" s="136">
        <f t="shared" si="129"/>
        <v>5381.666666666667</v>
      </c>
      <c r="AO100" s="136">
        <f t="shared" si="129"/>
        <v>5195</v>
      </c>
      <c r="AP100" s="136">
        <f t="shared" si="129"/>
        <v>5784.166666666667</v>
      </c>
      <c r="AQ100" s="136">
        <f t="shared" si="129"/>
        <v>6289.166666666667</v>
      </c>
      <c r="AS100" s="167"/>
      <c r="AT100" s="167"/>
      <c r="AU100" s="167"/>
      <c r="AV100" s="167"/>
      <c r="AW100" s="167"/>
      <c r="AX100" s="167"/>
      <c r="AY100" s="167"/>
      <c r="AZ100" s="167"/>
      <c r="BA100" s="167"/>
      <c r="BB100" s="167"/>
      <c r="BC100" s="167"/>
      <c r="BD100" s="167"/>
      <c r="BE100" s="167"/>
      <c r="BF100" s="167"/>
      <c r="BG100" s="167"/>
      <c r="BH100" s="167"/>
      <c r="BI100" s="167"/>
      <c r="BJ100" s="167"/>
      <c r="BK100" s="167"/>
      <c r="BL100" s="167"/>
      <c r="BM100" s="167"/>
      <c r="BN100" s="167"/>
      <c r="BO100" s="167"/>
      <c r="BP100" s="167"/>
      <c r="BQ100" s="167"/>
      <c r="BR100" s="167"/>
      <c r="BS100" s="167"/>
      <c r="BT100" s="167"/>
      <c r="BU100" s="167"/>
      <c r="BV100" s="167"/>
      <c r="BW100" s="167"/>
      <c r="BX100" s="167"/>
      <c r="BY100" s="167"/>
      <c r="BZ100" s="167"/>
      <c r="CA100" s="167"/>
      <c r="CB100" s="167"/>
      <c r="CC100" s="167"/>
      <c r="CD100" s="167"/>
      <c r="CE100" s="167"/>
      <c r="CF100" s="167"/>
      <c r="CG100" s="167"/>
      <c r="CH100" s="167"/>
      <c r="CI100" s="167"/>
      <c r="CJ100" s="167"/>
      <c r="CK100" s="167"/>
      <c r="CL100" s="167"/>
      <c r="CM100" s="167"/>
      <c r="CN100" s="167"/>
      <c r="CO100" s="167"/>
      <c r="CP100" s="167"/>
      <c r="CQ100" s="167"/>
    </row>
    <row r="101" spans="1:95" ht="16" customHeight="1">
      <c r="A101" s="130"/>
      <c r="B101" s="1108"/>
      <c r="C101" s="214"/>
      <c r="D101" s="55"/>
      <c r="E101" s="55"/>
      <c r="G101" s="132" t="s">
        <v>239</v>
      </c>
      <c r="H101" s="135">
        <f t="shared" ref="H101:S101" si="130">$D97*H95*H96+$E97*H97*H98</f>
        <v>645.57866666666655</v>
      </c>
      <c r="I101" s="135">
        <f t="shared" si="130"/>
        <v>727.81066666666652</v>
      </c>
      <c r="J101" s="135">
        <f t="shared" si="130"/>
        <v>791.62266666666665</v>
      </c>
      <c r="K101" s="135">
        <f t="shared" si="130"/>
        <v>798.85866666666652</v>
      </c>
      <c r="L101" s="135">
        <f t="shared" si="130"/>
        <v>849.952</v>
      </c>
      <c r="M101" s="135">
        <f t="shared" si="130"/>
        <v>898.19466666666654</v>
      </c>
      <c r="N101" s="135">
        <f t="shared" si="130"/>
        <v>937.88533333333316</v>
      </c>
      <c r="O101" s="135">
        <f t="shared" si="130"/>
        <v>956.30533333333312</v>
      </c>
      <c r="P101" s="867">
        <f t="shared" si="130"/>
        <v>704.12666666666667</v>
      </c>
      <c r="Q101" s="135">
        <f t="shared" si="130"/>
        <v>772.654</v>
      </c>
      <c r="R101" s="135">
        <f t="shared" si="130"/>
        <v>856.75066666666658</v>
      </c>
      <c r="S101" s="244">
        <f t="shared" si="130"/>
        <v>948.63199999999983</v>
      </c>
      <c r="T101" s="135">
        <f t="shared" ref="T101:AE101" si="131">$D98*T95*T96+$E98*T97*T98</f>
        <v>753.82704000000012</v>
      </c>
      <c r="U101" s="135">
        <f t="shared" si="131"/>
        <v>840.97968000000014</v>
      </c>
      <c r="V101" s="270">
        <f t="shared" si="131"/>
        <v>882.35402666666664</v>
      </c>
      <c r="W101" s="135">
        <f t="shared" si="131"/>
        <v>1077.8514133333333</v>
      </c>
      <c r="X101" s="135">
        <f t="shared" si="131"/>
        <v>1170.6001066666665</v>
      </c>
      <c r="Y101" s="135">
        <f t="shared" si="131"/>
        <v>1222.5705066666667</v>
      </c>
      <c r="Z101" s="135">
        <f t="shared" si="131"/>
        <v>1285.1369599999998</v>
      </c>
      <c r="AA101" s="135">
        <f t="shared" si="131"/>
        <v>1320.3191999999999</v>
      </c>
      <c r="AB101" s="903">
        <f t="shared" si="131"/>
        <v>1542.0086933333332</v>
      </c>
      <c r="AC101" s="135">
        <f t="shared" si="131"/>
        <v>2009.3778133333333</v>
      </c>
      <c r="AD101" s="135">
        <f t="shared" si="131"/>
        <v>2245.4712533333336</v>
      </c>
      <c r="AE101" s="244">
        <f t="shared" si="131"/>
        <v>2424.5942933333336</v>
      </c>
      <c r="AF101" s="135">
        <f t="shared" ref="AF101:AQ101" si="132">$D99*AF95*AF96+$E99*AF97*AF98</f>
        <v>2648.0426893333338</v>
      </c>
      <c r="AG101" s="135">
        <f t="shared" si="132"/>
        <v>2658.6485128000004</v>
      </c>
      <c r="AH101" s="135">
        <f t="shared" si="132"/>
        <v>2788.4827509333336</v>
      </c>
      <c r="AI101" s="135">
        <f t="shared" si="132"/>
        <v>3153.0621714666672</v>
      </c>
      <c r="AJ101" s="135">
        <f t="shared" si="132"/>
        <v>3428.9052458666674</v>
      </c>
      <c r="AK101" s="135">
        <f t="shared" si="132"/>
        <v>3589.9387813333337</v>
      </c>
      <c r="AL101" s="135">
        <f t="shared" si="132"/>
        <v>3776.691895200001</v>
      </c>
      <c r="AM101" s="135">
        <f t="shared" si="132"/>
        <v>3832.5499277333338</v>
      </c>
      <c r="AN101" s="135">
        <f t="shared" si="132"/>
        <v>3956.2862738666677</v>
      </c>
      <c r="AO101" s="135">
        <f t="shared" si="132"/>
        <v>3829.5455096000005</v>
      </c>
      <c r="AP101" s="135">
        <f t="shared" si="132"/>
        <v>4278.8850706666672</v>
      </c>
      <c r="AQ101" s="135">
        <f t="shared" si="132"/>
        <v>4666.8868802666675</v>
      </c>
      <c r="AS101" s="167"/>
      <c r="AT101" s="167"/>
      <c r="AU101" s="167"/>
      <c r="AV101" s="167"/>
      <c r="AW101" s="167"/>
      <c r="AX101" s="167"/>
      <c r="AY101" s="167"/>
      <c r="AZ101" s="167"/>
      <c r="BA101" s="167"/>
      <c r="BB101" s="167"/>
      <c r="BC101" s="167"/>
      <c r="BD101" s="167"/>
      <c r="BE101" s="167"/>
      <c r="BF101" s="167"/>
      <c r="BG101" s="167"/>
      <c r="BH101" s="167"/>
      <c r="BI101" s="167"/>
      <c r="BJ101" s="167"/>
      <c r="BK101" s="167"/>
      <c r="BL101" s="167"/>
      <c r="BM101" s="167"/>
      <c r="BN101" s="167"/>
      <c r="BO101" s="167"/>
      <c r="BP101" s="167"/>
      <c r="BQ101" s="167"/>
      <c r="BR101" s="167"/>
      <c r="BS101" s="167"/>
      <c r="BT101" s="167"/>
      <c r="BU101" s="167"/>
      <c r="BV101" s="167"/>
      <c r="BW101" s="167"/>
      <c r="BX101" s="167"/>
      <c r="BY101" s="167"/>
      <c r="BZ101" s="167"/>
      <c r="CA101" s="167"/>
      <c r="CB101" s="167"/>
      <c r="CC101" s="167"/>
      <c r="CD101" s="167"/>
      <c r="CE101" s="167"/>
      <c r="CF101" s="167"/>
      <c r="CG101" s="167"/>
      <c r="CH101" s="167"/>
      <c r="CI101" s="167"/>
      <c r="CJ101" s="167"/>
      <c r="CK101" s="167"/>
      <c r="CL101" s="167"/>
      <c r="CM101" s="167"/>
      <c r="CN101" s="167"/>
      <c r="CO101" s="167"/>
      <c r="CP101" s="167"/>
      <c r="CQ101" s="167"/>
    </row>
    <row r="102" spans="1:95" ht="16" customHeight="1">
      <c r="A102" s="130"/>
      <c r="B102" s="54"/>
      <c r="C102" s="210"/>
      <c r="D102" s="54"/>
      <c r="E102" s="54"/>
      <c r="G102" s="128"/>
      <c r="H102" s="129"/>
      <c r="I102" s="129"/>
      <c r="J102" s="129"/>
      <c r="K102" s="129"/>
      <c r="L102" s="129"/>
      <c r="M102" s="129"/>
      <c r="N102" s="129"/>
      <c r="O102" s="129"/>
      <c r="P102" s="862"/>
      <c r="Q102" s="129"/>
      <c r="R102" s="129"/>
      <c r="S102" s="239"/>
      <c r="T102" s="130"/>
      <c r="U102" s="130"/>
      <c r="V102" s="265"/>
      <c r="W102" s="129"/>
      <c r="X102" s="129"/>
      <c r="Y102" s="129"/>
      <c r="Z102" s="129"/>
      <c r="AA102" s="130"/>
      <c r="AB102" s="898"/>
      <c r="AC102" s="129"/>
      <c r="AD102" s="129"/>
      <c r="AE102" s="239"/>
      <c r="AF102" s="130"/>
      <c r="AG102" s="129"/>
      <c r="AH102" s="129"/>
      <c r="AI102" s="129"/>
      <c r="AJ102" s="129"/>
      <c r="AK102" s="129"/>
      <c r="AL102" s="129"/>
      <c r="AM102" s="129"/>
      <c r="AN102" s="129"/>
      <c r="AO102" s="129"/>
      <c r="AP102" s="129"/>
      <c r="AQ102" s="129"/>
      <c r="AS102" s="167"/>
      <c r="AT102" s="167"/>
      <c r="AU102" s="167"/>
      <c r="AV102" s="167"/>
      <c r="AW102" s="167"/>
      <c r="AX102" s="167"/>
      <c r="AY102" s="167"/>
      <c r="AZ102" s="167"/>
      <c r="BA102" s="167"/>
      <c r="BB102" s="167"/>
      <c r="BC102" s="167"/>
      <c r="BD102" s="167"/>
      <c r="BE102" s="167"/>
      <c r="BF102" s="167"/>
      <c r="BG102" s="167"/>
      <c r="BH102" s="167"/>
      <c r="BI102" s="167"/>
      <c r="BJ102" s="167"/>
      <c r="BK102" s="167"/>
      <c r="BL102" s="167"/>
      <c r="BM102" s="167"/>
      <c r="BN102" s="167"/>
      <c r="BO102" s="167"/>
      <c r="BP102" s="167"/>
      <c r="BQ102" s="167"/>
      <c r="BR102" s="167"/>
      <c r="BS102" s="167"/>
      <c r="BT102" s="167"/>
      <c r="BU102" s="167"/>
      <c r="BV102" s="167"/>
      <c r="BW102" s="167"/>
      <c r="BX102" s="167"/>
      <c r="BY102" s="167"/>
      <c r="BZ102" s="167"/>
      <c r="CA102" s="167"/>
      <c r="CB102" s="167"/>
      <c r="CC102" s="167"/>
      <c r="CD102" s="167"/>
      <c r="CE102" s="167"/>
      <c r="CF102" s="167"/>
      <c r="CG102" s="167"/>
      <c r="CH102" s="167"/>
      <c r="CI102" s="167"/>
      <c r="CJ102" s="167"/>
      <c r="CK102" s="167"/>
      <c r="CL102" s="167"/>
      <c r="CM102" s="167"/>
      <c r="CN102" s="167"/>
      <c r="CO102" s="167"/>
      <c r="CP102" s="167"/>
      <c r="CQ102" s="167"/>
    </row>
    <row r="103" spans="1:95" ht="16" customHeight="1">
      <c r="A103" s="130"/>
      <c r="B103" s="299"/>
      <c r="C103" s="494"/>
      <c r="D103" s="286"/>
      <c r="E103" s="287"/>
      <c r="G103" s="288"/>
      <c r="H103" s="222" t="s">
        <v>319</v>
      </c>
      <c r="I103" s="206"/>
      <c r="J103" s="206"/>
      <c r="K103" s="205"/>
      <c r="L103" s="206"/>
      <c r="M103" s="206"/>
      <c r="N103" s="206"/>
      <c r="O103" s="206"/>
      <c r="P103" s="863"/>
      <c r="Q103" s="231" t="s">
        <v>330</v>
      </c>
      <c r="R103" s="206"/>
      <c r="S103" s="240"/>
      <c r="T103" s="312" t="s">
        <v>354</v>
      </c>
      <c r="U103" s="206"/>
      <c r="V103" s="266"/>
      <c r="W103" s="206"/>
      <c r="X103" s="206"/>
      <c r="Y103" s="281" t="str">
        <f>'Pricing Model'!L127</f>
        <v>Brown Sugar Bubble Tea</v>
      </c>
      <c r="Z103" s="280"/>
      <c r="AA103" s="258"/>
      <c r="AB103" s="899"/>
      <c r="AC103" s="206"/>
      <c r="AD103" s="231" t="s">
        <v>334</v>
      </c>
      <c r="AE103" s="240"/>
      <c r="AF103" s="229" t="s">
        <v>356</v>
      </c>
      <c r="AG103" s="258"/>
      <c r="AH103" s="206"/>
      <c r="AI103" s="206"/>
      <c r="AJ103" s="206"/>
      <c r="AK103" s="206"/>
      <c r="AL103" s="206"/>
      <c r="AM103" s="206"/>
      <c r="AN103" s="206"/>
      <c r="AO103" s="206"/>
      <c r="AP103" s="206"/>
      <c r="AQ103" s="206"/>
      <c r="AS103" s="167"/>
      <c r="AT103" s="167"/>
      <c r="AU103" s="167"/>
      <c r="AV103" s="167"/>
      <c r="AW103" s="167"/>
      <c r="AX103" s="167"/>
      <c r="AY103" s="167"/>
      <c r="AZ103" s="167"/>
      <c r="BA103" s="167"/>
      <c r="BB103" s="167"/>
      <c r="BC103" s="167"/>
      <c r="BD103" s="167"/>
      <c r="BE103" s="167"/>
      <c r="BF103" s="167"/>
      <c r="BG103" s="167"/>
      <c r="BH103" s="167"/>
      <c r="BI103" s="167"/>
      <c r="BJ103" s="167"/>
      <c r="BK103" s="167"/>
      <c r="BL103" s="167"/>
      <c r="BM103" s="167"/>
      <c r="BN103" s="167"/>
      <c r="BO103" s="167"/>
      <c r="BP103" s="167"/>
      <c r="BQ103" s="167"/>
      <c r="BR103" s="167"/>
      <c r="BS103" s="167"/>
      <c r="BT103" s="167"/>
      <c r="BU103" s="167"/>
      <c r="BV103" s="167"/>
      <c r="BW103" s="167"/>
      <c r="BX103" s="167"/>
      <c r="BY103" s="167"/>
      <c r="BZ103" s="167"/>
      <c r="CA103" s="167"/>
      <c r="CB103" s="167"/>
      <c r="CC103" s="167"/>
      <c r="CD103" s="167"/>
      <c r="CE103" s="167"/>
      <c r="CF103" s="167"/>
      <c r="CG103" s="167"/>
      <c r="CH103" s="167"/>
      <c r="CI103" s="167"/>
      <c r="CJ103" s="167"/>
      <c r="CK103" s="167"/>
      <c r="CL103" s="167"/>
      <c r="CM103" s="167"/>
      <c r="CN103" s="167"/>
      <c r="CO103" s="167"/>
      <c r="CP103" s="167"/>
      <c r="CQ103" s="167"/>
    </row>
    <row r="104" spans="1:95" ht="16" customHeight="1">
      <c r="A104" s="130"/>
      <c r="B104" s="1107" t="str">
        <f>'Pricing Model'!L127</f>
        <v>Brown Sugar Bubble Tea</v>
      </c>
      <c r="C104" s="495"/>
      <c r="D104" s="164"/>
      <c r="E104" s="164"/>
      <c r="F104" s="164"/>
      <c r="G104" s="216" t="s">
        <v>296</v>
      </c>
      <c r="H104" s="1110" t="s">
        <v>328</v>
      </c>
      <c r="I104" s="1110"/>
      <c r="J104" s="1110"/>
      <c r="K104" s="1110"/>
      <c r="L104" s="1110"/>
      <c r="M104" s="1110"/>
      <c r="N104" s="1110"/>
      <c r="O104" s="1110"/>
      <c r="P104" s="864">
        <v>150</v>
      </c>
      <c r="Q104" s="53">
        <v>160</v>
      </c>
      <c r="R104" s="53">
        <v>165</v>
      </c>
      <c r="S104" s="241">
        <v>170</v>
      </c>
      <c r="T104" s="53">
        <v>185</v>
      </c>
      <c r="U104" s="53">
        <v>195</v>
      </c>
      <c r="V104" s="267">
        <v>210</v>
      </c>
      <c r="W104" s="53">
        <v>220</v>
      </c>
      <c r="X104" s="53">
        <v>230</v>
      </c>
      <c r="Y104" s="53">
        <v>245</v>
      </c>
      <c r="Z104" s="53">
        <v>260</v>
      </c>
      <c r="AA104" s="53">
        <v>270</v>
      </c>
      <c r="AB104" s="900">
        <f>ROUND(230+230*1.25,-1)</f>
        <v>520</v>
      </c>
      <c r="AC104" s="53">
        <v>420</v>
      </c>
      <c r="AD104" s="53">
        <v>450</v>
      </c>
      <c r="AE104" s="241">
        <v>485</v>
      </c>
      <c r="AF104" s="311">
        <v>520</v>
      </c>
      <c r="AG104" s="311">
        <v>550</v>
      </c>
      <c r="AH104" s="311">
        <v>580</v>
      </c>
      <c r="AI104" s="311">
        <v>615</v>
      </c>
      <c r="AJ104" s="311">
        <v>645</v>
      </c>
      <c r="AK104" s="311">
        <v>680</v>
      </c>
      <c r="AL104" s="311">
        <v>710</v>
      </c>
      <c r="AM104" s="311">
        <v>745</v>
      </c>
      <c r="AN104" s="311">
        <v>775</v>
      </c>
      <c r="AO104" s="311">
        <v>810</v>
      </c>
      <c r="AP104" s="311">
        <v>840</v>
      </c>
      <c r="AQ104" s="311">
        <v>875</v>
      </c>
      <c r="AS104" s="167"/>
      <c r="AT104" s="167"/>
      <c r="AU104" s="167"/>
      <c r="AV104" s="167"/>
      <c r="AW104" s="167"/>
      <c r="AX104" s="167"/>
      <c r="AY104" s="167"/>
      <c r="AZ104" s="167"/>
      <c r="BA104" s="167"/>
      <c r="BB104" s="167"/>
      <c r="BC104" s="167"/>
      <c r="BD104" s="167"/>
      <c r="BE104" s="167"/>
      <c r="BF104" s="167"/>
      <c r="BG104" s="167"/>
      <c r="BH104" s="167"/>
      <c r="BI104" s="167"/>
      <c r="BJ104" s="167"/>
      <c r="BK104" s="167"/>
      <c r="BL104" s="167"/>
      <c r="BM104" s="167"/>
      <c r="BN104" s="167"/>
      <c r="BO104" s="167"/>
      <c r="BP104" s="167"/>
      <c r="BQ104" s="167"/>
      <c r="BR104" s="167"/>
      <c r="BS104" s="167"/>
      <c r="BT104" s="167"/>
      <c r="BU104" s="167"/>
      <c r="BV104" s="167"/>
      <c r="BW104" s="167"/>
      <c r="BX104" s="167"/>
      <c r="BY104" s="167"/>
      <c r="BZ104" s="167"/>
      <c r="CA104" s="167"/>
      <c r="CB104" s="167"/>
      <c r="CC104" s="167"/>
      <c r="CD104" s="167"/>
      <c r="CE104" s="167"/>
      <c r="CF104" s="167"/>
      <c r="CG104" s="167"/>
      <c r="CH104" s="167"/>
      <c r="CI104" s="167"/>
      <c r="CJ104" s="167"/>
      <c r="CK104" s="167"/>
      <c r="CL104" s="167"/>
      <c r="CM104" s="167"/>
      <c r="CN104" s="167"/>
      <c r="CO104" s="167"/>
      <c r="CP104" s="167"/>
      <c r="CQ104" s="167"/>
    </row>
    <row r="105" spans="1:95" s="296" customFormat="1" ht="16" customHeight="1">
      <c r="A105" s="130"/>
      <c r="B105" s="1107"/>
      <c r="C105" s="210"/>
      <c r="D105" s="215" t="s">
        <v>294</v>
      </c>
      <c r="E105" s="215" t="s">
        <v>295</v>
      </c>
      <c r="F105" s="215"/>
      <c r="G105" s="133" t="s">
        <v>292</v>
      </c>
      <c r="H105" s="1110"/>
      <c r="I105" s="1110"/>
      <c r="J105" s="1110"/>
      <c r="K105" s="1110"/>
      <c r="L105" s="1110"/>
      <c r="M105" s="1110"/>
      <c r="N105" s="1110"/>
      <c r="O105" s="1110"/>
      <c r="P105" s="865">
        <f>'Pricing Model'!$M$141</f>
        <v>3.5</v>
      </c>
      <c r="Q105" s="133">
        <f>'Pricing Model'!$M$141</f>
        <v>3.5</v>
      </c>
      <c r="R105" s="133">
        <f>'Pricing Model'!$M$141</f>
        <v>3.5</v>
      </c>
      <c r="S105" s="242">
        <f>'Pricing Model'!$M$141</f>
        <v>3.5</v>
      </c>
      <c r="T105" s="133">
        <f>'Pricing Model'!$N$141</f>
        <v>3.583333333333333</v>
      </c>
      <c r="U105" s="133">
        <f>'Pricing Model'!$N$141</f>
        <v>3.583333333333333</v>
      </c>
      <c r="V105" s="268">
        <f>'Pricing Model'!$N$141</f>
        <v>3.583333333333333</v>
      </c>
      <c r="W105" s="133">
        <f>'Pricing Model'!$N$141</f>
        <v>3.583333333333333</v>
      </c>
      <c r="X105" s="133">
        <f>'Pricing Model'!$N$141</f>
        <v>3.583333333333333</v>
      </c>
      <c r="Y105" s="133">
        <f>'Pricing Model'!$N$141</f>
        <v>3.583333333333333</v>
      </c>
      <c r="Z105" s="133">
        <f>'Pricing Model'!$N$141</f>
        <v>3.583333333333333</v>
      </c>
      <c r="AA105" s="133">
        <f>'Pricing Model'!$N$141</f>
        <v>3.583333333333333</v>
      </c>
      <c r="AB105" s="901">
        <f>'Pricing Model'!$N$141</f>
        <v>3.583333333333333</v>
      </c>
      <c r="AC105" s="133">
        <f>'Pricing Model'!$N$141</f>
        <v>3.583333333333333</v>
      </c>
      <c r="AD105" s="133">
        <f>'Pricing Model'!$N$141</f>
        <v>3.583333333333333</v>
      </c>
      <c r="AE105" s="242">
        <f>'Pricing Model'!$N$141</f>
        <v>3.583333333333333</v>
      </c>
      <c r="AF105" s="133">
        <f>'Pricing Model'!$O$141</f>
        <v>3.75</v>
      </c>
      <c r="AG105" s="133">
        <f>'Pricing Model'!$O$141</f>
        <v>3.75</v>
      </c>
      <c r="AH105" s="133">
        <f>'Pricing Model'!$O$141</f>
        <v>3.75</v>
      </c>
      <c r="AI105" s="133">
        <f>'Pricing Model'!$O$141</f>
        <v>3.75</v>
      </c>
      <c r="AJ105" s="133">
        <f>'Pricing Model'!$O$141</f>
        <v>3.75</v>
      </c>
      <c r="AK105" s="133">
        <f>'Pricing Model'!$O$141</f>
        <v>3.75</v>
      </c>
      <c r="AL105" s="133">
        <f>'Pricing Model'!$O$141</f>
        <v>3.75</v>
      </c>
      <c r="AM105" s="133">
        <f>'Pricing Model'!$O$141</f>
        <v>3.75</v>
      </c>
      <c r="AN105" s="133">
        <f>'Pricing Model'!$O$141</f>
        <v>3.75</v>
      </c>
      <c r="AO105" s="133">
        <f>'Pricing Model'!$O$141</f>
        <v>3.75</v>
      </c>
      <c r="AP105" s="133">
        <f>'Pricing Model'!$O$141</f>
        <v>3.75</v>
      </c>
      <c r="AQ105" s="133">
        <f>'Pricing Model'!$O$141</f>
        <v>3.75</v>
      </c>
      <c r="AS105" s="297"/>
      <c r="AT105" s="297"/>
      <c r="AU105" s="297"/>
      <c r="AV105" s="297"/>
      <c r="AW105" s="297"/>
      <c r="AX105" s="297"/>
      <c r="AY105" s="297"/>
      <c r="AZ105" s="297"/>
      <c r="BA105" s="297"/>
      <c r="BB105" s="297"/>
      <c r="BC105" s="297"/>
      <c r="BD105" s="297"/>
      <c r="BE105" s="297"/>
      <c r="BF105" s="297"/>
      <c r="BG105" s="297"/>
      <c r="BH105" s="297"/>
      <c r="BI105" s="297"/>
      <c r="BJ105" s="297"/>
      <c r="BK105" s="297"/>
      <c r="BL105" s="297"/>
      <c r="BM105" s="297"/>
      <c r="BN105" s="297"/>
      <c r="BO105" s="297"/>
      <c r="BP105" s="297"/>
      <c r="BQ105" s="297"/>
      <c r="BR105" s="297"/>
      <c r="BS105" s="297"/>
      <c r="BT105" s="297"/>
      <c r="BU105" s="297"/>
      <c r="BV105" s="297"/>
      <c r="BW105" s="297"/>
      <c r="BX105" s="297"/>
      <c r="BY105" s="297"/>
      <c r="BZ105" s="297"/>
      <c r="CA105" s="297"/>
      <c r="CB105" s="297"/>
      <c r="CC105" s="297"/>
      <c r="CD105" s="297"/>
      <c r="CE105" s="297"/>
      <c r="CF105" s="297"/>
      <c r="CG105" s="297"/>
      <c r="CH105" s="297"/>
      <c r="CI105" s="297"/>
      <c r="CJ105" s="297"/>
      <c r="CK105" s="297"/>
      <c r="CL105" s="297"/>
      <c r="CM105" s="297"/>
      <c r="CN105" s="297"/>
      <c r="CO105" s="297"/>
      <c r="CP105" s="297"/>
      <c r="CQ105" s="297"/>
    </row>
    <row r="106" spans="1:95" s="50" customFormat="1" ht="16" customHeight="1">
      <c r="A106" s="130"/>
      <c r="B106" s="1107"/>
      <c r="C106" s="493">
        <f>'Pricing Model'!$C$6</f>
        <v>2025</v>
      </c>
      <c r="D106" s="140">
        <f>'Pricing Model'!M$144</f>
        <v>0.69355428571428568</v>
      </c>
      <c r="E106" s="140">
        <f>'Pricing Model'!M$152</f>
        <v>0.64248000000000005</v>
      </c>
      <c r="F106" s="140"/>
      <c r="G106" s="217" t="s">
        <v>297</v>
      </c>
      <c r="H106" s="1110"/>
      <c r="I106" s="1110"/>
      <c r="J106" s="1110"/>
      <c r="K106" s="1110"/>
      <c r="L106" s="1110"/>
      <c r="M106" s="1110"/>
      <c r="N106" s="1110"/>
      <c r="O106" s="1110"/>
      <c r="P106" s="864">
        <v>400</v>
      </c>
      <c r="Q106" s="53">
        <v>440</v>
      </c>
      <c r="R106" s="53">
        <v>485</v>
      </c>
      <c r="S106" s="241">
        <v>530</v>
      </c>
      <c r="T106" s="53">
        <v>575</v>
      </c>
      <c r="U106" s="53">
        <v>620</v>
      </c>
      <c r="V106" s="267">
        <v>755</v>
      </c>
      <c r="W106" s="241">
        <v>800</v>
      </c>
      <c r="X106" s="53">
        <v>845</v>
      </c>
      <c r="Y106" s="53">
        <v>890</v>
      </c>
      <c r="Z106" s="53">
        <v>930</v>
      </c>
      <c r="AA106" s="53">
        <v>985</v>
      </c>
      <c r="AB106" s="900">
        <f>1000+1000*1.25</f>
        <v>2250</v>
      </c>
      <c r="AC106" s="53">
        <v>1250</v>
      </c>
      <c r="AD106" s="53">
        <v>1295</v>
      </c>
      <c r="AE106" s="241">
        <v>1340</v>
      </c>
      <c r="AF106" s="53">
        <v>1385</v>
      </c>
      <c r="AG106" s="53">
        <v>1430</v>
      </c>
      <c r="AH106" s="53">
        <v>1475</v>
      </c>
      <c r="AI106" s="53">
        <v>1520</v>
      </c>
      <c r="AJ106" s="53">
        <v>1565</v>
      </c>
      <c r="AK106" s="53">
        <v>1610</v>
      </c>
      <c r="AL106" s="53">
        <v>1655</v>
      </c>
      <c r="AM106" s="53">
        <v>1700</v>
      </c>
      <c r="AN106" s="53">
        <v>1745</v>
      </c>
      <c r="AO106" s="53">
        <v>1790</v>
      </c>
      <c r="AP106" s="53">
        <v>1835</v>
      </c>
      <c r="AQ106" s="53">
        <v>1880</v>
      </c>
    </row>
    <row r="107" spans="1:95" s="50" customFormat="1" ht="16" customHeight="1">
      <c r="A107" s="130"/>
      <c r="B107" s="1107"/>
      <c r="C107" s="493">
        <f>C106+1</f>
        <v>2026</v>
      </c>
      <c r="D107" s="140">
        <f>'Pricing Model'!N$144</f>
        <v>0.68870816744186036</v>
      </c>
      <c r="E107" s="140">
        <f>'Pricing Model'!N$152</f>
        <v>0.64400136170212763</v>
      </c>
      <c r="F107" s="1109"/>
      <c r="G107" s="133" t="s">
        <v>293</v>
      </c>
      <c r="H107" s="1110"/>
      <c r="I107" s="1110"/>
      <c r="J107" s="1110"/>
      <c r="K107" s="1110"/>
      <c r="L107" s="1110"/>
      <c r="M107" s="1110"/>
      <c r="N107" s="1110"/>
      <c r="O107" s="1110"/>
      <c r="P107" s="865">
        <f>'Pricing Model'!$M$149</f>
        <v>3.75</v>
      </c>
      <c r="Q107" s="133">
        <f>'Pricing Model'!$M$149</f>
        <v>3.75</v>
      </c>
      <c r="R107" s="133">
        <f>'Pricing Model'!$M$149</f>
        <v>3.75</v>
      </c>
      <c r="S107" s="242">
        <f>'Pricing Model'!$M$149</f>
        <v>3.75</v>
      </c>
      <c r="T107" s="133">
        <f>'Pricing Model'!$N$149</f>
        <v>3.916666666666667</v>
      </c>
      <c r="U107" s="133">
        <f>'Pricing Model'!$N$149</f>
        <v>3.916666666666667</v>
      </c>
      <c r="V107" s="268">
        <f>'Pricing Model'!$N$149</f>
        <v>3.916666666666667</v>
      </c>
      <c r="W107" s="133">
        <f>'Pricing Model'!$N$149</f>
        <v>3.916666666666667</v>
      </c>
      <c r="X107" s="133">
        <f>'Pricing Model'!$N$149</f>
        <v>3.916666666666667</v>
      </c>
      <c r="Y107" s="133">
        <f>'Pricing Model'!$N$149</f>
        <v>3.916666666666667</v>
      </c>
      <c r="Z107" s="133">
        <f>'Pricing Model'!$N$149</f>
        <v>3.916666666666667</v>
      </c>
      <c r="AA107" s="133">
        <f>'Pricing Model'!$N$149</f>
        <v>3.916666666666667</v>
      </c>
      <c r="AB107" s="901">
        <f>'Pricing Model'!$N$149</f>
        <v>3.916666666666667</v>
      </c>
      <c r="AC107" s="133">
        <f>'Pricing Model'!$N$149</f>
        <v>3.916666666666667</v>
      </c>
      <c r="AD107" s="133">
        <f>'Pricing Model'!$N$149</f>
        <v>3.916666666666667</v>
      </c>
      <c r="AE107" s="242">
        <f>'Pricing Model'!$N$149</f>
        <v>3.916666666666667</v>
      </c>
      <c r="AF107" s="133">
        <f>'Pricing Model'!$O$149</f>
        <v>4.0833333333333339</v>
      </c>
      <c r="AG107" s="133">
        <f>'Pricing Model'!$O$149</f>
        <v>4.0833333333333339</v>
      </c>
      <c r="AH107" s="133">
        <f>'Pricing Model'!$O$149</f>
        <v>4.0833333333333339</v>
      </c>
      <c r="AI107" s="133">
        <f>'Pricing Model'!$O$149</f>
        <v>4.0833333333333339</v>
      </c>
      <c r="AJ107" s="133">
        <f>'Pricing Model'!$O$149</f>
        <v>4.0833333333333339</v>
      </c>
      <c r="AK107" s="133">
        <f>'Pricing Model'!$O$149</f>
        <v>4.0833333333333339</v>
      </c>
      <c r="AL107" s="133">
        <f>'Pricing Model'!$O$149</f>
        <v>4.0833333333333339</v>
      </c>
      <c r="AM107" s="133">
        <f>'Pricing Model'!$O$149</f>
        <v>4.0833333333333339</v>
      </c>
      <c r="AN107" s="133">
        <f>'Pricing Model'!$O$149</f>
        <v>4.0833333333333339</v>
      </c>
      <c r="AO107" s="133">
        <f>'Pricing Model'!$O$149</f>
        <v>4.0833333333333339</v>
      </c>
      <c r="AP107" s="133">
        <f>'Pricing Model'!$O$149</f>
        <v>4.0833333333333339</v>
      </c>
      <c r="AQ107" s="133">
        <f>'Pricing Model'!$O$149</f>
        <v>4.0833333333333339</v>
      </c>
      <c r="AR107" s="167"/>
      <c r="AS107" s="167"/>
    </row>
    <row r="108" spans="1:95" s="286" customFormat="1" ht="16" customHeight="1">
      <c r="A108" s="130"/>
      <c r="B108" s="1107"/>
      <c r="C108" s="493">
        <f>C107+1</f>
        <v>2027</v>
      </c>
      <c r="D108" s="140">
        <f>'Pricing Model'!O$144</f>
        <v>0.68990145279999993</v>
      </c>
      <c r="E108" s="140">
        <f>'Pricing Model'!O$152</f>
        <v>0.64401952489795922</v>
      </c>
      <c r="F108" s="1109"/>
      <c r="G108" s="257" t="s">
        <v>327</v>
      </c>
      <c r="H108" s="1110"/>
      <c r="I108" s="1110"/>
      <c r="J108" s="1110"/>
      <c r="K108" s="1110"/>
      <c r="L108" s="1110"/>
      <c r="M108" s="1110"/>
      <c r="N108" s="1110"/>
      <c r="O108" s="1110"/>
      <c r="P108" s="875">
        <f t="shared" ref="P108" si="133">P104+P106</f>
        <v>550</v>
      </c>
      <c r="Q108" s="305">
        <f t="shared" ref="Q108:AQ108" si="134">Q104+Q106</f>
        <v>600</v>
      </c>
      <c r="R108" s="305">
        <f t="shared" si="134"/>
        <v>650</v>
      </c>
      <c r="S108" s="307">
        <f t="shared" si="134"/>
        <v>700</v>
      </c>
      <c r="T108" s="305">
        <f t="shared" si="134"/>
        <v>760</v>
      </c>
      <c r="U108" s="305">
        <f t="shared" si="134"/>
        <v>815</v>
      </c>
      <c r="V108" s="306">
        <f t="shared" ref="V108:AA108" si="135">V104+V106</f>
        <v>965</v>
      </c>
      <c r="W108" s="305">
        <f t="shared" si="135"/>
        <v>1020</v>
      </c>
      <c r="X108" s="305">
        <f t="shared" si="135"/>
        <v>1075</v>
      </c>
      <c r="Y108" s="305">
        <f t="shared" si="135"/>
        <v>1135</v>
      </c>
      <c r="Z108" s="305">
        <f t="shared" si="135"/>
        <v>1190</v>
      </c>
      <c r="AA108" s="305">
        <f t="shared" si="135"/>
        <v>1255</v>
      </c>
      <c r="AB108" s="912">
        <f t="shared" si="134"/>
        <v>2770</v>
      </c>
      <c r="AC108" s="305">
        <f t="shared" si="134"/>
        <v>1670</v>
      </c>
      <c r="AD108" s="305">
        <f t="shared" si="134"/>
        <v>1745</v>
      </c>
      <c r="AE108" s="307">
        <f t="shared" si="134"/>
        <v>1825</v>
      </c>
      <c r="AF108" s="305">
        <f t="shared" si="134"/>
        <v>1905</v>
      </c>
      <c r="AG108" s="305">
        <f t="shared" si="134"/>
        <v>1980</v>
      </c>
      <c r="AH108" s="305">
        <f t="shared" si="134"/>
        <v>2055</v>
      </c>
      <c r="AI108" s="305">
        <f t="shared" si="134"/>
        <v>2135</v>
      </c>
      <c r="AJ108" s="305">
        <f t="shared" si="134"/>
        <v>2210</v>
      </c>
      <c r="AK108" s="305">
        <f t="shared" si="134"/>
        <v>2290</v>
      </c>
      <c r="AL108" s="305">
        <f t="shared" si="134"/>
        <v>2365</v>
      </c>
      <c r="AM108" s="305">
        <f t="shared" si="134"/>
        <v>2445</v>
      </c>
      <c r="AN108" s="305">
        <f t="shared" si="134"/>
        <v>2520</v>
      </c>
      <c r="AO108" s="305">
        <f t="shared" si="134"/>
        <v>2600</v>
      </c>
      <c r="AP108" s="305">
        <f t="shared" si="134"/>
        <v>2675</v>
      </c>
      <c r="AQ108" s="305">
        <f t="shared" si="134"/>
        <v>2755</v>
      </c>
      <c r="AR108" s="167"/>
      <c r="AS108" s="167"/>
      <c r="AT108" s="295"/>
      <c r="AU108" s="295"/>
      <c r="AV108" s="295"/>
      <c r="AW108" s="295"/>
      <c r="AX108" s="295"/>
      <c r="AY108" s="295"/>
      <c r="AZ108" s="295"/>
      <c r="BA108" s="295"/>
      <c r="BB108" s="295"/>
      <c r="BC108" s="295"/>
      <c r="BD108" s="295"/>
      <c r="BE108" s="295"/>
      <c r="BF108" s="295"/>
      <c r="BG108" s="295"/>
      <c r="BH108" s="295"/>
      <c r="BI108" s="295"/>
      <c r="BJ108" s="295"/>
      <c r="BK108" s="295"/>
      <c r="BL108" s="295"/>
      <c r="BM108" s="295"/>
      <c r="BN108" s="295"/>
      <c r="BO108" s="295"/>
      <c r="BP108" s="295"/>
      <c r="BQ108" s="295"/>
      <c r="BR108" s="295"/>
      <c r="BS108" s="295"/>
      <c r="BT108" s="295"/>
      <c r="BU108" s="295"/>
      <c r="BV108" s="295"/>
      <c r="BW108" s="295"/>
      <c r="BX108" s="295"/>
      <c r="BY108" s="295"/>
      <c r="BZ108" s="295"/>
      <c r="CA108" s="295"/>
      <c r="CB108" s="295"/>
      <c r="CC108" s="295"/>
      <c r="CD108" s="295"/>
      <c r="CE108" s="295"/>
      <c r="CF108" s="295"/>
      <c r="CG108" s="295"/>
      <c r="CH108" s="295"/>
      <c r="CI108" s="295"/>
      <c r="CJ108" s="295"/>
      <c r="CK108" s="295"/>
    </row>
    <row r="109" spans="1:95" s="50" customFormat="1" ht="16" customHeight="1">
      <c r="A109" s="130"/>
      <c r="B109" s="1107"/>
      <c r="C109" s="213" t="s">
        <v>359</v>
      </c>
      <c r="D109" s="140">
        <f>'Pricing Model'!S$144</f>
        <v>0.39156596363636359</v>
      </c>
      <c r="E109" s="140">
        <f>'Pricing Model'!S$152</f>
        <v>0.27252452173913028</v>
      </c>
      <c r="F109" s="1109"/>
      <c r="G109" s="133" t="s">
        <v>284</v>
      </c>
      <c r="H109" s="1110"/>
      <c r="I109" s="1110"/>
      <c r="J109" s="1110"/>
      <c r="K109" s="1110"/>
      <c r="L109" s="1110"/>
      <c r="M109" s="1110"/>
      <c r="N109" s="1110"/>
      <c r="O109" s="1110"/>
      <c r="P109" s="866">
        <f t="shared" ref="P109:Q109" si="136">P104*P105+P106*P107</f>
        <v>2025</v>
      </c>
      <c r="Q109" s="136">
        <f t="shared" si="136"/>
        <v>2210</v>
      </c>
      <c r="R109" s="136">
        <f t="shared" ref="R109" si="137">R104*R105+R106*R107</f>
        <v>2396.25</v>
      </c>
      <c r="S109" s="243">
        <f t="shared" ref="S109" si="138">S104*S105+S106*S107</f>
        <v>2582.5</v>
      </c>
      <c r="T109" s="136">
        <f t="shared" ref="T109" si="139">T104*T105+T106*T107</f>
        <v>2915</v>
      </c>
      <c r="U109" s="136">
        <f t="shared" ref="U109:W109" si="140">U104*U105+U106*U107</f>
        <v>3127.0833333333335</v>
      </c>
      <c r="V109" s="269">
        <f t="shared" si="140"/>
        <v>3709.5833333333335</v>
      </c>
      <c r="W109" s="136">
        <f t="shared" si="140"/>
        <v>3921.666666666667</v>
      </c>
      <c r="X109" s="136">
        <f>X104*X105+V106*X107</f>
        <v>3781.25</v>
      </c>
      <c r="Y109" s="136">
        <f>Y104*Y105+W106*Y107</f>
        <v>4011.25</v>
      </c>
      <c r="Z109" s="136">
        <f>Z104*Z105+X106*Z107</f>
        <v>4241.25</v>
      </c>
      <c r="AA109" s="136">
        <f>AA104*AA105+Y106*AA107</f>
        <v>4453.333333333333</v>
      </c>
      <c r="AB109" s="902">
        <f>(AB104*AB105+AB106*AB107)*13/18</f>
        <v>7710.3240740740748</v>
      </c>
      <c r="AC109" s="136">
        <f t="shared" ref="AC109" si="141">AC104*AC105+AC106*AC107</f>
        <v>6400.8333333333339</v>
      </c>
      <c r="AD109" s="136">
        <f t="shared" ref="AD109" si="142">AD104*AD105+AD106*AD107</f>
        <v>6684.5833333333339</v>
      </c>
      <c r="AE109" s="243">
        <f t="shared" ref="AE109" si="143">AE104*AE105+AE106*AE107</f>
        <v>6986.25</v>
      </c>
      <c r="AF109" s="136">
        <f t="shared" ref="AF109" si="144">AF104*AF105+AF106*AF107</f>
        <v>7605.4166666666679</v>
      </c>
      <c r="AG109" s="136">
        <f t="shared" ref="AG109" si="145">AG104*AG105+AG106*AG107</f>
        <v>7901.6666666666679</v>
      </c>
      <c r="AH109" s="136">
        <f t="shared" ref="AH109" si="146">AH104*AH105+AH106*AH107</f>
        <v>8197.9166666666679</v>
      </c>
      <c r="AI109" s="136">
        <f t="shared" ref="AI109" si="147">AI104*AI105+AI106*AI107</f>
        <v>8512.9166666666679</v>
      </c>
      <c r="AJ109" s="136">
        <f t="shared" ref="AJ109" si="148">AJ104*AJ105+AJ106*AJ107</f>
        <v>8809.1666666666679</v>
      </c>
      <c r="AK109" s="136">
        <f t="shared" ref="AK109" si="149">AK104*AK105+AK106*AK107</f>
        <v>9124.1666666666679</v>
      </c>
      <c r="AL109" s="136">
        <f t="shared" ref="AL109" si="150">AL104*AL105+AL106*AL107</f>
        <v>9420.4166666666679</v>
      </c>
      <c r="AM109" s="136">
        <f t="shared" ref="AM109" si="151">AM104*AM105+AM106*AM107</f>
        <v>9735.4166666666679</v>
      </c>
      <c r="AN109" s="136">
        <f t="shared" ref="AN109" si="152">AN104*AN105+AN106*AN107</f>
        <v>10031.666666666668</v>
      </c>
      <c r="AO109" s="136">
        <f t="shared" ref="AO109" si="153">AO104*AO105+AO106*AO107</f>
        <v>10346.666666666668</v>
      </c>
      <c r="AP109" s="136">
        <f t="shared" ref="AP109" si="154">AP104*AP105+AP106*AP107</f>
        <v>10642.916666666668</v>
      </c>
      <c r="AQ109" s="136">
        <f t="shared" ref="AQ109" si="155">AQ104*AQ105+AQ106*AQ107</f>
        <v>10957.916666666668</v>
      </c>
      <c r="AR109" s="167"/>
      <c r="AS109" s="167"/>
      <c r="AT109" s="170"/>
      <c r="AU109" s="170"/>
      <c r="AV109" s="170"/>
      <c r="AW109" s="170"/>
      <c r="AX109" s="170"/>
      <c r="AY109" s="170"/>
      <c r="AZ109" s="170"/>
      <c r="BA109" s="170"/>
      <c r="BB109" s="170"/>
      <c r="BC109" s="170"/>
      <c r="BD109" s="170"/>
      <c r="BE109" s="170"/>
      <c r="BF109" s="170"/>
      <c r="BG109" s="170"/>
      <c r="BH109" s="170"/>
      <c r="BI109" s="170"/>
      <c r="BJ109" s="170"/>
      <c r="BK109" s="170"/>
      <c r="BL109" s="170"/>
      <c r="BM109" s="170"/>
      <c r="BN109" s="170"/>
      <c r="BO109" s="170"/>
      <c r="BP109" s="170"/>
      <c r="BQ109" s="170"/>
      <c r="BR109" s="170"/>
      <c r="BS109" s="170"/>
      <c r="BT109" s="170"/>
      <c r="BU109" s="170"/>
      <c r="BV109" s="170"/>
      <c r="BW109" s="170"/>
      <c r="BX109" s="170"/>
      <c r="BY109" s="170"/>
      <c r="BZ109" s="170"/>
      <c r="CA109" s="170"/>
      <c r="CB109" s="170"/>
      <c r="CC109" s="170"/>
      <c r="CD109" s="170"/>
      <c r="CE109" s="170"/>
      <c r="CF109" s="170"/>
      <c r="CG109" s="170"/>
      <c r="CH109" s="170"/>
      <c r="CI109" s="170"/>
      <c r="CJ109" s="170"/>
      <c r="CK109" s="170"/>
    </row>
    <row r="110" spans="1:95" s="50" customFormat="1" ht="16" customHeight="1">
      <c r="A110" s="130"/>
      <c r="B110" s="1107"/>
      <c r="C110" s="54"/>
      <c r="D110" s="54"/>
      <c r="E110" s="54"/>
      <c r="F110" s="54"/>
      <c r="G110" s="132" t="s">
        <v>239</v>
      </c>
      <c r="H110" s="1110"/>
      <c r="I110" s="1110"/>
      <c r="J110" s="1110"/>
      <c r="K110" s="1110"/>
      <c r="L110" s="1110"/>
      <c r="M110" s="1110"/>
      <c r="N110" s="1110"/>
      <c r="O110" s="1110"/>
      <c r="P110" s="867">
        <f t="shared" ref="P110" si="156">$D106*P104*P105+$E106*P106*P107</f>
        <v>1327.836</v>
      </c>
      <c r="Q110" s="135">
        <f t="shared" ref="Q110:S110" si="157">$D106*Q104*Q105+$E106*Q106*Q107</f>
        <v>1448.4824000000001</v>
      </c>
      <c r="R110" s="135">
        <f t="shared" si="157"/>
        <v>1569.0381000000002</v>
      </c>
      <c r="S110" s="244">
        <f t="shared" si="157"/>
        <v>1689.5938000000001</v>
      </c>
      <c r="T110" s="135">
        <f>$D107*T104*T105+$E107*T106*T107</f>
        <v>1906.900856</v>
      </c>
      <c r="U110" s="135">
        <f t="shared" ref="U110:AE110" si="158">$D107*U104*U105+$E107*U106*U107</f>
        <v>2045.0848053333334</v>
      </c>
      <c r="V110" s="270">
        <f>$D107*V104*V105+$E107*V106*V107</f>
        <v>2422.6185893333331</v>
      </c>
      <c r="W110" s="135">
        <f>$D107*W104*W105+$E107*W106*W107</f>
        <v>2560.8025386666668</v>
      </c>
      <c r="X110" s="135">
        <f t="shared" ref="X110:AA110" si="159">$D107*X104*X105+$E107*X106*X107</f>
        <v>2698.9864879999996</v>
      </c>
      <c r="Y110" s="135">
        <f t="shared" si="159"/>
        <v>2849.5097919999998</v>
      </c>
      <c r="Z110" s="135">
        <f t="shared" si="159"/>
        <v>2987.4214026666668</v>
      </c>
      <c r="AA110" s="135">
        <f t="shared" si="159"/>
        <v>3150.8287386666666</v>
      </c>
      <c r="AB110" s="903">
        <f>4/9*($D107*AB104*AB105+$E107*AB106*AB107)+5/18*($D109*AB104*AB105+$E109*AB106*AB107)</f>
        <v>3962.4800212782893</v>
      </c>
      <c r="AC110" s="135">
        <f t="shared" si="158"/>
        <v>4189.4291253333331</v>
      </c>
      <c r="AD110" s="135">
        <f t="shared" si="158"/>
        <v>4376.9704933333333</v>
      </c>
      <c r="AE110" s="244">
        <f t="shared" si="158"/>
        <v>4576.851216</v>
      </c>
      <c r="AF110" s="135">
        <f t="shared" ref="AF110:AQ110" si="160">$D108*AF104*AF105+$E108*AF106*AF107</f>
        <v>4987.5065877266679</v>
      </c>
      <c r="AG110" s="135">
        <f t="shared" si="160"/>
        <v>5183.4590888666671</v>
      </c>
      <c r="AH110" s="135">
        <f t="shared" si="160"/>
        <v>5379.4115900066672</v>
      </c>
      <c r="AI110" s="135">
        <f t="shared" si="160"/>
        <v>5588.2997433866676</v>
      </c>
      <c r="AJ110" s="135">
        <f t="shared" si="160"/>
        <v>5784.2522445266677</v>
      </c>
      <c r="AK110" s="135">
        <f t="shared" si="160"/>
        <v>5993.1403979066672</v>
      </c>
      <c r="AL110" s="135">
        <f t="shared" si="160"/>
        <v>6189.0928990466673</v>
      </c>
      <c r="AM110" s="135">
        <f t="shared" si="160"/>
        <v>6397.9810524266677</v>
      </c>
      <c r="AN110" s="135">
        <f t="shared" si="160"/>
        <v>6593.9335535666669</v>
      </c>
      <c r="AO110" s="135">
        <f t="shared" si="160"/>
        <v>6802.8217069466664</v>
      </c>
      <c r="AP110" s="135">
        <f t="shared" si="160"/>
        <v>6998.7742080866683</v>
      </c>
      <c r="AQ110" s="135">
        <f t="shared" si="160"/>
        <v>7207.6623614666678</v>
      </c>
      <c r="AR110" s="167"/>
      <c r="AS110" s="167"/>
      <c r="AT110" s="170"/>
      <c r="AU110" s="170"/>
      <c r="AV110" s="170"/>
      <c r="AW110" s="170"/>
      <c r="AX110" s="170"/>
      <c r="AY110" s="170"/>
      <c r="AZ110" s="170"/>
      <c r="BA110" s="170"/>
      <c r="BB110" s="170"/>
      <c r="BC110" s="170"/>
      <c r="BD110" s="170"/>
      <c r="BE110" s="170"/>
      <c r="BF110" s="170"/>
      <c r="BG110" s="170"/>
      <c r="BH110" s="170"/>
      <c r="BI110" s="170"/>
      <c r="BJ110" s="170"/>
      <c r="BK110" s="170"/>
      <c r="BL110" s="170"/>
      <c r="BM110" s="170"/>
      <c r="BN110" s="170"/>
      <c r="BO110" s="170"/>
      <c r="BP110" s="170"/>
      <c r="BQ110" s="170"/>
      <c r="BR110" s="170"/>
      <c r="BS110" s="170"/>
      <c r="BT110" s="170"/>
      <c r="BU110" s="170"/>
      <c r="BV110" s="170"/>
      <c r="BW110" s="170"/>
      <c r="BX110" s="170"/>
      <c r="BY110" s="170"/>
      <c r="BZ110" s="170"/>
      <c r="CA110" s="170"/>
      <c r="CB110" s="170"/>
      <c r="CC110" s="170"/>
      <c r="CD110" s="170"/>
      <c r="CE110" s="170"/>
      <c r="CF110" s="170"/>
      <c r="CG110" s="170"/>
      <c r="CH110" s="170"/>
      <c r="CI110" s="170"/>
      <c r="CJ110" s="170"/>
      <c r="CK110" s="170"/>
    </row>
    <row r="111" spans="1:95" s="286" customFormat="1" ht="16" customHeight="1">
      <c r="A111" s="130"/>
      <c r="B111" s="54"/>
      <c r="C111" s="54"/>
      <c r="D111" s="54"/>
      <c r="E111" s="54"/>
      <c r="F111" s="54"/>
      <c r="G111" s="133"/>
      <c r="H111" s="136"/>
      <c r="I111" s="136"/>
      <c r="J111" s="136"/>
      <c r="K111" s="136"/>
      <c r="L111" s="136"/>
      <c r="M111" s="136"/>
      <c r="N111" s="136"/>
      <c r="O111" s="136"/>
      <c r="P111" s="866"/>
      <c r="Q111" s="136"/>
      <c r="R111" s="136"/>
      <c r="S111" s="243"/>
      <c r="T111" s="136"/>
      <c r="U111" s="136"/>
      <c r="V111" s="269"/>
      <c r="W111" s="136"/>
      <c r="X111" s="136"/>
      <c r="Y111" s="136"/>
      <c r="Z111" s="136"/>
      <c r="AA111" s="136"/>
      <c r="AB111" s="902"/>
      <c r="AC111" s="136"/>
      <c r="AD111" s="136"/>
      <c r="AE111" s="243"/>
      <c r="AF111" s="136"/>
      <c r="AG111" s="136"/>
      <c r="AH111" s="136"/>
      <c r="AI111" s="136"/>
      <c r="AJ111" s="136"/>
      <c r="AK111" s="136"/>
      <c r="AL111" s="136"/>
      <c r="AM111" s="136"/>
      <c r="AN111" s="136"/>
      <c r="AO111" s="136"/>
      <c r="AP111" s="136"/>
      <c r="AQ111" s="136"/>
      <c r="AR111" s="167"/>
      <c r="AS111" s="167"/>
      <c r="AT111" s="295"/>
      <c r="AU111" s="295"/>
      <c r="AV111" s="295"/>
      <c r="AW111" s="295"/>
      <c r="AX111" s="295"/>
      <c r="AY111" s="295"/>
      <c r="AZ111" s="295"/>
      <c r="BA111" s="295"/>
      <c r="BB111" s="295"/>
      <c r="BC111" s="295"/>
      <c r="BD111" s="295"/>
      <c r="BE111" s="295"/>
      <c r="BF111" s="295"/>
      <c r="BG111" s="295"/>
      <c r="BH111" s="295"/>
      <c r="BI111" s="295"/>
      <c r="BJ111" s="295"/>
      <c r="BK111" s="295"/>
      <c r="BL111" s="295"/>
      <c r="BM111" s="295"/>
      <c r="BN111" s="295"/>
      <c r="BO111" s="295"/>
      <c r="BP111" s="295"/>
      <c r="BQ111" s="295"/>
      <c r="BR111" s="295"/>
      <c r="BS111" s="295"/>
      <c r="BT111" s="295"/>
      <c r="BU111" s="295"/>
      <c r="BV111" s="295"/>
      <c r="BW111" s="295"/>
      <c r="BX111" s="295"/>
      <c r="BY111" s="295"/>
      <c r="BZ111" s="295"/>
      <c r="CA111" s="295"/>
      <c r="CB111" s="295"/>
      <c r="CC111" s="295"/>
      <c r="CD111" s="295"/>
      <c r="CE111" s="295"/>
      <c r="CF111" s="295"/>
      <c r="CG111" s="295"/>
      <c r="CH111" s="295"/>
      <c r="CI111" s="295"/>
      <c r="CJ111" s="295"/>
      <c r="CK111" s="295"/>
    </row>
    <row r="112" spans="1:95" s="286" customFormat="1" ht="16" customHeight="1">
      <c r="A112" s="130"/>
      <c r="B112" s="54"/>
      <c r="C112" s="54"/>
      <c r="D112" s="54"/>
      <c r="E112" s="54"/>
      <c r="F112" s="54"/>
      <c r="G112" s="313" t="s">
        <v>349</v>
      </c>
      <c r="H112" s="304">
        <f>H108+H99+H90</f>
        <v>1000</v>
      </c>
      <c r="I112" s="304">
        <f t="shared" ref="I112:AQ112" si="161">I108+I99+I90</f>
        <v>1090</v>
      </c>
      <c r="J112" s="304">
        <f t="shared" si="161"/>
        <v>1180</v>
      </c>
      <c r="K112" s="304">
        <f t="shared" si="161"/>
        <v>1140</v>
      </c>
      <c r="L112" s="304">
        <f t="shared" si="161"/>
        <v>1200</v>
      </c>
      <c r="M112" s="304">
        <f t="shared" si="161"/>
        <v>1250</v>
      </c>
      <c r="N112" s="304">
        <f t="shared" si="161"/>
        <v>1300</v>
      </c>
      <c r="O112" s="304">
        <f t="shared" si="161"/>
        <v>1330</v>
      </c>
      <c r="P112" s="868">
        <f t="shared" si="161"/>
        <v>1515</v>
      </c>
      <c r="Q112" s="304">
        <f t="shared" si="161"/>
        <v>1715</v>
      </c>
      <c r="R112" s="304">
        <f t="shared" si="161"/>
        <v>1930</v>
      </c>
      <c r="S112" s="314">
        <f t="shared" si="161"/>
        <v>2140</v>
      </c>
      <c r="T112" s="304">
        <f t="shared" si="161"/>
        <v>2110</v>
      </c>
      <c r="U112" s="304">
        <f t="shared" si="161"/>
        <v>2280</v>
      </c>
      <c r="V112" s="887">
        <f t="shared" ref="V112:W112" si="162">V108+V99+V90</f>
        <v>2465</v>
      </c>
      <c r="W112" s="304">
        <f t="shared" si="162"/>
        <v>2810</v>
      </c>
      <c r="X112" s="304">
        <f t="shared" si="161"/>
        <v>2985</v>
      </c>
      <c r="Y112" s="304">
        <f t="shared" si="161"/>
        <v>3105</v>
      </c>
      <c r="Z112" s="304">
        <f t="shared" si="161"/>
        <v>3250</v>
      </c>
      <c r="AA112" s="304">
        <f t="shared" si="161"/>
        <v>3365</v>
      </c>
      <c r="AB112" s="904">
        <f t="shared" si="161"/>
        <v>5305</v>
      </c>
      <c r="AC112" s="304">
        <f t="shared" si="161"/>
        <v>4470</v>
      </c>
      <c r="AD112" s="304">
        <f t="shared" si="161"/>
        <v>4965</v>
      </c>
      <c r="AE112" s="314">
        <f t="shared" si="161"/>
        <v>5405</v>
      </c>
      <c r="AF112" s="304">
        <f t="shared" si="161"/>
        <v>5690</v>
      </c>
      <c r="AG112" s="304">
        <f t="shared" si="161"/>
        <v>5720</v>
      </c>
      <c r="AH112" s="304">
        <f t="shared" si="161"/>
        <v>5885</v>
      </c>
      <c r="AI112" s="304">
        <f t="shared" si="161"/>
        <v>6370</v>
      </c>
      <c r="AJ112" s="304">
        <f t="shared" si="161"/>
        <v>6760</v>
      </c>
      <c r="AK112" s="304">
        <f t="shared" si="161"/>
        <v>6990</v>
      </c>
      <c r="AL112" s="304">
        <f t="shared" si="161"/>
        <v>7285</v>
      </c>
      <c r="AM112" s="304">
        <f t="shared" si="161"/>
        <v>7455</v>
      </c>
      <c r="AN112" s="304">
        <f t="shared" si="161"/>
        <v>7740</v>
      </c>
      <c r="AO112" s="304">
        <f t="shared" si="161"/>
        <v>7780</v>
      </c>
      <c r="AP112" s="304">
        <f t="shared" si="161"/>
        <v>8625</v>
      </c>
      <c r="AQ112" s="304">
        <f t="shared" si="161"/>
        <v>9395</v>
      </c>
      <c r="AR112" s="167"/>
      <c r="AS112" s="167"/>
      <c r="AT112" s="295"/>
      <c r="AU112" s="295"/>
      <c r="AV112" s="295"/>
      <c r="AW112" s="295"/>
      <c r="AX112" s="295"/>
      <c r="AY112" s="295"/>
      <c r="AZ112" s="295"/>
      <c r="BA112" s="295"/>
      <c r="BB112" s="295"/>
      <c r="BC112" s="295"/>
      <c r="BD112" s="295"/>
      <c r="BE112" s="295"/>
      <c r="BF112" s="295"/>
      <c r="BG112" s="295"/>
      <c r="BH112" s="295"/>
      <c r="BI112" s="295"/>
      <c r="BJ112" s="295"/>
      <c r="BK112" s="295"/>
      <c r="BL112" s="295"/>
      <c r="BM112" s="295"/>
      <c r="BN112" s="295"/>
      <c r="BO112" s="295"/>
      <c r="BP112" s="295"/>
      <c r="BQ112" s="295"/>
      <c r="BR112" s="295"/>
      <c r="BS112" s="295"/>
      <c r="BT112" s="295"/>
      <c r="BU112" s="295"/>
      <c r="BV112" s="295"/>
      <c r="BW112" s="295"/>
      <c r="BX112" s="295"/>
      <c r="BY112" s="295"/>
      <c r="BZ112" s="295"/>
      <c r="CA112" s="295"/>
      <c r="CB112" s="295"/>
      <c r="CC112" s="295"/>
      <c r="CD112" s="295"/>
      <c r="CE112" s="295"/>
      <c r="CF112" s="295"/>
      <c r="CG112" s="295"/>
      <c r="CH112" s="295"/>
      <c r="CI112" s="295"/>
      <c r="CJ112" s="295"/>
      <c r="CK112" s="295"/>
    </row>
    <row r="113" spans="1:89" s="50" customFormat="1" ht="16" customHeight="1">
      <c r="A113" s="130"/>
      <c r="B113" s="1111" t="str">
        <f>B83&amp;" Total"</f>
        <v>Drinks Total</v>
      </c>
      <c r="C113" s="843"/>
      <c r="D113" s="844"/>
      <c r="E113" s="845"/>
      <c r="F113" s="1109"/>
      <c r="G113" s="153" t="s">
        <v>242</v>
      </c>
      <c r="H113" s="149">
        <f t="shared" ref="H113:AQ113" si="163">H91+H100+H109</f>
        <v>2166.666666666667</v>
      </c>
      <c r="I113" s="149">
        <f t="shared" si="163"/>
        <v>2425</v>
      </c>
      <c r="J113" s="149">
        <f t="shared" si="163"/>
        <v>2679.166666666667</v>
      </c>
      <c r="K113" s="149">
        <f t="shared" si="163"/>
        <v>2675</v>
      </c>
      <c r="L113" s="149">
        <f t="shared" si="163"/>
        <v>2875</v>
      </c>
      <c r="M113" s="149">
        <f t="shared" si="163"/>
        <v>3041.666666666667</v>
      </c>
      <c r="N113" s="149">
        <f t="shared" si="163"/>
        <v>3179.1666666666665</v>
      </c>
      <c r="O113" s="149">
        <f t="shared" si="163"/>
        <v>3250</v>
      </c>
      <c r="P113" s="869">
        <f t="shared" si="163"/>
        <v>4387.5</v>
      </c>
      <c r="Q113" s="149">
        <f t="shared" si="163"/>
        <v>4824.5833333333339</v>
      </c>
      <c r="R113" s="149">
        <f t="shared" si="163"/>
        <v>5294.166666666667</v>
      </c>
      <c r="S113" s="301">
        <f t="shared" si="163"/>
        <v>5747.0833333333339</v>
      </c>
      <c r="T113" s="149">
        <f t="shared" si="163"/>
        <v>5952.5</v>
      </c>
      <c r="U113" s="149">
        <f t="shared" si="163"/>
        <v>6509.5833333333339</v>
      </c>
      <c r="V113" s="271">
        <f t="shared" si="163"/>
        <v>7284.5833333333339</v>
      </c>
      <c r="W113" s="149">
        <f t="shared" si="163"/>
        <v>8270.8333333333321</v>
      </c>
      <c r="X113" s="149">
        <f t="shared" si="163"/>
        <v>8515.4166666666661</v>
      </c>
      <c r="Y113" s="149">
        <f t="shared" si="163"/>
        <v>8967.0833333333321</v>
      </c>
      <c r="Z113" s="149">
        <f t="shared" si="163"/>
        <v>9450.4166666666661</v>
      </c>
      <c r="AA113" s="149">
        <f t="shared" si="163"/>
        <v>9783.3333333333321</v>
      </c>
      <c r="AB113" s="905">
        <f t="shared" si="163"/>
        <v>14023.657407407409</v>
      </c>
      <c r="AC113" s="149">
        <f t="shared" si="163"/>
        <v>13196.666666666668</v>
      </c>
      <c r="AD113" s="149">
        <f t="shared" si="163"/>
        <v>14244.583333333334</v>
      </c>
      <c r="AE113" s="301">
        <f t="shared" si="163"/>
        <v>15151.25</v>
      </c>
      <c r="AF113" s="149">
        <f t="shared" si="163"/>
        <v>16550.833333333336</v>
      </c>
      <c r="AG113" s="149">
        <f t="shared" si="163"/>
        <v>16845.833333333336</v>
      </c>
      <c r="AH113" s="149">
        <f t="shared" si="163"/>
        <v>17648.75</v>
      </c>
      <c r="AI113" s="149">
        <f t="shared" si="163"/>
        <v>19241.666666666668</v>
      </c>
      <c r="AJ113" s="149">
        <f t="shared" si="163"/>
        <v>20463.333333333336</v>
      </c>
      <c r="AK113" s="149">
        <f t="shared" si="163"/>
        <v>21345.000000000004</v>
      </c>
      <c r="AL113" s="149">
        <f t="shared" si="163"/>
        <v>22269.583333333336</v>
      </c>
      <c r="AM113" s="149">
        <f t="shared" si="163"/>
        <v>22812.083333333336</v>
      </c>
      <c r="AN113" s="149">
        <f t="shared" si="163"/>
        <v>23472.5</v>
      </c>
      <c r="AO113" s="149">
        <f t="shared" si="163"/>
        <v>23347.5</v>
      </c>
      <c r="AP113" s="149">
        <f t="shared" si="163"/>
        <v>25105.416666666668</v>
      </c>
      <c r="AQ113" s="149">
        <f t="shared" si="163"/>
        <v>26656.250000000004</v>
      </c>
      <c r="AR113" s="167"/>
      <c r="AS113" s="167"/>
      <c r="AT113" s="170"/>
      <c r="AU113" s="170"/>
      <c r="AV113" s="170"/>
      <c r="AW113" s="170"/>
      <c r="AX113" s="170"/>
      <c r="AY113" s="170"/>
      <c r="AZ113" s="170"/>
      <c r="BA113" s="170"/>
      <c r="BB113" s="170"/>
      <c r="BC113" s="170"/>
      <c r="BD113" s="170"/>
      <c r="BE113" s="170"/>
      <c r="BF113" s="170"/>
      <c r="BG113" s="170"/>
      <c r="BH113" s="170"/>
      <c r="BI113" s="170"/>
      <c r="BJ113" s="170"/>
      <c r="BK113" s="170"/>
      <c r="BL113" s="170"/>
      <c r="BM113" s="170"/>
      <c r="BN113" s="170"/>
      <c r="BO113" s="170"/>
      <c r="BP113" s="170"/>
      <c r="BQ113" s="170"/>
      <c r="BR113" s="170"/>
      <c r="BS113" s="170"/>
      <c r="BT113" s="170"/>
      <c r="BU113" s="170"/>
      <c r="BV113" s="170"/>
      <c r="BW113" s="170"/>
      <c r="BX113" s="170"/>
      <c r="BY113" s="170"/>
      <c r="BZ113" s="170"/>
      <c r="CA113" s="170"/>
      <c r="CB113" s="170"/>
      <c r="CC113" s="170"/>
      <c r="CD113" s="170"/>
      <c r="CE113" s="170"/>
      <c r="CF113" s="170"/>
      <c r="CG113" s="170"/>
      <c r="CH113" s="170"/>
      <c r="CI113" s="170"/>
      <c r="CJ113" s="170"/>
      <c r="CK113" s="170"/>
    </row>
    <row r="114" spans="1:89" s="50" customFormat="1" ht="16" customHeight="1" thickBot="1">
      <c r="A114" s="130"/>
      <c r="B114" s="1111"/>
      <c r="C114" s="843"/>
      <c r="D114" s="844"/>
      <c r="E114" s="845"/>
      <c r="F114" s="1109"/>
      <c r="G114" s="154" t="s">
        <v>241</v>
      </c>
      <c r="H114" s="150">
        <f t="shared" ref="H114:Z114" si="164">H92+H101+H110</f>
        <v>1690.6986666666667</v>
      </c>
      <c r="I114" s="150">
        <f t="shared" si="164"/>
        <v>1888.4211428571427</v>
      </c>
      <c r="J114" s="150">
        <f t="shared" si="164"/>
        <v>2084.5112380952382</v>
      </c>
      <c r="K114" s="150">
        <f t="shared" si="164"/>
        <v>2076.0920000000001</v>
      </c>
      <c r="L114" s="150">
        <f t="shared" si="164"/>
        <v>2229.0434285714291</v>
      </c>
      <c r="M114" s="150">
        <f t="shared" si="164"/>
        <v>2356.0460952380954</v>
      </c>
      <c r="N114" s="150">
        <f t="shared" si="164"/>
        <v>2461.8758095238095</v>
      </c>
      <c r="O114" s="150">
        <f t="shared" si="164"/>
        <v>2517.0262857142852</v>
      </c>
      <c r="P114" s="870">
        <f t="shared" si="164"/>
        <v>3156.5902857142855</v>
      </c>
      <c r="Q114" s="150">
        <f t="shared" si="164"/>
        <v>3478.4268761904764</v>
      </c>
      <c r="R114" s="150">
        <f t="shared" si="164"/>
        <v>3824.1359095238099</v>
      </c>
      <c r="S114" s="302">
        <f t="shared" si="164"/>
        <v>4156.1091333333334</v>
      </c>
      <c r="T114" s="150">
        <f t="shared" si="164"/>
        <v>4288.1150960000004</v>
      </c>
      <c r="U114" s="150">
        <f t="shared" si="164"/>
        <v>4691.1168281904766</v>
      </c>
      <c r="V114" s="272">
        <f t="shared" si="164"/>
        <v>5212.8536064761902</v>
      </c>
      <c r="W114" s="150">
        <f t="shared" si="164"/>
        <v>5949.8982567619041</v>
      </c>
      <c r="X114" s="150">
        <f t="shared" si="164"/>
        <v>6382.7995089523802</v>
      </c>
      <c r="Y114" s="150">
        <f t="shared" si="164"/>
        <v>6701.8514224761893</v>
      </c>
      <c r="Z114" s="150">
        <f t="shared" si="164"/>
        <v>7035.1172579047616</v>
      </c>
      <c r="AA114" s="150">
        <f t="shared" ref="AA114:AE114" si="165">AA92+AA101+AA110</f>
        <v>7292.3137672380944</v>
      </c>
      <c r="AB114" s="906">
        <f t="shared" si="165"/>
        <v>8874.961286040194</v>
      </c>
      <c r="AC114" s="150">
        <f t="shared" si="165"/>
        <v>9458.9917386666657</v>
      </c>
      <c r="AD114" s="150">
        <f t="shared" si="165"/>
        <v>10253.694241904763</v>
      </c>
      <c r="AE114" s="302">
        <f t="shared" si="165"/>
        <v>10938.929204571428</v>
      </c>
      <c r="AF114" s="150">
        <f t="shared" ref="AF114:AQ114" si="166">AF92+AF101+AF110</f>
        <v>11946.746297250478</v>
      </c>
      <c r="AG114" s="150">
        <f t="shared" si="166"/>
        <v>12132.887955190477</v>
      </c>
      <c r="AH114" s="150">
        <f t="shared" si="166"/>
        <v>12702.439849511429</v>
      </c>
      <c r="AI114" s="150">
        <f t="shared" si="166"/>
        <v>13882.405537329525</v>
      </c>
      <c r="AJ114" s="150">
        <f t="shared" si="166"/>
        <v>14784.475739536194</v>
      </c>
      <c r="AK114" s="150">
        <f t="shared" si="166"/>
        <v>15418.732659240002</v>
      </c>
      <c r="AL114" s="150">
        <f t="shared" si="166"/>
        <v>16095.246990056192</v>
      </c>
      <c r="AM114" s="150">
        <f t="shared" si="166"/>
        <v>16480.955298636192</v>
      </c>
      <c r="AN114" s="150">
        <f t="shared" si="166"/>
        <v>16968.886571814288</v>
      </c>
      <c r="AO114" s="150">
        <f t="shared" si="166"/>
        <v>16861.302897308575</v>
      </c>
      <c r="AP114" s="150">
        <f t="shared" si="166"/>
        <v>18220.089285229529</v>
      </c>
      <c r="AQ114" s="150">
        <f t="shared" si="166"/>
        <v>19418.4148604</v>
      </c>
      <c r="AR114" s="167"/>
      <c r="AS114" s="167"/>
      <c r="AT114" s="170"/>
      <c r="AU114" s="170"/>
      <c r="AV114" s="170"/>
      <c r="AW114" s="170"/>
      <c r="AX114" s="170"/>
      <c r="AY114" s="170"/>
      <c r="AZ114" s="170"/>
      <c r="BA114" s="170"/>
      <c r="BB114" s="170"/>
      <c r="BC114" s="170"/>
      <c r="BD114" s="170"/>
      <c r="BE114" s="170"/>
      <c r="BF114" s="170"/>
      <c r="BG114" s="170"/>
      <c r="BH114" s="170"/>
      <c r="BI114" s="170"/>
      <c r="BJ114" s="170"/>
      <c r="BK114" s="170"/>
      <c r="BL114" s="170"/>
      <c r="BM114" s="170"/>
      <c r="BN114" s="170"/>
      <c r="BO114" s="170"/>
      <c r="BP114" s="170"/>
      <c r="BQ114" s="170"/>
      <c r="BR114" s="170"/>
      <c r="BS114" s="170"/>
      <c r="BT114" s="170"/>
      <c r="BU114" s="170"/>
      <c r="BV114" s="170"/>
      <c r="BW114" s="170"/>
      <c r="BX114" s="170"/>
      <c r="BY114" s="170"/>
      <c r="BZ114" s="170"/>
      <c r="CA114" s="170"/>
      <c r="CB114" s="170"/>
      <c r="CC114" s="170"/>
      <c r="CD114" s="170"/>
      <c r="CE114" s="170"/>
      <c r="CF114" s="170"/>
      <c r="CG114" s="170"/>
      <c r="CH114" s="170"/>
      <c r="CI114" s="170"/>
      <c r="CJ114" s="170"/>
      <c r="CK114" s="170"/>
    </row>
    <row r="115" spans="1:89" s="50" customFormat="1" ht="16" customHeight="1" thickTop="1">
      <c r="A115" s="130"/>
      <c r="B115" s="1111"/>
      <c r="C115" s="843"/>
      <c r="D115" s="844"/>
      <c r="E115" s="845"/>
      <c r="F115" s="1109"/>
      <c r="G115" s="925" t="s">
        <v>436</v>
      </c>
      <c r="H115" s="151"/>
      <c r="I115" s="151"/>
      <c r="J115" s="151"/>
      <c r="K115" s="151"/>
      <c r="L115" s="151"/>
      <c r="M115" s="151"/>
      <c r="N115" s="151"/>
      <c r="O115" s="151"/>
      <c r="P115" s="871"/>
      <c r="Q115" s="151"/>
      <c r="R115" s="151"/>
      <c r="S115" s="245"/>
      <c r="T115" s="625">
        <f>(T113-H113)/H113</f>
        <v>1.747307692307692</v>
      </c>
      <c r="U115" s="625">
        <f t="shared" ref="U115" si="167">(U113-I113)/I113</f>
        <v>1.6843642611683851</v>
      </c>
      <c r="V115" s="888">
        <f t="shared" ref="V115" si="168">(V113-J113)/J113</f>
        <v>1.7189735614307931</v>
      </c>
      <c r="W115" s="625">
        <f t="shared" ref="W115" si="169">(W113-K113)/K113</f>
        <v>2.0919003115264792</v>
      </c>
      <c r="X115" s="625">
        <f t="shared" ref="X115" si="170">(X113-L113)/L113</f>
        <v>1.9618840579710142</v>
      </c>
      <c r="Y115" s="625">
        <f t="shared" ref="Y115" si="171">(Y113-M113)/M113</f>
        <v>1.9480821917808213</v>
      </c>
      <c r="Z115" s="625">
        <f t="shared" ref="Z115" si="172">(Z113-N113)/N113</f>
        <v>1.972608125819135</v>
      </c>
      <c r="AA115" s="625">
        <f t="shared" ref="AA115" si="173">(AA113-O113)/O113</f>
        <v>2.0102564102564098</v>
      </c>
      <c r="AB115" s="907">
        <f t="shared" ref="AB115" si="174">(AB113-P113)/P113</f>
        <v>2.196275192571489</v>
      </c>
      <c r="AC115" s="625">
        <f t="shared" ref="AC115" si="175">(AC113-Q113)/Q113</f>
        <v>1.7352966577424647</v>
      </c>
      <c r="AD115" s="625">
        <f t="shared" ref="AD115" si="176">(AD113-R113)/R113</f>
        <v>1.6906186053832837</v>
      </c>
      <c r="AE115" s="885">
        <f t="shared" ref="AE115" si="177">(AE113-S113)/S113</f>
        <v>1.6363372725295438</v>
      </c>
      <c r="AF115" s="625">
        <f t="shared" ref="AF115" si="178">(AF113-T113)/T113</f>
        <v>1.7804843903121941</v>
      </c>
      <c r="AG115" s="625">
        <f t="shared" ref="AG115" si="179">(AG113-U113)/U113</f>
        <v>1.5878512449593549</v>
      </c>
      <c r="AH115" s="625">
        <f t="shared" ref="AH115" si="180">(AH113-V113)/V113</f>
        <v>1.4227535320025164</v>
      </c>
      <c r="AI115" s="625">
        <f t="shared" ref="AI115" si="181">(AI113-W113)/W113</f>
        <v>1.3264483627204036</v>
      </c>
      <c r="AJ115" s="625">
        <f t="shared" ref="AJ115" si="182">(AJ113-X113)/X113</f>
        <v>1.4030924303958512</v>
      </c>
      <c r="AK115" s="625">
        <f t="shared" ref="AK115" si="183">(AK113-Y113)/Y113</f>
        <v>1.3803726592630461</v>
      </c>
      <c r="AL115" s="625">
        <f t="shared" ref="AL115" si="184">(AL113-Z113)/Z113</f>
        <v>1.3564657642961073</v>
      </c>
      <c r="AM115" s="625">
        <f t="shared" ref="AM115" si="185">(AM113-AA113)/AA113</f>
        <v>1.3317291311754691</v>
      </c>
      <c r="AN115" s="625">
        <f t="shared" ref="AN115" si="186">(AN113-AB113)/AB113</f>
        <v>0.67377876670044978</v>
      </c>
      <c r="AO115" s="625">
        <f t="shared" ref="AO115" si="187">(AO113-AC113)/AC113</f>
        <v>0.76919676686031813</v>
      </c>
      <c r="AP115" s="625">
        <f t="shared" ref="AP115" si="188">(AP113-AD113)/AD113</f>
        <v>0.76245356422031763</v>
      </c>
      <c r="AQ115" s="625">
        <f t="shared" ref="AQ115" si="189">(AQ113-AE113)/AE113</f>
        <v>0.75934328850754917</v>
      </c>
      <c r="AR115" s="167"/>
      <c r="AS115" s="167"/>
      <c r="AT115" s="170"/>
      <c r="AU115" s="170"/>
      <c r="AV115" s="170"/>
      <c r="AW115" s="170"/>
      <c r="AX115" s="170"/>
      <c r="AY115" s="170"/>
      <c r="AZ115" s="170"/>
      <c r="BA115" s="170"/>
      <c r="BB115" s="170"/>
      <c r="BC115" s="170"/>
      <c r="BD115" s="170"/>
      <c r="BE115" s="170"/>
      <c r="BF115" s="170"/>
      <c r="BG115" s="170"/>
      <c r="BH115" s="170"/>
      <c r="BI115" s="170"/>
      <c r="BJ115" s="170"/>
      <c r="BK115" s="170"/>
      <c r="BL115" s="170"/>
      <c r="BM115" s="170"/>
      <c r="BN115" s="170"/>
      <c r="BO115" s="170"/>
      <c r="BP115" s="170"/>
      <c r="BQ115" s="170"/>
      <c r="BR115" s="170"/>
      <c r="BS115" s="170"/>
      <c r="BT115" s="170"/>
      <c r="BU115" s="170"/>
      <c r="BV115" s="170"/>
      <c r="BW115" s="170"/>
      <c r="BX115" s="170"/>
      <c r="BY115" s="170"/>
      <c r="BZ115" s="170"/>
      <c r="CA115" s="170"/>
      <c r="CB115" s="170"/>
      <c r="CC115" s="170"/>
      <c r="CD115" s="170"/>
      <c r="CE115" s="170"/>
      <c r="CF115" s="170"/>
      <c r="CG115" s="170"/>
      <c r="CH115" s="170"/>
      <c r="CI115" s="170"/>
      <c r="CJ115" s="170"/>
      <c r="CK115" s="170"/>
    </row>
    <row r="116" spans="1:89" s="50" customFormat="1" ht="16" customHeight="1">
      <c r="A116" s="130"/>
      <c r="B116" s="1111"/>
      <c r="C116" s="843"/>
      <c r="D116" s="844"/>
      <c r="E116" s="845"/>
      <c r="F116" s="845"/>
      <c r="G116" s="155" t="s">
        <v>240</v>
      </c>
      <c r="H116" s="152">
        <f t="shared" ref="H116:AQ116" si="190">H114/H113</f>
        <v>0.78032246153846141</v>
      </c>
      <c r="I116" s="152">
        <f t="shared" si="190"/>
        <v>0.77873036818851249</v>
      </c>
      <c r="J116" s="152">
        <f t="shared" si="190"/>
        <v>0.77804463008220393</v>
      </c>
      <c r="K116" s="152">
        <f t="shared" si="190"/>
        <v>0.77610915887850473</v>
      </c>
      <c r="L116" s="152">
        <f t="shared" si="190"/>
        <v>0.77531945341614927</v>
      </c>
      <c r="M116" s="152">
        <f t="shared" si="190"/>
        <v>0.77459049706457928</v>
      </c>
      <c r="N116" s="152">
        <f t="shared" si="190"/>
        <v>0.77437771203894401</v>
      </c>
      <c r="O116" s="152">
        <f t="shared" si="190"/>
        <v>0.77446962637362626</v>
      </c>
      <c r="P116" s="872">
        <f t="shared" si="190"/>
        <v>0.71945077737077734</v>
      </c>
      <c r="Q116" s="152">
        <f t="shared" si="190"/>
        <v>0.72097974806608012</v>
      </c>
      <c r="R116" s="152">
        <f t="shared" si="190"/>
        <v>0.72233009466843567</v>
      </c>
      <c r="S116" s="246">
        <f t="shared" si="190"/>
        <v>0.7231684129630972</v>
      </c>
      <c r="T116" s="152">
        <f t="shared" si="190"/>
        <v>0.72038892834943313</v>
      </c>
      <c r="U116" s="152">
        <f t="shared" si="190"/>
        <v>0.7206477877268862</v>
      </c>
      <c r="V116" s="273">
        <f t="shared" ref="V116:W116" si="191">V114/V113</f>
        <v>0.71560079251517794</v>
      </c>
      <c r="W116" s="152">
        <f t="shared" si="191"/>
        <v>0.71938316454551998</v>
      </c>
      <c r="X116" s="152">
        <f t="shared" si="190"/>
        <v>0.74955809666221629</v>
      </c>
      <c r="Y116" s="152">
        <f t="shared" si="190"/>
        <v>0.74738364453059136</v>
      </c>
      <c r="Z116" s="152">
        <f t="shared" si="190"/>
        <v>0.74442402975933286</v>
      </c>
      <c r="AA116" s="152">
        <f t="shared" si="190"/>
        <v>0.74538130499878319</v>
      </c>
      <c r="AB116" s="908">
        <f t="shared" si="190"/>
        <v>0.63285639603206278</v>
      </c>
      <c r="AC116" s="152">
        <f t="shared" si="190"/>
        <v>0.71677128608234386</v>
      </c>
      <c r="AD116" s="152">
        <f t="shared" si="190"/>
        <v>0.71983111067281214</v>
      </c>
      <c r="AE116" s="246">
        <f t="shared" si="190"/>
        <v>0.72198196218605248</v>
      </c>
      <c r="AF116" s="152">
        <f t="shared" si="190"/>
        <v>0.72182143682093403</v>
      </c>
      <c r="AG116" s="152">
        <f t="shared" si="190"/>
        <v>0.72023079625172248</v>
      </c>
      <c r="AH116" s="152">
        <f t="shared" si="190"/>
        <v>0.71973595011042879</v>
      </c>
      <c r="AI116" s="152">
        <f t="shared" si="190"/>
        <v>0.72147625139867599</v>
      </c>
      <c r="AJ116" s="152">
        <f t="shared" si="190"/>
        <v>0.72248619023633454</v>
      </c>
      <c r="AK116" s="152">
        <f t="shared" si="190"/>
        <v>0.72235805384118057</v>
      </c>
      <c r="AL116" s="152">
        <f t="shared" si="190"/>
        <v>0.72274576264588952</v>
      </c>
      <c r="AM116" s="152">
        <f t="shared" si="190"/>
        <v>0.72246603073529847</v>
      </c>
      <c r="AN116" s="152">
        <f t="shared" si="190"/>
        <v>0.72292625718667747</v>
      </c>
      <c r="AO116" s="152">
        <f t="shared" si="190"/>
        <v>0.72218879525896029</v>
      </c>
      <c r="AP116" s="152">
        <f t="shared" si="190"/>
        <v>0.72574335360149478</v>
      </c>
      <c r="AQ116" s="152">
        <f t="shared" si="190"/>
        <v>0.72847511785791319</v>
      </c>
      <c r="AR116" s="167"/>
      <c r="AS116" s="167"/>
      <c r="AT116" s="170"/>
      <c r="AU116" s="170"/>
      <c r="AV116" s="170"/>
      <c r="AW116" s="170"/>
      <c r="AX116" s="170"/>
      <c r="AY116" s="170"/>
      <c r="AZ116" s="170"/>
      <c r="BA116" s="170"/>
      <c r="BB116" s="170"/>
      <c r="BC116" s="170"/>
      <c r="BD116" s="170"/>
      <c r="BE116" s="170"/>
      <c r="BF116" s="170"/>
      <c r="BG116" s="170"/>
      <c r="BH116" s="170"/>
      <c r="BI116" s="170"/>
      <c r="BJ116" s="170"/>
      <c r="BK116" s="170"/>
      <c r="BL116" s="170"/>
      <c r="BM116" s="170"/>
      <c r="BN116" s="170"/>
      <c r="BO116" s="170"/>
      <c r="BP116" s="170"/>
      <c r="BQ116" s="170"/>
      <c r="BR116" s="170"/>
      <c r="BS116" s="170"/>
      <c r="BT116" s="170"/>
      <c r="BU116" s="170"/>
      <c r="BV116" s="170"/>
      <c r="BW116" s="170"/>
      <c r="BX116" s="170"/>
      <c r="BY116" s="170"/>
      <c r="BZ116" s="170"/>
      <c r="CA116" s="170"/>
      <c r="CB116" s="170"/>
      <c r="CC116" s="170"/>
      <c r="CD116" s="170"/>
      <c r="CE116" s="170"/>
      <c r="CF116" s="170"/>
      <c r="CG116" s="170"/>
      <c r="CH116" s="170"/>
      <c r="CI116" s="170"/>
      <c r="CJ116" s="170"/>
      <c r="CK116" s="170"/>
    </row>
    <row r="117" spans="1:89" s="50" customFormat="1" ht="16" customHeight="1">
      <c r="A117" s="130"/>
      <c r="B117" s="168"/>
      <c r="C117" s="168"/>
      <c r="D117" s="168"/>
      <c r="E117" s="148"/>
      <c r="F117" s="148"/>
      <c r="G117" s="165"/>
      <c r="H117" s="166"/>
      <c r="I117" s="166"/>
      <c r="J117" s="166"/>
      <c r="K117" s="166"/>
      <c r="L117" s="166"/>
      <c r="M117" s="166"/>
      <c r="N117" s="166"/>
      <c r="O117" s="166"/>
      <c r="P117" s="873"/>
      <c r="Q117" s="166"/>
      <c r="R117" s="166"/>
      <c r="S117" s="1068">
        <f>SUM(H114:S114)</f>
        <v>31918.976871428575</v>
      </c>
      <c r="T117" s="166"/>
      <c r="U117" s="166"/>
      <c r="V117" s="274"/>
      <c r="W117" s="166"/>
      <c r="X117" s="166"/>
      <c r="Y117" s="166"/>
      <c r="Z117" s="166"/>
      <c r="AA117" s="166"/>
      <c r="AB117" s="909"/>
      <c r="AC117" s="166"/>
      <c r="AD117" s="166"/>
      <c r="AE117" s="247"/>
      <c r="AF117" s="166"/>
      <c r="AG117" s="166"/>
      <c r="AH117" s="166"/>
      <c r="AI117" s="166"/>
      <c r="AJ117" s="166"/>
      <c r="AK117" s="166"/>
      <c r="AL117" s="166"/>
      <c r="AM117" s="166"/>
      <c r="AN117" s="166"/>
      <c r="AO117" s="166"/>
      <c r="AP117" s="166"/>
      <c r="AQ117" s="166"/>
      <c r="AR117" s="167"/>
      <c r="AS117" s="167"/>
      <c r="AT117" s="170"/>
      <c r="AU117" s="170"/>
      <c r="AV117" s="170"/>
      <c r="AW117" s="170"/>
      <c r="AX117" s="170"/>
      <c r="AY117" s="170"/>
      <c r="AZ117" s="170"/>
      <c r="BA117" s="170"/>
      <c r="BB117" s="170"/>
      <c r="BC117" s="170"/>
      <c r="BD117" s="170"/>
      <c r="BE117" s="170"/>
      <c r="BF117" s="170"/>
      <c r="BG117" s="170"/>
      <c r="BH117" s="170"/>
      <c r="BI117" s="170"/>
      <c r="BJ117" s="170"/>
      <c r="BK117" s="170"/>
      <c r="BL117" s="170"/>
      <c r="BM117" s="170"/>
      <c r="BN117" s="170"/>
      <c r="BO117" s="170"/>
      <c r="BP117" s="170"/>
      <c r="BQ117" s="170"/>
      <c r="BR117" s="170"/>
      <c r="BS117" s="170"/>
      <c r="BT117" s="170"/>
      <c r="BU117" s="170"/>
      <c r="BV117" s="170"/>
      <c r="BW117" s="170"/>
      <c r="BX117" s="170"/>
      <c r="BY117" s="170"/>
      <c r="BZ117" s="170"/>
      <c r="CA117" s="170"/>
      <c r="CB117" s="170"/>
      <c r="CC117" s="170"/>
      <c r="CD117" s="170"/>
      <c r="CE117" s="170"/>
      <c r="CF117" s="170"/>
      <c r="CG117" s="170"/>
      <c r="CH117" s="170"/>
      <c r="CI117" s="170"/>
      <c r="CJ117" s="170"/>
      <c r="CK117" s="170"/>
    </row>
    <row r="118" spans="1:89" s="294" customFormat="1" ht="16" customHeight="1">
      <c r="A118" s="130"/>
      <c r="B118" s="164"/>
      <c r="C118" s="164"/>
      <c r="D118" s="164"/>
      <c r="E118" s="164"/>
      <c r="F118" s="164"/>
      <c r="G118" s="165"/>
      <c r="H118" s="166"/>
      <c r="I118" s="166"/>
      <c r="J118" s="166"/>
      <c r="K118" s="166"/>
      <c r="L118" s="166"/>
      <c r="M118" s="166"/>
      <c r="N118" s="166"/>
      <c r="O118" s="166"/>
      <c r="P118" s="873"/>
      <c r="Q118" s="166"/>
      <c r="R118" s="166"/>
      <c r="S118" s="247"/>
      <c r="T118" s="166"/>
      <c r="U118" s="166"/>
      <c r="V118" s="274"/>
      <c r="W118" s="166"/>
      <c r="X118" s="166"/>
      <c r="Y118" s="166"/>
      <c r="Z118" s="166"/>
      <c r="AA118" s="166"/>
      <c r="AB118" s="909"/>
      <c r="AC118" s="166"/>
      <c r="AD118" s="166"/>
      <c r="AE118" s="247"/>
      <c r="AF118" s="166"/>
      <c r="AG118" s="166"/>
      <c r="AH118" s="166"/>
      <c r="AI118" s="166"/>
      <c r="AJ118" s="166"/>
      <c r="AK118" s="166"/>
      <c r="AL118" s="166"/>
      <c r="AM118" s="166"/>
      <c r="AN118" s="166"/>
      <c r="AO118" s="166"/>
      <c r="AP118" s="166"/>
      <c r="AQ118" s="166"/>
      <c r="AR118" s="167"/>
      <c r="AS118" s="167"/>
      <c r="AT118" s="292"/>
      <c r="AU118" s="293"/>
      <c r="AV118" s="293"/>
      <c r="AW118" s="293"/>
      <c r="AX118" s="293"/>
      <c r="AY118" s="293"/>
      <c r="AZ118" s="293"/>
      <c r="BA118" s="293"/>
      <c r="BB118" s="293"/>
      <c r="BC118" s="293"/>
      <c r="BD118" s="293"/>
      <c r="BE118" s="293"/>
      <c r="BF118" s="293"/>
      <c r="BG118" s="293"/>
      <c r="BH118" s="293"/>
      <c r="BI118" s="293"/>
      <c r="BJ118" s="293"/>
      <c r="BK118" s="293"/>
      <c r="BL118" s="293"/>
      <c r="BM118" s="293"/>
      <c r="BN118" s="293"/>
      <c r="BO118" s="293"/>
      <c r="BP118" s="293"/>
      <c r="BQ118" s="293"/>
      <c r="BR118" s="293"/>
      <c r="BS118" s="293"/>
      <c r="BT118" s="293"/>
      <c r="BU118" s="293"/>
      <c r="BV118" s="293"/>
      <c r="BW118" s="293"/>
      <c r="BX118" s="293"/>
      <c r="BY118" s="293"/>
      <c r="BZ118" s="293"/>
      <c r="CA118" s="293"/>
      <c r="CB118" s="293"/>
      <c r="CC118" s="293"/>
      <c r="CD118" s="293"/>
      <c r="CE118" s="293"/>
      <c r="CF118" s="293"/>
      <c r="CG118" s="293"/>
      <c r="CH118" s="293"/>
      <c r="CI118" s="293"/>
      <c r="CJ118" s="293"/>
      <c r="CK118" s="293"/>
    </row>
    <row r="119" spans="1:89" s="294" customFormat="1" ht="16" customHeight="1">
      <c r="A119" s="130"/>
      <c r="B119" s="164"/>
      <c r="C119" s="164"/>
      <c r="D119" s="164"/>
      <c r="E119" s="164"/>
      <c r="F119" s="164"/>
      <c r="G119" s="132" t="s">
        <v>7</v>
      </c>
      <c r="H119" s="145">
        <f>'Pricing Model'!$C$5</f>
        <v>45658</v>
      </c>
      <c r="I119" s="146">
        <f t="shared" ref="I119" si="192">DATE(YEAR(H119),MONTH(H119),DAY(EOMONTH(H119,0)))+1</f>
        <v>45689</v>
      </c>
      <c r="J119" s="146">
        <f t="shared" ref="J119" si="193">DATE(YEAR(I119),MONTH(I119),DAY(EOMONTH(I119,0)))+1</f>
        <v>45717</v>
      </c>
      <c r="K119" s="146">
        <f t="shared" ref="K119" si="194">DATE(YEAR(J119),MONTH(J119),DAY(EOMONTH(J119,0)))+1</f>
        <v>45748</v>
      </c>
      <c r="L119" s="146">
        <f t="shared" ref="L119" si="195">DATE(YEAR(K119),MONTH(K119),DAY(EOMONTH(K119,0)))+1</f>
        <v>45778</v>
      </c>
      <c r="M119" s="146">
        <f t="shared" ref="M119" si="196">DATE(YEAR(L119),MONTH(L119),DAY(EOMONTH(L119,0)))+1</f>
        <v>45809</v>
      </c>
      <c r="N119" s="146">
        <f t="shared" ref="N119" si="197">DATE(YEAR(M119),MONTH(M119),DAY(EOMONTH(M119,0)))+1</f>
        <v>45839</v>
      </c>
      <c r="O119" s="146">
        <f t="shared" ref="O119" si="198">DATE(YEAR(N119),MONTH(N119),DAY(EOMONTH(N119,0)))+1</f>
        <v>45870</v>
      </c>
      <c r="P119" s="860">
        <f t="shared" ref="P119" si="199">DATE(YEAR(O119),MONTH(O119),DAY(EOMONTH(O119,0)))+1</f>
        <v>45901</v>
      </c>
      <c r="Q119" s="146">
        <f t="shared" ref="Q119" si="200">DATE(YEAR(P119),MONTH(P119),DAY(EOMONTH(P119,0)))+1</f>
        <v>45931</v>
      </c>
      <c r="R119" s="146">
        <f t="shared" ref="R119" si="201">DATE(YEAR(Q119),MONTH(Q119),DAY(EOMONTH(Q119,0)))+1</f>
        <v>45962</v>
      </c>
      <c r="S119" s="237">
        <f t="shared" ref="S119" si="202">DATE(YEAR(R119),MONTH(R119),DAY(EOMONTH(R119,0)))+1</f>
        <v>45992</v>
      </c>
      <c r="T119" s="146">
        <f t="shared" ref="T119" si="203">DATE(YEAR(S119),MONTH(S119),DAY(EOMONTH(S119,0)))+1</f>
        <v>46023</v>
      </c>
      <c r="U119" s="146">
        <f t="shared" ref="U119" si="204">DATE(YEAR(T119),MONTH(T119),DAY(EOMONTH(T119,0)))+1</f>
        <v>46054</v>
      </c>
      <c r="V119" s="263">
        <f t="shared" ref="V119" si="205">DATE(YEAR(U119),MONTH(U119),DAY(EOMONTH(U119,0)))+1</f>
        <v>46082</v>
      </c>
      <c r="W119" s="146">
        <f t="shared" ref="W119" si="206">DATE(YEAR(V119),MONTH(V119),DAY(EOMONTH(V119,0)))+1</f>
        <v>46113</v>
      </c>
      <c r="X119" s="146">
        <f t="shared" ref="X119" si="207">DATE(YEAR(W119),MONTH(W119),DAY(EOMONTH(W119,0)))+1</f>
        <v>46143</v>
      </c>
      <c r="Y119" s="146">
        <f t="shared" ref="Y119" si="208">DATE(YEAR(X119),MONTH(X119),DAY(EOMONTH(X119,0)))+1</f>
        <v>46174</v>
      </c>
      <c r="Z119" s="146">
        <f t="shared" ref="Z119" si="209">DATE(YEAR(Y119),MONTH(Y119),DAY(EOMONTH(Y119,0)))+1</f>
        <v>46204</v>
      </c>
      <c r="AA119" s="146">
        <f t="shared" ref="AA119" si="210">DATE(YEAR(Z119),MONTH(Z119),DAY(EOMONTH(Z119,0)))+1</f>
        <v>46235</v>
      </c>
      <c r="AB119" s="896">
        <f t="shared" ref="AB119" si="211">DATE(YEAR(AA119),MONTH(AA119),DAY(EOMONTH(AA119,0)))+1</f>
        <v>46266</v>
      </c>
      <c r="AC119" s="146">
        <f t="shared" ref="AC119" si="212">DATE(YEAR(AB119),MONTH(AB119),DAY(EOMONTH(AB119,0)))+1</f>
        <v>46296</v>
      </c>
      <c r="AD119" s="146">
        <f t="shared" ref="AD119" si="213">DATE(YEAR(AC119),MONTH(AC119),DAY(EOMONTH(AC119,0)))+1</f>
        <v>46327</v>
      </c>
      <c r="AE119" s="237">
        <f t="shared" ref="AE119" si="214">DATE(YEAR(AD119),MONTH(AD119),DAY(EOMONTH(AD119,0)))+1</f>
        <v>46357</v>
      </c>
      <c r="AF119" s="146">
        <f t="shared" ref="AF119" si="215">DATE(YEAR(AE119),MONTH(AE119),DAY(EOMONTH(AE119,0)))+1</f>
        <v>46388</v>
      </c>
      <c r="AG119" s="146">
        <f t="shared" ref="AG119" si="216">DATE(YEAR(AF119),MONTH(AF119),DAY(EOMONTH(AF119,0)))+1</f>
        <v>46419</v>
      </c>
      <c r="AH119" s="146">
        <f t="shared" ref="AH119" si="217">DATE(YEAR(AG119),MONTH(AG119),DAY(EOMONTH(AG119,0)))+1</f>
        <v>46447</v>
      </c>
      <c r="AI119" s="146">
        <f t="shared" ref="AI119" si="218">DATE(YEAR(AH119),MONTH(AH119),DAY(EOMONTH(AH119,0)))+1</f>
        <v>46478</v>
      </c>
      <c r="AJ119" s="146">
        <f t="shared" ref="AJ119" si="219">DATE(YEAR(AI119),MONTH(AI119),DAY(EOMONTH(AI119,0)))+1</f>
        <v>46508</v>
      </c>
      <c r="AK119" s="146">
        <f t="shared" ref="AK119" si="220">DATE(YEAR(AJ119),MONTH(AJ119),DAY(EOMONTH(AJ119,0)))+1</f>
        <v>46539</v>
      </c>
      <c r="AL119" s="146">
        <f t="shared" ref="AL119" si="221">DATE(YEAR(AK119),MONTH(AK119),DAY(EOMONTH(AK119,0)))+1</f>
        <v>46569</v>
      </c>
      <c r="AM119" s="146">
        <f t="shared" ref="AM119" si="222">DATE(YEAR(AL119),MONTH(AL119),DAY(EOMONTH(AL119,0)))+1</f>
        <v>46600</v>
      </c>
      <c r="AN119" s="146">
        <f t="shared" ref="AN119" si="223">DATE(YEAR(AM119),MONTH(AM119),DAY(EOMONTH(AM119,0)))+1</f>
        <v>46631</v>
      </c>
      <c r="AO119" s="146">
        <f t="shared" ref="AO119" si="224">DATE(YEAR(AN119),MONTH(AN119),DAY(EOMONTH(AN119,0)))+1</f>
        <v>46661</v>
      </c>
      <c r="AP119" s="146">
        <f t="shared" ref="AP119" si="225">DATE(YEAR(AO119),MONTH(AO119),DAY(EOMONTH(AO119,0)))+1</f>
        <v>46692</v>
      </c>
      <c r="AQ119" s="146">
        <f>DATE(YEAR(AP119),MONTH(AP119),DAY(EOMONTH(AP119,0)))+1+2025.1-2025.1</f>
        <v>46722</v>
      </c>
      <c r="AR119" s="167"/>
      <c r="AS119" s="167"/>
      <c r="AT119" s="292"/>
      <c r="AU119" s="293"/>
      <c r="AV119" s="293"/>
      <c r="AW119" s="293"/>
      <c r="AX119" s="293"/>
      <c r="AY119" s="293"/>
      <c r="AZ119" s="293"/>
      <c r="BA119" s="293"/>
      <c r="BB119" s="293"/>
      <c r="BC119" s="293"/>
      <c r="BD119" s="293"/>
      <c r="BE119" s="293"/>
      <c r="BF119" s="293"/>
      <c r="BG119" s="293"/>
      <c r="BH119" s="293"/>
      <c r="BI119" s="293"/>
      <c r="BJ119" s="293"/>
      <c r="BK119" s="293"/>
      <c r="BL119" s="293"/>
      <c r="BM119" s="293"/>
      <c r="BN119" s="293"/>
      <c r="BO119" s="293"/>
      <c r="BP119" s="293"/>
      <c r="BQ119" s="293"/>
      <c r="BR119" s="293"/>
      <c r="BS119" s="293"/>
      <c r="BT119" s="293"/>
      <c r="BU119" s="293"/>
      <c r="BV119" s="293"/>
      <c r="BW119" s="293"/>
      <c r="BX119" s="293"/>
      <c r="BY119" s="293"/>
      <c r="BZ119" s="293"/>
      <c r="CA119" s="293"/>
      <c r="CB119" s="293"/>
      <c r="CC119" s="293"/>
      <c r="CD119" s="293"/>
      <c r="CE119" s="293"/>
      <c r="CF119" s="293"/>
      <c r="CG119" s="293"/>
      <c r="CH119" s="293"/>
      <c r="CI119" s="293"/>
      <c r="CJ119" s="293"/>
      <c r="CK119" s="293"/>
    </row>
    <row r="120" spans="1:89" s="50" customFormat="1" ht="16" customHeight="1">
      <c r="A120" s="130"/>
      <c r="B120" s="1112" t="s">
        <v>300</v>
      </c>
      <c r="C120" s="1112"/>
      <c r="D120" s="846"/>
      <c r="E120" s="846"/>
      <c r="F120" s="846"/>
      <c r="G120" s="218" t="s">
        <v>298</v>
      </c>
      <c r="H120" s="220">
        <f t="shared" ref="H120:AQ120" si="226">H41+H74+H113</f>
        <v>19997.616666666665</v>
      </c>
      <c r="I120" s="220">
        <f t="shared" si="226"/>
        <v>21513.997333333333</v>
      </c>
      <c r="J120" s="220">
        <f t="shared" si="226"/>
        <v>23500.265000000003</v>
      </c>
      <c r="K120" s="220">
        <f t="shared" si="226"/>
        <v>24950.074333333334</v>
      </c>
      <c r="L120" s="220">
        <f t="shared" si="226"/>
        <v>26584.258666666665</v>
      </c>
      <c r="M120" s="220">
        <f t="shared" si="226"/>
        <v>28400.544000000002</v>
      </c>
      <c r="N120" s="220">
        <f t="shared" si="226"/>
        <v>30240.031999999999</v>
      </c>
      <c r="O120" s="220">
        <f t="shared" si="226"/>
        <v>31202.245999999999</v>
      </c>
      <c r="P120" s="876">
        <f t="shared" si="226"/>
        <v>33188.704333333328</v>
      </c>
      <c r="Q120" s="220">
        <f t="shared" si="226"/>
        <v>35019.251666666663</v>
      </c>
      <c r="R120" s="220">
        <f t="shared" si="226"/>
        <v>37142.906333333332</v>
      </c>
      <c r="S120" s="248">
        <f t="shared" si="226"/>
        <v>38674.894333333337</v>
      </c>
      <c r="T120" s="220">
        <f t="shared" si="226"/>
        <v>42172.891813333335</v>
      </c>
      <c r="U120" s="220">
        <f t="shared" si="226"/>
        <v>44713.578560000002</v>
      </c>
      <c r="V120" s="275">
        <f t="shared" si="226"/>
        <v>50665.301200000009</v>
      </c>
      <c r="W120" s="220">
        <f t="shared" si="226"/>
        <v>54518.967866666673</v>
      </c>
      <c r="X120" s="220">
        <f t="shared" si="226"/>
        <v>55816.472133333329</v>
      </c>
      <c r="Y120" s="220">
        <f t="shared" si="226"/>
        <v>58194.523839999994</v>
      </c>
      <c r="Z120" s="220">
        <f t="shared" si="226"/>
        <v>60714.343493333334</v>
      </c>
      <c r="AA120" s="220">
        <f t="shared" si="226"/>
        <v>62871.629386666667</v>
      </c>
      <c r="AB120" s="913">
        <f t="shared" si="226"/>
        <v>79517.954714074091</v>
      </c>
      <c r="AC120" s="220">
        <f t="shared" si="226"/>
        <v>80668.59901333334</v>
      </c>
      <c r="AD120" s="220">
        <f t="shared" si="226"/>
        <v>83866.616959999999</v>
      </c>
      <c r="AE120" s="248">
        <f t="shared" si="226"/>
        <v>86715.085333333336</v>
      </c>
      <c r="AF120" s="220">
        <f t="shared" si="226"/>
        <v>92718.817239199998</v>
      </c>
      <c r="AG120" s="220">
        <f t="shared" si="226"/>
        <v>95110.3071986</v>
      </c>
      <c r="AH120" s="220">
        <f t="shared" si="226"/>
        <v>97854.377144466664</v>
      </c>
      <c r="AI120" s="220">
        <f t="shared" si="226"/>
        <v>101539.61710386667</v>
      </c>
      <c r="AJ120" s="220">
        <f t="shared" si="226"/>
        <v>104599.93704973333</v>
      </c>
      <c r="AK120" s="220">
        <f t="shared" si="226"/>
        <v>107405.59367579999</v>
      </c>
      <c r="AL120" s="220">
        <f t="shared" si="226"/>
        <v>110096.74695500001</v>
      </c>
      <c r="AM120" s="220">
        <f t="shared" si="226"/>
        <v>112467.82024773333</v>
      </c>
      <c r="AN120" s="220">
        <f t="shared" si="226"/>
        <v>114865.22352693333</v>
      </c>
      <c r="AO120" s="220">
        <f t="shared" si="226"/>
        <v>116405.04681966666</v>
      </c>
      <c r="AP120" s="220">
        <f t="shared" si="226"/>
        <v>119974.95009886667</v>
      </c>
      <c r="AQ120" s="220">
        <f t="shared" si="226"/>
        <v>123533.5233916</v>
      </c>
      <c r="AR120" s="167"/>
      <c r="AS120" s="167"/>
      <c r="AT120" s="224"/>
      <c r="AU120" s="170"/>
      <c r="AV120" s="170"/>
      <c r="AW120" s="170"/>
      <c r="AX120" s="170"/>
      <c r="AY120" s="170"/>
      <c r="AZ120" s="170"/>
      <c r="BA120" s="170"/>
      <c r="BB120" s="170"/>
      <c r="BC120" s="170"/>
      <c r="BD120" s="170"/>
      <c r="BE120" s="170"/>
      <c r="BF120" s="170"/>
      <c r="BG120" s="170"/>
      <c r="BH120" s="170"/>
      <c r="BI120" s="170"/>
      <c r="BJ120" s="170"/>
      <c r="BK120" s="170"/>
      <c r="BL120" s="170"/>
      <c r="BM120" s="170"/>
      <c r="BN120" s="170"/>
      <c r="BO120" s="170"/>
      <c r="BP120" s="170"/>
      <c r="BQ120" s="170"/>
      <c r="BR120" s="170"/>
      <c r="BS120" s="170"/>
      <c r="BT120" s="170"/>
      <c r="BU120" s="170"/>
      <c r="BV120" s="170"/>
      <c r="BW120" s="170"/>
      <c r="BX120" s="170"/>
      <c r="BY120" s="170"/>
      <c r="BZ120" s="170"/>
      <c r="CA120" s="170"/>
      <c r="CB120" s="170"/>
      <c r="CC120" s="170"/>
      <c r="CD120" s="170"/>
      <c r="CE120" s="170"/>
      <c r="CF120" s="170"/>
      <c r="CG120" s="170"/>
      <c r="CH120" s="170"/>
      <c r="CI120" s="170"/>
      <c r="CJ120" s="170"/>
      <c r="CK120" s="170"/>
    </row>
    <row r="121" spans="1:89" s="50" customFormat="1" ht="16" customHeight="1">
      <c r="A121" s="130"/>
      <c r="B121" s="1112"/>
      <c r="C121" s="1112"/>
      <c r="D121" s="844"/>
      <c r="E121" s="845"/>
      <c r="F121" s="1109"/>
      <c r="G121" s="614" t="str">
        <f>"Service Charge (" &amp; TEXT(N4,"0.0%") &amp; ")"</f>
        <v>Service Charge (12.5%)</v>
      </c>
      <c r="H121" s="613">
        <f>H120*$N$4</f>
        <v>2499.7020833333331</v>
      </c>
      <c r="I121" s="613">
        <f t="shared" ref="I121:AQ121" si="227">I120*$N$4</f>
        <v>2689.2496666666666</v>
      </c>
      <c r="J121" s="613">
        <f t="shared" si="227"/>
        <v>2937.5331250000004</v>
      </c>
      <c r="K121" s="613">
        <f t="shared" si="227"/>
        <v>3118.7592916666667</v>
      </c>
      <c r="L121" s="613">
        <f t="shared" si="227"/>
        <v>3323.0323333333331</v>
      </c>
      <c r="M121" s="613">
        <f t="shared" si="227"/>
        <v>3550.0680000000002</v>
      </c>
      <c r="N121" s="613">
        <f t="shared" si="227"/>
        <v>3780.0039999999999</v>
      </c>
      <c r="O121" s="613">
        <f t="shared" si="227"/>
        <v>3900.2807499999999</v>
      </c>
      <c r="P121" s="877">
        <f t="shared" si="227"/>
        <v>4148.588041666666</v>
      </c>
      <c r="Q121" s="613">
        <f t="shared" si="227"/>
        <v>4377.4064583333329</v>
      </c>
      <c r="R121" s="613">
        <f t="shared" si="227"/>
        <v>4642.8632916666666</v>
      </c>
      <c r="S121" s="883">
        <f t="shared" si="227"/>
        <v>4834.3617916666672</v>
      </c>
      <c r="T121" s="613">
        <f t="shared" si="227"/>
        <v>5271.6114766666669</v>
      </c>
      <c r="U121" s="613">
        <f t="shared" si="227"/>
        <v>5589.1973200000002</v>
      </c>
      <c r="V121" s="890">
        <f t="shared" si="227"/>
        <v>6333.1626500000011</v>
      </c>
      <c r="W121" s="613">
        <f t="shared" si="227"/>
        <v>6814.8709833333342</v>
      </c>
      <c r="X121" s="613">
        <f t="shared" si="227"/>
        <v>6977.0590166666661</v>
      </c>
      <c r="Y121" s="613">
        <f t="shared" si="227"/>
        <v>7274.3154799999993</v>
      </c>
      <c r="Z121" s="613">
        <f t="shared" si="227"/>
        <v>7589.2929366666667</v>
      </c>
      <c r="AA121" s="613">
        <f t="shared" si="227"/>
        <v>7858.9536733333334</v>
      </c>
      <c r="AB121" s="914">
        <f t="shared" si="227"/>
        <v>9939.7443392592613</v>
      </c>
      <c r="AC121" s="613">
        <f t="shared" si="227"/>
        <v>10083.574876666667</v>
      </c>
      <c r="AD121" s="613">
        <f t="shared" si="227"/>
        <v>10483.32712</v>
      </c>
      <c r="AE121" s="883">
        <f t="shared" si="227"/>
        <v>10839.385666666667</v>
      </c>
      <c r="AF121" s="613">
        <f t="shared" si="227"/>
        <v>11589.8521549</v>
      </c>
      <c r="AG121" s="613">
        <f t="shared" si="227"/>
        <v>11888.788399825</v>
      </c>
      <c r="AH121" s="613">
        <f t="shared" si="227"/>
        <v>12231.797143058333</v>
      </c>
      <c r="AI121" s="613">
        <f t="shared" si="227"/>
        <v>12692.452137983333</v>
      </c>
      <c r="AJ121" s="613">
        <f t="shared" si="227"/>
        <v>13074.992131216666</v>
      </c>
      <c r="AK121" s="613">
        <f t="shared" si="227"/>
        <v>13425.699209474998</v>
      </c>
      <c r="AL121" s="613">
        <f t="shared" si="227"/>
        <v>13762.093369375001</v>
      </c>
      <c r="AM121" s="613">
        <f t="shared" si="227"/>
        <v>14058.477530966666</v>
      </c>
      <c r="AN121" s="613">
        <f t="shared" si="227"/>
        <v>14358.152940866667</v>
      </c>
      <c r="AO121" s="613">
        <f t="shared" si="227"/>
        <v>14550.630852458333</v>
      </c>
      <c r="AP121" s="613">
        <f t="shared" si="227"/>
        <v>14996.868762358334</v>
      </c>
      <c r="AQ121" s="613">
        <f t="shared" si="227"/>
        <v>15441.69042395</v>
      </c>
      <c r="AR121" s="167"/>
      <c r="AS121" s="167"/>
      <c r="AT121" s="169"/>
      <c r="AU121" s="170"/>
      <c r="AV121" s="170"/>
      <c r="AW121" s="170"/>
      <c r="AX121" s="170"/>
      <c r="AY121" s="170"/>
      <c r="AZ121" s="170"/>
      <c r="BA121" s="170"/>
      <c r="BB121" s="170"/>
      <c r="BC121" s="170"/>
      <c r="BD121" s="170"/>
      <c r="BE121" s="170"/>
      <c r="BF121" s="170"/>
      <c r="BG121" s="170"/>
      <c r="BH121" s="170"/>
      <c r="BI121" s="170"/>
      <c r="BJ121" s="170"/>
      <c r="BK121" s="170"/>
      <c r="BL121" s="170"/>
      <c r="BM121" s="170"/>
      <c r="BN121" s="170"/>
      <c r="BO121" s="170"/>
      <c r="BP121" s="170"/>
      <c r="BQ121" s="170"/>
      <c r="BR121" s="170"/>
      <c r="BS121" s="170"/>
      <c r="BT121" s="170"/>
      <c r="BU121" s="170"/>
      <c r="BV121" s="170"/>
      <c r="BW121" s="170"/>
      <c r="BX121" s="170"/>
      <c r="BY121" s="170"/>
      <c r="BZ121" s="170"/>
      <c r="CA121" s="170"/>
      <c r="CB121" s="170"/>
      <c r="CC121" s="170"/>
      <c r="CD121" s="170"/>
      <c r="CE121" s="170"/>
      <c r="CF121" s="170"/>
      <c r="CG121" s="170"/>
      <c r="CH121" s="170"/>
      <c r="CI121" s="170"/>
      <c r="CJ121" s="170"/>
      <c r="CK121" s="170"/>
    </row>
    <row r="122" spans="1:89" s="50" customFormat="1" ht="16" customHeight="1" thickBot="1">
      <c r="A122" s="130"/>
      <c r="B122" s="1112"/>
      <c r="C122" s="1112"/>
      <c r="D122" s="844"/>
      <c r="E122" s="845"/>
      <c r="F122" s="1109"/>
      <c r="G122" s="219" t="s">
        <v>299</v>
      </c>
      <c r="H122" s="919">
        <f>H42+H75+H114+H121</f>
        <v>17405.763832428573</v>
      </c>
      <c r="I122" s="919">
        <f t="shared" ref="I122:AQ122" si="228">I42+I75+I114+I121</f>
        <v>18741.062319177145</v>
      </c>
      <c r="J122" s="919">
        <f t="shared" si="228"/>
        <v>20462.025095342859</v>
      </c>
      <c r="K122" s="919">
        <f t="shared" si="228"/>
        <v>21717.198776508569</v>
      </c>
      <c r="L122" s="919">
        <f t="shared" si="228"/>
        <v>23138.044192674282</v>
      </c>
      <c r="M122" s="919">
        <f t="shared" si="228"/>
        <v>24727.962177862857</v>
      </c>
      <c r="N122" s="919">
        <f t="shared" si="228"/>
        <v>26315.036443445711</v>
      </c>
      <c r="O122" s="919">
        <f t="shared" si="228"/>
        <v>27168.369690194282</v>
      </c>
      <c r="P122" s="920">
        <f t="shared" si="228"/>
        <v>28686.474905194285</v>
      </c>
      <c r="Q122" s="919">
        <f t="shared" si="228"/>
        <v>30281.557736228569</v>
      </c>
      <c r="R122" s="919">
        <f t="shared" si="228"/>
        <v>32087.313727525718</v>
      </c>
      <c r="S122" s="921">
        <f t="shared" si="228"/>
        <v>33400.935895965718</v>
      </c>
      <c r="T122" s="919">
        <f t="shared" si="228"/>
        <v>36362.884771859091</v>
      </c>
      <c r="U122" s="919">
        <f t="shared" si="228"/>
        <v>38555.15115239453</v>
      </c>
      <c r="V122" s="922">
        <f t="shared" si="228"/>
        <v>43646.255298317257</v>
      </c>
      <c r="W122" s="919">
        <f t="shared" si="228"/>
        <v>46950.059323002977</v>
      </c>
      <c r="X122" s="919">
        <f t="shared" si="228"/>
        <v>48366.019585657989</v>
      </c>
      <c r="Y122" s="919">
        <f t="shared" si="228"/>
        <v>50399.620870754268</v>
      </c>
      <c r="Z122" s="919">
        <f t="shared" si="228"/>
        <v>52554.645216868019</v>
      </c>
      <c r="AA122" s="919">
        <f t="shared" si="228"/>
        <v>54433.501669093414</v>
      </c>
      <c r="AB122" s="923">
        <f t="shared" si="228"/>
        <v>67307.75209286582</v>
      </c>
      <c r="AC122" s="919">
        <f t="shared" si="228"/>
        <v>69491.528560738836</v>
      </c>
      <c r="AD122" s="919">
        <f t="shared" si="228"/>
        <v>72259.423441089617</v>
      </c>
      <c r="AE122" s="921">
        <f t="shared" si="228"/>
        <v>74725.967333328765</v>
      </c>
      <c r="AF122" s="919">
        <f t="shared" si="228"/>
        <v>79699.43948279813</v>
      </c>
      <c r="AG122" s="919">
        <f t="shared" si="228"/>
        <v>81713.166436532963</v>
      </c>
      <c r="AH122" s="919">
        <f t="shared" si="228"/>
        <v>84046.670481149689</v>
      </c>
      <c r="AI122" s="919">
        <f t="shared" si="228"/>
        <v>87215.566925371968</v>
      </c>
      <c r="AJ122" s="919">
        <f t="shared" si="228"/>
        <v>89848.426920594415</v>
      </c>
      <c r="AK122" s="919">
        <f t="shared" si="228"/>
        <v>92240.349679702413</v>
      </c>
      <c r="AL122" s="919">
        <f t="shared" si="228"/>
        <v>94549.600243617708</v>
      </c>
      <c r="AM122" s="919">
        <f t="shared" si="228"/>
        <v>96567.657009578543</v>
      </c>
      <c r="AN122" s="919">
        <f t="shared" si="228"/>
        <v>98629.234693552426</v>
      </c>
      <c r="AO122" s="919">
        <f t="shared" si="228"/>
        <v>99933.857911957544</v>
      </c>
      <c r="AP122" s="919">
        <f t="shared" si="228"/>
        <v>103063.31939097428</v>
      </c>
      <c r="AQ122" s="919">
        <f t="shared" si="228"/>
        <v>106170.01520310226</v>
      </c>
      <c r="AR122" s="167"/>
      <c r="AS122" s="167"/>
      <c r="AT122" s="170"/>
      <c r="AU122" s="170"/>
      <c r="AV122" s="170"/>
      <c r="AW122" s="170"/>
      <c r="AX122" s="170"/>
      <c r="AY122" s="170"/>
      <c r="AZ122" s="170"/>
      <c r="BA122" s="170"/>
      <c r="BB122" s="170"/>
      <c r="BC122" s="170"/>
      <c r="BD122" s="170"/>
      <c r="BE122" s="170"/>
      <c r="BF122" s="170"/>
      <c r="BG122" s="170"/>
      <c r="BH122" s="170"/>
      <c r="BI122" s="170"/>
      <c r="BJ122" s="170"/>
      <c r="BK122" s="170"/>
      <c r="BL122" s="170"/>
      <c r="BM122" s="170"/>
      <c r="BN122" s="170"/>
      <c r="BO122" s="170"/>
      <c r="BP122" s="170"/>
      <c r="BQ122" s="170"/>
      <c r="BR122" s="170"/>
      <c r="BS122" s="170"/>
      <c r="BT122" s="170"/>
      <c r="BU122" s="170"/>
      <c r="BV122" s="170"/>
      <c r="BW122" s="170"/>
      <c r="BX122" s="170"/>
      <c r="BY122" s="170"/>
      <c r="BZ122" s="170"/>
      <c r="CA122" s="170"/>
      <c r="CB122" s="170"/>
      <c r="CC122" s="170"/>
      <c r="CD122" s="170"/>
      <c r="CE122" s="170"/>
      <c r="CF122" s="170"/>
      <c r="CG122" s="170"/>
      <c r="CH122" s="170"/>
      <c r="CI122" s="170"/>
      <c r="CJ122" s="170"/>
      <c r="CK122" s="170"/>
    </row>
    <row r="123" spans="1:89" s="50" customFormat="1" ht="16" customHeight="1" thickTop="1">
      <c r="A123" s="127"/>
      <c r="B123" s="1112"/>
      <c r="C123" s="1112"/>
      <c r="D123" s="844"/>
      <c r="E123" s="845"/>
      <c r="F123" s="1109"/>
      <c r="G123" s="924" t="s">
        <v>436</v>
      </c>
      <c r="H123" s="615"/>
      <c r="I123" s="615"/>
      <c r="J123" s="615"/>
      <c r="K123" s="615"/>
      <c r="L123" s="615"/>
      <c r="M123" s="615"/>
      <c r="N123" s="615"/>
      <c r="O123" s="615"/>
      <c r="P123" s="878"/>
      <c r="Q123" s="615"/>
      <c r="R123" s="615"/>
      <c r="S123" s="884"/>
      <c r="T123" s="626">
        <f>(T121-H121)/H121</f>
        <v>1.1088959007615078</v>
      </c>
      <c r="U123" s="626">
        <f t="shared" ref="U123" si="229">(U121-I121)/I121</f>
        <v>1.0783482431096953</v>
      </c>
      <c r="V123" s="891">
        <f t="shared" ref="V123" si="230">(V121-J121)/J121</f>
        <v>1.1559459520988382</v>
      </c>
      <c r="W123" s="626">
        <f t="shared" ref="W123" si="231">(W121-K121)/K121</f>
        <v>1.1851224624942001</v>
      </c>
      <c r="X123" s="626">
        <f t="shared" ref="X123" si="232">(X121-L121)/L121</f>
        <v>1.0996061177857934</v>
      </c>
      <c r="Y123" s="626">
        <f t="shared" ref="Y123" si="233">(Y121-M121)/M121</f>
        <v>1.0490637024417557</v>
      </c>
      <c r="Z123" s="626">
        <f t="shared" ref="Z123" si="234">(Z121-N121)/N121</f>
        <v>1.007747329544272</v>
      </c>
      <c r="AA123" s="626">
        <f t="shared" ref="AA123" si="235">(AA121-O121)/O121</f>
        <v>1.014971274396935</v>
      </c>
      <c r="AB123" s="915">
        <f t="shared" ref="AB123" si="236">(AB121-P121)/P121</f>
        <v>1.395934288829999</v>
      </c>
      <c r="AC123" s="626">
        <f t="shared" ref="AC123" si="237">(AC121-Q121)/Q121</f>
        <v>1.3035500524449628</v>
      </c>
      <c r="AD123" s="626">
        <f t="shared" ref="AD123" si="238">(AD121-R121)/R121</f>
        <v>1.2579443893633921</v>
      </c>
      <c r="AE123" s="886">
        <f t="shared" ref="AE123" si="239">(AE121-S121)/S121</f>
        <v>1.24215442157252</v>
      </c>
      <c r="AF123" s="626">
        <f t="shared" ref="AF123" si="240">(AF121-T121)/T121</f>
        <v>1.1985406561540586</v>
      </c>
      <c r="AG123" s="626">
        <f t="shared" ref="AG123" si="241">(AG121-U121)/U121</f>
        <v>1.1271012131353773</v>
      </c>
      <c r="AH123" s="626">
        <f t="shared" ref="AH123" si="242">(AH121-V121)/V121</f>
        <v>0.93138844192772008</v>
      </c>
      <c r="AI123" s="626">
        <f t="shared" ref="AI123" si="243">(AI121-W121)/W121</f>
        <v>0.86246403916147485</v>
      </c>
      <c r="AJ123" s="626">
        <f t="shared" ref="AJ123" si="244">(AJ121-X121)/X121</f>
        <v>0.87399763997744229</v>
      </c>
      <c r="AK123" s="626">
        <f t="shared" ref="AK123" si="245">(AK121-Y121)/Y121</f>
        <v>0.84563059526186513</v>
      </c>
      <c r="AL123" s="626">
        <f t="shared" ref="AL123" si="246">(AL121-Z121)/Z121</f>
        <v>0.81335645945161295</v>
      </c>
      <c r="AM123" s="626">
        <f t="shared" ref="AM123" si="247">(AM121-AA121)/AA121</f>
        <v>0.78884850519850913</v>
      </c>
      <c r="AN123" s="626">
        <f t="shared" ref="AN123" si="248">(AN121-AB121)/AB121</f>
        <v>0.44451934082005551</v>
      </c>
      <c r="AO123" s="626">
        <f t="shared" ref="AO123" si="249">(AO121-AC121)/AC121</f>
        <v>0.44300320376738672</v>
      </c>
      <c r="AP123" s="626">
        <f t="shared" ref="AP123" si="250">(AP121-AD121)/AD121</f>
        <v>0.43054476796278146</v>
      </c>
      <c r="AQ123" s="626">
        <f t="shared" ref="AQ123" si="251">(AQ121-AE121)/AE121</f>
        <v>0.42459092229150619</v>
      </c>
      <c r="AS123" s="167"/>
      <c r="AT123" s="170"/>
      <c r="AU123" s="170"/>
      <c r="AV123" s="170"/>
      <c r="AW123" s="170"/>
      <c r="AX123" s="170"/>
      <c r="AY123" s="170"/>
      <c r="AZ123" s="170"/>
      <c r="BA123" s="170"/>
      <c r="BB123" s="170"/>
      <c r="BC123" s="170"/>
      <c r="BD123" s="170"/>
      <c r="BE123" s="170"/>
      <c r="BF123" s="170"/>
      <c r="BG123" s="170"/>
      <c r="BH123" s="170"/>
      <c r="BI123" s="170"/>
      <c r="BJ123" s="170"/>
      <c r="BK123" s="170"/>
      <c r="BL123" s="170"/>
      <c r="BM123" s="170"/>
      <c r="BN123" s="170"/>
      <c r="BO123" s="170"/>
      <c r="BP123" s="170"/>
      <c r="BQ123" s="170"/>
      <c r="BR123" s="170"/>
      <c r="BS123" s="170"/>
      <c r="BT123" s="170"/>
      <c r="BU123" s="170"/>
      <c r="BV123" s="170"/>
      <c r="BW123" s="170"/>
      <c r="BX123" s="170"/>
      <c r="BY123" s="170"/>
      <c r="BZ123" s="170"/>
      <c r="CA123" s="170"/>
      <c r="CB123" s="170"/>
      <c r="CC123" s="170"/>
      <c r="CD123" s="170"/>
      <c r="CE123" s="170"/>
      <c r="CF123" s="170"/>
      <c r="CG123" s="170"/>
      <c r="CH123" s="170"/>
      <c r="CI123" s="170"/>
      <c r="CJ123" s="170"/>
      <c r="CK123" s="170"/>
    </row>
    <row r="124" spans="1:89" s="50" customFormat="1" ht="16" customHeight="1">
      <c r="A124" s="127"/>
      <c r="B124" s="1112"/>
      <c r="C124" s="1112"/>
      <c r="D124" s="844"/>
      <c r="E124" s="845"/>
      <c r="F124" s="56"/>
      <c r="G124" s="177" t="s">
        <v>238</v>
      </c>
      <c r="H124" s="178">
        <f t="shared" ref="H124:AQ124" si="252">H122/H120</f>
        <v>0.87039191332443322</v>
      </c>
      <c r="I124" s="178">
        <f t="shared" si="252"/>
        <v>0.87111019067294104</v>
      </c>
      <c r="J124" s="178">
        <f t="shared" si="252"/>
        <v>0.87071465344509336</v>
      </c>
      <c r="K124" s="178">
        <f t="shared" si="252"/>
        <v>0.87042621542390997</v>
      </c>
      <c r="L124" s="178">
        <f t="shared" si="252"/>
        <v>0.8703663503577963</v>
      </c>
      <c r="M124" s="178">
        <f t="shared" si="252"/>
        <v>0.8706862156535754</v>
      </c>
      <c r="N124" s="178">
        <f t="shared" si="252"/>
        <v>0.87020531074324636</v>
      </c>
      <c r="O124" s="178">
        <f t="shared" si="252"/>
        <v>0.8707183992522296</v>
      </c>
      <c r="P124" s="879">
        <f t="shared" si="252"/>
        <v>0.86434452568800058</v>
      </c>
      <c r="Q124" s="178">
        <f t="shared" si="252"/>
        <v>0.86471173126330103</v>
      </c>
      <c r="R124" s="178">
        <f t="shared" si="252"/>
        <v>0.86388807164315651</v>
      </c>
      <c r="S124" s="249">
        <f t="shared" si="252"/>
        <v>0.86363353983821822</v>
      </c>
      <c r="T124" s="178">
        <f t="shared" si="252"/>
        <v>0.8622336104626015</v>
      </c>
      <c r="U124" s="178">
        <f t="shared" si="252"/>
        <v>0.8622694133205725</v>
      </c>
      <c r="V124" s="276">
        <f t="shared" si="252"/>
        <v>0.86146246572234431</v>
      </c>
      <c r="W124" s="178">
        <f t="shared" si="252"/>
        <v>0.86116926200484101</v>
      </c>
      <c r="X124" s="178">
        <f t="shared" si="252"/>
        <v>0.86651874862535483</v>
      </c>
      <c r="Y124" s="178">
        <f t="shared" si="252"/>
        <v>0.86605435606489312</v>
      </c>
      <c r="Z124" s="178">
        <f t="shared" si="252"/>
        <v>0.86560509746166847</v>
      </c>
      <c r="AA124" s="178">
        <f t="shared" si="252"/>
        <v>0.86578799054692945</v>
      </c>
      <c r="AB124" s="916">
        <f t="shared" si="252"/>
        <v>0.8464472248423266</v>
      </c>
      <c r="AC124" s="178">
        <f t="shared" si="252"/>
        <v>0.86144459443572219</v>
      </c>
      <c r="AD124" s="178">
        <f t="shared" si="252"/>
        <v>0.86159935932021192</v>
      </c>
      <c r="AE124" s="249">
        <f t="shared" si="252"/>
        <v>0.8617412650415055</v>
      </c>
      <c r="AF124" s="178">
        <f t="shared" si="252"/>
        <v>0.85958214153213452</v>
      </c>
      <c r="AG124" s="178">
        <f t="shared" si="252"/>
        <v>0.85914102102422563</v>
      </c>
      <c r="AH124" s="178">
        <f t="shared" si="252"/>
        <v>0.85889535995991206</v>
      </c>
      <c r="AI124" s="178">
        <f t="shared" si="252"/>
        <v>0.85893141428884479</v>
      </c>
      <c r="AJ124" s="178">
        <f t="shared" si="252"/>
        <v>0.85897209362444327</v>
      </c>
      <c r="AK124" s="178">
        <f t="shared" si="252"/>
        <v>0.85880396469970333</v>
      </c>
      <c r="AL124" s="178">
        <f t="shared" si="252"/>
        <v>0.85878650240468135</v>
      </c>
      <c r="AM124" s="178">
        <f t="shared" si="252"/>
        <v>0.85862477637486501</v>
      </c>
      <c r="AN124" s="178">
        <f t="shared" si="252"/>
        <v>0.85865183268829903</v>
      </c>
      <c r="AO124" s="178">
        <f t="shared" si="252"/>
        <v>0.85850107570313428</v>
      </c>
      <c r="AP124" s="178">
        <f t="shared" si="252"/>
        <v>0.85904031888359889</v>
      </c>
      <c r="AQ124" s="178">
        <f t="shared" si="252"/>
        <v>0.85944294543064559</v>
      </c>
      <c r="AR124" s="167"/>
      <c r="AS124" s="167"/>
      <c r="AT124" s="170"/>
      <c r="AU124" s="170"/>
      <c r="AV124" s="170"/>
      <c r="AW124" s="170"/>
      <c r="AX124" s="170"/>
      <c r="AY124" s="170"/>
      <c r="AZ124" s="170"/>
      <c r="BA124" s="170"/>
      <c r="BB124" s="170"/>
      <c r="BC124" s="170"/>
      <c r="BD124" s="170"/>
      <c r="BE124" s="170"/>
      <c r="BF124" s="170"/>
      <c r="BG124" s="170"/>
      <c r="BH124" s="170"/>
      <c r="BI124" s="170"/>
      <c r="BJ124" s="170"/>
      <c r="BK124" s="170"/>
      <c r="BL124" s="170"/>
      <c r="BM124" s="170"/>
      <c r="BN124" s="170"/>
      <c r="BO124" s="170"/>
      <c r="BP124" s="170"/>
      <c r="BQ124" s="170"/>
      <c r="BR124" s="170"/>
      <c r="BS124" s="170"/>
      <c r="BT124" s="170"/>
      <c r="BU124" s="170"/>
      <c r="BV124" s="170"/>
      <c r="BW124" s="170"/>
      <c r="BX124" s="170"/>
      <c r="BY124" s="170"/>
      <c r="BZ124" s="170"/>
      <c r="CA124" s="170"/>
      <c r="CB124" s="170"/>
      <c r="CC124" s="170"/>
      <c r="CD124" s="170"/>
      <c r="CE124" s="170"/>
      <c r="CF124" s="170"/>
      <c r="CG124" s="170"/>
      <c r="CH124" s="170"/>
      <c r="CI124" s="170"/>
      <c r="CJ124" s="170"/>
      <c r="CK124" s="170"/>
    </row>
    <row r="125" spans="1:89" s="50" customFormat="1" ht="16" customHeight="1">
      <c r="A125" s="127"/>
      <c r="B125" s="56"/>
      <c r="C125" s="58"/>
      <c r="D125" s="58"/>
      <c r="E125" s="56"/>
      <c r="G125" s="165"/>
      <c r="H125" s="166"/>
      <c r="I125" s="166"/>
      <c r="J125" s="166"/>
      <c r="K125" s="166"/>
      <c r="L125" s="166"/>
      <c r="M125" s="166"/>
      <c r="N125" s="166"/>
      <c r="O125" s="166"/>
      <c r="P125" s="873"/>
      <c r="Q125" s="166"/>
      <c r="R125" s="166"/>
      <c r="S125" s="247"/>
      <c r="T125" s="166"/>
      <c r="U125" s="166"/>
      <c r="V125" s="274"/>
      <c r="W125" s="166"/>
      <c r="X125" s="166"/>
      <c r="Y125" s="166"/>
      <c r="Z125" s="166"/>
      <c r="AA125" s="166"/>
      <c r="AB125" s="909"/>
      <c r="AC125" s="166"/>
      <c r="AD125" s="166"/>
      <c r="AE125" s="247"/>
      <c r="AF125" s="166"/>
      <c r="AG125" s="166"/>
      <c r="AH125" s="166"/>
      <c r="AI125" s="166"/>
      <c r="AJ125" s="166"/>
      <c r="AK125" s="166"/>
      <c r="AL125" s="166"/>
      <c r="AM125" s="166"/>
      <c r="AN125" s="166"/>
      <c r="AO125" s="166"/>
      <c r="AP125" s="166"/>
      <c r="AQ125" s="166"/>
      <c r="AR125" s="167"/>
      <c r="AS125" s="167"/>
      <c r="AT125" s="170"/>
      <c r="AU125" s="170"/>
      <c r="AV125" s="170"/>
      <c r="AW125" s="170"/>
      <c r="AX125" s="170"/>
      <c r="AY125" s="170"/>
      <c r="AZ125" s="170"/>
      <c r="BA125" s="170"/>
      <c r="BB125" s="170"/>
      <c r="BC125" s="170"/>
      <c r="BD125" s="170"/>
      <c r="BE125" s="170"/>
      <c r="BF125" s="170"/>
      <c r="BG125" s="170"/>
      <c r="BH125" s="170"/>
      <c r="BI125" s="170"/>
      <c r="BJ125" s="170"/>
      <c r="BK125" s="170"/>
      <c r="BL125" s="170"/>
      <c r="BM125" s="170"/>
      <c r="BN125" s="170"/>
      <c r="BO125" s="170"/>
      <c r="BP125" s="170"/>
      <c r="BQ125" s="170"/>
      <c r="BR125" s="170"/>
      <c r="BS125" s="170"/>
      <c r="BT125" s="170"/>
      <c r="BU125" s="170"/>
      <c r="BV125" s="170"/>
      <c r="BW125" s="170"/>
      <c r="BX125" s="170"/>
      <c r="BY125" s="170"/>
      <c r="BZ125" s="170"/>
      <c r="CA125" s="170"/>
      <c r="CB125" s="170"/>
      <c r="CC125" s="170"/>
      <c r="CD125" s="170"/>
      <c r="CE125" s="170"/>
      <c r="CF125" s="170"/>
      <c r="CG125" s="170"/>
      <c r="CH125" s="170"/>
      <c r="CI125" s="170"/>
      <c r="CJ125" s="170"/>
      <c r="CK125" s="170"/>
    </row>
    <row r="126" spans="1:89" s="50" customFormat="1" ht="16" customHeight="1">
      <c r="A126" s="127"/>
      <c r="B126" s="58"/>
      <c r="C126" s="58"/>
      <c r="D126" s="58"/>
      <c r="E126" s="58"/>
      <c r="F126" s="58"/>
      <c r="G126" s="847" t="s">
        <v>377</v>
      </c>
      <c r="H126" s="166"/>
      <c r="I126" s="166"/>
      <c r="J126" s="166"/>
      <c r="K126" s="166"/>
      <c r="L126" s="166"/>
      <c r="M126" s="166"/>
      <c r="N126" s="166"/>
      <c r="O126" s="166"/>
      <c r="P126" s="873"/>
      <c r="Q126" s="166"/>
      <c r="R126" s="166"/>
      <c r="S126" s="504">
        <f>SUM(H120:S120)</f>
        <v>350414.7906666667</v>
      </c>
      <c r="T126" s="166"/>
      <c r="U126" s="166"/>
      <c r="V126" s="274"/>
      <c r="W126" s="166"/>
      <c r="X126" s="166"/>
      <c r="Y126" s="166"/>
      <c r="Z126" s="166"/>
      <c r="AA126" s="166"/>
      <c r="AB126" s="909"/>
      <c r="AC126" s="166"/>
      <c r="AD126" s="166"/>
      <c r="AE126" s="504">
        <f>SUM(T120:AE120)</f>
        <v>760435.96431407414</v>
      </c>
      <c r="AF126" s="166"/>
      <c r="AG126" s="166"/>
      <c r="AH126" s="166"/>
      <c r="AI126" s="166"/>
      <c r="AJ126" s="166"/>
      <c r="AK126" s="166"/>
      <c r="AL126" s="166"/>
      <c r="AM126" s="166"/>
      <c r="AN126" s="166"/>
      <c r="AO126" s="166"/>
      <c r="AP126" s="166"/>
      <c r="AQ126" s="506">
        <f>SUM(AF120:AQ120)</f>
        <v>1296571.9604514667</v>
      </c>
      <c r="AR126" s="167"/>
      <c r="AS126" s="167"/>
      <c r="AT126" s="170"/>
      <c r="AU126" s="170"/>
      <c r="AV126" s="170"/>
      <c r="AW126" s="170"/>
      <c r="AX126" s="170"/>
      <c r="AY126" s="170"/>
      <c r="AZ126" s="170"/>
      <c r="BA126" s="170"/>
      <c r="BB126" s="170"/>
      <c r="BC126" s="170"/>
      <c r="BD126" s="170"/>
      <c r="BE126" s="170"/>
      <c r="BF126" s="170"/>
      <c r="BG126" s="170"/>
      <c r="BH126" s="170"/>
      <c r="BI126" s="170"/>
      <c r="BJ126" s="170"/>
      <c r="BK126" s="170"/>
      <c r="BL126" s="170"/>
      <c r="BM126" s="170"/>
      <c r="BN126" s="170"/>
      <c r="BO126" s="170"/>
      <c r="BP126" s="170"/>
      <c r="BQ126" s="170"/>
      <c r="BR126" s="170"/>
      <c r="BS126" s="170"/>
      <c r="BT126" s="170"/>
      <c r="BU126" s="170"/>
      <c r="BV126" s="170"/>
      <c r="BW126" s="170"/>
      <c r="BX126" s="170"/>
      <c r="BY126" s="170"/>
      <c r="BZ126" s="170"/>
      <c r="CA126" s="170"/>
      <c r="CB126" s="170"/>
      <c r="CC126" s="170"/>
      <c r="CD126" s="170"/>
      <c r="CE126" s="170"/>
      <c r="CF126" s="170"/>
      <c r="CG126" s="170"/>
      <c r="CH126" s="170"/>
      <c r="CI126" s="170"/>
      <c r="CJ126" s="170"/>
      <c r="CK126" s="170"/>
    </row>
    <row r="127" spans="1:89" s="50" customFormat="1" ht="16" customHeight="1">
      <c r="A127" s="127"/>
      <c r="B127" s="54"/>
      <c r="C127" s="54"/>
      <c r="D127" s="54"/>
      <c r="E127" s="54"/>
      <c r="F127" s="54"/>
      <c r="G127" s="847" t="s">
        <v>375</v>
      </c>
      <c r="H127" s="166"/>
      <c r="I127" s="166"/>
      <c r="J127" s="166"/>
      <c r="K127" s="166"/>
      <c r="L127" s="166"/>
      <c r="M127" s="166"/>
      <c r="N127" s="166"/>
      <c r="O127" s="166"/>
      <c r="P127" s="873"/>
      <c r="Q127" s="166"/>
      <c r="R127" s="166"/>
      <c r="S127" s="504">
        <f>SUM(H122:S122)</f>
        <v>304131.74479254859</v>
      </c>
      <c r="T127" s="166"/>
      <c r="U127" s="166"/>
      <c r="V127" s="274"/>
      <c r="W127" s="166"/>
      <c r="X127" s="166"/>
      <c r="Y127" s="166"/>
      <c r="Z127" s="166"/>
      <c r="AA127" s="166"/>
      <c r="AB127" s="909"/>
      <c r="AC127" s="166"/>
      <c r="AD127" s="166"/>
      <c r="AE127" s="504">
        <f>SUM(T122:AE122)</f>
        <v>655052.80931597052</v>
      </c>
      <c r="AF127" s="166"/>
      <c r="AG127" s="166"/>
      <c r="AH127" s="166"/>
      <c r="AI127" s="166"/>
      <c r="AJ127" s="166"/>
      <c r="AK127" s="166"/>
      <c r="AL127" s="166"/>
      <c r="AM127" s="166"/>
      <c r="AN127" s="166"/>
      <c r="AO127" s="166"/>
      <c r="AP127" s="166"/>
      <c r="AQ127" s="506">
        <f>SUM(AF122:AQ122)</f>
        <v>1113677.3043789323</v>
      </c>
      <c r="AR127" s="167"/>
      <c r="AS127" s="167"/>
    </row>
    <row r="128" spans="1:89" s="397" customFormat="1" ht="16" customHeight="1">
      <c r="A128" s="849"/>
      <c r="B128" s="395"/>
      <c r="C128" s="850"/>
      <c r="D128" s="850"/>
      <c r="E128" s="851"/>
      <c r="F128" s="851"/>
      <c r="G128" s="852"/>
      <c r="H128" s="852"/>
      <c r="I128" s="852"/>
      <c r="J128" s="852"/>
      <c r="K128" s="852"/>
      <c r="L128" s="852"/>
      <c r="M128" s="852"/>
      <c r="N128" s="852"/>
      <c r="O128" s="852"/>
      <c r="P128" s="880"/>
      <c r="Q128" s="852"/>
      <c r="R128" s="852"/>
      <c r="S128" s="853">
        <f>S127/S126</f>
        <v>0.86791925710080819</v>
      </c>
      <c r="T128" s="852"/>
      <c r="U128" s="852"/>
      <c r="V128" s="854"/>
      <c r="W128" s="852"/>
      <c r="X128" s="852"/>
      <c r="Y128" s="852"/>
      <c r="Z128" s="852"/>
      <c r="AA128" s="852"/>
      <c r="AB128" s="917"/>
      <c r="AC128" s="852"/>
      <c r="AD128" s="852"/>
      <c r="AE128" s="853">
        <f>AE127/AE126</f>
        <v>0.86141745006345016</v>
      </c>
      <c r="AF128" s="852"/>
      <c r="AG128" s="852"/>
      <c r="AH128" s="852"/>
      <c r="AI128" s="852"/>
      <c r="AJ128" s="852"/>
      <c r="AK128" s="852"/>
      <c r="AL128" s="852"/>
      <c r="AM128" s="852"/>
      <c r="AN128" s="852"/>
      <c r="AO128" s="852"/>
      <c r="AP128" s="852"/>
      <c r="AQ128" s="852">
        <f>AQ127/AQ126</f>
        <v>0.85893983392263829</v>
      </c>
      <c r="AR128" s="855"/>
      <c r="AS128" s="855"/>
    </row>
    <row r="129" spans="1:95" s="294" customFormat="1" ht="16" customHeight="1">
      <c r="A129" s="127"/>
      <c r="B129" s="55"/>
      <c r="C129" s="55"/>
      <c r="D129" s="55"/>
      <c r="E129" s="55"/>
      <c r="F129" s="55"/>
      <c r="G129" s="131"/>
      <c r="H129" s="1106"/>
      <c r="I129" s="208"/>
      <c r="J129" s="54"/>
      <c r="K129" s="54"/>
      <c r="L129" s="136"/>
      <c r="M129" s="136"/>
      <c r="N129" s="136"/>
      <c r="O129" s="136"/>
      <c r="P129" s="866"/>
      <c r="Q129" s="136"/>
      <c r="R129" s="136"/>
      <c r="S129" s="243"/>
      <c r="T129" s="136"/>
      <c r="U129" s="136"/>
      <c r="V129" s="269"/>
      <c r="W129" s="136"/>
      <c r="X129" s="136"/>
      <c r="Y129" s="136"/>
      <c r="Z129" s="136"/>
      <c r="AA129" s="136"/>
      <c r="AB129" s="902"/>
      <c r="AC129" s="136"/>
      <c r="AD129" s="136"/>
      <c r="AE129" s="243"/>
      <c r="AF129" s="136"/>
      <c r="AG129" s="136"/>
      <c r="AH129" s="136"/>
      <c r="AI129" s="136"/>
      <c r="AJ129" s="136"/>
      <c r="AK129" s="136"/>
      <c r="AL129" s="136"/>
      <c r="AM129" s="136"/>
      <c r="AN129" s="136"/>
      <c r="AO129" s="136"/>
      <c r="AP129" s="136"/>
      <c r="AQ129" s="136"/>
      <c r="AR129" s="167"/>
      <c r="AS129" s="167"/>
      <c r="AT129" s="292"/>
      <c r="AU129" s="293"/>
      <c r="AV129" s="293"/>
      <c r="AW129" s="293"/>
      <c r="AX129" s="293"/>
      <c r="AY129" s="293"/>
      <c r="AZ129" s="293"/>
      <c r="BA129" s="293"/>
      <c r="BB129" s="293"/>
      <c r="BC129" s="293"/>
      <c r="BD129" s="293"/>
      <c r="BE129" s="293"/>
      <c r="BF129" s="293"/>
      <c r="BG129" s="293"/>
      <c r="BH129" s="293"/>
      <c r="BI129" s="293"/>
      <c r="BJ129" s="293"/>
      <c r="BK129" s="293"/>
      <c r="BL129" s="293"/>
      <c r="BM129" s="293"/>
      <c r="BN129" s="293"/>
      <c r="BO129" s="293"/>
      <c r="BP129" s="293"/>
      <c r="BQ129" s="293"/>
      <c r="BR129" s="293"/>
      <c r="BS129" s="293"/>
      <c r="BT129" s="293"/>
      <c r="BU129" s="293"/>
      <c r="BV129" s="293"/>
      <c r="BW129" s="293"/>
      <c r="BX129" s="293"/>
      <c r="BY129" s="293"/>
      <c r="BZ129" s="293"/>
      <c r="CA129" s="293"/>
      <c r="CB129" s="293"/>
      <c r="CC129" s="293"/>
      <c r="CD129" s="293"/>
      <c r="CE129" s="293"/>
      <c r="CF129" s="293"/>
      <c r="CG129" s="293"/>
      <c r="CH129" s="293"/>
      <c r="CI129" s="293"/>
      <c r="CJ129" s="293"/>
      <c r="CK129" s="293"/>
    </row>
    <row r="130" spans="1:95" s="294" customFormat="1" ht="16" customHeight="1">
      <c r="A130" s="127"/>
      <c r="B130" s="54"/>
      <c r="C130" s="54"/>
      <c r="D130" s="54"/>
      <c r="E130" s="54"/>
      <c r="F130" s="54"/>
      <c r="G130" s="56"/>
      <c r="H130" s="1106"/>
      <c r="I130" s="208"/>
      <c r="J130" s="55"/>
      <c r="K130" s="55"/>
      <c r="L130" s="57"/>
      <c r="M130" s="57"/>
      <c r="N130" s="57"/>
      <c r="O130" s="57"/>
      <c r="P130" s="881"/>
      <c r="Q130" s="57"/>
      <c r="R130" s="57"/>
      <c r="S130" s="250"/>
      <c r="T130" s="221"/>
      <c r="U130" s="221"/>
      <c r="V130" s="277"/>
      <c r="W130" s="57"/>
      <c r="X130" s="57"/>
      <c r="Y130" s="57"/>
      <c r="Z130" s="57"/>
      <c r="AA130" s="221"/>
      <c r="AB130" s="918"/>
      <c r="AC130" s="57"/>
      <c r="AD130" s="57"/>
      <c r="AE130" s="250"/>
      <c r="AF130" s="221"/>
      <c r="AG130" s="57"/>
      <c r="AH130" s="57"/>
      <c r="AI130" s="57"/>
      <c r="AJ130" s="57"/>
      <c r="AK130" s="57"/>
      <c r="AL130" s="57"/>
      <c r="AM130" s="57"/>
      <c r="AN130" s="57"/>
      <c r="AO130" s="57"/>
      <c r="AP130" s="57"/>
      <c r="AQ130" s="57"/>
      <c r="AR130" s="167"/>
      <c r="AS130" s="167"/>
      <c r="AT130" s="292"/>
      <c r="AU130" s="293"/>
      <c r="AV130" s="293"/>
      <c r="AW130" s="293"/>
      <c r="AX130" s="293"/>
      <c r="AY130" s="293"/>
      <c r="AZ130" s="293"/>
      <c r="BA130" s="293"/>
      <c r="BB130" s="293"/>
      <c r="BC130" s="293"/>
      <c r="BD130" s="293"/>
      <c r="BE130" s="293"/>
      <c r="BF130" s="293"/>
      <c r="BG130" s="293"/>
      <c r="BH130" s="293"/>
      <c r="BI130" s="293"/>
      <c r="BJ130" s="293"/>
      <c r="BK130" s="293"/>
      <c r="BL130" s="293"/>
      <c r="BM130" s="293"/>
      <c r="BN130" s="293"/>
      <c r="BO130" s="293"/>
      <c r="BP130" s="293"/>
      <c r="BQ130" s="293"/>
      <c r="BR130" s="293"/>
      <c r="BS130" s="293"/>
      <c r="BT130" s="293"/>
      <c r="BU130" s="293"/>
      <c r="BV130" s="293"/>
      <c r="BW130" s="293"/>
      <c r="BX130" s="293"/>
      <c r="BY130" s="293"/>
      <c r="BZ130" s="293"/>
      <c r="CA130" s="293"/>
      <c r="CB130" s="293"/>
      <c r="CC130" s="293"/>
      <c r="CD130" s="293"/>
      <c r="CE130" s="293"/>
      <c r="CF130" s="293"/>
      <c r="CG130" s="293"/>
      <c r="CH130" s="293"/>
      <c r="CI130" s="293"/>
      <c r="CJ130" s="293"/>
      <c r="CK130" s="293"/>
    </row>
    <row r="131" spans="1:95" s="50" customFormat="1" ht="16" customHeight="1">
      <c r="A131" s="137"/>
      <c r="B131" s="54"/>
      <c r="C131" s="54"/>
      <c r="D131" s="54"/>
      <c r="E131" s="54"/>
      <c r="F131" s="54"/>
      <c r="G131" s="56"/>
      <c r="H131" s="1106"/>
      <c r="I131" s="208"/>
      <c r="J131" s="54"/>
      <c r="K131" s="54"/>
      <c r="L131" s="57"/>
      <c r="M131" s="57"/>
      <c r="N131" s="57"/>
      <c r="O131" s="57"/>
      <c r="P131" s="881"/>
      <c r="Q131" s="57"/>
      <c r="R131" s="57"/>
      <c r="S131" s="250"/>
      <c r="T131" s="221"/>
      <c r="U131" s="221"/>
      <c r="V131" s="277"/>
      <c r="W131" s="57"/>
      <c r="X131" s="57"/>
      <c r="Y131" s="57"/>
      <c r="Z131" s="57"/>
      <c r="AA131" s="221"/>
      <c r="AB131" s="918"/>
      <c r="AC131" s="57"/>
      <c r="AD131" s="57"/>
      <c r="AE131" s="250"/>
      <c r="AF131" s="221"/>
      <c r="AG131" s="57"/>
      <c r="AH131" s="57"/>
      <c r="AI131" s="57"/>
      <c r="AJ131" s="57"/>
      <c r="AK131" s="57"/>
      <c r="AL131" s="57"/>
      <c r="AM131" s="57"/>
      <c r="AN131" s="57"/>
      <c r="AO131" s="57"/>
      <c r="AP131" s="57"/>
      <c r="AQ131" s="57"/>
      <c r="AR131" s="167"/>
      <c r="AS131" s="167"/>
      <c r="AT131" s="224"/>
      <c r="AU131" s="170"/>
      <c r="AV131" s="170"/>
      <c r="AW131" s="170"/>
      <c r="AX131" s="170"/>
      <c r="AY131" s="170"/>
      <c r="AZ131" s="170"/>
      <c r="BA131" s="170"/>
      <c r="BB131" s="170"/>
      <c r="BC131" s="170"/>
      <c r="BD131" s="170"/>
      <c r="BE131" s="170"/>
      <c r="BF131" s="170"/>
      <c r="BG131" s="170"/>
      <c r="BH131" s="170"/>
      <c r="BI131" s="170"/>
      <c r="BJ131" s="170"/>
      <c r="BK131" s="170"/>
      <c r="BL131" s="170"/>
      <c r="BM131" s="170"/>
      <c r="BN131" s="170"/>
      <c r="BO131" s="170"/>
      <c r="BP131" s="170"/>
      <c r="BQ131" s="170"/>
      <c r="BR131" s="170"/>
      <c r="BS131" s="170"/>
      <c r="BT131" s="170"/>
      <c r="BU131" s="170"/>
      <c r="BV131" s="170"/>
      <c r="BW131" s="170"/>
      <c r="BX131" s="170"/>
      <c r="BY131" s="170"/>
      <c r="BZ131" s="170"/>
      <c r="CA131" s="170"/>
      <c r="CB131" s="170"/>
      <c r="CC131" s="170"/>
      <c r="CD131" s="170"/>
      <c r="CE131" s="170"/>
      <c r="CF131" s="170"/>
      <c r="CG131" s="170"/>
      <c r="CH131" s="170"/>
      <c r="CI131" s="170"/>
      <c r="CJ131" s="170"/>
      <c r="CK131" s="170"/>
    </row>
    <row r="132" spans="1:95" s="50" customFormat="1" ht="16" customHeight="1">
      <c r="A132" s="137"/>
      <c r="B132" s="55"/>
      <c r="C132" s="55"/>
      <c r="D132" s="55"/>
      <c r="E132" s="55"/>
      <c r="F132" s="55"/>
      <c r="G132" s="56"/>
      <c r="H132" s="56"/>
      <c r="I132" s="57"/>
      <c r="J132" s="57"/>
      <c r="K132" s="57"/>
      <c r="L132" s="57"/>
      <c r="M132" s="57"/>
      <c r="N132" s="57"/>
      <c r="O132" s="57"/>
      <c r="P132" s="881"/>
      <c r="Q132" s="57"/>
      <c r="R132" s="57"/>
      <c r="S132" s="250"/>
      <c r="T132" s="221"/>
      <c r="U132" s="221"/>
      <c r="V132" s="277"/>
      <c r="W132" s="57"/>
      <c r="X132" s="57"/>
      <c r="Y132" s="57"/>
      <c r="Z132" s="57"/>
      <c r="AA132" s="221"/>
      <c r="AB132" s="918"/>
      <c r="AC132" s="57"/>
      <c r="AD132" s="57"/>
      <c r="AE132" s="250"/>
      <c r="AF132" s="221"/>
      <c r="AG132" s="57"/>
      <c r="AH132" s="57"/>
      <c r="AI132" s="57"/>
      <c r="AJ132" s="57"/>
      <c r="AK132" s="57"/>
      <c r="AL132" s="57"/>
      <c r="AM132" s="57"/>
      <c r="AN132" s="57"/>
      <c r="AO132" s="57"/>
      <c r="AP132" s="57"/>
      <c r="AQ132" s="57"/>
      <c r="AR132" s="167"/>
      <c r="AS132" s="167"/>
      <c r="AT132" s="169"/>
      <c r="AU132" s="170"/>
      <c r="AV132" s="170"/>
      <c r="AW132" s="170"/>
      <c r="AX132" s="170"/>
      <c r="AY132" s="170"/>
      <c r="AZ132" s="170"/>
      <c r="BA132" s="170"/>
      <c r="BB132" s="170"/>
      <c r="BC132" s="170"/>
      <c r="BD132" s="170"/>
      <c r="BE132" s="170"/>
      <c r="BF132" s="170"/>
      <c r="BG132" s="170"/>
      <c r="BH132" s="170"/>
      <c r="BI132" s="170"/>
      <c r="BJ132" s="170"/>
      <c r="BK132" s="170"/>
      <c r="BL132" s="170"/>
      <c r="BM132" s="170"/>
      <c r="BN132" s="170"/>
      <c r="BO132" s="170"/>
      <c r="BP132" s="170"/>
      <c r="BQ132" s="170"/>
      <c r="BR132" s="170"/>
      <c r="BS132" s="170"/>
      <c r="BT132" s="170"/>
      <c r="BU132" s="170"/>
      <c r="BV132" s="170"/>
      <c r="BW132" s="170"/>
      <c r="BX132" s="170"/>
      <c r="BY132" s="170"/>
      <c r="BZ132" s="170"/>
      <c r="CA132" s="170"/>
      <c r="CB132" s="170"/>
      <c r="CC132" s="170"/>
      <c r="CD132" s="170"/>
      <c r="CE132" s="170"/>
      <c r="CF132" s="170"/>
      <c r="CG132" s="170"/>
      <c r="CH132" s="170"/>
      <c r="CI132" s="170"/>
      <c r="CJ132" s="170"/>
      <c r="CK132" s="170"/>
    </row>
    <row r="133" spans="1:95" ht="16" customHeight="1">
      <c r="A133" s="127"/>
      <c r="B133" s="125"/>
      <c r="C133" s="138"/>
      <c r="D133" s="138"/>
      <c r="I133" s="57"/>
      <c r="J133" s="57"/>
      <c r="K133" s="57"/>
      <c r="L133" s="57"/>
      <c r="M133" s="57"/>
      <c r="N133" s="57"/>
      <c r="O133" s="57"/>
      <c r="P133" s="881"/>
      <c r="Q133" s="57"/>
      <c r="R133" s="57"/>
      <c r="S133" s="250"/>
      <c r="T133" s="221"/>
      <c r="U133" s="221"/>
      <c r="V133" s="277"/>
      <c r="W133" s="57"/>
      <c r="X133" s="57"/>
      <c r="Y133" s="57"/>
      <c r="Z133" s="57"/>
      <c r="AA133" s="221"/>
      <c r="AB133" s="918"/>
      <c r="AC133" s="57"/>
      <c r="AD133" s="57"/>
      <c r="AE133" s="250"/>
      <c r="AF133" s="221"/>
      <c r="AG133" s="57"/>
      <c r="AH133" s="57"/>
      <c r="AI133" s="57"/>
      <c r="AJ133" s="57"/>
      <c r="AK133" s="57"/>
      <c r="AL133" s="57"/>
      <c r="AM133" s="57"/>
      <c r="AN133" s="57"/>
      <c r="AO133" s="57"/>
      <c r="AP133" s="57"/>
      <c r="AQ133" s="57"/>
      <c r="AR133" s="167"/>
      <c r="AS133" s="167"/>
      <c r="AT133" s="167"/>
      <c r="AU133" s="167"/>
      <c r="AV133" s="167"/>
      <c r="AW133" s="167"/>
      <c r="AX133" s="167"/>
      <c r="AY133" s="167"/>
      <c r="AZ133" s="167"/>
      <c r="BA133" s="167"/>
      <c r="BB133" s="167"/>
      <c r="BC133" s="167"/>
      <c r="BD133" s="167"/>
      <c r="BE133" s="167"/>
      <c r="BF133" s="167"/>
      <c r="BG133" s="167"/>
      <c r="BH133" s="167"/>
      <c r="BI133" s="167"/>
      <c r="BJ133" s="167"/>
      <c r="BK133" s="167"/>
      <c r="BL133" s="167"/>
      <c r="BM133" s="167"/>
      <c r="BN133" s="167"/>
      <c r="BO133" s="167"/>
      <c r="BP133" s="167"/>
      <c r="BQ133" s="167"/>
      <c r="BR133" s="167"/>
      <c r="BS133" s="167"/>
      <c r="BT133" s="167"/>
      <c r="BU133" s="167"/>
      <c r="BV133" s="167"/>
      <c r="BW133" s="167"/>
      <c r="BX133" s="167"/>
      <c r="BY133" s="167"/>
      <c r="BZ133" s="167"/>
      <c r="CA133" s="167"/>
      <c r="CB133" s="167"/>
      <c r="CC133" s="167"/>
      <c r="CD133" s="167"/>
      <c r="CE133" s="167"/>
      <c r="CF133" s="167"/>
      <c r="CG133" s="167"/>
      <c r="CH133" s="167"/>
      <c r="CI133" s="167"/>
      <c r="CJ133" s="167"/>
      <c r="CK133" s="167"/>
      <c r="CL133" s="167"/>
      <c r="CM133" s="167"/>
      <c r="CN133" s="167"/>
      <c r="CO133" s="167"/>
      <c r="CP133" s="167"/>
      <c r="CQ133" s="167"/>
    </row>
    <row r="134" spans="1:95" ht="16" customHeight="1">
      <c r="A134" s="127"/>
      <c r="B134" s="138"/>
      <c r="C134" s="138"/>
      <c r="D134" s="138"/>
      <c r="I134" s="57"/>
      <c r="J134" s="57"/>
      <c r="K134" s="57"/>
      <c r="L134" s="57"/>
      <c r="M134" s="57"/>
      <c r="N134" s="57"/>
      <c r="O134" s="57"/>
      <c r="P134" s="881"/>
      <c r="Q134" s="57"/>
      <c r="R134" s="57"/>
      <c r="S134" s="250"/>
      <c r="T134" s="221"/>
      <c r="U134" s="221"/>
      <c r="V134" s="277"/>
      <c r="W134" s="57"/>
      <c r="X134" s="57"/>
      <c r="Y134" s="57"/>
      <c r="Z134" s="57"/>
      <c r="AA134" s="221"/>
      <c r="AB134" s="918"/>
      <c r="AC134" s="57"/>
      <c r="AD134" s="57"/>
      <c r="AE134" s="250"/>
      <c r="AF134" s="221"/>
      <c r="AG134" s="57"/>
      <c r="AH134" s="57"/>
      <c r="AI134" s="57"/>
      <c r="AJ134" s="57"/>
      <c r="AK134" s="57"/>
      <c r="AL134" s="57"/>
      <c r="AM134" s="57"/>
      <c r="AN134" s="57"/>
      <c r="AO134" s="57"/>
      <c r="AP134" s="57"/>
      <c r="AQ134" s="57"/>
      <c r="AR134" s="167"/>
      <c r="AS134" s="167"/>
      <c r="AT134" s="167"/>
      <c r="AU134" s="167"/>
      <c r="AV134" s="167"/>
      <c r="AW134" s="167"/>
      <c r="AX134" s="167"/>
      <c r="AY134" s="167"/>
      <c r="AZ134" s="167"/>
      <c r="BA134" s="167"/>
      <c r="BB134" s="167"/>
      <c r="BC134" s="167"/>
      <c r="BD134" s="167"/>
      <c r="BE134" s="167"/>
      <c r="BF134" s="167"/>
      <c r="BG134" s="167"/>
      <c r="BH134" s="167"/>
      <c r="BI134" s="167"/>
      <c r="BJ134" s="167"/>
      <c r="BK134" s="167"/>
      <c r="BL134" s="167"/>
      <c r="BM134" s="167"/>
      <c r="BN134" s="167"/>
      <c r="BO134" s="167"/>
      <c r="BP134" s="167"/>
      <c r="BQ134" s="167"/>
      <c r="BR134" s="167"/>
      <c r="BS134" s="167"/>
      <c r="BT134" s="167"/>
      <c r="BU134" s="167"/>
      <c r="BV134" s="167"/>
      <c r="BW134" s="167"/>
      <c r="BX134" s="167"/>
      <c r="BY134" s="167"/>
      <c r="BZ134" s="167"/>
      <c r="CA134" s="167"/>
      <c r="CB134" s="167"/>
      <c r="CC134" s="167"/>
      <c r="CD134" s="167"/>
      <c r="CE134" s="167"/>
      <c r="CF134" s="167"/>
      <c r="CG134" s="167"/>
      <c r="CH134" s="167"/>
      <c r="CI134" s="167"/>
      <c r="CJ134" s="167"/>
      <c r="CK134" s="167"/>
      <c r="CL134" s="167"/>
      <c r="CM134" s="167"/>
      <c r="CN134" s="167"/>
      <c r="CO134" s="167"/>
      <c r="CP134" s="167"/>
      <c r="CQ134" s="167"/>
    </row>
    <row r="135" spans="1:95" ht="16" customHeight="1">
      <c r="B135" s="127"/>
      <c r="C135" s="129"/>
      <c r="D135" s="129"/>
      <c r="I135" s="57"/>
      <c r="J135" s="57"/>
      <c r="K135" s="57"/>
      <c r="L135" s="57"/>
      <c r="M135" s="57"/>
      <c r="N135" s="57"/>
      <c r="O135" s="57"/>
      <c r="P135" s="881"/>
      <c r="Q135" s="57"/>
      <c r="R135" s="57"/>
      <c r="S135" s="250"/>
      <c r="T135" s="221"/>
      <c r="U135" s="221"/>
      <c r="V135" s="277"/>
      <c r="W135" s="57"/>
      <c r="X135" s="57"/>
      <c r="Y135" s="57"/>
      <c r="Z135" s="57"/>
      <c r="AA135" s="221"/>
      <c r="AB135" s="918"/>
      <c r="AC135" s="57"/>
      <c r="AD135" s="57"/>
      <c r="AE135" s="250"/>
      <c r="AF135" s="221"/>
      <c r="AG135" s="57"/>
      <c r="AH135" s="57"/>
      <c r="AI135" s="57"/>
      <c r="AJ135" s="57"/>
      <c r="AK135" s="57"/>
      <c r="AL135" s="57"/>
      <c r="AM135" s="57"/>
      <c r="AN135" s="57"/>
      <c r="AO135" s="57"/>
      <c r="AP135" s="57"/>
      <c r="AQ135" s="57"/>
      <c r="AR135" s="167"/>
      <c r="AS135" s="167"/>
      <c r="AT135" s="167"/>
      <c r="AU135" s="167"/>
      <c r="AV135" s="167"/>
      <c r="AW135" s="167"/>
      <c r="AX135" s="167"/>
      <c r="AY135" s="167"/>
      <c r="AZ135" s="167"/>
      <c r="BA135" s="167"/>
      <c r="BB135" s="167"/>
      <c r="BC135" s="167"/>
      <c r="BD135" s="167"/>
      <c r="BE135" s="167"/>
      <c r="BF135" s="167"/>
      <c r="BG135" s="167"/>
      <c r="BH135" s="167"/>
      <c r="BI135" s="167"/>
      <c r="BJ135" s="167"/>
      <c r="BK135" s="167"/>
      <c r="BL135" s="167"/>
      <c r="BM135" s="167"/>
      <c r="BN135" s="167"/>
      <c r="BO135" s="167"/>
      <c r="BP135" s="167"/>
      <c r="BQ135" s="167"/>
      <c r="BR135" s="167"/>
      <c r="BS135" s="167"/>
      <c r="BT135" s="167"/>
      <c r="BU135" s="167"/>
      <c r="BV135" s="167"/>
      <c r="BW135" s="167"/>
      <c r="BX135" s="167"/>
      <c r="BY135" s="167"/>
      <c r="BZ135" s="167"/>
      <c r="CA135" s="167"/>
      <c r="CB135" s="167"/>
      <c r="CC135" s="167"/>
      <c r="CD135" s="167"/>
      <c r="CE135" s="167"/>
      <c r="CF135" s="167"/>
      <c r="CG135" s="167"/>
      <c r="CH135" s="167"/>
      <c r="CI135" s="167"/>
      <c r="CJ135" s="167"/>
      <c r="CK135" s="167"/>
      <c r="CL135" s="167"/>
      <c r="CM135" s="167"/>
      <c r="CN135" s="167"/>
      <c r="CO135" s="167"/>
      <c r="CP135" s="167"/>
      <c r="CQ135" s="167"/>
    </row>
    <row r="136" spans="1:95" ht="16" customHeight="1">
      <c r="B136" s="127"/>
      <c r="C136" s="129"/>
      <c r="D136" s="129"/>
      <c r="I136" s="57"/>
      <c r="J136" s="57"/>
      <c r="K136" s="57"/>
      <c r="L136" s="57"/>
      <c r="M136" s="57"/>
      <c r="N136" s="57"/>
      <c r="O136" s="57"/>
      <c r="P136" s="881"/>
      <c r="Q136" s="57"/>
      <c r="R136" s="57"/>
      <c r="S136" s="250"/>
      <c r="T136" s="221"/>
      <c r="U136" s="221"/>
      <c r="V136" s="277"/>
      <c r="W136" s="57"/>
      <c r="X136" s="57"/>
      <c r="Y136" s="57"/>
      <c r="Z136" s="57"/>
      <c r="AA136" s="221"/>
      <c r="AB136" s="918"/>
      <c r="AC136" s="57"/>
      <c r="AD136" s="57"/>
      <c r="AE136" s="250"/>
      <c r="AF136" s="221"/>
      <c r="AG136" s="57"/>
      <c r="AH136" s="57"/>
      <c r="AI136" s="57"/>
      <c r="AJ136" s="57"/>
      <c r="AK136" s="57"/>
      <c r="AL136" s="57"/>
      <c r="AM136" s="57"/>
      <c r="AN136" s="57"/>
      <c r="AO136" s="57"/>
      <c r="AP136" s="57"/>
      <c r="AQ136" s="57"/>
      <c r="AR136" s="167"/>
      <c r="AS136" s="167"/>
      <c r="AT136" s="167"/>
      <c r="AU136" s="167"/>
      <c r="AV136" s="167"/>
      <c r="AW136" s="167"/>
      <c r="AX136" s="167"/>
      <c r="AY136" s="167"/>
      <c r="AZ136" s="167"/>
      <c r="BA136" s="167"/>
      <c r="BB136" s="167"/>
      <c r="BC136" s="167"/>
      <c r="BD136" s="167"/>
      <c r="BE136" s="167"/>
      <c r="BF136" s="167"/>
      <c r="BG136" s="167"/>
      <c r="BH136" s="167"/>
      <c r="BI136" s="167"/>
      <c r="BJ136" s="167"/>
      <c r="BK136" s="167"/>
      <c r="BL136" s="167"/>
      <c r="BM136" s="167"/>
      <c r="BN136" s="167"/>
      <c r="BO136" s="167"/>
      <c r="BP136" s="167"/>
      <c r="BQ136" s="167"/>
      <c r="BR136" s="167"/>
      <c r="BS136" s="167"/>
      <c r="BT136" s="167"/>
      <c r="BU136" s="167"/>
      <c r="BV136" s="167"/>
      <c r="BW136" s="167"/>
      <c r="BX136" s="167"/>
      <c r="BY136" s="167"/>
      <c r="BZ136" s="167"/>
      <c r="CA136" s="167"/>
      <c r="CB136" s="167"/>
      <c r="CC136" s="167"/>
      <c r="CD136" s="167"/>
      <c r="CE136" s="167"/>
      <c r="CF136" s="167"/>
      <c r="CG136" s="167"/>
      <c r="CH136" s="167"/>
      <c r="CI136" s="167"/>
      <c r="CJ136" s="167"/>
      <c r="CK136" s="167"/>
      <c r="CL136" s="167"/>
      <c r="CM136" s="167"/>
      <c r="CN136" s="167"/>
      <c r="CO136" s="167"/>
      <c r="CP136" s="167"/>
      <c r="CQ136" s="167"/>
    </row>
    <row r="137" spans="1:95" ht="16" customHeight="1">
      <c r="B137" s="129"/>
      <c r="C137" s="129"/>
      <c r="D137" s="129"/>
      <c r="I137" s="57"/>
      <c r="J137" s="57"/>
      <c r="K137" s="57"/>
      <c r="L137" s="57"/>
      <c r="M137" s="57"/>
      <c r="N137" s="57"/>
      <c r="O137" s="57"/>
      <c r="P137" s="881"/>
      <c r="Q137" s="57"/>
      <c r="R137" s="57"/>
      <c r="S137" s="250"/>
      <c r="T137" s="221"/>
      <c r="U137" s="221"/>
      <c r="V137" s="277"/>
      <c r="W137" s="57"/>
      <c r="X137" s="57"/>
      <c r="Y137" s="57"/>
      <c r="Z137" s="57"/>
      <c r="AA137" s="221"/>
      <c r="AB137" s="918"/>
      <c r="AC137" s="57"/>
      <c r="AD137" s="57"/>
      <c r="AE137" s="250"/>
      <c r="AF137" s="221"/>
      <c r="AG137" s="57"/>
      <c r="AH137" s="57"/>
      <c r="AI137" s="57"/>
      <c r="AJ137" s="57"/>
      <c r="AK137" s="57"/>
      <c r="AL137" s="57"/>
      <c r="AM137" s="57"/>
      <c r="AN137" s="57"/>
      <c r="AO137" s="57"/>
      <c r="AP137" s="57"/>
      <c r="AQ137" s="57"/>
      <c r="AR137" s="167"/>
      <c r="AS137" s="167"/>
      <c r="AT137" s="167"/>
      <c r="AU137" s="167"/>
      <c r="AV137" s="167"/>
      <c r="AW137" s="167"/>
      <c r="AX137" s="167"/>
      <c r="AY137" s="167"/>
      <c r="AZ137" s="167"/>
      <c r="BA137" s="167"/>
      <c r="BB137" s="167"/>
      <c r="BC137" s="167"/>
      <c r="BD137" s="167"/>
      <c r="BE137" s="167"/>
      <c r="BF137" s="167"/>
      <c r="BG137" s="167"/>
      <c r="BH137" s="167"/>
      <c r="BI137" s="167"/>
      <c r="BJ137" s="167"/>
      <c r="BK137" s="167"/>
      <c r="BL137" s="167"/>
      <c r="BM137" s="167"/>
      <c r="BN137" s="167"/>
      <c r="BO137" s="167"/>
      <c r="BP137" s="167"/>
      <c r="BQ137" s="167"/>
      <c r="BR137" s="167"/>
      <c r="BS137" s="167"/>
      <c r="BT137" s="167"/>
      <c r="BU137" s="167"/>
      <c r="BV137" s="167"/>
      <c r="BW137" s="167"/>
      <c r="BX137" s="167"/>
      <c r="BY137" s="167"/>
      <c r="BZ137" s="167"/>
      <c r="CA137" s="167"/>
      <c r="CB137" s="167"/>
      <c r="CC137" s="167"/>
      <c r="CD137" s="167"/>
      <c r="CE137" s="167"/>
      <c r="CF137" s="167"/>
      <c r="CG137" s="167"/>
      <c r="CH137" s="167"/>
      <c r="CI137" s="167"/>
      <c r="CJ137" s="167"/>
      <c r="CK137" s="167"/>
      <c r="CL137" s="167"/>
      <c r="CM137" s="167"/>
      <c r="CN137" s="167"/>
      <c r="CO137" s="167"/>
      <c r="CP137" s="167"/>
      <c r="CQ137" s="167"/>
    </row>
    <row r="138" spans="1:95" ht="16" customHeight="1">
      <c r="B138" s="127"/>
      <c r="C138" s="129"/>
      <c r="D138" s="129"/>
      <c r="I138" s="57"/>
      <c r="J138" s="57"/>
      <c r="K138" s="57"/>
      <c r="L138" s="57"/>
      <c r="M138" s="57"/>
      <c r="N138" s="57"/>
      <c r="O138" s="57"/>
      <c r="P138" s="881"/>
      <c r="Q138" s="57"/>
      <c r="R138" s="57"/>
      <c r="S138" s="250"/>
      <c r="T138" s="221"/>
      <c r="U138" s="221"/>
      <c r="V138" s="277"/>
      <c r="W138" s="57"/>
      <c r="X138" s="57"/>
      <c r="Y138" s="57"/>
      <c r="Z138" s="57"/>
      <c r="AA138" s="221"/>
      <c r="AB138" s="918"/>
      <c r="AC138" s="57"/>
      <c r="AD138" s="57"/>
      <c r="AE138" s="250"/>
      <c r="AF138" s="221"/>
      <c r="AG138" s="57"/>
      <c r="AH138" s="57"/>
      <c r="AI138" s="57"/>
      <c r="AJ138" s="57"/>
      <c r="AK138" s="57"/>
      <c r="AL138" s="57"/>
      <c r="AM138" s="57"/>
      <c r="AN138" s="57"/>
      <c r="AO138" s="57"/>
      <c r="AP138" s="57"/>
      <c r="AQ138" s="57"/>
      <c r="AR138" s="167"/>
      <c r="AS138" s="167"/>
      <c r="AT138" s="167"/>
      <c r="AU138" s="167"/>
      <c r="AV138" s="167"/>
      <c r="AW138" s="167"/>
      <c r="AX138" s="167"/>
      <c r="AY138" s="167"/>
      <c r="AZ138" s="167"/>
      <c r="BA138" s="167"/>
      <c r="BB138" s="167"/>
      <c r="BC138" s="167"/>
      <c r="BD138" s="167"/>
      <c r="BE138" s="167"/>
      <c r="BF138" s="167"/>
      <c r="BG138" s="167"/>
      <c r="BH138" s="167"/>
      <c r="BI138" s="167"/>
      <c r="BJ138" s="167"/>
      <c r="BK138" s="167"/>
      <c r="BL138" s="167"/>
      <c r="BM138" s="167"/>
      <c r="BN138" s="167"/>
      <c r="BO138" s="167"/>
      <c r="BP138" s="167"/>
      <c r="BQ138" s="167"/>
      <c r="BR138" s="167"/>
      <c r="BS138" s="167"/>
      <c r="BT138" s="167"/>
      <c r="BU138" s="167"/>
      <c r="BV138" s="167"/>
      <c r="BW138" s="167"/>
      <c r="BX138" s="167"/>
      <c r="BY138" s="167"/>
      <c r="BZ138" s="167"/>
      <c r="CA138" s="167"/>
      <c r="CB138" s="167"/>
      <c r="CC138" s="167"/>
      <c r="CD138" s="167"/>
      <c r="CE138" s="167"/>
      <c r="CF138" s="167"/>
      <c r="CG138" s="167"/>
      <c r="CH138" s="167"/>
      <c r="CI138" s="167"/>
      <c r="CJ138" s="167"/>
      <c r="CK138" s="167"/>
      <c r="CL138" s="167"/>
      <c r="CM138" s="167"/>
      <c r="CN138" s="167"/>
      <c r="CO138" s="167"/>
      <c r="CP138" s="167"/>
      <c r="CQ138" s="167"/>
    </row>
    <row r="139" spans="1:95" ht="16" customHeight="1">
      <c r="B139" s="127"/>
      <c r="C139" s="129"/>
      <c r="D139" s="129"/>
      <c r="I139" s="57"/>
      <c r="J139" s="57"/>
      <c r="K139" s="57"/>
      <c r="L139" s="57"/>
      <c r="M139" s="57"/>
      <c r="N139" s="57"/>
      <c r="O139" s="57"/>
      <c r="P139" s="881"/>
      <c r="Q139" s="57"/>
      <c r="R139" s="57"/>
      <c r="S139" s="250"/>
      <c r="T139" s="221"/>
      <c r="U139" s="221"/>
      <c r="V139" s="277"/>
      <c r="W139" s="57"/>
      <c r="X139" s="57"/>
      <c r="Y139" s="57"/>
      <c r="Z139" s="57"/>
      <c r="AA139" s="221"/>
      <c r="AB139" s="918"/>
      <c r="AC139" s="57"/>
      <c r="AD139" s="57"/>
      <c r="AE139" s="250"/>
      <c r="AF139" s="221"/>
      <c r="AG139" s="57"/>
      <c r="AH139" s="57"/>
      <c r="AI139" s="57"/>
      <c r="AJ139" s="57"/>
      <c r="AK139" s="57"/>
      <c r="AL139" s="57"/>
      <c r="AM139" s="57"/>
      <c r="AN139" s="57"/>
      <c r="AO139" s="57"/>
      <c r="AP139" s="57"/>
      <c r="AQ139" s="57"/>
      <c r="AR139" s="167"/>
      <c r="AS139" s="167"/>
      <c r="AT139" s="167"/>
      <c r="AU139" s="167"/>
      <c r="AV139" s="167"/>
      <c r="AW139" s="167"/>
      <c r="AX139" s="167"/>
      <c r="AY139" s="167"/>
      <c r="AZ139" s="167"/>
      <c r="BA139" s="167"/>
      <c r="BB139" s="167"/>
      <c r="BC139" s="167"/>
      <c r="BD139" s="167"/>
      <c r="BE139" s="167"/>
      <c r="BF139" s="167"/>
      <c r="BG139" s="167"/>
      <c r="BH139" s="167"/>
      <c r="BI139" s="167"/>
      <c r="BJ139" s="167"/>
      <c r="BK139" s="167"/>
      <c r="BL139" s="167"/>
      <c r="BM139" s="167"/>
      <c r="BN139" s="167"/>
      <c r="BO139" s="167"/>
      <c r="BP139" s="167"/>
      <c r="BQ139" s="167"/>
      <c r="BR139" s="167"/>
      <c r="BS139" s="167"/>
      <c r="BT139" s="167"/>
      <c r="BU139" s="167"/>
      <c r="BV139" s="167"/>
      <c r="BW139" s="167"/>
      <c r="BX139" s="167"/>
      <c r="BY139" s="167"/>
      <c r="BZ139" s="167"/>
      <c r="CA139" s="167"/>
      <c r="CB139" s="167"/>
      <c r="CC139" s="167"/>
      <c r="CD139" s="167"/>
      <c r="CE139" s="167"/>
      <c r="CF139" s="167"/>
      <c r="CG139" s="167"/>
      <c r="CH139" s="167"/>
      <c r="CI139" s="167"/>
      <c r="CJ139" s="167"/>
      <c r="CK139" s="167"/>
      <c r="CL139" s="167"/>
      <c r="CM139" s="167"/>
      <c r="CN139" s="167"/>
      <c r="CO139" s="167"/>
      <c r="CP139" s="167"/>
      <c r="CQ139" s="167"/>
    </row>
    <row r="140" spans="1:95" ht="16" customHeight="1">
      <c r="B140" s="129"/>
      <c r="C140" s="129"/>
      <c r="D140" s="129"/>
      <c r="I140" s="57"/>
      <c r="J140" s="57"/>
      <c r="K140" s="57"/>
      <c r="L140" s="57"/>
      <c r="M140" s="57"/>
      <c r="N140" s="57"/>
      <c r="O140" s="57"/>
      <c r="P140" s="881"/>
      <c r="Q140" s="57"/>
      <c r="R140" s="57"/>
      <c r="S140" s="250"/>
      <c r="T140" s="221"/>
      <c r="U140" s="221"/>
      <c r="V140" s="277"/>
      <c r="W140" s="57"/>
      <c r="X140" s="57"/>
      <c r="Y140" s="57"/>
      <c r="Z140" s="57"/>
      <c r="AA140" s="221"/>
      <c r="AB140" s="918"/>
      <c r="AC140" s="57"/>
      <c r="AD140" s="57"/>
      <c r="AE140" s="250"/>
      <c r="AF140" s="221"/>
      <c r="AG140" s="57"/>
      <c r="AH140" s="57"/>
      <c r="AI140" s="57"/>
      <c r="AJ140" s="57"/>
      <c r="AK140" s="57"/>
      <c r="AL140" s="57"/>
      <c r="AM140" s="57"/>
      <c r="AN140" s="57"/>
      <c r="AO140" s="57"/>
      <c r="AP140" s="57"/>
      <c r="AQ140" s="57"/>
      <c r="AR140" s="167"/>
      <c r="AS140" s="167"/>
      <c r="AT140" s="167"/>
      <c r="AU140" s="167"/>
      <c r="AV140" s="167"/>
      <c r="AW140" s="167"/>
      <c r="AX140" s="167"/>
      <c r="AY140" s="167"/>
      <c r="AZ140" s="167"/>
      <c r="BA140" s="167"/>
      <c r="BB140" s="167"/>
      <c r="BC140" s="167"/>
      <c r="BD140" s="167"/>
      <c r="BE140" s="167"/>
      <c r="BF140" s="167"/>
      <c r="BG140" s="167"/>
      <c r="BH140" s="167"/>
      <c r="BI140" s="167"/>
      <c r="BJ140" s="167"/>
      <c r="BK140" s="167"/>
      <c r="BL140" s="167"/>
      <c r="BM140" s="167"/>
      <c r="BN140" s="167"/>
      <c r="BO140" s="167"/>
      <c r="BP140" s="167"/>
      <c r="BQ140" s="167"/>
      <c r="BR140" s="167"/>
      <c r="BS140" s="167"/>
      <c r="BT140" s="167"/>
      <c r="BU140" s="167"/>
      <c r="BV140" s="167"/>
      <c r="BW140" s="167"/>
      <c r="BX140" s="167"/>
      <c r="BY140" s="167"/>
      <c r="BZ140" s="167"/>
      <c r="CA140" s="167"/>
      <c r="CB140" s="167"/>
      <c r="CC140" s="167"/>
      <c r="CD140" s="167"/>
      <c r="CE140" s="167"/>
      <c r="CF140" s="167"/>
      <c r="CG140" s="167"/>
      <c r="CH140" s="167"/>
      <c r="CI140" s="167"/>
      <c r="CJ140" s="167"/>
      <c r="CK140" s="167"/>
      <c r="CL140" s="167"/>
      <c r="CM140" s="167"/>
      <c r="CN140" s="167"/>
      <c r="CO140" s="167"/>
      <c r="CP140" s="167"/>
      <c r="CQ140" s="167"/>
    </row>
    <row r="141" spans="1:95" ht="16" customHeight="1">
      <c r="B141" s="127"/>
      <c r="C141" s="129"/>
      <c r="D141" s="129"/>
      <c r="I141" s="57"/>
      <c r="J141" s="57"/>
      <c r="K141" s="57"/>
      <c r="L141" s="57"/>
      <c r="M141" s="57"/>
      <c r="N141" s="57"/>
      <c r="O141" s="57"/>
      <c r="P141" s="881"/>
      <c r="Q141" s="57"/>
      <c r="R141" s="57"/>
      <c r="S141" s="250"/>
      <c r="T141" s="221"/>
      <c r="U141" s="221"/>
      <c r="V141" s="277"/>
      <c r="W141" s="57"/>
      <c r="X141" s="57"/>
      <c r="Y141" s="57"/>
      <c r="Z141" s="57"/>
      <c r="AA141" s="221"/>
      <c r="AB141" s="918"/>
      <c r="AC141" s="57"/>
      <c r="AD141" s="57"/>
      <c r="AE141" s="250"/>
      <c r="AF141" s="221"/>
      <c r="AG141" s="57"/>
      <c r="AH141" s="57"/>
      <c r="AI141" s="57"/>
      <c r="AJ141" s="57"/>
      <c r="AK141" s="57"/>
      <c r="AL141" s="57"/>
      <c r="AM141" s="57"/>
      <c r="AN141" s="57"/>
      <c r="AO141" s="57"/>
      <c r="AP141" s="57"/>
      <c r="AQ141" s="57"/>
      <c r="AR141" s="167"/>
      <c r="AS141" s="167"/>
      <c r="AT141" s="167"/>
      <c r="AU141" s="167"/>
      <c r="AV141" s="167"/>
      <c r="AW141" s="167"/>
      <c r="AX141" s="167"/>
      <c r="AY141" s="167"/>
      <c r="AZ141" s="167"/>
      <c r="BA141" s="167"/>
      <c r="BB141" s="167"/>
      <c r="BC141" s="167"/>
      <c r="BD141" s="167"/>
      <c r="BE141" s="167"/>
      <c r="BF141" s="167"/>
      <c r="BG141" s="167"/>
      <c r="BH141" s="167"/>
      <c r="BI141" s="167"/>
      <c r="BJ141" s="167"/>
      <c r="BK141" s="167"/>
      <c r="BL141" s="167"/>
      <c r="BM141" s="167"/>
      <c r="BN141" s="167"/>
      <c r="BO141" s="167"/>
      <c r="BP141" s="167"/>
      <c r="BQ141" s="167"/>
      <c r="BR141" s="167"/>
      <c r="BS141" s="167"/>
      <c r="BT141" s="167"/>
      <c r="BU141" s="167"/>
      <c r="BV141" s="167"/>
      <c r="BW141" s="167"/>
      <c r="BX141" s="167"/>
      <c r="BY141" s="167"/>
      <c r="BZ141" s="167"/>
      <c r="CA141" s="167"/>
      <c r="CB141" s="167"/>
      <c r="CC141" s="167"/>
      <c r="CD141" s="167"/>
      <c r="CE141" s="167"/>
      <c r="CF141" s="167"/>
      <c r="CG141" s="167"/>
      <c r="CH141" s="167"/>
      <c r="CI141" s="167"/>
      <c r="CJ141" s="167"/>
      <c r="CK141" s="167"/>
      <c r="CL141" s="167"/>
      <c r="CM141" s="167"/>
      <c r="CN141" s="167"/>
      <c r="CO141" s="167"/>
      <c r="CP141" s="167"/>
      <c r="CQ141" s="167"/>
    </row>
    <row r="142" spans="1:95" ht="16" customHeight="1">
      <c r="B142" s="127"/>
      <c r="C142" s="129"/>
      <c r="D142" s="129"/>
      <c r="I142" s="57"/>
      <c r="J142" s="57"/>
      <c r="K142" s="57"/>
      <c r="L142" s="57"/>
      <c r="M142" s="57"/>
      <c r="N142" s="57"/>
      <c r="O142" s="57"/>
      <c r="P142" s="881"/>
      <c r="Q142" s="57"/>
      <c r="R142" s="57"/>
      <c r="S142" s="250"/>
      <c r="T142" s="221"/>
      <c r="U142" s="221"/>
      <c r="V142" s="277"/>
      <c r="W142" s="57"/>
      <c r="X142" s="57"/>
      <c r="Y142" s="57"/>
      <c r="Z142" s="57"/>
      <c r="AA142" s="221"/>
      <c r="AB142" s="918"/>
      <c r="AC142" s="57"/>
      <c r="AD142" s="57"/>
      <c r="AE142" s="250"/>
      <c r="AF142" s="221"/>
      <c r="AG142" s="57"/>
      <c r="AH142" s="57"/>
      <c r="AI142" s="57"/>
      <c r="AJ142" s="57"/>
      <c r="AK142" s="57"/>
      <c r="AL142" s="57"/>
      <c r="AM142" s="57"/>
      <c r="AN142" s="57"/>
      <c r="AO142" s="57"/>
      <c r="AP142" s="57"/>
      <c r="AQ142" s="57"/>
      <c r="AR142" s="167"/>
      <c r="AS142" s="167"/>
      <c r="AT142" s="167"/>
      <c r="AU142" s="167"/>
      <c r="AV142" s="167"/>
      <c r="AW142" s="167"/>
      <c r="AX142" s="167"/>
      <c r="AY142" s="167"/>
      <c r="AZ142" s="167"/>
      <c r="BA142" s="167"/>
      <c r="BB142" s="167"/>
      <c r="BC142" s="167"/>
      <c r="BD142" s="167"/>
      <c r="BE142" s="167"/>
      <c r="BF142" s="167"/>
      <c r="BG142" s="167"/>
      <c r="BH142" s="167"/>
      <c r="BI142" s="167"/>
      <c r="BJ142" s="167"/>
      <c r="BK142" s="167"/>
      <c r="BL142" s="167"/>
      <c r="BM142" s="167"/>
      <c r="BN142" s="167"/>
      <c r="BO142" s="167"/>
      <c r="BP142" s="167"/>
      <c r="BQ142" s="167"/>
      <c r="BR142" s="167"/>
      <c r="BS142" s="167"/>
      <c r="BT142" s="167"/>
      <c r="BU142" s="167"/>
      <c r="BV142" s="167"/>
      <c r="BW142" s="167"/>
      <c r="BX142" s="167"/>
      <c r="BY142" s="167"/>
      <c r="BZ142" s="167"/>
      <c r="CA142" s="167"/>
      <c r="CB142" s="167"/>
      <c r="CC142" s="167"/>
      <c r="CD142" s="167"/>
      <c r="CE142" s="167"/>
      <c r="CF142" s="167"/>
      <c r="CG142" s="167"/>
      <c r="CH142" s="167"/>
      <c r="CI142" s="167"/>
      <c r="CJ142" s="167"/>
      <c r="CK142" s="167"/>
      <c r="CL142" s="167"/>
      <c r="CM142" s="167"/>
      <c r="CN142" s="167"/>
      <c r="CO142" s="167"/>
      <c r="CP142" s="167"/>
      <c r="CQ142" s="167"/>
    </row>
    <row r="143" spans="1:95" ht="16" customHeight="1">
      <c r="B143" s="127"/>
      <c r="C143" s="129"/>
      <c r="D143" s="129"/>
      <c r="I143" s="57"/>
      <c r="J143" s="57"/>
      <c r="K143" s="57"/>
      <c r="L143" s="57"/>
      <c r="M143" s="57"/>
      <c r="N143" s="57"/>
      <c r="O143" s="57"/>
      <c r="P143" s="881"/>
      <c r="Q143" s="57"/>
      <c r="R143" s="57"/>
      <c r="S143" s="250"/>
      <c r="T143" s="221"/>
      <c r="U143" s="221"/>
      <c r="V143" s="277"/>
      <c r="W143" s="57"/>
      <c r="X143" s="57"/>
      <c r="Y143" s="57"/>
      <c r="Z143" s="57"/>
      <c r="AA143" s="221"/>
      <c r="AB143" s="918"/>
      <c r="AC143" s="57"/>
      <c r="AD143" s="57"/>
      <c r="AE143" s="250"/>
      <c r="AF143" s="221"/>
      <c r="AG143" s="57"/>
      <c r="AH143" s="57"/>
      <c r="AI143" s="57"/>
      <c r="AJ143" s="57"/>
      <c r="AK143" s="57"/>
      <c r="AL143" s="57"/>
      <c r="AM143" s="57"/>
      <c r="AN143" s="57"/>
      <c r="AO143" s="57"/>
      <c r="AP143" s="57"/>
      <c r="AQ143" s="57"/>
      <c r="AR143" s="167"/>
      <c r="AS143" s="167"/>
      <c r="AT143" s="167"/>
      <c r="AU143" s="167"/>
      <c r="AV143" s="167"/>
      <c r="AW143" s="167"/>
      <c r="AX143" s="167"/>
      <c r="AY143" s="167"/>
      <c r="AZ143" s="167"/>
      <c r="BA143" s="167"/>
      <c r="BB143" s="167"/>
      <c r="BC143" s="167"/>
      <c r="BD143" s="167"/>
      <c r="BE143" s="167"/>
      <c r="BF143" s="167"/>
      <c r="BG143" s="167"/>
      <c r="BH143" s="167"/>
      <c r="BI143" s="167"/>
      <c r="BJ143" s="167"/>
      <c r="BK143" s="167"/>
      <c r="BL143" s="167"/>
      <c r="BM143" s="167"/>
      <c r="BN143" s="167"/>
      <c r="BO143" s="167"/>
      <c r="BP143" s="167"/>
      <c r="BQ143" s="167"/>
      <c r="BR143" s="167"/>
      <c r="BS143" s="167"/>
      <c r="BT143" s="167"/>
      <c r="BU143" s="167"/>
      <c r="BV143" s="167"/>
      <c r="BW143" s="167"/>
      <c r="BX143" s="167"/>
      <c r="BY143" s="167"/>
      <c r="BZ143" s="167"/>
      <c r="CA143" s="167"/>
      <c r="CB143" s="167"/>
      <c r="CC143" s="167"/>
      <c r="CD143" s="167"/>
      <c r="CE143" s="167"/>
      <c r="CF143" s="167"/>
      <c r="CG143" s="167"/>
      <c r="CH143" s="167"/>
      <c r="CI143" s="167"/>
      <c r="CJ143" s="167"/>
      <c r="CK143" s="167"/>
      <c r="CL143" s="167"/>
      <c r="CM143" s="167"/>
      <c r="CN143" s="167"/>
      <c r="CO143" s="167"/>
      <c r="CP143" s="167"/>
      <c r="CQ143" s="167"/>
    </row>
    <row r="144" spans="1:95" ht="16" customHeight="1">
      <c r="B144" s="125"/>
      <c r="C144" s="138"/>
      <c r="D144" s="138"/>
      <c r="I144" s="57"/>
      <c r="J144" s="57"/>
      <c r="K144" s="57"/>
      <c r="L144" s="57"/>
      <c r="M144" s="57"/>
      <c r="N144" s="57"/>
      <c r="O144" s="57"/>
      <c r="P144" s="881"/>
      <c r="Q144" s="57"/>
      <c r="R144" s="57"/>
      <c r="S144" s="250"/>
      <c r="T144" s="221"/>
      <c r="U144" s="221"/>
      <c r="V144" s="277"/>
      <c r="W144" s="57"/>
      <c r="X144" s="57"/>
      <c r="Y144" s="57"/>
      <c r="Z144" s="57"/>
      <c r="AA144" s="221"/>
      <c r="AB144" s="918"/>
      <c r="AC144" s="57"/>
      <c r="AD144" s="57"/>
      <c r="AE144" s="250"/>
      <c r="AF144" s="221"/>
      <c r="AG144" s="57"/>
      <c r="AH144" s="57"/>
      <c r="AI144" s="57"/>
      <c r="AJ144" s="57"/>
      <c r="AK144" s="57"/>
      <c r="AL144" s="57"/>
      <c r="AM144" s="57"/>
      <c r="AN144" s="57"/>
      <c r="AO144" s="57"/>
      <c r="AP144" s="57"/>
      <c r="AQ144" s="57"/>
      <c r="AR144" s="167"/>
      <c r="AS144" s="167"/>
      <c r="AT144" s="167"/>
      <c r="AU144" s="167"/>
      <c r="AV144" s="167"/>
      <c r="AW144" s="167"/>
      <c r="AX144" s="167"/>
      <c r="AY144" s="167"/>
      <c r="AZ144" s="167"/>
      <c r="BA144" s="167"/>
      <c r="BB144" s="167"/>
      <c r="BC144" s="167"/>
      <c r="BD144" s="167"/>
      <c r="BE144" s="167"/>
      <c r="BF144" s="167"/>
      <c r="BG144" s="167"/>
      <c r="BH144" s="167"/>
      <c r="BI144" s="167"/>
      <c r="BJ144" s="167"/>
      <c r="BK144" s="167"/>
      <c r="BL144" s="167"/>
      <c r="BM144" s="167"/>
      <c r="BN144" s="167"/>
      <c r="BO144" s="167"/>
      <c r="BP144" s="167"/>
      <c r="BQ144" s="167"/>
      <c r="BR144" s="167"/>
      <c r="BS144" s="167"/>
      <c r="BT144" s="167"/>
      <c r="BU144" s="167"/>
      <c r="BV144" s="167"/>
      <c r="BW144" s="167"/>
      <c r="BX144" s="167"/>
      <c r="BY144" s="167"/>
      <c r="BZ144" s="167"/>
      <c r="CA144" s="167"/>
      <c r="CB144" s="167"/>
      <c r="CC144" s="167"/>
      <c r="CD144" s="167"/>
      <c r="CE144" s="167"/>
      <c r="CF144" s="167"/>
      <c r="CG144" s="167"/>
      <c r="CH144" s="167"/>
      <c r="CI144" s="167"/>
      <c r="CJ144" s="167"/>
      <c r="CK144" s="167"/>
      <c r="CL144" s="167"/>
      <c r="CM144" s="167"/>
      <c r="CN144" s="167"/>
      <c r="CO144" s="167"/>
      <c r="CP144" s="167"/>
      <c r="CQ144" s="167"/>
    </row>
    <row r="145" spans="2:95" ht="16" customHeight="1">
      <c r="B145" s="125"/>
      <c r="C145" s="138"/>
      <c r="D145" s="138"/>
      <c r="I145" s="57"/>
      <c r="J145" s="57"/>
      <c r="K145" s="57"/>
      <c r="L145" s="57"/>
      <c r="M145" s="57"/>
      <c r="N145" s="57"/>
      <c r="O145" s="57"/>
      <c r="P145" s="881"/>
      <c r="Q145" s="57"/>
      <c r="R145" s="57"/>
      <c r="S145" s="250"/>
      <c r="T145" s="221"/>
      <c r="U145" s="221"/>
      <c r="V145" s="277"/>
      <c r="W145" s="57"/>
      <c r="X145" s="57"/>
      <c r="Y145" s="57"/>
      <c r="Z145" s="57"/>
      <c r="AA145" s="221"/>
      <c r="AB145" s="918"/>
      <c r="AC145" s="57"/>
      <c r="AD145" s="57"/>
      <c r="AE145" s="250"/>
      <c r="AF145" s="221"/>
      <c r="AG145" s="57"/>
      <c r="AH145" s="57"/>
      <c r="AI145" s="57"/>
      <c r="AJ145" s="57"/>
      <c r="AK145" s="57"/>
      <c r="AL145" s="57"/>
      <c r="AM145" s="57"/>
      <c r="AN145" s="57"/>
      <c r="AO145" s="57"/>
      <c r="AP145" s="57"/>
      <c r="AQ145" s="57"/>
      <c r="AR145" s="167"/>
      <c r="AS145" s="167"/>
      <c r="AT145" s="167"/>
      <c r="AU145" s="167"/>
      <c r="AV145" s="167"/>
      <c r="AW145" s="167"/>
      <c r="AX145" s="167"/>
      <c r="AY145" s="167"/>
      <c r="AZ145" s="167"/>
      <c r="BA145" s="167"/>
      <c r="BB145" s="167"/>
      <c r="BC145" s="167"/>
      <c r="BD145" s="167"/>
      <c r="BE145" s="167"/>
      <c r="BF145" s="167"/>
      <c r="BG145" s="167"/>
      <c r="BH145" s="167"/>
      <c r="BI145" s="167"/>
      <c r="BJ145" s="167"/>
      <c r="BK145" s="167"/>
      <c r="BL145" s="167"/>
      <c r="BM145" s="167"/>
      <c r="BN145" s="167"/>
      <c r="BO145" s="167"/>
      <c r="BP145" s="167"/>
      <c r="BQ145" s="167"/>
      <c r="BR145" s="167"/>
      <c r="BS145" s="167"/>
      <c r="BT145" s="167"/>
      <c r="BU145" s="167"/>
      <c r="BV145" s="167"/>
      <c r="BW145" s="167"/>
      <c r="BX145" s="167"/>
      <c r="BY145" s="167"/>
      <c r="BZ145" s="167"/>
      <c r="CA145" s="167"/>
      <c r="CB145" s="167"/>
      <c r="CC145" s="167"/>
      <c r="CD145" s="167"/>
      <c r="CE145" s="167"/>
      <c r="CF145" s="167"/>
      <c r="CG145" s="167"/>
      <c r="CH145" s="167"/>
      <c r="CI145" s="167"/>
      <c r="CJ145" s="167"/>
      <c r="CK145" s="167"/>
      <c r="CL145" s="167"/>
      <c r="CM145" s="167"/>
      <c r="CN145" s="167"/>
      <c r="CO145" s="167"/>
      <c r="CP145" s="167"/>
      <c r="CQ145" s="167"/>
    </row>
    <row r="146" spans="2:95" ht="16" customHeight="1">
      <c r="B146" s="125"/>
      <c r="C146" s="138"/>
      <c r="D146" s="138"/>
      <c r="I146" s="57"/>
      <c r="J146" s="57"/>
      <c r="K146" s="57"/>
      <c r="L146" s="57"/>
      <c r="M146" s="57"/>
      <c r="N146" s="57"/>
      <c r="O146" s="57"/>
      <c r="P146" s="881"/>
      <c r="Q146" s="57"/>
      <c r="R146" s="57"/>
      <c r="S146" s="250"/>
      <c r="T146" s="221"/>
      <c r="U146" s="221"/>
      <c r="V146" s="277"/>
      <c r="W146" s="57"/>
      <c r="X146" s="57"/>
      <c r="Y146" s="57"/>
      <c r="Z146" s="57"/>
      <c r="AA146" s="221"/>
      <c r="AB146" s="918"/>
      <c r="AC146" s="57"/>
      <c r="AD146" s="57"/>
      <c r="AE146" s="250"/>
      <c r="AF146" s="221"/>
      <c r="AG146" s="57"/>
      <c r="AH146" s="57"/>
      <c r="AI146" s="57"/>
      <c r="AJ146" s="57"/>
      <c r="AK146" s="57"/>
      <c r="AL146" s="57"/>
      <c r="AM146" s="57"/>
      <c r="AN146" s="57"/>
      <c r="AO146" s="57"/>
      <c r="AP146" s="57"/>
      <c r="AQ146" s="57"/>
      <c r="AR146" s="167"/>
      <c r="AS146" s="167"/>
      <c r="AT146" s="167"/>
      <c r="AU146" s="167"/>
      <c r="AV146" s="167"/>
      <c r="AW146" s="167"/>
      <c r="AX146" s="167"/>
      <c r="AY146" s="167"/>
      <c r="AZ146" s="167"/>
      <c r="BA146" s="167"/>
      <c r="BB146" s="167"/>
      <c r="BC146" s="167"/>
      <c r="BD146" s="167"/>
      <c r="BE146" s="167"/>
      <c r="BF146" s="167"/>
      <c r="BG146" s="167"/>
      <c r="BH146" s="167"/>
      <c r="BI146" s="167"/>
      <c r="BJ146" s="167"/>
      <c r="BK146" s="167"/>
      <c r="BL146" s="167"/>
      <c r="BM146" s="167"/>
      <c r="BN146" s="167"/>
      <c r="BO146" s="167"/>
      <c r="BP146" s="167"/>
      <c r="BQ146" s="167"/>
      <c r="BR146" s="167"/>
      <c r="BS146" s="167"/>
      <c r="BT146" s="167"/>
      <c r="BU146" s="167"/>
      <c r="BV146" s="167"/>
      <c r="BW146" s="167"/>
      <c r="BX146" s="167"/>
      <c r="BY146" s="167"/>
      <c r="BZ146" s="167"/>
      <c r="CA146" s="167"/>
      <c r="CB146" s="167"/>
      <c r="CC146" s="167"/>
      <c r="CD146" s="167"/>
      <c r="CE146" s="167"/>
      <c r="CF146" s="167"/>
      <c r="CG146" s="167"/>
      <c r="CH146" s="167"/>
      <c r="CI146" s="167"/>
      <c r="CJ146" s="167"/>
      <c r="CK146" s="167"/>
      <c r="CL146" s="167"/>
      <c r="CM146" s="167"/>
      <c r="CN146" s="167"/>
      <c r="CO146" s="167"/>
      <c r="CP146" s="167"/>
      <c r="CQ146" s="167"/>
    </row>
    <row r="147" spans="2:95" ht="16" customHeight="1">
      <c r="B147" s="138"/>
      <c r="C147" s="138"/>
      <c r="D147" s="138"/>
      <c r="I147" s="57"/>
      <c r="J147" s="57"/>
      <c r="K147" s="57"/>
      <c r="L147" s="57"/>
      <c r="M147" s="57"/>
      <c r="N147" s="57"/>
      <c r="O147" s="57"/>
      <c r="P147" s="881"/>
      <c r="Q147" s="57"/>
      <c r="R147" s="57"/>
      <c r="S147" s="250"/>
      <c r="T147" s="221"/>
      <c r="U147" s="221"/>
      <c r="V147" s="277"/>
      <c r="W147" s="57"/>
      <c r="X147" s="57"/>
      <c r="Y147" s="57"/>
      <c r="Z147" s="57"/>
      <c r="AA147" s="221"/>
      <c r="AB147" s="918"/>
      <c r="AC147" s="57"/>
      <c r="AD147" s="57"/>
      <c r="AE147" s="250"/>
      <c r="AF147" s="221"/>
      <c r="AG147" s="57"/>
      <c r="AH147" s="57"/>
      <c r="AI147" s="57"/>
      <c r="AJ147" s="57"/>
      <c r="AK147" s="57"/>
      <c r="AL147" s="57"/>
      <c r="AM147" s="57"/>
      <c r="AN147" s="57"/>
      <c r="AO147" s="57"/>
      <c r="AP147" s="57"/>
      <c r="AQ147" s="57"/>
      <c r="AR147" s="167"/>
      <c r="AS147" s="167"/>
      <c r="AT147" s="167"/>
      <c r="AU147" s="167"/>
      <c r="AV147" s="167"/>
      <c r="AW147" s="167"/>
      <c r="AX147" s="167"/>
      <c r="AY147" s="167"/>
      <c r="AZ147" s="167"/>
      <c r="BA147" s="167"/>
      <c r="BB147" s="167"/>
      <c r="BC147" s="167"/>
      <c r="BD147" s="167"/>
      <c r="BE147" s="167"/>
      <c r="BF147" s="167"/>
      <c r="BG147" s="167"/>
      <c r="BH147" s="167"/>
      <c r="BI147" s="167"/>
      <c r="BJ147" s="167"/>
      <c r="BK147" s="167"/>
      <c r="BL147" s="167"/>
      <c r="BM147" s="167"/>
      <c r="BN147" s="167"/>
      <c r="BO147" s="167"/>
      <c r="BP147" s="167"/>
      <c r="BQ147" s="167"/>
      <c r="BR147" s="167"/>
      <c r="BS147" s="167"/>
      <c r="BT147" s="167"/>
      <c r="BU147" s="167"/>
      <c r="BV147" s="167"/>
      <c r="BW147" s="167"/>
      <c r="BX147" s="167"/>
      <c r="BY147" s="167"/>
      <c r="BZ147" s="167"/>
      <c r="CA147" s="167"/>
      <c r="CB147" s="167"/>
      <c r="CC147" s="167"/>
      <c r="CD147" s="167"/>
      <c r="CE147" s="167"/>
      <c r="CF147" s="167"/>
      <c r="CG147" s="167"/>
      <c r="CH147" s="167"/>
      <c r="CI147" s="167"/>
      <c r="CJ147" s="167"/>
      <c r="CK147" s="167"/>
      <c r="CL147" s="167"/>
      <c r="CM147" s="167"/>
      <c r="CN147" s="167"/>
      <c r="CO147" s="167"/>
      <c r="CP147" s="167"/>
      <c r="CQ147" s="167"/>
    </row>
    <row r="148" spans="2:95" ht="16" customHeight="1">
      <c r="B148" s="127"/>
      <c r="C148" s="129"/>
      <c r="D148" s="129"/>
      <c r="I148" s="57"/>
      <c r="J148" s="57"/>
      <c r="K148" s="57"/>
      <c r="L148" s="57"/>
      <c r="M148" s="57"/>
      <c r="N148" s="57"/>
      <c r="O148" s="57"/>
      <c r="P148" s="881"/>
      <c r="Q148" s="57"/>
      <c r="R148" s="57"/>
      <c r="S148" s="250"/>
      <c r="T148" s="221"/>
      <c r="U148" s="221"/>
      <c r="V148" s="277"/>
      <c r="W148" s="57"/>
      <c r="X148" s="57"/>
      <c r="Y148" s="57"/>
      <c r="Z148" s="57"/>
      <c r="AA148" s="221"/>
      <c r="AB148" s="918"/>
      <c r="AC148" s="57"/>
      <c r="AD148" s="57"/>
      <c r="AE148" s="250"/>
      <c r="AF148" s="221"/>
      <c r="AG148" s="57"/>
      <c r="AH148" s="57"/>
      <c r="AI148" s="57"/>
      <c r="AJ148" s="57"/>
      <c r="AK148" s="57"/>
      <c r="AL148" s="57"/>
      <c r="AM148" s="57"/>
      <c r="AN148" s="57"/>
      <c r="AO148" s="57"/>
      <c r="AP148" s="57"/>
      <c r="AQ148" s="57"/>
      <c r="AR148" s="167"/>
      <c r="AS148" s="167"/>
      <c r="AT148" s="167"/>
      <c r="AU148" s="167"/>
      <c r="AV148" s="167"/>
      <c r="AW148" s="167"/>
      <c r="AX148" s="167"/>
      <c r="AY148" s="167"/>
      <c r="AZ148" s="167"/>
      <c r="BA148" s="167"/>
      <c r="BB148" s="167"/>
      <c r="BC148" s="167"/>
      <c r="BD148" s="167"/>
      <c r="BE148" s="167"/>
      <c r="BF148" s="167"/>
      <c r="BG148" s="167"/>
      <c r="BH148" s="167"/>
      <c r="BI148" s="167"/>
      <c r="BJ148" s="167"/>
      <c r="BK148" s="167"/>
      <c r="BL148" s="167"/>
      <c r="BM148" s="167"/>
      <c r="BN148" s="167"/>
      <c r="BO148" s="167"/>
      <c r="BP148" s="167"/>
      <c r="BQ148" s="167"/>
      <c r="BR148" s="167"/>
      <c r="BS148" s="167"/>
      <c r="BT148" s="167"/>
      <c r="BU148" s="167"/>
      <c r="BV148" s="167"/>
      <c r="BW148" s="167"/>
      <c r="BX148" s="167"/>
      <c r="BY148" s="167"/>
      <c r="BZ148" s="167"/>
      <c r="CA148" s="167"/>
      <c r="CB148" s="167"/>
      <c r="CC148" s="167"/>
      <c r="CD148" s="167"/>
      <c r="CE148" s="167"/>
      <c r="CF148" s="167"/>
      <c r="CG148" s="167"/>
      <c r="CH148" s="167"/>
      <c r="CI148" s="167"/>
      <c r="CJ148" s="167"/>
      <c r="CK148" s="167"/>
      <c r="CL148" s="167"/>
      <c r="CM148" s="167"/>
      <c r="CN148" s="167"/>
      <c r="CO148" s="167"/>
      <c r="CP148" s="167"/>
      <c r="CQ148" s="167"/>
    </row>
    <row r="149" spans="2:95" ht="16" customHeight="1">
      <c r="B149" s="127"/>
      <c r="C149" s="129"/>
      <c r="D149" s="129"/>
      <c r="I149" s="57"/>
      <c r="J149" s="57"/>
      <c r="K149" s="57"/>
      <c r="L149" s="57"/>
      <c r="M149" s="57"/>
      <c r="N149" s="57"/>
      <c r="O149" s="57"/>
      <c r="P149" s="881"/>
      <c r="Q149" s="57"/>
      <c r="R149" s="57"/>
      <c r="S149" s="250"/>
      <c r="T149" s="221"/>
      <c r="U149" s="221"/>
      <c r="V149" s="277"/>
      <c r="W149" s="57"/>
      <c r="X149" s="57"/>
      <c r="Y149" s="57"/>
      <c r="Z149" s="57"/>
      <c r="AA149" s="221"/>
      <c r="AB149" s="918"/>
      <c r="AC149" s="57"/>
      <c r="AD149" s="57"/>
      <c r="AE149" s="250"/>
      <c r="AF149" s="221"/>
      <c r="AG149" s="57"/>
      <c r="AH149" s="57"/>
      <c r="AI149" s="57"/>
      <c r="AJ149" s="57"/>
      <c r="AK149" s="57"/>
      <c r="AL149" s="57"/>
      <c r="AM149" s="57"/>
      <c r="AN149" s="57"/>
      <c r="AO149" s="57"/>
      <c r="AP149" s="57"/>
      <c r="AQ149" s="57"/>
      <c r="AR149" s="167"/>
      <c r="AS149" s="167"/>
      <c r="AT149" s="167"/>
      <c r="AU149" s="167"/>
      <c r="AV149" s="167"/>
      <c r="AW149" s="167"/>
      <c r="AX149" s="167"/>
      <c r="AY149" s="167"/>
      <c r="AZ149" s="167"/>
      <c r="BA149" s="167"/>
      <c r="BB149" s="167"/>
      <c r="BC149" s="167"/>
      <c r="BD149" s="167"/>
      <c r="BE149" s="167"/>
      <c r="BF149" s="167"/>
      <c r="BG149" s="167"/>
      <c r="BH149" s="167"/>
      <c r="BI149" s="167"/>
      <c r="BJ149" s="167"/>
      <c r="BK149" s="167"/>
      <c r="BL149" s="167"/>
      <c r="BM149" s="167"/>
      <c r="BN149" s="167"/>
      <c r="BO149" s="167"/>
      <c r="BP149" s="167"/>
      <c r="BQ149" s="167"/>
      <c r="BR149" s="167"/>
      <c r="BS149" s="167"/>
      <c r="BT149" s="167"/>
      <c r="BU149" s="167"/>
      <c r="BV149" s="167"/>
      <c r="BW149" s="167"/>
      <c r="BX149" s="167"/>
      <c r="BY149" s="167"/>
      <c r="BZ149" s="167"/>
      <c r="CA149" s="167"/>
      <c r="CB149" s="167"/>
      <c r="CC149" s="167"/>
      <c r="CD149" s="167"/>
      <c r="CE149" s="167"/>
      <c r="CF149" s="167"/>
      <c r="CG149" s="167"/>
      <c r="CH149" s="167"/>
      <c r="CI149" s="167"/>
      <c r="CJ149" s="167"/>
      <c r="CK149" s="167"/>
      <c r="CL149" s="167"/>
      <c r="CM149" s="167"/>
      <c r="CN149" s="167"/>
      <c r="CO149" s="167"/>
      <c r="CP149" s="167"/>
      <c r="CQ149" s="167"/>
    </row>
    <row r="150" spans="2:95" ht="16" customHeight="1">
      <c r="B150" s="129"/>
      <c r="C150" s="129"/>
      <c r="D150" s="129"/>
      <c r="I150" s="57"/>
      <c r="J150" s="57"/>
      <c r="K150" s="57"/>
      <c r="L150" s="57"/>
      <c r="M150" s="57"/>
      <c r="N150" s="57"/>
      <c r="O150" s="57"/>
      <c r="P150" s="881"/>
      <c r="Q150" s="57"/>
      <c r="R150" s="57"/>
      <c r="S150" s="250"/>
      <c r="T150" s="221"/>
      <c r="U150" s="221"/>
      <c r="V150" s="277"/>
      <c r="W150" s="57"/>
      <c r="X150" s="57"/>
      <c r="Y150" s="57"/>
      <c r="Z150" s="57"/>
      <c r="AA150" s="221"/>
      <c r="AB150" s="918"/>
      <c r="AC150" s="57"/>
      <c r="AD150" s="57"/>
      <c r="AE150" s="250"/>
      <c r="AF150" s="221"/>
      <c r="AG150" s="57"/>
      <c r="AH150" s="57"/>
      <c r="AI150" s="57"/>
      <c r="AJ150" s="57"/>
      <c r="AK150" s="57"/>
      <c r="AL150" s="57"/>
      <c r="AM150" s="57"/>
      <c r="AN150" s="57"/>
      <c r="AO150" s="57"/>
      <c r="AP150" s="57"/>
      <c r="AQ150" s="57"/>
      <c r="AR150" s="167"/>
      <c r="AS150" s="167"/>
      <c r="AT150" s="167"/>
      <c r="AU150" s="167"/>
      <c r="AV150" s="167"/>
      <c r="AW150" s="167"/>
      <c r="AX150" s="167"/>
      <c r="AY150" s="167"/>
      <c r="AZ150" s="167"/>
      <c r="BA150" s="167"/>
      <c r="BB150" s="167"/>
      <c r="BC150" s="167"/>
      <c r="BD150" s="167"/>
      <c r="BE150" s="167"/>
      <c r="BF150" s="167"/>
      <c r="BG150" s="167"/>
      <c r="BH150" s="167"/>
      <c r="BI150" s="167"/>
      <c r="BJ150" s="167"/>
      <c r="BK150" s="167"/>
      <c r="BL150" s="167"/>
      <c r="BM150" s="167"/>
      <c r="BN150" s="167"/>
      <c r="BO150" s="167"/>
      <c r="BP150" s="167"/>
      <c r="BQ150" s="167"/>
      <c r="BR150" s="167"/>
      <c r="BS150" s="167"/>
      <c r="BT150" s="167"/>
      <c r="BU150" s="167"/>
      <c r="BV150" s="167"/>
      <c r="BW150" s="167"/>
      <c r="BX150" s="167"/>
      <c r="BY150" s="167"/>
      <c r="BZ150" s="167"/>
      <c r="CA150" s="167"/>
      <c r="CB150" s="167"/>
      <c r="CC150" s="167"/>
      <c r="CD150" s="167"/>
      <c r="CE150" s="167"/>
      <c r="CF150" s="167"/>
      <c r="CG150" s="167"/>
      <c r="CH150" s="167"/>
      <c r="CI150" s="167"/>
      <c r="CJ150" s="167"/>
      <c r="CK150" s="167"/>
      <c r="CL150" s="167"/>
      <c r="CM150" s="167"/>
      <c r="CN150" s="167"/>
      <c r="CO150" s="167"/>
      <c r="CP150" s="167"/>
      <c r="CQ150" s="167"/>
    </row>
    <row r="151" spans="2:95" ht="16" customHeight="1">
      <c r="B151" s="127"/>
      <c r="C151" s="129"/>
      <c r="D151" s="129"/>
      <c r="I151" s="57"/>
      <c r="J151" s="57"/>
      <c r="K151" s="57"/>
      <c r="L151" s="57"/>
      <c r="M151" s="57"/>
      <c r="N151" s="57"/>
      <c r="O151" s="57"/>
      <c r="P151" s="881"/>
      <c r="Q151" s="57"/>
      <c r="R151" s="57"/>
      <c r="S151" s="250"/>
      <c r="T151" s="221"/>
      <c r="U151" s="221"/>
      <c r="V151" s="277"/>
      <c r="W151" s="57"/>
      <c r="X151" s="57"/>
      <c r="Y151" s="57"/>
      <c r="Z151" s="57"/>
      <c r="AA151" s="221"/>
      <c r="AB151" s="918"/>
      <c r="AC151" s="57"/>
      <c r="AD151" s="57"/>
      <c r="AE151" s="250"/>
      <c r="AF151" s="221"/>
      <c r="AG151" s="57"/>
      <c r="AH151" s="57"/>
      <c r="AI151" s="57"/>
      <c r="AJ151" s="57"/>
      <c r="AK151" s="57"/>
      <c r="AL151" s="57"/>
      <c r="AM151" s="57"/>
      <c r="AN151" s="57"/>
      <c r="AO151" s="57"/>
      <c r="AP151" s="57"/>
      <c r="AQ151" s="57"/>
      <c r="AR151" s="167"/>
      <c r="AS151" s="167"/>
      <c r="AT151" s="167"/>
      <c r="AU151" s="167"/>
      <c r="AV151" s="167"/>
      <c r="AW151" s="167"/>
      <c r="AX151" s="167"/>
      <c r="AY151" s="167"/>
      <c r="AZ151" s="167"/>
      <c r="BA151" s="167"/>
      <c r="BB151" s="167"/>
      <c r="BC151" s="167"/>
      <c r="BD151" s="167"/>
      <c r="BE151" s="167"/>
      <c r="BF151" s="167"/>
      <c r="BG151" s="167"/>
      <c r="BH151" s="167"/>
      <c r="BI151" s="167"/>
      <c r="BJ151" s="167"/>
      <c r="BK151" s="167"/>
      <c r="BL151" s="167"/>
      <c r="BM151" s="167"/>
      <c r="BN151" s="167"/>
      <c r="BO151" s="167"/>
      <c r="BP151" s="167"/>
      <c r="BQ151" s="167"/>
      <c r="BR151" s="167"/>
      <c r="BS151" s="167"/>
      <c r="BT151" s="167"/>
      <c r="BU151" s="167"/>
      <c r="BV151" s="167"/>
      <c r="BW151" s="167"/>
      <c r="BX151" s="167"/>
      <c r="BY151" s="167"/>
      <c r="BZ151" s="167"/>
      <c r="CA151" s="167"/>
      <c r="CB151" s="167"/>
      <c r="CC151" s="167"/>
      <c r="CD151" s="167"/>
      <c r="CE151" s="167"/>
      <c r="CF151" s="167"/>
      <c r="CG151" s="167"/>
      <c r="CH151" s="167"/>
      <c r="CI151" s="167"/>
      <c r="CJ151" s="167"/>
      <c r="CK151" s="167"/>
      <c r="CL151" s="167"/>
      <c r="CM151" s="167"/>
      <c r="CN151" s="167"/>
      <c r="CO151" s="167"/>
      <c r="CP151" s="167"/>
      <c r="CQ151" s="167"/>
    </row>
    <row r="152" spans="2:95" ht="16" customHeight="1">
      <c r="B152" s="127"/>
      <c r="C152" s="129"/>
      <c r="D152" s="129"/>
      <c r="I152" s="57"/>
      <c r="J152" s="57"/>
      <c r="K152" s="57"/>
      <c r="L152" s="57"/>
      <c r="M152" s="57"/>
      <c r="N152" s="57"/>
      <c r="O152" s="57"/>
      <c r="P152" s="881"/>
      <c r="Q152" s="57"/>
      <c r="R152" s="57"/>
      <c r="S152" s="250"/>
      <c r="T152" s="221"/>
      <c r="U152" s="221"/>
      <c r="V152" s="277"/>
      <c r="W152" s="57"/>
      <c r="X152" s="57"/>
      <c r="Y152" s="57"/>
      <c r="Z152" s="57"/>
      <c r="AA152" s="221"/>
      <c r="AB152" s="918"/>
      <c r="AC152" s="57"/>
      <c r="AD152" s="57"/>
      <c r="AE152" s="250"/>
      <c r="AF152" s="221"/>
      <c r="AG152" s="57"/>
      <c r="AH152" s="57"/>
      <c r="AI152" s="57"/>
      <c r="AJ152" s="57"/>
      <c r="AK152" s="57"/>
      <c r="AL152" s="57"/>
      <c r="AM152" s="57"/>
      <c r="AN152" s="57"/>
      <c r="AO152" s="57"/>
      <c r="AP152" s="57"/>
      <c r="AQ152" s="57"/>
      <c r="AR152" s="167"/>
      <c r="AS152" s="167"/>
      <c r="AT152" s="167"/>
      <c r="AU152" s="167"/>
      <c r="AV152" s="167"/>
      <c r="AW152" s="167"/>
      <c r="AX152" s="167"/>
      <c r="AY152" s="167"/>
      <c r="AZ152" s="167"/>
      <c r="BA152" s="167"/>
      <c r="BB152" s="167"/>
      <c r="BC152" s="167"/>
      <c r="BD152" s="167"/>
      <c r="BE152" s="167"/>
      <c r="BF152" s="167"/>
      <c r="BG152" s="167"/>
      <c r="BH152" s="167"/>
      <c r="BI152" s="167"/>
      <c r="BJ152" s="167"/>
      <c r="BK152" s="167"/>
      <c r="BL152" s="167"/>
      <c r="BM152" s="167"/>
      <c r="BN152" s="167"/>
      <c r="BO152" s="167"/>
      <c r="BP152" s="167"/>
      <c r="BQ152" s="167"/>
      <c r="BR152" s="167"/>
      <c r="BS152" s="167"/>
      <c r="BT152" s="167"/>
      <c r="BU152" s="167"/>
      <c r="BV152" s="167"/>
      <c r="BW152" s="167"/>
      <c r="BX152" s="167"/>
      <c r="BY152" s="167"/>
      <c r="BZ152" s="167"/>
      <c r="CA152" s="167"/>
      <c r="CB152" s="167"/>
      <c r="CC152" s="167"/>
      <c r="CD152" s="167"/>
      <c r="CE152" s="167"/>
      <c r="CF152" s="167"/>
      <c r="CG152" s="167"/>
      <c r="CH152" s="167"/>
      <c r="CI152" s="167"/>
      <c r="CJ152" s="167"/>
      <c r="CK152" s="167"/>
      <c r="CL152" s="167"/>
      <c r="CM152" s="167"/>
      <c r="CN152" s="167"/>
      <c r="CO152" s="167"/>
      <c r="CP152" s="167"/>
      <c r="CQ152" s="167"/>
    </row>
    <row r="153" spans="2:95" ht="16" customHeight="1">
      <c r="B153" s="129"/>
      <c r="C153" s="129"/>
      <c r="D153" s="129"/>
      <c r="I153" s="57"/>
      <c r="J153" s="57"/>
      <c r="K153" s="57"/>
      <c r="L153" s="57"/>
      <c r="M153" s="57"/>
      <c r="N153" s="57"/>
      <c r="O153" s="57"/>
      <c r="P153" s="881"/>
      <c r="Q153" s="57"/>
      <c r="R153" s="57"/>
      <c r="S153" s="250"/>
      <c r="T153" s="221"/>
      <c r="U153" s="221"/>
      <c r="V153" s="277"/>
      <c r="W153" s="57"/>
      <c r="X153" s="57"/>
      <c r="Y153" s="57"/>
      <c r="Z153" s="57"/>
      <c r="AA153" s="221"/>
      <c r="AB153" s="918"/>
      <c r="AC153" s="57"/>
      <c r="AD153" s="57"/>
      <c r="AE153" s="250"/>
      <c r="AF153" s="221"/>
      <c r="AG153" s="57"/>
      <c r="AH153" s="57"/>
      <c r="AI153" s="57"/>
      <c r="AJ153" s="57"/>
      <c r="AK153" s="57"/>
      <c r="AL153" s="57"/>
      <c r="AM153" s="57"/>
      <c r="AN153" s="57"/>
      <c r="AO153" s="57"/>
      <c r="AP153" s="57"/>
      <c r="AQ153" s="57"/>
      <c r="AR153" s="167"/>
      <c r="AS153" s="167"/>
      <c r="AT153" s="167"/>
      <c r="AU153" s="167"/>
      <c r="AV153" s="167"/>
      <c r="AW153" s="167"/>
      <c r="AX153" s="167"/>
      <c r="AY153" s="167"/>
      <c r="AZ153" s="167"/>
      <c r="BA153" s="167"/>
      <c r="BB153" s="167"/>
      <c r="BC153" s="167"/>
      <c r="BD153" s="167"/>
      <c r="BE153" s="167"/>
      <c r="BF153" s="167"/>
      <c r="BG153" s="167"/>
      <c r="BH153" s="167"/>
      <c r="BI153" s="167"/>
      <c r="BJ153" s="167"/>
      <c r="BK153" s="167"/>
      <c r="BL153" s="167"/>
      <c r="BM153" s="167"/>
      <c r="BN153" s="167"/>
      <c r="BO153" s="167"/>
      <c r="BP153" s="167"/>
      <c r="BQ153" s="167"/>
      <c r="BR153" s="167"/>
      <c r="BS153" s="167"/>
      <c r="BT153" s="167"/>
      <c r="BU153" s="167"/>
      <c r="BV153" s="167"/>
      <c r="BW153" s="167"/>
      <c r="BX153" s="167"/>
      <c r="BY153" s="167"/>
      <c r="BZ153" s="167"/>
      <c r="CA153" s="167"/>
      <c r="CB153" s="167"/>
      <c r="CC153" s="167"/>
      <c r="CD153" s="167"/>
      <c r="CE153" s="167"/>
      <c r="CF153" s="167"/>
      <c r="CG153" s="167"/>
      <c r="CH153" s="167"/>
      <c r="CI153" s="167"/>
      <c r="CJ153" s="167"/>
      <c r="CK153" s="167"/>
      <c r="CL153" s="167"/>
      <c r="CM153" s="167"/>
      <c r="CN153" s="167"/>
      <c r="CO153" s="167"/>
      <c r="CP153" s="167"/>
      <c r="CQ153" s="167"/>
    </row>
    <row r="154" spans="2:95" ht="16" customHeight="1">
      <c r="B154" s="127"/>
      <c r="C154" s="129"/>
      <c r="D154" s="129"/>
      <c r="I154" s="57"/>
      <c r="J154" s="57"/>
      <c r="K154" s="57"/>
      <c r="L154" s="57"/>
      <c r="M154" s="57"/>
      <c r="N154" s="57"/>
      <c r="O154" s="57"/>
      <c r="P154" s="881"/>
      <c r="Q154" s="57"/>
      <c r="R154" s="57"/>
      <c r="S154" s="250"/>
      <c r="T154" s="221"/>
      <c r="U154" s="221"/>
      <c r="V154" s="277"/>
      <c r="W154" s="57"/>
      <c r="X154" s="57"/>
      <c r="Y154" s="57"/>
      <c r="Z154" s="57"/>
      <c r="AA154" s="221"/>
      <c r="AB154" s="918"/>
      <c r="AC154" s="57"/>
      <c r="AD154" s="57"/>
      <c r="AE154" s="250"/>
      <c r="AF154" s="221"/>
      <c r="AG154" s="57"/>
      <c r="AH154" s="57"/>
      <c r="AI154" s="57"/>
      <c r="AJ154" s="57"/>
      <c r="AK154" s="57"/>
      <c r="AL154" s="57"/>
      <c r="AM154" s="57"/>
      <c r="AN154" s="57"/>
      <c r="AO154" s="57"/>
      <c r="AP154" s="57"/>
      <c r="AQ154" s="57"/>
      <c r="AR154" s="167"/>
      <c r="AS154" s="167"/>
      <c r="AT154" s="167"/>
      <c r="AU154" s="167"/>
      <c r="AV154" s="167"/>
      <c r="AW154" s="167"/>
      <c r="AX154" s="167"/>
      <c r="AY154" s="167"/>
      <c r="AZ154" s="167"/>
      <c r="BA154" s="167"/>
      <c r="BB154" s="167"/>
      <c r="BC154" s="167"/>
      <c r="BD154" s="167"/>
      <c r="BE154" s="167"/>
      <c r="BF154" s="167"/>
      <c r="BG154" s="167"/>
      <c r="BH154" s="167"/>
      <c r="BI154" s="167"/>
      <c r="BJ154" s="167"/>
      <c r="BK154" s="167"/>
      <c r="BL154" s="167"/>
      <c r="BM154" s="167"/>
      <c r="BN154" s="167"/>
      <c r="BO154" s="167"/>
      <c r="BP154" s="167"/>
      <c r="BQ154" s="167"/>
      <c r="BR154" s="167"/>
      <c r="BS154" s="167"/>
      <c r="BT154" s="167"/>
      <c r="BU154" s="167"/>
      <c r="BV154" s="167"/>
      <c r="BW154" s="167"/>
      <c r="BX154" s="167"/>
      <c r="BY154" s="167"/>
      <c r="BZ154" s="167"/>
      <c r="CA154" s="167"/>
      <c r="CB154" s="167"/>
      <c r="CC154" s="167"/>
      <c r="CD154" s="167"/>
      <c r="CE154" s="167"/>
      <c r="CF154" s="167"/>
      <c r="CG154" s="167"/>
      <c r="CH154" s="167"/>
      <c r="CI154" s="167"/>
      <c r="CJ154" s="167"/>
      <c r="CK154" s="167"/>
      <c r="CL154" s="167"/>
      <c r="CM154" s="167"/>
      <c r="CN154" s="167"/>
      <c r="CO154" s="167"/>
      <c r="CP154" s="167"/>
      <c r="CQ154" s="167"/>
    </row>
    <row r="155" spans="2:95" ht="16" customHeight="1">
      <c r="B155" s="127"/>
      <c r="C155" s="129"/>
      <c r="D155" s="129"/>
      <c r="I155" s="57"/>
      <c r="J155" s="57"/>
      <c r="K155" s="57"/>
      <c r="L155" s="57"/>
      <c r="M155" s="57"/>
      <c r="N155" s="57"/>
      <c r="O155" s="57"/>
      <c r="P155" s="881"/>
      <c r="Q155" s="57"/>
      <c r="R155" s="57"/>
      <c r="S155" s="250"/>
      <c r="T155" s="221"/>
      <c r="U155" s="221"/>
      <c r="V155" s="277"/>
      <c r="W155" s="57"/>
      <c r="X155" s="57"/>
      <c r="Y155" s="57"/>
      <c r="Z155" s="57"/>
      <c r="AA155" s="221"/>
      <c r="AB155" s="918"/>
      <c r="AC155" s="57"/>
      <c r="AD155" s="57"/>
      <c r="AE155" s="250"/>
      <c r="AF155" s="221"/>
      <c r="AG155" s="57"/>
      <c r="AH155" s="57"/>
      <c r="AI155" s="57"/>
      <c r="AJ155" s="57"/>
      <c r="AK155" s="57"/>
      <c r="AL155" s="57"/>
      <c r="AM155" s="57"/>
      <c r="AN155" s="57"/>
      <c r="AO155" s="57"/>
      <c r="AP155" s="57"/>
      <c r="AQ155" s="57"/>
      <c r="AR155" s="167"/>
      <c r="AS155" s="167"/>
      <c r="AT155" s="167"/>
      <c r="AU155" s="167"/>
      <c r="AV155" s="167"/>
      <c r="AW155" s="167"/>
      <c r="AX155" s="167"/>
      <c r="AY155" s="167"/>
      <c r="AZ155" s="167"/>
      <c r="BA155" s="167"/>
      <c r="BB155" s="167"/>
      <c r="BC155" s="167"/>
      <c r="BD155" s="167"/>
      <c r="BE155" s="167"/>
      <c r="BF155" s="167"/>
      <c r="BG155" s="167"/>
      <c r="BH155" s="167"/>
      <c r="BI155" s="167"/>
      <c r="BJ155" s="167"/>
      <c r="BK155" s="167"/>
      <c r="BL155" s="167"/>
      <c r="BM155" s="167"/>
      <c r="BN155" s="167"/>
      <c r="BO155" s="167"/>
      <c r="BP155" s="167"/>
      <c r="BQ155" s="167"/>
      <c r="BR155" s="167"/>
      <c r="BS155" s="167"/>
      <c r="BT155" s="167"/>
      <c r="BU155" s="167"/>
      <c r="BV155" s="167"/>
      <c r="BW155" s="167"/>
      <c r="BX155" s="167"/>
      <c r="BY155" s="167"/>
      <c r="BZ155" s="167"/>
      <c r="CA155" s="167"/>
      <c r="CB155" s="167"/>
      <c r="CC155" s="167"/>
      <c r="CD155" s="167"/>
      <c r="CE155" s="167"/>
      <c r="CF155" s="167"/>
      <c r="CG155" s="167"/>
      <c r="CH155" s="167"/>
      <c r="CI155" s="167"/>
      <c r="CJ155" s="167"/>
      <c r="CK155" s="167"/>
      <c r="CL155" s="167"/>
      <c r="CM155" s="167"/>
      <c r="CN155" s="167"/>
      <c r="CO155" s="167"/>
      <c r="CP155" s="167"/>
      <c r="CQ155" s="167"/>
    </row>
    <row r="156" spans="2:95" ht="16" customHeight="1">
      <c r="B156" s="127"/>
      <c r="C156" s="129"/>
      <c r="D156" s="129"/>
      <c r="I156" s="57"/>
      <c r="J156" s="57"/>
      <c r="K156" s="57"/>
      <c r="L156" s="57"/>
      <c r="M156" s="57"/>
      <c r="N156" s="57"/>
      <c r="O156" s="57"/>
      <c r="P156" s="881"/>
      <c r="Q156" s="57"/>
      <c r="R156" s="57"/>
      <c r="S156" s="250"/>
      <c r="T156" s="221"/>
      <c r="U156" s="221"/>
      <c r="V156" s="277"/>
      <c r="W156" s="57"/>
      <c r="X156" s="57"/>
      <c r="Y156" s="57"/>
      <c r="Z156" s="57"/>
      <c r="AA156" s="221"/>
      <c r="AB156" s="918"/>
      <c r="AC156" s="57"/>
      <c r="AD156" s="57"/>
      <c r="AE156" s="250"/>
      <c r="AF156" s="221"/>
      <c r="AG156" s="57"/>
      <c r="AH156" s="57"/>
      <c r="AI156" s="57"/>
      <c r="AJ156" s="57"/>
      <c r="AK156" s="57"/>
      <c r="AL156" s="57"/>
      <c r="AM156" s="57"/>
      <c r="AN156" s="57"/>
      <c r="AO156" s="57"/>
      <c r="AP156" s="57"/>
      <c r="AQ156" s="57"/>
      <c r="AR156" s="167"/>
      <c r="AS156" s="167"/>
      <c r="AT156" s="167"/>
      <c r="AU156" s="167"/>
      <c r="AV156" s="167"/>
      <c r="AW156" s="167"/>
      <c r="AX156" s="167"/>
      <c r="AY156" s="167"/>
      <c r="AZ156" s="167"/>
      <c r="BA156" s="167"/>
      <c r="BB156" s="167"/>
      <c r="BC156" s="167"/>
      <c r="BD156" s="167"/>
      <c r="BE156" s="167"/>
      <c r="BF156" s="167"/>
      <c r="BG156" s="167"/>
      <c r="BH156" s="167"/>
      <c r="BI156" s="167"/>
      <c r="BJ156" s="167"/>
      <c r="BK156" s="167"/>
      <c r="BL156" s="167"/>
      <c r="BM156" s="167"/>
      <c r="BN156" s="167"/>
      <c r="BO156" s="167"/>
      <c r="BP156" s="167"/>
      <c r="BQ156" s="167"/>
      <c r="BR156" s="167"/>
      <c r="BS156" s="167"/>
      <c r="BT156" s="167"/>
      <c r="BU156" s="167"/>
      <c r="BV156" s="167"/>
      <c r="BW156" s="167"/>
      <c r="BX156" s="167"/>
      <c r="BY156" s="167"/>
      <c r="BZ156" s="167"/>
      <c r="CA156" s="167"/>
      <c r="CB156" s="167"/>
      <c r="CC156" s="167"/>
      <c r="CD156" s="167"/>
      <c r="CE156" s="167"/>
      <c r="CF156" s="167"/>
      <c r="CG156" s="167"/>
      <c r="CH156" s="167"/>
      <c r="CI156" s="167"/>
      <c r="CJ156" s="167"/>
      <c r="CK156" s="167"/>
      <c r="CL156" s="167"/>
      <c r="CM156" s="167"/>
      <c r="CN156" s="167"/>
      <c r="CO156" s="167"/>
      <c r="CP156" s="167"/>
      <c r="CQ156" s="167"/>
    </row>
    <row r="157" spans="2:95" ht="16" customHeight="1">
      <c r="B157" s="137"/>
      <c r="C157" s="137"/>
      <c r="D157" s="137"/>
      <c r="I157" s="57"/>
      <c r="J157" s="57"/>
      <c r="K157" s="57"/>
      <c r="L157" s="57"/>
      <c r="M157" s="57"/>
      <c r="N157" s="57"/>
      <c r="O157" s="57"/>
      <c r="P157" s="881"/>
      <c r="Q157" s="57"/>
      <c r="R157" s="57"/>
      <c r="S157" s="250"/>
      <c r="T157" s="221"/>
      <c r="U157" s="221"/>
      <c r="V157" s="277"/>
      <c r="W157" s="57"/>
      <c r="X157" s="57"/>
      <c r="Y157" s="57"/>
      <c r="Z157" s="57"/>
      <c r="AA157" s="221"/>
      <c r="AB157" s="918"/>
      <c r="AC157" s="57"/>
      <c r="AD157" s="57"/>
      <c r="AE157" s="250"/>
      <c r="AF157" s="221"/>
      <c r="AG157" s="57"/>
      <c r="AH157" s="57"/>
      <c r="AI157" s="57"/>
      <c r="AJ157" s="57"/>
      <c r="AK157" s="57"/>
      <c r="AL157" s="57"/>
      <c r="AM157" s="57"/>
      <c r="AN157" s="57"/>
      <c r="AO157" s="57"/>
      <c r="AP157" s="57"/>
      <c r="AQ157" s="57"/>
      <c r="AR157" s="167"/>
      <c r="AS157" s="167"/>
      <c r="AT157" s="167"/>
      <c r="AU157" s="167"/>
      <c r="AV157" s="167"/>
      <c r="AW157" s="167"/>
      <c r="AX157" s="167"/>
      <c r="AY157" s="167"/>
      <c r="AZ157" s="167"/>
      <c r="BA157" s="167"/>
      <c r="BB157" s="167"/>
      <c r="BC157" s="167"/>
      <c r="BD157" s="167"/>
      <c r="BE157" s="167"/>
      <c r="BF157" s="167"/>
      <c r="BG157" s="167"/>
      <c r="BH157" s="167"/>
      <c r="BI157" s="167"/>
      <c r="BJ157" s="167"/>
      <c r="BK157" s="167"/>
      <c r="BL157" s="167"/>
      <c r="BM157" s="167"/>
      <c r="BN157" s="167"/>
      <c r="BO157" s="167"/>
      <c r="BP157" s="167"/>
      <c r="BQ157" s="167"/>
      <c r="BR157" s="167"/>
      <c r="BS157" s="167"/>
      <c r="BT157" s="167"/>
      <c r="BU157" s="167"/>
      <c r="BV157" s="167"/>
      <c r="BW157" s="167"/>
      <c r="BX157" s="167"/>
      <c r="BY157" s="167"/>
      <c r="BZ157" s="167"/>
      <c r="CA157" s="167"/>
      <c r="CB157" s="167"/>
      <c r="CC157" s="167"/>
      <c r="CD157" s="167"/>
      <c r="CE157" s="167"/>
      <c r="CF157" s="167"/>
      <c r="CG157" s="167"/>
      <c r="CH157" s="167"/>
      <c r="CI157" s="167"/>
      <c r="CJ157" s="167"/>
      <c r="CK157" s="167"/>
      <c r="CL157" s="167"/>
      <c r="CM157" s="167"/>
      <c r="CN157" s="167"/>
      <c r="CO157" s="167"/>
      <c r="CP157" s="167"/>
      <c r="CQ157" s="167"/>
    </row>
    <row r="158" spans="2:95" ht="16" customHeight="1">
      <c r="B158" s="137"/>
      <c r="C158" s="137"/>
      <c r="D158" s="137"/>
      <c r="I158" s="57"/>
      <c r="J158" s="57"/>
      <c r="K158" s="57"/>
      <c r="L158" s="57"/>
      <c r="M158" s="57"/>
      <c r="N158" s="57"/>
      <c r="O158" s="57"/>
      <c r="P158" s="881"/>
      <c r="Q158" s="57"/>
      <c r="R158" s="57"/>
      <c r="S158" s="250"/>
      <c r="T158" s="221"/>
      <c r="U158" s="221"/>
      <c r="V158" s="277"/>
      <c r="W158" s="57"/>
      <c r="X158" s="57"/>
      <c r="Y158" s="57"/>
      <c r="Z158" s="57"/>
      <c r="AA158" s="221"/>
      <c r="AB158" s="918"/>
      <c r="AC158" s="57"/>
      <c r="AD158" s="57"/>
      <c r="AE158" s="250"/>
      <c r="AF158" s="221"/>
      <c r="AG158" s="57"/>
      <c r="AH158" s="57"/>
      <c r="AI158" s="57"/>
      <c r="AJ158" s="57"/>
      <c r="AK158" s="57"/>
      <c r="AL158" s="57"/>
      <c r="AM158" s="57"/>
      <c r="AN158" s="57"/>
      <c r="AO158" s="57"/>
      <c r="AP158" s="57"/>
      <c r="AQ158" s="57"/>
      <c r="AR158" s="167"/>
      <c r="AS158" s="167"/>
      <c r="AT158" s="167"/>
      <c r="AU158" s="167"/>
      <c r="AV158" s="167"/>
      <c r="AW158" s="167"/>
      <c r="AX158" s="167"/>
      <c r="AY158" s="167"/>
      <c r="AZ158" s="167"/>
      <c r="BA158" s="167"/>
      <c r="BB158" s="167"/>
      <c r="BC158" s="167"/>
      <c r="BD158" s="167"/>
      <c r="BE158" s="167"/>
      <c r="BF158" s="167"/>
      <c r="BG158" s="167"/>
      <c r="BH158" s="167"/>
      <c r="BI158" s="167"/>
      <c r="BJ158" s="167"/>
      <c r="BK158" s="167"/>
      <c r="BL158" s="167"/>
      <c r="BM158" s="167"/>
      <c r="BN158" s="167"/>
      <c r="BO158" s="167"/>
      <c r="BP158" s="167"/>
      <c r="BQ158" s="167"/>
      <c r="BR158" s="167"/>
      <c r="BS158" s="167"/>
      <c r="BT158" s="167"/>
      <c r="BU158" s="167"/>
      <c r="BV158" s="167"/>
      <c r="BW158" s="167"/>
      <c r="BX158" s="167"/>
      <c r="BY158" s="167"/>
      <c r="BZ158" s="167"/>
      <c r="CA158" s="167"/>
      <c r="CB158" s="167"/>
      <c r="CC158" s="167"/>
      <c r="CD158" s="167"/>
      <c r="CE158" s="167"/>
      <c r="CF158" s="167"/>
      <c r="CG158" s="167"/>
      <c r="CH158" s="167"/>
      <c r="CI158" s="167"/>
      <c r="CJ158" s="167"/>
      <c r="CK158" s="167"/>
      <c r="CL158" s="167"/>
      <c r="CM158" s="167"/>
      <c r="CN158" s="167"/>
      <c r="CO158" s="167"/>
      <c r="CP158" s="167"/>
      <c r="CQ158" s="167"/>
    </row>
    <row r="159" spans="2:95" ht="16" customHeight="1">
      <c r="B159" s="127"/>
      <c r="C159" s="129"/>
      <c r="D159" s="129"/>
      <c r="I159" s="57"/>
      <c r="J159" s="57"/>
      <c r="K159" s="57"/>
      <c r="L159" s="57"/>
      <c r="M159" s="57"/>
      <c r="N159" s="57"/>
      <c r="O159" s="57"/>
      <c r="P159" s="881"/>
      <c r="Q159" s="57"/>
      <c r="R159" s="57"/>
      <c r="S159" s="250"/>
      <c r="T159" s="221"/>
      <c r="U159" s="221"/>
      <c r="V159" s="277"/>
      <c r="W159" s="57"/>
      <c r="X159" s="57"/>
      <c r="Y159" s="57"/>
      <c r="Z159" s="57"/>
      <c r="AA159" s="221"/>
      <c r="AB159" s="918"/>
      <c r="AC159" s="57"/>
      <c r="AD159" s="57"/>
      <c r="AE159" s="250"/>
      <c r="AF159" s="221"/>
      <c r="AG159" s="57"/>
      <c r="AH159" s="57"/>
      <c r="AI159" s="57"/>
      <c r="AJ159" s="57"/>
      <c r="AK159" s="57"/>
      <c r="AL159" s="57"/>
      <c r="AM159" s="57"/>
      <c r="AN159" s="57"/>
      <c r="AO159" s="57"/>
      <c r="AP159" s="57"/>
      <c r="AQ159" s="57"/>
      <c r="AR159" s="167"/>
      <c r="AS159" s="167"/>
      <c r="AT159" s="167"/>
      <c r="AU159" s="167"/>
      <c r="AV159" s="167"/>
      <c r="AW159" s="167"/>
      <c r="AX159" s="167"/>
      <c r="AY159" s="167"/>
      <c r="AZ159" s="167"/>
      <c r="BA159" s="167"/>
      <c r="BB159" s="167"/>
      <c r="BC159" s="167"/>
      <c r="BD159" s="167"/>
      <c r="BE159" s="167"/>
      <c r="BF159" s="167"/>
      <c r="BG159" s="167"/>
      <c r="BH159" s="167"/>
      <c r="BI159" s="167"/>
      <c r="BJ159" s="167"/>
      <c r="BK159" s="167"/>
      <c r="BL159" s="167"/>
      <c r="BM159" s="167"/>
      <c r="BN159" s="167"/>
      <c r="BO159" s="167"/>
      <c r="BP159" s="167"/>
      <c r="BQ159" s="167"/>
      <c r="BR159" s="167"/>
      <c r="BS159" s="167"/>
      <c r="BT159" s="167"/>
      <c r="BU159" s="167"/>
      <c r="BV159" s="167"/>
      <c r="BW159" s="167"/>
      <c r="BX159" s="167"/>
      <c r="BY159" s="167"/>
      <c r="BZ159" s="167"/>
      <c r="CA159" s="167"/>
      <c r="CB159" s="167"/>
      <c r="CC159" s="167"/>
      <c r="CD159" s="167"/>
      <c r="CE159" s="167"/>
      <c r="CF159" s="167"/>
      <c r="CG159" s="167"/>
      <c r="CH159" s="167"/>
      <c r="CI159" s="167"/>
      <c r="CJ159" s="167"/>
      <c r="CK159" s="167"/>
      <c r="CL159" s="167"/>
      <c r="CM159" s="167"/>
      <c r="CN159" s="167"/>
      <c r="CO159" s="167"/>
      <c r="CP159" s="167"/>
      <c r="CQ159" s="167"/>
    </row>
    <row r="160" spans="2:95" ht="16" customHeight="1">
      <c r="B160" s="127"/>
      <c r="C160" s="129"/>
      <c r="D160" s="129"/>
      <c r="I160" s="57"/>
      <c r="J160" s="57"/>
      <c r="K160" s="57"/>
      <c r="L160" s="57"/>
      <c r="M160" s="57"/>
      <c r="N160" s="57"/>
      <c r="O160" s="57"/>
      <c r="P160" s="881"/>
      <c r="Q160" s="57"/>
      <c r="R160" s="57"/>
      <c r="S160" s="250"/>
      <c r="T160" s="221"/>
      <c r="U160" s="221"/>
      <c r="V160" s="277"/>
      <c r="W160" s="57"/>
      <c r="X160" s="57"/>
      <c r="Y160" s="57"/>
      <c r="Z160" s="57"/>
      <c r="AA160" s="221"/>
      <c r="AB160" s="918"/>
      <c r="AC160" s="57"/>
      <c r="AD160" s="57"/>
      <c r="AE160" s="250"/>
      <c r="AF160" s="221"/>
      <c r="AG160" s="57"/>
      <c r="AH160" s="57"/>
      <c r="AI160" s="57"/>
      <c r="AJ160" s="57"/>
      <c r="AK160" s="57"/>
      <c r="AL160" s="57"/>
      <c r="AM160" s="57"/>
      <c r="AN160" s="57"/>
      <c r="AO160" s="57"/>
      <c r="AP160" s="57"/>
      <c r="AQ160" s="57"/>
      <c r="AR160" s="167"/>
      <c r="AS160" s="167"/>
      <c r="AT160" s="167"/>
      <c r="AU160" s="167"/>
      <c r="AV160" s="167"/>
      <c r="AW160" s="167"/>
      <c r="AX160" s="167"/>
      <c r="AY160" s="167"/>
      <c r="AZ160" s="167"/>
      <c r="BA160" s="167"/>
      <c r="BB160" s="167"/>
      <c r="BC160" s="167"/>
      <c r="BD160" s="167"/>
      <c r="BE160" s="167"/>
      <c r="BF160" s="167"/>
      <c r="BG160" s="167"/>
      <c r="BH160" s="167"/>
      <c r="BI160" s="167"/>
      <c r="BJ160" s="167"/>
      <c r="BK160" s="167"/>
      <c r="BL160" s="167"/>
      <c r="BM160" s="167"/>
      <c r="BN160" s="167"/>
      <c r="BO160" s="167"/>
      <c r="BP160" s="167"/>
      <c r="BQ160" s="167"/>
      <c r="BR160" s="167"/>
      <c r="BS160" s="167"/>
      <c r="BT160" s="167"/>
      <c r="BU160" s="167"/>
      <c r="BV160" s="167"/>
      <c r="BW160" s="167"/>
      <c r="BX160" s="167"/>
      <c r="BY160" s="167"/>
      <c r="BZ160" s="167"/>
      <c r="CA160" s="167"/>
      <c r="CB160" s="167"/>
      <c r="CC160" s="167"/>
      <c r="CD160" s="167"/>
      <c r="CE160" s="167"/>
      <c r="CF160" s="167"/>
      <c r="CG160" s="167"/>
      <c r="CH160" s="167"/>
      <c r="CI160" s="167"/>
      <c r="CJ160" s="167"/>
      <c r="CK160" s="167"/>
      <c r="CL160" s="167"/>
      <c r="CM160" s="167"/>
      <c r="CN160" s="167"/>
      <c r="CO160" s="167"/>
      <c r="CP160" s="167"/>
      <c r="CQ160" s="167"/>
    </row>
    <row r="161" spans="2:95" ht="16" customHeight="1">
      <c r="B161" s="127"/>
      <c r="C161" s="129"/>
      <c r="D161" s="129"/>
      <c r="I161" s="57"/>
      <c r="J161" s="57"/>
      <c r="K161" s="57"/>
      <c r="L161" s="57"/>
      <c r="M161" s="57"/>
      <c r="N161" s="57"/>
      <c r="O161" s="57"/>
      <c r="P161" s="881"/>
      <c r="Q161" s="57"/>
      <c r="R161" s="57"/>
      <c r="S161" s="250"/>
      <c r="T161" s="221"/>
      <c r="U161" s="221"/>
      <c r="V161" s="277"/>
      <c r="W161" s="57"/>
      <c r="X161" s="57"/>
      <c r="Y161" s="57"/>
      <c r="Z161" s="57"/>
      <c r="AA161" s="221"/>
      <c r="AB161" s="918"/>
      <c r="AC161" s="57"/>
      <c r="AD161" s="57"/>
      <c r="AE161" s="250"/>
      <c r="AF161" s="221"/>
      <c r="AG161" s="57"/>
      <c r="AH161" s="57"/>
      <c r="AI161" s="57"/>
      <c r="AJ161" s="57"/>
      <c r="AK161" s="57"/>
      <c r="AL161" s="57"/>
      <c r="AM161" s="57"/>
      <c r="AN161" s="57"/>
      <c r="AO161" s="57"/>
      <c r="AP161" s="57"/>
      <c r="AQ161" s="57"/>
      <c r="AR161" s="167"/>
      <c r="AS161" s="167"/>
      <c r="AT161" s="167"/>
      <c r="AU161" s="167"/>
      <c r="AV161" s="167"/>
      <c r="AW161" s="167"/>
      <c r="AX161" s="167"/>
      <c r="AY161" s="167"/>
      <c r="AZ161" s="167"/>
      <c r="BA161" s="167"/>
      <c r="BB161" s="167"/>
      <c r="BC161" s="167"/>
      <c r="BD161" s="167"/>
      <c r="BE161" s="167"/>
      <c r="BF161" s="167"/>
      <c r="BG161" s="167"/>
      <c r="BH161" s="167"/>
      <c r="BI161" s="167"/>
      <c r="BJ161" s="167"/>
      <c r="BK161" s="167"/>
      <c r="BL161" s="167"/>
      <c r="BM161" s="167"/>
      <c r="BN161" s="167"/>
      <c r="BO161" s="167"/>
      <c r="BP161" s="167"/>
      <c r="BQ161" s="167"/>
      <c r="BR161" s="167"/>
      <c r="BS161" s="167"/>
      <c r="BT161" s="167"/>
      <c r="BU161" s="167"/>
      <c r="BV161" s="167"/>
      <c r="BW161" s="167"/>
      <c r="BX161" s="167"/>
      <c r="BY161" s="167"/>
      <c r="BZ161" s="167"/>
      <c r="CA161" s="167"/>
      <c r="CB161" s="167"/>
      <c r="CC161" s="167"/>
      <c r="CD161" s="167"/>
      <c r="CE161" s="167"/>
      <c r="CF161" s="167"/>
      <c r="CG161" s="167"/>
      <c r="CH161" s="167"/>
      <c r="CI161" s="167"/>
      <c r="CJ161" s="167"/>
      <c r="CK161" s="167"/>
      <c r="CL161" s="167"/>
      <c r="CM161" s="167"/>
      <c r="CN161" s="167"/>
      <c r="CO161" s="167"/>
      <c r="CP161" s="167"/>
      <c r="CQ161" s="167"/>
    </row>
    <row r="162" spans="2:95" ht="16" customHeight="1">
      <c r="B162" s="127"/>
      <c r="C162" s="129"/>
      <c r="D162" s="129"/>
      <c r="I162" s="57"/>
      <c r="J162" s="57"/>
      <c r="K162" s="57"/>
      <c r="L162" s="57"/>
      <c r="M162" s="57"/>
      <c r="N162" s="57"/>
      <c r="O162" s="57"/>
      <c r="P162" s="881"/>
      <c r="Q162" s="57"/>
      <c r="R162" s="57"/>
      <c r="S162" s="250"/>
      <c r="T162" s="221"/>
      <c r="U162" s="221"/>
      <c r="V162" s="277"/>
      <c r="W162" s="57"/>
      <c r="X162" s="57"/>
      <c r="Y162" s="57"/>
      <c r="Z162" s="57"/>
      <c r="AA162" s="221"/>
      <c r="AB162" s="918"/>
      <c r="AC162" s="57"/>
      <c r="AD162" s="57"/>
      <c r="AE162" s="250"/>
      <c r="AF162" s="221"/>
      <c r="AG162" s="57"/>
      <c r="AH162" s="57"/>
      <c r="AI162" s="57"/>
      <c r="AJ162" s="57"/>
      <c r="AK162" s="57"/>
      <c r="AL162" s="57"/>
      <c r="AM162" s="57"/>
      <c r="AN162" s="57"/>
      <c r="AO162" s="57"/>
      <c r="AP162" s="57"/>
      <c r="AQ162" s="57"/>
      <c r="AR162" s="167"/>
      <c r="AS162" s="167"/>
      <c r="AT162" s="167"/>
      <c r="AU162" s="167"/>
      <c r="AV162" s="167"/>
      <c r="AW162" s="167"/>
      <c r="AX162" s="167"/>
      <c r="AY162" s="167"/>
      <c r="AZ162" s="167"/>
      <c r="BA162" s="167"/>
      <c r="BB162" s="167"/>
      <c r="BC162" s="167"/>
      <c r="BD162" s="167"/>
      <c r="BE162" s="167"/>
      <c r="BF162" s="167"/>
      <c r="BG162" s="167"/>
      <c r="BH162" s="167"/>
      <c r="BI162" s="167"/>
      <c r="BJ162" s="167"/>
      <c r="BK162" s="167"/>
      <c r="BL162" s="167"/>
      <c r="BM162" s="167"/>
      <c r="BN162" s="167"/>
      <c r="BO162" s="167"/>
      <c r="BP162" s="167"/>
      <c r="BQ162" s="167"/>
      <c r="BR162" s="167"/>
      <c r="BS162" s="167"/>
      <c r="BT162" s="167"/>
      <c r="BU162" s="167"/>
      <c r="BV162" s="167"/>
      <c r="BW162" s="167"/>
      <c r="BX162" s="167"/>
      <c r="BY162" s="167"/>
      <c r="BZ162" s="167"/>
      <c r="CA162" s="167"/>
      <c r="CB162" s="167"/>
      <c r="CC162" s="167"/>
      <c r="CD162" s="167"/>
      <c r="CE162" s="167"/>
      <c r="CF162" s="167"/>
      <c r="CG162" s="167"/>
      <c r="CH162" s="167"/>
      <c r="CI162" s="167"/>
      <c r="CJ162" s="167"/>
      <c r="CK162" s="167"/>
      <c r="CL162" s="167"/>
      <c r="CM162" s="167"/>
      <c r="CN162" s="167"/>
      <c r="CO162" s="167"/>
      <c r="CP162" s="167"/>
      <c r="CQ162" s="167"/>
    </row>
    <row r="163" spans="2:95" ht="16" customHeight="1">
      <c r="B163" s="127"/>
      <c r="C163" s="129"/>
      <c r="D163" s="129"/>
      <c r="I163" s="57"/>
      <c r="J163" s="57"/>
      <c r="K163" s="57"/>
      <c r="L163" s="57"/>
      <c r="M163" s="57"/>
      <c r="N163" s="57"/>
      <c r="O163" s="57"/>
      <c r="P163" s="881"/>
      <c r="Q163" s="57"/>
      <c r="R163" s="57"/>
      <c r="S163" s="250"/>
      <c r="T163" s="221"/>
      <c r="U163" s="221"/>
      <c r="V163" s="277"/>
      <c r="W163" s="57"/>
      <c r="X163" s="57"/>
      <c r="Y163" s="57"/>
      <c r="Z163" s="57"/>
      <c r="AA163" s="221"/>
      <c r="AB163" s="918"/>
      <c r="AC163" s="57"/>
      <c r="AD163" s="57"/>
      <c r="AE163" s="250"/>
      <c r="AF163" s="221"/>
      <c r="AG163" s="57"/>
      <c r="AH163" s="57"/>
      <c r="AI163" s="57"/>
      <c r="AJ163" s="57"/>
      <c r="AK163" s="57"/>
      <c r="AL163" s="57"/>
      <c r="AM163" s="57"/>
      <c r="AN163" s="57"/>
      <c r="AO163" s="57"/>
      <c r="AP163" s="57"/>
      <c r="AQ163" s="57"/>
      <c r="AR163" s="167"/>
      <c r="AS163" s="167"/>
      <c r="AT163" s="167"/>
      <c r="AU163" s="167"/>
      <c r="AV163" s="167"/>
      <c r="AW163" s="167"/>
      <c r="AX163" s="167"/>
      <c r="AY163" s="167"/>
      <c r="AZ163" s="167"/>
      <c r="BA163" s="167"/>
      <c r="BB163" s="167"/>
      <c r="BC163" s="167"/>
      <c r="BD163" s="167"/>
      <c r="BE163" s="167"/>
      <c r="BF163" s="167"/>
      <c r="BG163" s="167"/>
      <c r="BH163" s="167"/>
      <c r="BI163" s="167"/>
      <c r="BJ163" s="167"/>
      <c r="BK163" s="167"/>
      <c r="BL163" s="167"/>
      <c r="BM163" s="167"/>
      <c r="BN163" s="167"/>
      <c r="BO163" s="167"/>
      <c r="BP163" s="167"/>
      <c r="BQ163" s="167"/>
      <c r="BR163" s="167"/>
      <c r="BS163" s="167"/>
      <c r="BT163" s="167"/>
      <c r="BU163" s="167"/>
      <c r="BV163" s="167"/>
      <c r="BW163" s="167"/>
      <c r="BX163" s="167"/>
      <c r="BY163" s="167"/>
      <c r="BZ163" s="167"/>
      <c r="CA163" s="167"/>
      <c r="CB163" s="167"/>
      <c r="CC163" s="167"/>
      <c r="CD163" s="167"/>
      <c r="CE163" s="167"/>
      <c r="CF163" s="167"/>
      <c r="CG163" s="167"/>
      <c r="CH163" s="167"/>
      <c r="CI163" s="167"/>
      <c r="CJ163" s="167"/>
      <c r="CK163" s="167"/>
      <c r="CL163" s="167"/>
      <c r="CM163" s="167"/>
      <c r="CN163" s="167"/>
      <c r="CO163" s="167"/>
      <c r="CP163" s="167"/>
      <c r="CQ163" s="167"/>
    </row>
    <row r="164" spans="2:95" ht="16" customHeight="1">
      <c r="B164" s="127"/>
      <c r="C164" s="129"/>
      <c r="D164" s="129"/>
      <c r="I164" s="57"/>
      <c r="J164" s="57"/>
      <c r="K164" s="57"/>
      <c r="L164" s="57"/>
      <c r="M164" s="57"/>
      <c r="N164" s="57"/>
      <c r="O164" s="57"/>
      <c r="P164" s="881"/>
      <c r="Q164" s="57"/>
      <c r="R164" s="57"/>
      <c r="S164" s="250"/>
      <c r="T164" s="221"/>
      <c r="U164" s="221"/>
      <c r="V164" s="277"/>
      <c r="W164" s="57"/>
      <c r="X164" s="57"/>
      <c r="Y164" s="57"/>
      <c r="Z164" s="57"/>
      <c r="AA164" s="221"/>
      <c r="AB164" s="918"/>
      <c r="AC164" s="57"/>
      <c r="AD164" s="57"/>
      <c r="AE164" s="250"/>
      <c r="AF164" s="221"/>
      <c r="AG164" s="57"/>
      <c r="AH164" s="57"/>
      <c r="AI164" s="57"/>
      <c r="AJ164" s="57"/>
      <c r="AK164" s="57"/>
      <c r="AL164" s="57"/>
      <c r="AM164" s="57"/>
      <c r="AN164" s="57"/>
      <c r="AO164" s="57"/>
      <c r="AP164" s="57"/>
      <c r="AQ164" s="57"/>
      <c r="AR164" s="167"/>
      <c r="AS164" s="167"/>
      <c r="AT164" s="167"/>
      <c r="AU164" s="167"/>
      <c r="AV164" s="167"/>
      <c r="AW164" s="167"/>
      <c r="AX164" s="167"/>
      <c r="AY164" s="167"/>
      <c r="AZ164" s="167"/>
      <c r="BA164" s="167"/>
      <c r="BB164" s="167"/>
      <c r="BC164" s="167"/>
      <c r="BD164" s="167"/>
      <c r="BE164" s="167"/>
      <c r="BF164" s="167"/>
      <c r="BG164" s="167"/>
      <c r="BH164" s="167"/>
      <c r="BI164" s="167"/>
      <c r="BJ164" s="167"/>
      <c r="BK164" s="167"/>
      <c r="BL164" s="167"/>
      <c r="BM164" s="167"/>
      <c r="BN164" s="167"/>
      <c r="BO164" s="167"/>
      <c r="BP164" s="167"/>
      <c r="BQ164" s="167"/>
      <c r="BR164" s="167"/>
      <c r="BS164" s="167"/>
      <c r="BT164" s="167"/>
      <c r="BU164" s="167"/>
      <c r="BV164" s="167"/>
      <c r="BW164" s="167"/>
      <c r="BX164" s="167"/>
      <c r="BY164" s="167"/>
      <c r="BZ164" s="167"/>
      <c r="CA164" s="167"/>
      <c r="CB164" s="167"/>
      <c r="CC164" s="167"/>
      <c r="CD164" s="167"/>
      <c r="CE164" s="167"/>
      <c r="CF164" s="167"/>
      <c r="CG164" s="167"/>
      <c r="CH164" s="167"/>
      <c r="CI164" s="167"/>
      <c r="CJ164" s="167"/>
      <c r="CK164" s="167"/>
      <c r="CL164" s="167"/>
      <c r="CM164" s="167"/>
      <c r="CN164" s="167"/>
      <c r="CO164" s="167"/>
      <c r="CP164" s="167"/>
      <c r="CQ164" s="167"/>
    </row>
    <row r="165" spans="2:95" ht="16" customHeight="1">
      <c r="B165" s="127"/>
      <c r="C165" s="129"/>
      <c r="D165" s="129"/>
      <c r="I165" s="57"/>
      <c r="J165" s="57"/>
      <c r="K165" s="57"/>
      <c r="L165" s="57"/>
      <c r="M165" s="57"/>
      <c r="N165" s="57"/>
      <c r="O165" s="57"/>
      <c r="P165" s="881"/>
      <c r="Q165" s="57"/>
      <c r="R165" s="57"/>
      <c r="S165" s="250"/>
      <c r="T165" s="221"/>
      <c r="U165" s="221"/>
      <c r="V165" s="277"/>
      <c r="W165" s="57"/>
      <c r="X165" s="57"/>
      <c r="Y165" s="57"/>
      <c r="Z165" s="57"/>
      <c r="AA165" s="221"/>
      <c r="AB165" s="918"/>
      <c r="AC165" s="57"/>
      <c r="AD165" s="57"/>
      <c r="AE165" s="250"/>
      <c r="AF165" s="221"/>
      <c r="AG165" s="57"/>
      <c r="AH165" s="57"/>
      <c r="AI165" s="57"/>
      <c r="AJ165" s="57"/>
      <c r="AK165" s="57"/>
      <c r="AL165" s="57"/>
      <c r="AM165" s="57"/>
      <c r="AN165" s="57"/>
      <c r="AO165" s="57"/>
      <c r="AP165" s="57"/>
      <c r="AQ165" s="57"/>
      <c r="AR165" s="167"/>
      <c r="AS165" s="167"/>
      <c r="AT165" s="167"/>
      <c r="AU165" s="167"/>
      <c r="AV165" s="167"/>
      <c r="AW165" s="167"/>
      <c r="AX165" s="167"/>
      <c r="AY165" s="167"/>
      <c r="AZ165" s="167"/>
      <c r="BA165" s="167"/>
      <c r="BB165" s="167"/>
      <c r="BC165" s="167"/>
      <c r="BD165" s="167"/>
      <c r="BE165" s="167"/>
      <c r="BF165" s="167"/>
      <c r="BG165" s="167"/>
      <c r="BH165" s="167"/>
      <c r="BI165" s="167"/>
      <c r="BJ165" s="167"/>
      <c r="BK165" s="167"/>
      <c r="BL165" s="167"/>
      <c r="BM165" s="167"/>
      <c r="BN165" s="167"/>
      <c r="BO165" s="167"/>
      <c r="BP165" s="167"/>
      <c r="BQ165" s="167"/>
      <c r="BR165" s="167"/>
      <c r="BS165" s="167"/>
      <c r="BT165" s="167"/>
      <c r="BU165" s="167"/>
      <c r="BV165" s="167"/>
      <c r="BW165" s="167"/>
      <c r="BX165" s="167"/>
      <c r="BY165" s="167"/>
      <c r="BZ165" s="167"/>
      <c r="CA165" s="167"/>
      <c r="CB165" s="167"/>
      <c r="CC165" s="167"/>
      <c r="CD165" s="167"/>
      <c r="CE165" s="167"/>
      <c r="CF165" s="167"/>
      <c r="CG165" s="167"/>
      <c r="CH165" s="167"/>
      <c r="CI165" s="167"/>
      <c r="CJ165" s="167"/>
      <c r="CK165" s="167"/>
      <c r="CL165" s="167"/>
      <c r="CM165" s="167"/>
      <c r="CN165" s="167"/>
      <c r="CO165" s="167"/>
      <c r="CP165" s="167"/>
      <c r="CQ165" s="167"/>
    </row>
    <row r="166" spans="2:95" ht="16" customHeight="1">
      <c r="B166" s="127"/>
      <c r="C166" s="129"/>
      <c r="D166" s="129"/>
      <c r="I166" s="57"/>
      <c r="J166" s="57"/>
      <c r="K166" s="57"/>
      <c r="L166" s="57"/>
      <c r="M166" s="57"/>
      <c r="N166" s="57"/>
      <c r="O166" s="57"/>
      <c r="P166" s="881"/>
      <c r="Q166" s="57"/>
      <c r="R166" s="57"/>
      <c r="S166" s="250"/>
      <c r="T166" s="221"/>
      <c r="U166" s="221"/>
      <c r="V166" s="277"/>
      <c r="W166" s="57"/>
      <c r="X166" s="57"/>
      <c r="Y166" s="57"/>
      <c r="Z166" s="57"/>
      <c r="AA166" s="221"/>
      <c r="AB166" s="918"/>
      <c r="AC166" s="57"/>
      <c r="AD166" s="57"/>
      <c r="AE166" s="250"/>
      <c r="AF166" s="221"/>
      <c r="AG166" s="57"/>
      <c r="AH166" s="57"/>
      <c r="AI166" s="57"/>
      <c r="AJ166" s="57"/>
      <c r="AK166" s="57"/>
      <c r="AL166" s="57"/>
      <c r="AM166" s="57"/>
      <c r="AN166" s="57"/>
      <c r="AO166" s="57"/>
      <c r="AP166" s="57"/>
      <c r="AQ166" s="57"/>
      <c r="AR166" s="167"/>
      <c r="AS166" s="167"/>
      <c r="AT166" s="167"/>
      <c r="AU166" s="167"/>
      <c r="AV166" s="167"/>
      <c r="AW166" s="167"/>
      <c r="AX166" s="167"/>
      <c r="AY166" s="167"/>
      <c r="AZ166" s="167"/>
      <c r="BA166" s="167"/>
      <c r="BB166" s="167"/>
      <c r="BC166" s="167"/>
      <c r="BD166" s="167"/>
      <c r="BE166" s="167"/>
      <c r="BF166" s="167"/>
      <c r="BG166" s="167"/>
      <c r="BH166" s="167"/>
      <c r="BI166" s="167"/>
      <c r="BJ166" s="167"/>
      <c r="BK166" s="167"/>
      <c r="BL166" s="167"/>
      <c r="BM166" s="167"/>
      <c r="BN166" s="167"/>
      <c r="BO166" s="167"/>
      <c r="BP166" s="167"/>
      <c r="BQ166" s="167"/>
      <c r="BR166" s="167"/>
      <c r="BS166" s="167"/>
      <c r="BT166" s="167"/>
      <c r="BU166" s="167"/>
      <c r="BV166" s="167"/>
      <c r="BW166" s="167"/>
      <c r="BX166" s="167"/>
      <c r="BY166" s="167"/>
      <c r="BZ166" s="167"/>
      <c r="CA166" s="167"/>
      <c r="CB166" s="167"/>
      <c r="CC166" s="167"/>
      <c r="CD166" s="167"/>
      <c r="CE166" s="167"/>
      <c r="CF166" s="167"/>
      <c r="CG166" s="167"/>
      <c r="CH166" s="167"/>
      <c r="CI166" s="167"/>
      <c r="CJ166" s="167"/>
      <c r="CK166" s="167"/>
      <c r="CL166" s="167"/>
      <c r="CM166" s="167"/>
      <c r="CN166" s="167"/>
      <c r="CO166" s="167"/>
      <c r="CP166" s="167"/>
      <c r="CQ166" s="167"/>
    </row>
    <row r="167" spans="2:95" ht="16" customHeight="1">
      <c r="B167" s="127"/>
      <c r="C167" s="129"/>
      <c r="D167" s="129"/>
      <c r="I167" s="57"/>
      <c r="J167" s="57"/>
      <c r="K167" s="57"/>
      <c r="L167" s="57"/>
      <c r="M167" s="57"/>
      <c r="N167" s="57"/>
      <c r="O167" s="57"/>
      <c r="P167" s="881"/>
      <c r="Q167" s="57"/>
      <c r="R167" s="57"/>
      <c r="S167" s="250"/>
      <c r="T167" s="221"/>
      <c r="U167" s="221"/>
      <c r="V167" s="277"/>
      <c r="W167" s="57"/>
      <c r="X167" s="57"/>
      <c r="Y167" s="57"/>
      <c r="Z167" s="57"/>
      <c r="AA167" s="221"/>
      <c r="AB167" s="918"/>
      <c r="AC167" s="57"/>
      <c r="AD167" s="57"/>
      <c r="AE167" s="250"/>
      <c r="AF167" s="221"/>
      <c r="AG167" s="57"/>
      <c r="AH167" s="57"/>
      <c r="AI167" s="57"/>
      <c r="AJ167" s="57"/>
      <c r="AK167" s="57"/>
      <c r="AL167" s="57"/>
      <c r="AM167" s="57"/>
      <c r="AN167" s="57"/>
      <c r="AO167" s="57"/>
      <c r="AP167" s="57"/>
      <c r="AQ167" s="57"/>
      <c r="AR167" s="167"/>
      <c r="AS167" s="167"/>
      <c r="AT167" s="167"/>
      <c r="AU167" s="167"/>
      <c r="AV167" s="167"/>
      <c r="AW167" s="167"/>
      <c r="AX167" s="167"/>
      <c r="AY167" s="167"/>
      <c r="AZ167" s="167"/>
      <c r="BA167" s="167"/>
      <c r="BB167" s="167"/>
      <c r="BC167" s="167"/>
      <c r="BD167" s="167"/>
      <c r="BE167" s="167"/>
      <c r="BF167" s="167"/>
      <c r="BG167" s="167"/>
      <c r="BH167" s="167"/>
      <c r="BI167" s="167"/>
      <c r="BJ167" s="167"/>
      <c r="BK167" s="167"/>
      <c r="BL167" s="167"/>
      <c r="BM167" s="167"/>
      <c r="BN167" s="167"/>
      <c r="BO167" s="167"/>
      <c r="BP167" s="167"/>
      <c r="BQ167" s="167"/>
      <c r="BR167" s="167"/>
      <c r="BS167" s="167"/>
      <c r="BT167" s="167"/>
      <c r="BU167" s="167"/>
      <c r="BV167" s="167"/>
      <c r="BW167" s="167"/>
      <c r="BX167" s="167"/>
      <c r="BY167" s="167"/>
      <c r="BZ167" s="167"/>
      <c r="CA167" s="167"/>
      <c r="CB167" s="167"/>
      <c r="CC167" s="167"/>
      <c r="CD167" s="167"/>
      <c r="CE167" s="167"/>
      <c r="CF167" s="167"/>
      <c r="CG167" s="167"/>
      <c r="CH167" s="167"/>
      <c r="CI167" s="167"/>
      <c r="CJ167" s="167"/>
      <c r="CK167" s="167"/>
      <c r="CL167" s="167"/>
      <c r="CM167" s="167"/>
      <c r="CN167" s="167"/>
      <c r="CO167" s="167"/>
      <c r="CP167" s="167"/>
      <c r="CQ167" s="167"/>
    </row>
    <row r="168" spans="2:95" ht="16" customHeight="1">
      <c r="B168" s="137"/>
      <c r="C168" s="137"/>
      <c r="D168" s="137"/>
      <c r="I168" s="57"/>
      <c r="J168" s="57"/>
      <c r="K168" s="57"/>
      <c r="L168" s="57"/>
      <c r="M168" s="57"/>
      <c r="N168" s="57"/>
      <c r="O168" s="57"/>
      <c r="P168" s="881"/>
      <c r="Q168" s="57"/>
      <c r="R168" s="57"/>
      <c r="S168" s="250"/>
      <c r="T168" s="221"/>
      <c r="U168" s="221"/>
      <c r="V168" s="277"/>
      <c r="W168" s="57"/>
      <c r="X168" s="57"/>
      <c r="Y168" s="57"/>
      <c r="Z168" s="57"/>
      <c r="AA168" s="221"/>
      <c r="AB168" s="918"/>
      <c r="AC168" s="57"/>
      <c r="AD168" s="57"/>
      <c r="AE168" s="250"/>
      <c r="AF168" s="221"/>
      <c r="AG168" s="57"/>
      <c r="AH168" s="57"/>
      <c r="AI168" s="57"/>
      <c r="AJ168" s="57"/>
      <c r="AK168" s="57"/>
      <c r="AL168" s="57"/>
      <c r="AM168" s="57"/>
      <c r="AN168" s="57"/>
      <c r="AO168" s="57"/>
      <c r="AP168" s="57"/>
      <c r="AQ168" s="57"/>
      <c r="AR168" s="167"/>
      <c r="AS168" s="167"/>
      <c r="AT168" s="167"/>
      <c r="AU168" s="167"/>
      <c r="AV168" s="167"/>
      <c r="AW168" s="167"/>
      <c r="AX168" s="167"/>
      <c r="AY168" s="167"/>
      <c r="AZ168" s="167"/>
      <c r="BA168" s="167"/>
      <c r="BB168" s="167"/>
      <c r="BC168" s="167"/>
      <c r="BD168" s="167"/>
      <c r="BE168" s="167"/>
      <c r="BF168" s="167"/>
      <c r="BG168" s="167"/>
      <c r="BH168" s="167"/>
      <c r="BI168" s="167"/>
      <c r="BJ168" s="167"/>
      <c r="BK168" s="167"/>
      <c r="BL168" s="167"/>
      <c r="BM168" s="167"/>
      <c r="BN168" s="167"/>
      <c r="BO168" s="167"/>
      <c r="BP168" s="167"/>
      <c r="BQ168" s="167"/>
      <c r="BR168" s="167"/>
      <c r="BS168" s="167"/>
      <c r="BT168" s="167"/>
      <c r="BU168" s="167"/>
      <c r="BV168" s="167"/>
      <c r="BW168" s="167"/>
      <c r="BX168" s="167"/>
      <c r="BY168" s="167"/>
      <c r="BZ168" s="167"/>
      <c r="CA168" s="167"/>
      <c r="CB168" s="167"/>
      <c r="CC168" s="167"/>
      <c r="CD168" s="167"/>
      <c r="CE168" s="167"/>
      <c r="CF168" s="167"/>
      <c r="CG168" s="167"/>
      <c r="CH168" s="167"/>
      <c r="CI168" s="167"/>
      <c r="CJ168" s="167"/>
      <c r="CK168" s="167"/>
      <c r="CL168" s="167"/>
      <c r="CM168" s="167"/>
      <c r="CN168" s="167"/>
      <c r="CO168" s="167"/>
      <c r="CP168" s="167"/>
      <c r="CQ168" s="167"/>
    </row>
    <row r="169" spans="2:95" ht="16" customHeight="1">
      <c r="B169" s="137"/>
      <c r="C169" s="137"/>
      <c r="D169" s="137"/>
      <c r="I169" s="57"/>
      <c r="J169" s="57"/>
      <c r="K169" s="57"/>
      <c r="L169" s="57"/>
      <c r="M169" s="57"/>
      <c r="N169" s="57"/>
      <c r="O169" s="57"/>
      <c r="P169" s="881"/>
      <c r="Q169" s="57"/>
      <c r="R169" s="57"/>
      <c r="S169" s="250"/>
      <c r="T169" s="221"/>
      <c r="U169" s="221"/>
      <c r="V169" s="277"/>
      <c r="W169" s="57"/>
      <c r="X169" s="57"/>
      <c r="Y169" s="57"/>
      <c r="Z169" s="57"/>
      <c r="AA169" s="221"/>
      <c r="AB169" s="918"/>
      <c r="AC169" s="57"/>
      <c r="AD169" s="57"/>
      <c r="AE169" s="250"/>
      <c r="AF169" s="221"/>
      <c r="AG169" s="57"/>
      <c r="AH169" s="57"/>
      <c r="AI169" s="57"/>
      <c r="AJ169" s="57"/>
      <c r="AK169" s="57"/>
      <c r="AL169" s="57"/>
      <c r="AM169" s="57"/>
      <c r="AN169" s="57"/>
      <c r="AO169" s="57"/>
      <c r="AP169" s="57"/>
      <c r="AQ169" s="57"/>
      <c r="AR169" s="167"/>
      <c r="AS169" s="167"/>
      <c r="AT169" s="167"/>
      <c r="AU169" s="167"/>
      <c r="AV169" s="167"/>
      <c r="AW169" s="167"/>
      <c r="AX169" s="167"/>
      <c r="AY169" s="167"/>
      <c r="AZ169" s="167"/>
      <c r="BA169" s="167"/>
      <c r="BB169" s="167"/>
      <c r="BC169" s="167"/>
      <c r="BD169" s="167"/>
      <c r="BE169" s="167"/>
      <c r="BF169" s="167"/>
      <c r="BG169" s="167"/>
      <c r="BH169" s="167"/>
      <c r="BI169" s="167"/>
      <c r="BJ169" s="167"/>
      <c r="BK169" s="167"/>
      <c r="BL169" s="167"/>
      <c r="BM169" s="167"/>
      <c r="BN169" s="167"/>
      <c r="BO169" s="167"/>
      <c r="BP169" s="167"/>
      <c r="BQ169" s="167"/>
      <c r="BR169" s="167"/>
      <c r="BS169" s="167"/>
      <c r="BT169" s="167"/>
      <c r="BU169" s="167"/>
      <c r="BV169" s="167"/>
      <c r="BW169" s="167"/>
      <c r="BX169" s="167"/>
      <c r="BY169" s="167"/>
      <c r="BZ169" s="167"/>
      <c r="CA169" s="167"/>
      <c r="CB169" s="167"/>
      <c r="CC169" s="167"/>
      <c r="CD169" s="167"/>
      <c r="CE169" s="167"/>
      <c r="CF169" s="167"/>
      <c r="CG169" s="167"/>
      <c r="CH169" s="167"/>
      <c r="CI169" s="167"/>
      <c r="CJ169" s="167"/>
      <c r="CK169" s="167"/>
      <c r="CL169" s="167"/>
      <c r="CM169" s="167"/>
      <c r="CN169" s="167"/>
      <c r="CO169" s="167"/>
      <c r="CP169" s="167"/>
      <c r="CQ169" s="167"/>
    </row>
    <row r="170" spans="2:95" ht="16" customHeight="1">
      <c r="B170" s="127"/>
      <c r="C170" s="129"/>
      <c r="D170" s="129"/>
      <c r="I170" s="57"/>
      <c r="J170" s="57"/>
      <c r="K170" s="57"/>
      <c r="L170" s="57"/>
      <c r="M170" s="57"/>
      <c r="N170" s="57"/>
      <c r="O170" s="57"/>
      <c r="P170" s="881"/>
      <c r="Q170" s="57"/>
      <c r="R170" s="57"/>
      <c r="S170" s="250"/>
      <c r="T170" s="221"/>
      <c r="U170" s="221"/>
      <c r="V170" s="277"/>
      <c r="W170" s="57"/>
      <c r="X170" s="57"/>
      <c r="Y170" s="57"/>
      <c r="Z170" s="57"/>
      <c r="AA170" s="221"/>
      <c r="AB170" s="918"/>
      <c r="AC170" s="57"/>
      <c r="AD170" s="57"/>
      <c r="AE170" s="250"/>
      <c r="AF170" s="221"/>
      <c r="AG170" s="57"/>
      <c r="AH170" s="57"/>
      <c r="AI170" s="57"/>
      <c r="AJ170" s="57"/>
      <c r="AK170" s="57"/>
      <c r="AL170" s="57"/>
      <c r="AM170" s="57"/>
      <c r="AN170" s="57"/>
      <c r="AO170" s="57"/>
      <c r="AP170" s="57"/>
      <c r="AQ170" s="57"/>
      <c r="AR170" s="167"/>
      <c r="AS170" s="167"/>
      <c r="AT170" s="167"/>
      <c r="AU170" s="167"/>
      <c r="AV170" s="167"/>
      <c r="AW170" s="167"/>
      <c r="AX170" s="167"/>
      <c r="AY170" s="167"/>
      <c r="AZ170" s="167"/>
      <c r="BA170" s="167"/>
      <c r="BB170" s="167"/>
      <c r="BC170" s="167"/>
      <c r="BD170" s="167"/>
      <c r="BE170" s="167"/>
      <c r="BF170" s="167"/>
      <c r="BG170" s="167"/>
      <c r="BH170" s="167"/>
      <c r="BI170" s="167"/>
      <c r="BJ170" s="167"/>
      <c r="BK170" s="167"/>
      <c r="BL170" s="167"/>
      <c r="BM170" s="167"/>
      <c r="BN170" s="167"/>
      <c r="BO170" s="167"/>
      <c r="BP170" s="167"/>
      <c r="BQ170" s="167"/>
      <c r="BR170" s="167"/>
      <c r="BS170" s="167"/>
      <c r="BT170" s="167"/>
      <c r="BU170" s="167"/>
      <c r="BV170" s="167"/>
      <c r="BW170" s="167"/>
      <c r="BX170" s="167"/>
      <c r="BY170" s="167"/>
      <c r="BZ170" s="167"/>
      <c r="CA170" s="167"/>
      <c r="CB170" s="167"/>
      <c r="CC170" s="167"/>
      <c r="CD170" s="167"/>
      <c r="CE170" s="167"/>
      <c r="CF170" s="167"/>
      <c r="CG170" s="167"/>
      <c r="CH170" s="167"/>
      <c r="CI170" s="167"/>
      <c r="CJ170" s="167"/>
      <c r="CK170" s="167"/>
      <c r="CL170" s="167"/>
      <c r="CM170" s="167"/>
      <c r="CN170" s="167"/>
      <c r="CO170" s="167"/>
      <c r="CP170" s="167"/>
      <c r="CQ170" s="167"/>
    </row>
    <row r="171" spans="2:95" ht="16" customHeight="1">
      <c r="B171" s="127"/>
      <c r="C171" s="129"/>
      <c r="D171" s="129"/>
      <c r="I171" s="57"/>
      <c r="J171" s="57"/>
      <c r="K171" s="57"/>
      <c r="L171" s="57"/>
      <c r="M171" s="57"/>
      <c r="N171" s="57"/>
      <c r="O171" s="57"/>
      <c r="P171" s="881"/>
      <c r="Q171" s="57"/>
      <c r="R171" s="57"/>
      <c r="S171" s="250"/>
      <c r="T171" s="221"/>
      <c r="U171" s="221"/>
      <c r="V171" s="277"/>
      <c r="W171" s="57"/>
      <c r="X171" s="57"/>
      <c r="Y171" s="57"/>
      <c r="Z171" s="57"/>
      <c r="AA171" s="221"/>
      <c r="AB171" s="918"/>
      <c r="AC171" s="57"/>
      <c r="AD171" s="57"/>
      <c r="AE171" s="250"/>
      <c r="AF171" s="221"/>
      <c r="AG171" s="57"/>
      <c r="AH171" s="57"/>
      <c r="AI171" s="57"/>
      <c r="AJ171" s="57"/>
      <c r="AK171" s="57"/>
      <c r="AL171" s="57"/>
      <c r="AM171" s="57"/>
      <c r="AN171" s="57"/>
      <c r="AO171" s="57"/>
      <c r="AP171" s="57"/>
      <c r="AQ171" s="57"/>
      <c r="AR171" s="167"/>
      <c r="AS171" s="167"/>
      <c r="AT171" s="167"/>
      <c r="AU171" s="167"/>
      <c r="AV171" s="167"/>
      <c r="AW171" s="167"/>
      <c r="AX171" s="167"/>
      <c r="AY171" s="167"/>
      <c r="AZ171" s="167"/>
      <c r="BA171" s="167"/>
      <c r="BB171" s="167"/>
      <c r="BC171" s="167"/>
      <c r="BD171" s="167"/>
      <c r="BE171" s="167"/>
      <c r="BF171" s="167"/>
      <c r="BG171" s="167"/>
      <c r="BH171" s="167"/>
      <c r="BI171" s="167"/>
      <c r="BJ171" s="167"/>
      <c r="BK171" s="167"/>
      <c r="BL171" s="167"/>
      <c r="BM171" s="167"/>
      <c r="BN171" s="167"/>
      <c r="BO171" s="167"/>
      <c r="BP171" s="167"/>
      <c r="BQ171" s="167"/>
      <c r="BR171" s="167"/>
      <c r="BS171" s="167"/>
      <c r="BT171" s="167"/>
      <c r="BU171" s="167"/>
      <c r="BV171" s="167"/>
      <c r="BW171" s="167"/>
      <c r="BX171" s="167"/>
      <c r="BY171" s="167"/>
      <c r="BZ171" s="167"/>
      <c r="CA171" s="167"/>
      <c r="CB171" s="167"/>
      <c r="CC171" s="167"/>
      <c r="CD171" s="167"/>
      <c r="CE171" s="167"/>
      <c r="CF171" s="167"/>
      <c r="CG171" s="167"/>
      <c r="CH171" s="167"/>
      <c r="CI171" s="167"/>
      <c r="CJ171" s="167"/>
      <c r="CK171" s="167"/>
      <c r="CL171" s="167"/>
      <c r="CM171" s="167"/>
      <c r="CN171" s="167"/>
      <c r="CO171" s="167"/>
      <c r="CP171" s="167"/>
      <c r="CQ171" s="167"/>
    </row>
    <row r="172" spans="2:95" ht="16" customHeight="1">
      <c r="I172" s="57"/>
      <c r="J172" s="57"/>
      <c r="K172" s="57"/>
      <c r="L172" s="57"/>
      <c r="M172" s="57"/>
      <c r="N172" s="57"/>
      <c r="O172" s="57"/>
      <c r="P172" s="881"/>
      <c r="Q172" s="57"/>
      <c r="R172" s="57"/>
      <c r="S172" s="250"/>
      <c r="T172" s="221"/>
      <c r="U172" s="221"/>
      <c r="V172" s="277"/>
      <c r="W172" s="57"/>
      <c r="X172" s="57"/>
      <c r="Y172" s="57"/>
      <c r="Z172" s="57"/>
      <c r="AA172" s="221"/>
      <c r="AB172" s="918"/>
      <c r="AC172" s="57"/>
      <c r="AD172" s="57"/>
      <c r="AE172" s="250"/>
      <c r="AF172" s="221"/>
      <c r="AG172" s="57"/>
      <c r="AH172" s="57"/>
      <c r="AI172" s="57"/>
      <c r="AJ172" s="57"/>
      <c r="AK172" s="57"/>
      <c r="AL172" s="57"/>
      <c r="AM172" s="57"/>
      <c r="AN172" s="57"/>
      <c r="AO172" s="57"/>
      <c r="AP172" s="57"/>
      <c r="AQ172" s="57"/>
      <c r="AR172" s="167"/>
      <c r="AS172" s="167"/>
      <c r="AT172" s="167"/>
      <c r="AU172" s="167"/>
      <c r="AV172" s="167"/>
      <c r="AW172" s="167"/>
      <c r="AX172" s="167"/>
      <c r="AY172" s="167"/>
      <c r="AZ172" s="167"/>
      <c r="BA172" s="167"/>
      <c r="BB172" s="167"/>
      <c r="BC172" s="167"/>
      <c r="BD172" s="167"/>
      <c r="BE172" s="167"/>
      <c r="BF172" s="167"/>
      <c r="BG172" s="167"/>
      <c r="BH172" s="167"/>
      <c r="BI172" s="167"/>
      <c r="BJ172" s="167"/>
      <c r="BK172" s="167"/>
      <c r="BL172" s="167"/>
      <c r="BM172" s="167"/>
      <c r="BN172" s="167"/>
      <c r="BO172" s="167"/>
      <c r="BP172" s="167"/>
      <c r="BQ172" s="167"/>
      <c r="BR172" s="167"/>
      <c r="BS172" s="167"/>
      <c r="BT172" s="167"/>
      <c r="BU172" s="167"/>
      <c r="BV172" s="167"/>
      <c r="BW172" s="167"/>
      <c r="BX172" s="167"/>
      <c r="BY172" s="167"/>
      <c r="BZ172" s="167"/>
      <c r="CA172" s="167"/>
      <c r="CB172" s="167"/>
      <c r="CC172" s="167"/>
      <c r="CD172" s="167"/>
      <c r="CE172" s="167"/>
      <c r="CF172" s="167"/>
      <c r="CG172" s="167"/>
      <c r="CH172" s="167"/>
      <c r="CI172" s="167"/>
      <c r="CJ172" s="167"/>
      <c r="CK172" s="167"/>
      <c r="CL172" s="167"/>
      <c r="CM172" s="167"/>
      <c r="CN172" s="167"/>
      <c r="CO172" s="167"/>
      <c r="CP172" s="167"/>
      <c r="CQ172" s="167"/>
    </row>
    <row r="173" spans="2:95" ht="16" customHeight="1">
      <c r="I173" s="57"/>
      <c r="J173" s="57"/>
      <c r="K173" s="57"/>
      <c r="L173" s="57"/>
      <c r="M173" s="57"/>
      <c r="N173" s="57"/>
      <c r="O173" s="57"/>
      <c r="P173" s="881"/>
      <c r="Q173" s="57"/>
      <c r="R173" s="57"/>
      <c r="S173" s="250"/>
      <c r="T173" s="221"/>
      <c r="U173" s="221"/>
      <c r="V173" s="277"/>
      <c r="W173" s="57"/>
      <c r="X173" s="57"/>
      <c r="Y173" s="57"/>
      <c r="Z173" s="57"/>
      <c r="AA173" s="221"/>
      <c r="AB173" s="918"/>
      <c r="AC173" s="57"/>
      <c r="AD173" s="57"/>
      <c r="AE173" s="250"/>
      <c r="AF173" s="221"/>
      <c r="AG173" s="57"/>
      <c r="AH173" s="57"/>
      <c r="AI173" s="57"/>
      <c r="AJ173" s="57"/>
      <c r="AK173" s="57"/>
      <c r="AL173" s="57"/>
      <c r="AM173" s="57"/>
      <c r="AN173" s="57"/>
      <c r="AO173" s="57"/>
      <c r="AP173" s="57"/>
      <c r="AQ173" s="57"/>
      <c r="AR173" s="167"/>
      <c r="AS173" s="167"/>
      <c r="AT173" s="167"/>
      <c r="AU173" s="167"/>
      <c r="AV173" s="167"/>
      <c r="AW173" s="167"/>
      <c r="AX173" s="167"/>
      <c r="AY173" s="167"/>
      <c r="AZ173" s="167"/>
      <c r="BA173" s="167"/>
      <c r="BB173" s="167"/>
      <c r="BC173" s="167"/>
      <c r="BD173" s="167"/>
      <c r="BE173" s="167"/>
      <c r="BF173" s="167"/>
      <c r="BG173" s="167"/>
      <c r="BH173" s="167"/>
      <c r="BI173" s="167"/>
      <c r="BJ173" s="167"/>
      <c r="BK173" s="167"/>
      <c r="BL173" s="167"/>
      <c r="BM173" s="167"/>
      <c r="BN173" s="167"/>
      <c r="BO173" s="167"/>
      <c r="BP173" s="167"/>
      <c r="BQ173" s="167"/>
      <c r="BR173" s="167"/>
      <c r="BS173" s="167"/>
      <c r="BT173" s="167"/>
      <c r="BU173" s="167"/>
      <c r="BV173" s="167"/>
      <c r="BW173" s="167"/>
      <c r="BX173" s="167"/>
      <c r="BY173" s="167"/>
      <c r="BZ173" s="167"/>
      <c r="CA173" s="167"/>
      <c r="CB173" s="167"/>
      <c r="CC173" s="167"/>
      <c r="CD173" s="167"/>
      <c r="CE173" s="167"/>
      <c r="CF173" s="167"/>
      <c r="CG173" s="167"/>
      <c r="CH173" s="167"/>
      <c r="CI173" s="167"/>
      <c r="CJ173" s="167"/>
      <c r="CK173" s="167"/>
      <c r="CL173" s="167"/>
      <c r="CM173" s="167"/>
      <c r="CN173" s="167"/>
      <c r="CO173" s="167"/>
      <c r="CP173" s="167"/>
      <c r="CQ173" s="167"/>
    </row>
    <row r="174" spans="2:95" ht="16" customHeight="1">
      <c r="I174" s="57"/>
      <c r="J174" s="57"/>
      <c r="K174" s="57"/>
      <c r="L174" s="57"/>
      <c r="M174" s="57"/>
      <c r="N174" s="57"/>
      <c r="O174" s="57"/>
      <c r="P174" s="881"/>
      <c r="Q174" s="57"/>
      <c r="R174" s="57"/>
      <c r="S174" s="250"/>
      <c r="T174" s="221"/>
      <c r="U174" s="221"/>
      <c r="V174" s="277"/>
      <c r="W174" s="57"/>
      <c r="X174" s="57"/>
      <c r="Y174" s="57"/>
      <c r="Z174" s="57"/>
      <c r="AA174" s="221"/>
      <c r="AB174" s="918"/>
      <c r="AC174" s="57"/>
      <c r="AD174" s="57"/>
      <c r="AE174" s="250"/>
      <c r="AF174" s="221"/>
      <c r="AG174" s="57"/>
      <c r="AH174" s="57"/>
      <c r="AI174" s="57"/>
      <c r="AJ174" s="57"/>
      <c r="AK174" s="57"/>
      <c r="AL174" s="57"/>
      <c r="AM174" s="57"/>
      <c r="AN174" s="57"/>
      <c r="AO174" s="57"/>
      <c r="AP174" s="57"/>
      <c r="AQ174" s="57"/>
      <c r="AR174" s="167"/>
      <c r="AS174" s="167"/>
      <c r="AT174" s="167"/>
      <c r="AU174" s="167"/>
      <c r="AV174" s="167"/>
      <c r="AW174" s="167"/>
      <c r="AX174" s="167"/>
      <c r="AY174" s="167"/>
      <c r="AZ174" s="167"/>
      <c r="BA174" s="167"/>
      <c r="BB174" s="167"/>
      <c r="BC174" s="167"/>
      <c r="BD174" s="167"/>
      <c r="BE174" s="167"/>
      <c r="BF174" s="167"/>
      <c r="BG174" s="167"/>
      <c r="BH174" s="167"/>
      <c r="BI174" s="167"/>
      <c r="BJ174" s="167"/>
      <c r="BK174" s="167"/>
      <c r="BL174" s="167"/>
      <c r="BM174" s="167"/>
      <c r="BN174" s="167"/>
      <c r="BO174" s="167"/>
      <c r="BP174" s="167"/>
      <c r="BQ174" s="167"/>
      <c r="BR174" s="167"/>
      <c r="BS174" s="167"/>
      <c r="BT174" s="167"/>
      <c r="BU174" s="167"/>
      <c r="BV174" s="167"/>
      <c r="BW174" s="167"/>
      <c r="BX174" s="167"/>
      <c r="BY174" s="167"/>
      <c r="BZ174" s="167"/>
      <c r="CA174" s="167"/>
      <c r="CB174" s="167"/>
      <c r="CC174" s="167"/>
      <c r="CD174" s="167"/>
      <c r="CE174" s="167"/>
      <c r="CF174" s="167"/>
      <c r="CG174" s="167"/>
      <c r="CH174" s="167"/>
      <c r="CI174" s="167"/>
      <c r="CJ174" s="167"/>
      <c r="CK174" s="167"/>
      <c r="CL174" s="167"/>
      <c r="CM174" s="167"/>
      <c r="CN174" s="167"/>
      <c r="CO174" s="167"/>
      <c r="CP174" s="167"/>
      <c r="CQ174" s="167"/>
    </row>
    <row r="175" spans="2:95" ht="16" customHeight="1">
      <c r="I175" s="57"/>
      <c r="J175" s="57"/>
      <c r="K175" s="57"/>
      <c r="L175" s="57"/>
      <c r="M175" s="57"/>
      <c r="N175" s="57"/>
      <c r="O175" s="57"/>
      <c r="P175" s="881"/>
      <c r="Q175" s="57"/>
      <c r="R175" s="57"/>
      <c r="S175" s="250"/>
      <c r="T175" s="221"/>
      <c r="U175" s="221"/>
      <c r="V175" s="277"/>
      <c r="W175" s="57"/>
      <c r="X175" s="57"/>
      <c r="Y175" s="57"/>
      <c r="Z175" s="57"/>
      <c r="AA175" s="221"/>
      <c r="AB175" s="918"/>
      <c r="AC175" s="57"/>
      <c r="AD175" s="57"/>
      <c r="AE175" s="250"/>
      <c r="AF175" s="221"/>
      <c r="AG175" s="57"/>
      <c r="AH175" s="57"/>
      <c r="AI175" s="57"/>
      <c r="AJ175" s="57"/>
      <c r="AK175" s="57"/>
      <c r="AL175" s="57"/>
      <c r="AM175" s="57"/>
      <c r="AN175" s="57"/>
      <c r="AO175" s="57"/>
      <c r="AP175" s="57"/>
      <c r="AQ175" s="57"/>
      <c r="AR175" s="167"/>
      <c r="AS175" s="167"/>
      <c r="AT175" s="167"/>
      <c r="AU175" s="167"/>
      <c r="AV175" s="167"/>
      <c r="AW175" s="167"/>
      <c r="AX175" s="167"/>
      <c r="AY175" s="167"/>
      <c r="AZ175" s="167"/>
      <c r="BA175" s="167"/>
      <c r="BB175" s="167"/>
      <c r="BC175" s="167"/>
      <c r="BD175" s="167"/>
      <c r="BE175" s="167"/>
      <c r="BF175" s="167"/>
      <c r="BG175" s="167"/>
      <c r="BH175" s="167"/>
      <c r="BI175" s="167"/>
      <c r="BJ175" s="167"/>
      <c r="BK175" s="167"/>
      <c r="BL175" s="167"/>
      <c r="BM175" s="167"/>
      <c r="BN175" s="167"/>
      <c r="BO175" s="167"/>
      <c r="BP175" s="167"/>
      <c r="BQ175" s="167"/>
      <c r="BR175" s="167"/>
      <c r="BS175" s="167"/>
      <c r="BT175" s="167"/>
      <c r="BU175" s="167"/>
      <c r="BV175" s="167"/>
      <c r="BW175" s="167"/>
      <c r="BX175" s="167"/>
      <c r="BY175" s="167"/>
      <c r="BZ175" s="167"/>
      <c r="CA175" s="167"/>
      <c r="CB175" s="167"/>
      <c r="CC175" s="167"/>
      <c r="CD175" s="167"/>
      <c r="CE175" s="167"/>
      <c r="CF175" s="167"/>
      <c r="CG175" s="167"/>
      <c r="CH175" s="167"/>
      <c r="CI175" s="167"/>
      <c r="CJ175" s="167"/>
      <c r="CK175" s="167"/>
      <c r="CL175" s="167"/>
      <c r="CM175" s="167"/>
      <c r="CN175" s="167"/>
      <c r="CO175" s="167"/>
      <c r="CP175" s="167"/>
      <c r="CQ175" s="167"/>
    </row>
    <row r="176" spans="2:95" ht="16" customHeight="1">
      <c r="I176" s="57"/>
      <c r="J176" s="57"/>
      <c r="K176" s="57"/>
      <c r="L176" s="57"/>
      <c r="M176" s="57"/>
      <c r="N176" s="57"/>
      <c r="O176" s="57"/>
      <c r="P176" s="881"/>
      <c r="Q176" s="57"/>
      <c r="R176" s="57"/>
      <c r="S176" s="250"/>
      <c r="T176" s="221"/>
      <c r="U176" s="221"/>
      <c r="V176" s="277"/>
      <c r="W176" s="57"/>
      <c r="X176" s="57"/>
      <c r="Y176" s="57"/>
      <c r="Z176" s="57"/>
      <c r="AA176" s="221"/>
      <c r="AB176" s="918"/>
      <c r="AC176" s="57"/>
      <c r="AD176" s="57"/>
      <c r="AE176" s="250"/>
      <c r="AF176" s="221"/>
      <c r="AG176" s="57"/>
      <c r="AH176" s="57"/>
      <c r="AI176" s="57"/>
      <c r="AJ176" s="57"/>
      <c r="AK176" s="57"/>
      <c r="AL176" s="57"/>
      <c r="AM176" s="57"/>
      <c r="AN176" s="57"/>
      <c r="AO176" s="57"/>
      <c r="AP176" s="57"/>
      <c r="AQ176" s="57"/>
      <c r="AR176" s="167"/>
      <c r="AS176" s="167"/>
      <c r="AT176" s="167"/>
      <c r="AU176" s="167"/>
      <c r="AV176" s="167"/>
      <c r="AW176" s="167"/>
      <c r="AX176" s="167"/>
      <c r="AY176" s="167"/>
      <c r="AZ176" s="167"/>
      <c r="BA176" s="167"/>
      <c r="BB176" s="167"/>
      <c r="BC176" s="167"/>
      <c r="BD176" s="167"/>
      <c r="BE176" s="167"/>
      <c r="BF176" s="167"/>
      <c r="BG176" s="167"/>
      <c r="BH176" s="167"/>
      <c r="BI176" s="167"/>
      <c r="BJ176" s="167"/>
      <c r="BK176" s="167"/>
      <c r="BL176" s="167"/>
      <c r="BM176" s="167"/>
      <c r="BN176" s="167"/>
      <c r="BO176" s="167"/>
      <c r="BP176" s="167"/>
      <c r="BQ176" s="167"/>
      <c r="BR176" s="167"/>
      <c r="BS176" s="167"/>
      <c r="BT176" s="167"/>
      <c r="BU176" s="167"/>
      <c r="BV176" s="167"/>
      <c r="BW176" s="167"/>
      <c r="BX176" s="167"/>
      <c r="BY176" s="167"/>
      <c r="BZ176" s="167"/>
      <c r="CA176" s="167"/>
      <c r="CB176" s="167"/>
      <c r="CC176" s="167"/>
      <c r="CD176" s="167"/>
      <c r="CE176" s="167"/>
      <c r="CF176" s="167"/>
      <c r="CG176" s="167"/>
      <c r="CH176" s="167"/>
      <c r="CI176" s="167"/>
      <c r="CJ176" s="167"/>
      <c r="CK176" s="167"/>
      <c r="CL176" s="167"/>
      <c r="CM176" s="167"/>
      <c r="CN176" s="167"/>
      <c r="CO176" s="167"/>
      <c r="CP176" s="167"/>
      <c r="CQ176" s="167"/>
    </row>
    <row r="177" spans="9:95" ht="16" customHeight="1">
      <c r="I177" s="57"/>
      <c r="J177" s="57"/>
      <c r="K177" s="57"/>
      <c r="L177" s="57"/>
      <c r="M177" s="57"/>
      <c r="N177" s="57"/>
      <c r="O177" s="57"/>
      <c r="P177" s="881"/>
      <c r="Q177" s="57"/>
      <c r="R177" s="57"/>
      <c r="S177" s="250"/>
      <c r="T177" s="221"/>
      <c r="U177" s="221"/>
      <c r="V177" s="277"/>
      <c r="W177" s="57"/>
      <c r="X177" s="57"/>
      <c r="Y177" s="57"/>
      <c r="Z177" s="57"/>
      <c r="AA177" s="221"/>
      <c r="AB177" s="918"/>
      <c r="AC177" s="57"/>
      <c r="AD177" s="57"/>
      <c r="AE177" s="250"/>
      <c r="AF177" s="221"/>
      <c r="AG177" s="57"/>
      <c r="AH177" s="57"/>
      <c r="AI177" s="57"/>
      <c r="AJ177" s="57"/>
      <c r="AK177" s="57"/>
      <c r="AL177" s="57"/>
      <c r="AM177" s="57"/>
      <c r="AN177" s="57"/>
      <c r="AO177" s="57"/>
      <c r="AP177" s="57"/>
      <c r="AQ177" s="57"/>
      <c r="AR177" s="167"/>
      <c r="AS177" s="167"/>
      <c r="AT177" s="167"/>
      <c r="AU177" s="167"/>
      <c r="AV177" s="167"/>
      <c r="AW177" s="167"/>
      <c r="AX177" s="167"/>
      <c r="AY177" s="167"/>
      <c r="AZ177" s="167"/>
      <c r="BA177" s="167"/>
      <c r="BB177" s="167"/>
      <c r="BC177" s="167"/>
      <c r="BD177" s="167"/>
      <c r="BE177" s="167"/>
      <c r="BF177" s="167"/>
      <c r="BG177" s="167"/>
      <c r="BH177" s="167"/>
      <c r="BI177" s="167"/>
      <c r="BJ177" s="167"/>
      <c r="BK177" s="167"/>
      <c r="BL177" s="167"/>
      <c r="BM177" s="167"/>
      <c r="BN177" s="167"/>
      <c r="BO177" s="167"/>
      <c r="BP177" s="167"/>
      <c r="BQ177" s="167"/>
      <c r="BR177" s="167"/>
      <c r="BS177" s="167"/>
      <c r="BT177" s="167"/>
      <c r="BU177" s="167"/>
      <c r="BV177" s="167"/>
      <c r="BW177" s="167"/>
      <c r="BX177" s="167"/>
      <c r="BY177" s="167"/>
      <c r="BZ177" s="167"/>
      <c r="CA177" s="167"/>
      <c r="CB177" s="167"/>
      <c r="CC177" s="167"/>
      <c r="CD177" s="167"/>
      <c r="CE177" s="167"/>
      <c r="CF177" s="167"/>
      <c r="CG177" s="167"/>
      <c r="CH177" s="167"/>
      <c r="CI177" s="167"/>
      <c r="CJ177" s="167"/>
      <c r="CK177" s="167"/>
      <c r="CL177" s="167"/>
      <c r="CM177" s="167"/>
      <c r="CN177" s="167"/>
      <c r="CO177" s="167"/>
      <c r="CP177" s="167"/>
      <c r="CQ177" s="167"/>
    </row>
    <row r="178" spans="9:95" ht="16" customHeight="1">
      <c r="I178" s="57"/>
      <c r="J178" s="57"/>
      <c r="K178" s="57"/>
      <c r="L178" s="57"/>
      <c r="M178" s="57"/>
      <c r="N178" s="57"/>
      <c r="O178" s="57"/>
      <c r="P178" s="881"/>
      <c r="Q178" s="57"/>
      <c r="R178" s="57"/>
      <c r="S178" s="250"/>
      <c r="T178" s="221"/>
      <c r="U178" s="221"/>
      <c r="V178" s="277"/>
      <c r="W178" s="57"/>
      <c r="X178" s="57"/>
      <c r="Y178" s="57"/>
      <c r="Z178" s="57"/>
      <c r="AA178" s="221"/>
      <c r="AB178" s="918"/>
      <c r="AC178" s="57"/>
      <c r="AD178" s="57"/>
      <c r="AE178" s="250"/>
      <c r="AF178" s="221"/>
      <c r="AG178" s="57"/>
      <c r="AH178" s="57"/>
      <c r="AI178" s="57"/>
      <c r="AJ178" s="57"/>
      <c r="AK178" s="57"/>
      <c r="AL178" s="57"/>
      <c r="AM178" s="57"/>
      <c r="AN178" s="57"/>
      <c r="AO178" s="57"/>
      <c r="AP178" s="57"/>
      <c r="AQ178" s="57"/>
      <c r="AR178" s="167"/>
      <c r="AS178" s="167"/>
      <c r="AT178" s="167"/>
      <c r="AU178" s="167"/>
      <c r="AV178" s="167"/>
      <c r="AW178" s="167"/>
      <c r="AX178" s="167"/>
      <c r="AY178" s="167"/>
      <c r="AZ178" s="167"/>
      <c r="BA178" s="167"/>
      <c r="BB178" s="167"/>
      <c r="BC178" s="167"/>
      <c r="BD178" s="167"/>
      <c r="BE178" s="167"/>
      <c r="BF178" s="167"/>
      <c r="BG178" s="167"/>
      <c r="BH178" s="167"/>
      <c r="BI178" s="167"/>
      <c r="BJ178" s="167"/>
      <c r="BK178" s="167"/>
      <c r="BL178" s="167"/>
      <c r="BM178" s="167"/>
      <c r="BN178" s="167"/>
      <c r="BO178" s="167"/>
      <c r="BP178" s="167"/>
      <c r="BQ178" s="167"/>
      <c r="BR178" s="167"/>
      <c r="BS178" s="167"/>
      <c r="BT178" s="167"/>
      <c r="BU178" s="167"/>
      <c r="BV178" s="167"/>
      <c r="BW178" s="167"/>
      <c r="BX178" s="167"/>
      <c r="BY178" s="167"/>
      <c r="BZ178" s="167"/>
      <c r="CA178" s="167"/>
      <c r="CB178" s="167"/>
      <c r="CC178" s="167"/>
      <c r="CD178" s="167"/>
      <c r="CE178" s="167"/>
      <c r="CF178" s="167"/>
      <c r="CG178" s="167"/>
      <c r="CH178" s="167"/>
      <c r="CI178" s="167"/>
      <c r="CJ178" s="167"/>
      <c r="CK178" s="167"/>
      <c r="CL178" s="167"/>
      <c r="CM178" s="167"/>
      <c r="CN178" s="167"/>
      <c r="CO178" s="167"/>
      <c r="CP178" s="167"/>
      <c r="CQ178" s="167"/>
    </row>
    <row r="179" spans="9:95" ht="16" customHeight="1">
      <c r="I179" s="57"/>
      <c r="J179" s="57"/>
      <c r="K179" s="57"/>
      <c r="L179" s="57"/>
      <c r="M179" s="57"/>
      <c r="N179" s="57"/>
      <c r="O179" s="57"/>
      <c r="P179" s="881"/>
      <c r="Q179" s="57"/>
      <c r="R179" s="57"/>
      <c r="S179" s="250"/>
      <c r="T179" s="221"/>
      <c r="U179" s="221"/>
      <c r="V179" s="277"/>
      <c r="W179" s="57"/>
      <c r="X179" s="57"/>
      <c r="Y179" s="57"/>
      <c r="Z179" s="57"/>
      <c r="AA179" s="221"/>
      <c r="AB179" s="918"/>
      <c r="AC179" s="57"/>
      <c r="AD179" s="57"/>
      <c r="AE179" s="250"/>
      <c r="AF179" s="221"/>
      <c r="AG179" s="57"/>
      <c r="AH179" s="57"/>
      <c r="AI179" s="57"/>
      <c r="AJ179" s="57"/>
      <c r="AK179" s="57"/>
      <c r="AL179" s="57"/>
      <c r="AM179" s="57"/>
      <c r="AN179" s="57"/>
      <c r="AO179" s="57"/>
      <c r="AP179" s="57"/>
      <c r="AQ179" s="57"/>
      <c r="AR179" s="167"/>
      <c r="AS179" s="167"/>
      <c r="AT179" s="167"/>
      <c r="AU179" s="167"/>
      <c r="AV179" s="167"/>
      <c r="AW179" s="167"/>
      <c r="AX179" s="167"/>
      <c r="AY179" s="167"/>
      <c r="AZ179" s="167"/>
      <c r="BA179" s="167"/>
      <c r="BB179" s="167"/>
      <c r="BC179" s="167"/>
      <c r="BD179" s="167"/>
      <c r="BE179" s="167"/>
      <c r="BF179" s="167"/>
      <c r="BG179" s="167"/>
      <c r="BH179" s="167"/>
      <c r="BI179" s="167"/>
      <c r="BJ179" s="167"/>
      <c r="BK179" s="167"/>
      <c r="BL179" s="167"/>
      <c r="BM179" s="167"/>
      <c r="BN179" s="167"/>
      <c r="BO179" s="167"/>
      <c r="BP179" s="167"/>
      <c r="BQ179" s="167"/>
      <c r="BR179" s="167"/>
      <c r="BS179" s="167"/>
      <c r="BT179" s="167"/>
      <c r="BU179" s="167"/>
      <c r="BV179" s="167"/>
      <c r="BW179" s="167"/>
      <c r="BX179" s="167"/>
      <c r="BY179" s="167"/>
      <c r="BZ179" s="167"/>
      <c r="CA179" s="167"/>
      <c r="CB179" s="167"/>
      <c r="CC179" s="167"/>
      <c r="CD179" s="167"/>
      <c r="CE179" s="167"/>
      <c r="CF179" s="167"/>
      <c r="CG179" s="167"/>
      <c r="CH179" s="167"/>
      <c r="CI179" s="167"/>
      <c r="CJ179" s="167"/>
      <c r="CK179" s="167"/>
      <c r="CL179" s="167"/>
      <c r="CM179" s="167"/>
      <c r="CN179" s="167"/>
      <c r="CO179" s="167"/>
      <c r="CP179" s="167"/>
      <c r="CQ179" s="167"/>
    </row>
    <row r="180" spans="9:95" ht="16" customHeight="1">
      <c r="I180" s="57"/>
      <c r="J180" s="57"/>
      <c r="K180" s="57"/>
      <c r="L180" s="57"/>
      <c r="M180" s="57"/>
      <c r="N180" s="57"/>
      <c r="O180" s="57"/>
      <c r="P180" s="881"/>
      <c r="Q180" s="57"/>
      <c r="R180" s="57"/>
      <c r="S180" s="250"/>
      <c r="T180" s="221"/>
      <c r="U180" s="221"/>
      <c r="V180" s="277"/>
      <c r="W180" s="57"/>
      <c r="X180" s="57"/>
      <c r="Y180" s="57"/>
      <c r="Z180" s="57"/>
      <c r="AA180" s="221"/>
      <c r="AB180" s="918"/>
      <c r="AC180" s="57"/>
      <c r="AD180" s="57"/>
      <c r="AE180" s="250"/>
      <c r="AF180" s="221"/>
      <c r="AG180" s="57"/>
      <c r="AH180" s="57"/>
      <c r="AI180" s="57"/>
      <c r="AJ180" s="57"/>
      <c r="AK180" s="57"/>
      <c r="AL180" s="57"/>
      <c r="AM180" s="57"/>
      <c r="AN180" s="57"/>
      <c r="AO180" s="57"/>
      <c r="AP180" s="57"/>
      <c r="AQ180" s="57"/>
      <c r="AR180" s="167"/>
      <c r="AS180" s="167"/>
      <c r="AT180" s="167"/>
      <c r="AU180" s="167"/>
      <c r="AV180" s="167"/>
      <c r="AW180" s="167"/>
      <c r="AX180" s="167"/>
      <c r="AY180" s="167"/>
      <c r="AZ180" s="167"/>
      <c r="BA180" s="167"/>
      <c r="BB180" s="167"/>
      <c r="BC180" s="167"/>
      <c r="BD180" s="167"/>
      <c r="BE180" s="167"/>
      <c r="BF180" s="167"/>
      <c r="BG180" s="167"/>
      <c r="BH180" s="167"/>
      <c r="BI180" s="167"/>
      <c r="BJ180" s="167"/>
      <c r="BK180" s="167"/>
      <c r="BL180" s="167"/>
      <c r="BM180" s="167"/>
      <c r="BN180" s="167"/>
      <c r="BO180" s="167"/>
      <c r="BP180" s="167"/>
      <c r="BQ180" s="167"/>
      <c r="BR180" s="167"/>
      <c r="BS180" s="167"/>
      <c r="BT180" s="167"/>
      <c r="BU180" s="167"/>
      <c r="BV180" s="167"/>
      <c r="BW180" s="167"/>
      <c r="BX180" s="167"/>
      <c r="BY180" s="167"/>
      <c r="BZ180" s="167"/>
      <c r="CA180" s="167"/>
      <c r="CB180" s="167"/>
      <c r="CC180" s="167"/>
      <c r="CD180" s="167"/>
      <c r="CE180" s="167"/>
      <c r="CF180" s="167"/>
      <c r="CG180" s="167"/>
      <c r="CH180" s="167"/>
      <c r="CI180" s="167"/>
      <c r="CJ180" s="167"/>
      <c r="CK180" s="167"/>
      <c r="CL180" s="167"/>
      <c r="CM180" s="167"/>
      <c r="CN180" s="167"/>
      <c r="CO180" s="167"/>
      <c r="CP180" s="167"/>
      <c r="CQ180" s="167"/>
    </row>
    <row r="181" spans="9:95" ht="16" customHeight="1">
      <c r="I181" s="57"/>
      <c r="J181" s="57"/>
      <c r="K181" s="57"/>
      <c r="L181" s="57"/>
      <c r="M181" s="57"/>
      <c r="N181" s="57"/>
      <c r="O181" s="57"/>
      <c r="P181" s="881"/>
      <c r="Q181" s="57"/>
      <c r="R181" s="57"/>
      <c r="S181" s="250"/>
      <c r="T181" s="221"/>
      <c r="U181" s="221"/>
      <c r="V181" s="277"/>
      <c r="W181" s="57"/>
      <c r="X181" s="57"/>
      <c r="Y181" s="57"/>
      <c r="Z181" s="57"/>
      <c r="AA181" s="221"/>
      <c r="AB181" s="918"/>
      <c r="AC181" s="57"/>
      <c r="AD181" s="57"/>
      <c r="AE181" s="250"/>
      <c r="AF181" s="221"/>
      <c r="AG181" s="57"/>
      <c r="AH181" s="57"/>
      <c r="AI181" s="57"/>
      <c r="AJ181" s="57"/>
      <c r="AK181" s="57"/>
      <c r="AL181" s="57"/>
      <c r="AM181" s="57"/>
      <c r="AN181" s="57"/>
      <c r="AO181" s="57"/>
      <c r="AP181" s="57"/>
      <c r="AQ181" s="57"/>
      <c r="AR181" s="167"/>
      <c r="AS181" s="167"/>
      <c r="AT181" s="167"/>
      <c r="AU181" s="167"/>
      <c r="AV181" s="167"/>
      <c r="AW181" s="167"/>
      <c r="AX181" s="167"/>
      <c r="AY181" s="167"/>
      <c r="AZ181" s="167"/>
      <c r="BA181" s="167"/>
      <c r="BB181" s="167"/>
      <c r="BC181" s="167"/>
      <c r="BD181" s="167"/>
      <c r="BE181" s="167"/>
      <c r="BF181" s="167"/>
      <c r="BG181" s="167"/>
      <c r="BH181" s="167"/>
      <c r="BI181" s="167"/>
      <c r="BJ181" s="167"/>
      <c r="BK181" s="167"/>
      <c r="BL181" s="167"/>
      <c r="BM181" s="167"/>
      <c r="BN181" s="167"/>
      <c r="BO181" s="167"/>
      <c r="BP181" s="167"/>
      <c r="BQ181" s="167"/>
      <c r="BR181" s="167"/>
      <c r="BS181" s="167"/>
      <c r="BT181" s="167"/>
      <c r="BU181" s="167"/>
      <c r="BV181" s="167"/>
      <c r="BW181" s="167"/>
      <c r="BX181" s="167"/>
      <c r="BY181" s="167"/>
      <c r="BZ181" s="167"/>
      <c r="CA181" s="167"/>
      <c r="CB181" s="167"/>
      <c r="CC181" s="167"/>
      <c r="CD181" s="167"/>
      <c r="CE181" s="167"/>
      <c r="CF181" s="167"/>
      <c r="CG181" s="167"/>
      <c r="CH181" s="167"/>
      <c r="CI181" s="167"/>
      <c r="CJ181" s="167"/>
      <c r="CK181" s="167"/>
      <c r="CL181" s="167"/>
      <c r="CM181" s="167"/>
      <c r="CN181" s="167"/>
      <c r="CO181" s="167"/>
      <c r="CP181" s="167"/>
      <c r="CQ181" s="167"/>
    </row>
    <row r="182" spans="9:95" ht="16" customHeight="1">
      <c r="I182" s="57"/>
      <c r="J182" s="57"/>
      <c r="K182" s="57"/>
      <c r="L182" s="57"/>
      <c r="M182" s="57"/>
      <c r="N182" s="57"/>
      <c r="O182" s="57"/>
      <c r="P182" s="881"/>
      <c r="Q182" s="57"/>
      <c r="R182" s="57"/>
      <c r="S182" s="250"/>
      <c r="T182" s="221"/>
      <c r="U182" s="221"/>
      <c r="V182" s="277"/>
      <c r="W182" s="57"/>
      <c r="X182" s="57"/>
      <c r="Y182" s="57"/>
      <c r="Z182" s="57"/>
      <c r="AA182" s="221"/>
      <c r="AB182" s="918"/>
      <c r="AC182" s="57"/>
      <c r="AD182" s="57"/>
      <c r="AE182" s="250"/>
      <c r="AF182" s="221"/>
      <c r="AG182" s="57"/>
      <c r="AH182" s="57"/>
      <c r="AI182" s="57"/>
      <c r="AJ182" s="57"/>
      <c r="AK182" s="57"/>
      <c r="AL182" s="57"/>
      <c r="AM182" s="57"/>
      <c r="AN182" s="57"/>
      <c r="AO182" s="57"/>
      <c r="AP182" s="57"/>
      <c r="AQ182" s="57"/>
      <c r="AR182" s="167"/>
      <c r="AS182" s="167"/>
      <c r="AT182" s="167"/>
      <c r="AU182" s="167"/>
      <c r="AV182" s="167"/>
      <c r="AW182" s="167"/>
      <c r="AX182" s="167"/>
      <c r="AY182" s="167"/>
      <c r="AZ182" s="167"/>
      <c r="BA182" s="167"/>
      <c r="BB182" s="167"/>
      <c r="BC182" s="167"/>
      <c r="BD182" s="167"/>
      <c r="BE182" s="167"/>
      <c r="BF182" s="167"/>
      <c r="BG182" s="167"/>
      <c r="BH182" s="167"/>
      <c r="BI182" s="167"/>
      <c r="BJ182" s="167"/>
      <c r="BK182" s="167"/>
      <c r="BL182" s="167"/>
      <c r="BM182" s="167"/>
      <c r="BN182" s="167"/>
      <c r="BO182" s="167"/>
      <c r="BP182" s="167"/>
      <c r="BQ182" s="167"/>
      <c r="BR182" s="167"/>
      <c r="BS182" s="167"/>
      <c r="BT182" s="167"/>
      <c r="BU182" s="167"/>
      <c r="BV182" s="167"/>
      <c r="BW182" s="167"/>
      <c r="BX182" s="167"/>
      <c r="BY182" s="167"/>
      <c r="BZ182" s="167"/>
      <c r="CA182" s="167"/>
      <c r="CB182" s="167"/>
      <c r="CC182" s="167"/>
      <c r="CD182" s="167"/>
      <c r="CE182" s="167"/>
      <c r="CF182" s="167"/>
      <c r="CG182" s="167"/>
      <c r="CH182" s="167"/>
      <c r="CI182" s="167"/>
      <c r="CJ182" s="167"/>
      <c r="CK182" s="167"/>
      <c r="CL182" s="167"/>
      <c r="CM182" s="167"/>
      <c r="CN182" s="167"/>
      <c r="CO182" s="167"/>
      <c r="CP182" s="167"/>
      <c r="CQ182" s="167"/>
    </row>
    <row r="183" spans="9:95" ht="16" customHeight="1">
      <c r="I183" s="57"/>
      <c r="J183" s="57"/>
      <c r="K183" s="57"/>
      <c r="L183" s="57"/>
      <c r="M183" s="57"/>
      <c r="N183" s="57"/>
      <c r="O183" s="57"/>
      <c r="P183" s="881"/>
      <c r="Q183" s="57"/>
      <c r="R183" s="57"/>
      <c r="S183" s="250"/>
      <c r="T183" s="221"/>
      <c r="U183" s="221"/>
      <c r="V183" s="277"/>
      <c r="W183" s="57"/>
      <c r="X183" s="57"/>
      <c r="Y183" s="57"/>
      <c r="Z183" s="57"/>
      <c r="AA183" s="221"/>
      <c r="AB183" s="918"/>
      <c r="AC183" s="57"/>
      <c r="AD183" s="57"/>
      <c r="AE183" s="250"/>
      <c r="AF183" s="221"/>
      <c r="AG183" s="57"/>
      <c r="AH183" s="57"/>
      <c r="AI183" s="57"/>
      <c r="AJ183" s="57"/>
      <c r="AK183" s="57"/>
      <c r="AL183" s="57"/>
      <c r="AM183" s="57"/>
      <c r="AN183" s="57"/>
      <c r="AO183" s="57"/>
      <c r="AP183" s="57"/>
      <c r="AQ183" s="57"/>
      <c r="AR183" s="167"/>
      <c r="AS183" s="167"/>
      <c r="AT183" s="167"/>
      <c r="AU183" s="167"/>
      <c r="AV183" s="167"/>
      <c r="AW183" s="167"/>
      <c r="AX183" s="167"/>
      <c r="AY183" s="167"/>
      <c r="AZ183" s="167"/>
      <c r="BA183" s="167"/>
      <c r="BB183" s="167"/>
      <c r="BC183" s="167"/>
      <c r="BD183" s="167"/>
      <c r="BE183" s="167"/>
      <c r="BF183" s="167"/>
      <c r="BG183" s="167"/>
      <c r="BH183" s="167"/>
      <c r="BI183" s="167"/>
      <c r="BJ183" s="167"/>
      <c r="BK183" s="167"/>
      <c r="BL183" s="167"/>
      <c r="BM183" s="167"/>
      <c r="BN183" s="167"/>
      <c r="BO183" s="167"/>
      <c r="BP183" s="167"/>
      <c r="BQ183" s="167"/>
      <c r="BR183" s="167"/>
      <c r="BS183" s="167"/>
      <c r="BT183" s="167"/>
      <c r="BU183" s="167"/>
      <c r="BV183" s="167"/>
      <c r="BW183" s="167"/>
      <c r="BX183" s="167"/>
      <c r="BY183" s="167"/>
      <c r="BZ183" s="167"/>
      <c r="CA183" s="167"/>
      <c r="CB183" s="167"/>
      <c r="CC183" s="167"/>
      <c r="CD183" s="167"/>
      <c r="CE183" s="167"/>
      <c r="CF183" s="167"/>
      <c r="CG183" s="167"/>
      <c r="CH183" s="167"/>
      <c r="CI183" s="167"/>
      <c r="CJ183" s="167"/>
      <c r="CK183" s="167"/>
      <c r="CL183" s="167"/>
      <c r="CM183" s="167"/>
      <c r="CN183" s="167"/>
      <c r="CO183" s="167"/>
      <c r="CP183" s="167"/>
      <c r="CQ183" s="167"/>
    </row>
    <row r="184" spans="9:95" ht="16" customHeight="1">
      <c r="I184" s="57"/>
      <c r="J184" s="57"/>
      <c r="K184" s="57"/>
      <c r="L184" s="57"/>
      <c r="M184" s="57"/>
      <c r="N184" s="57"/>
      <c r="O184" s="57"/>
      <c r="P184" s="881"/>
      <c r="Q184" s="57"/>
      <c r="R184" s="57"/>
      <c r="S184" s="250"/>
      <c r="T184" s="221"/>
      <c r="U184" s="221"/>
      <c r="V184" s="277"/>
      <c r="W184" s="57"/>
      <c r="X184" s="57"/>
      <c r="Y184" s="57"/>
      <c r="Z184" s="57"/>
      <c r="AA184" s="221"/>
      <c r="AB184" s="918"/>
      <c r="AC184" s="57"/>
      <c r="AD184" s="57"/>
      <c r="AE184" s="250"/>
      <c r="AF184" s="221"/>
      <c r="AG184" s="57"/>
      <c r="AH184" s="57"/>
      <c r="AI184" s="57"/>
      <c r="AJ184" s="57"/>
      <c r="AK184" s="57"/>
      <c r="AL184" s="57"/>
      <c r="AM184" s="57"/>
      <c r="AN184" s="57"/>
      <c r="AO184" s="57"/>
      <c r="AP184" s="57"/>
      <c r="AQ184" s="57"/>
      <c r="AR184" s="167"/>
      <c r="AS184" s="167"/>
      <c r="AT184" s="167"/>
      <c r="AU184" s="167"/>
      <c r="AV184" s="167"/>
      <c r="AW184" s="167"/>
      <c r="AX184" s="167"/>
      <c r="AY184" s="167"/>
      <c r="AZ184" s="167"/>
      <c r="BA184" s="167"/>
      <c r="BB184" s="167"/>
      <c r="BC184" s="167"/>
      <c r="BD184" s="167"/>
      <c r="BE184" s="167"/>
      <c r="BF184" s="167"/>
      <c r="BG184" s="167"/>
      <c r="BH184" s="167"/>
      <c r="BI184" s="167"/>
      <c r="BJ184" s="167"/>
      <c r="BK184" s="167"/>
      <c r="BL184" s="167"/>
      <c r="BM184" s="167"/>
      <c r="BN184" s="167"/>
      <c r="BO184" s="167"/>
      <c r="BP184" s="167"/>
      <c r="BQ184" s="167"/>
      <c r="BR184" s="167"/>
      <c r="BS184" s="167"/>
      <c r="BT184" s="167"/>
      <c r="BU184" s="167"/>
      <c r="BV184" s="167"/>
      <c r="BW184" s="167"/>
      <c r="BX184" s="167"/>
      <c r="BY184" s="167"/>
      <c r="BZ184" s="167"/>
      <c r="CA184" s="167"/>
      <c r="CB184" s="167"/>
      <c r="CC184" s="167"/>
      <c r="CD184" s="167"/>
      <c r="CE184" s="167"/>
      <c r="CF184" s="167"/>
      <c r="CG184" s="167"/>
      <c r="CH184" s="167"/>
      <c r="CI184" s="167"/>
      <c r="CJ184" s="167"/>
      <c r="CK184" s="167"/>
      <c r="CL184" s="167"/>
      <c r="CM184" s="167"/>
      <c r="CN184" s="167"/>
      <c r="CO184" s="167"/>
      <c r="CP184" s="167"/>
      <c r="CQ184" s="167"/>
    </row>
    <row r="185" spans="9:95" ht="16" customHeight="1">
      <c r="I185" s="57"/>
      <c r="J185" s="57"/>
      <c r="K185" s="57"/>
      <c r="L185" s="57"/>
      <c r="M185" s="57"/>
      <c r="N185" s="57"/>
      <c r="O185" s="57"/>
      <c r="P185" s="881"/>
      <c r="Q185" s="57"/>
      <c r="R185" s="57"/>
      <c r="S185" s="250"/>
      <c r="T185" s="221"/>
      <c r="U185" s="221"/>
      <c r="V185" s="277"/>
      <c r="W185" s="57"/>
      <c r="X185" s="57"/>
      <c r="Y185" s="57"/>
      <c r="Z185" s="57"/>
      <c r="AA185" s="221"/>
      <c r="AB185" s="918"/>
      <c r="AC185" s="57"/>
      <c r="AD185" s="57"/>
      <c r="AE185" s="250"/>
      <c r="AF185" s="221"/>
      <c r="AG185" s="57"/>
      <c r="AH185" s="57"/>
      <c r="AI185" s="57"/>
      <c r="AJ185" s="57"/>
      <c r="AK185" s="57"/>
      <c r="AL185" s="57"/>
      <c r="AM185" s="57"/>
      <c r="AN185" s="57"/>
      <c r="AO185" s="57"/>
      <c r="AP185" s="57"/>
      <c r="AQ185" s="57"/>
      <c r="AR185" s="167"/>
      <c r="AS185" s="167"/>
      <c r="AT185" s="167"/>
      <c r="AU185" s="167"/>
      <c r="AV185" s="167"/>
      <c r="AW185" s="167"/>
      <c r="AX185" s="167"/>
      <c r="AY185" s="167"/>
      <c r="AZ185" s="167"/>
      <c r="BA185" s="167"/>
      <c r="BB185" s="167"/>
      <c r="BC185" s="167"/>
      <c r="BD185" s="167"/>
      <c r="BE185" s="167"/>
      <c r="BF185" s="167"/>
      <c r="BG185" s="167"/>
      <c r="BH185" s="167"/>
      <c r="BI185" s="167"/>
      <c r="BJ185" s="167"/>
      <c r="BK185" s="167"/>
      <c r="BL185" s="167"/>
      <c r="BM185" s="167"/>
      <c r="BN185" s="167"/>
      <c r="BO185" s="167"/>
      <c r="BP185" s="167"/>
      <c r="BQ185" s="167"/>
      <c r="BR185" s="167"/>
      <c r="BS185" s="167"/>
      <c r="BT185" s="167"/>
      <c r="BU185" s="167"/>
      <c r="BV185" s="167"/>
      <c r="BW185" s="167"/>
      <c r="BX185" s="167"/>
      <c r="BY185" s="167"/>
      <c r="BZ185" s="167"/>
      <c r="CA185" s="167"/>
      <c r="CB185" s="167"/>
      <c r="CC185" s="167"/>
      <c r="CD185" s="167"/>
      <c r="CE185" s="167"/>
      <c r="CF185" s="167"/>
      <c r="CG185" s="167"/>
      <c r="CH185" s="167"/>
      <c r="CI185" s="167"/>
      <c r="CJ185" s="167"/>
      <c r="CK185" s="167"/>
      <c r="CL185" s="167"/>
      <c r="CM185" s="167"/>
      <c r="CN185" s="167"/>
      <c r="CO185" s="167"/>
      <c r="CP185" s="167"/>
      <c r="CQ185" s="167"/>
    </row>
    <row r="186" spans="9:95" ht="16" customHeight="1">
      <c r="I186" s="57"/>
      <c r="J186" s="57"/>
      <c r="K186" s="57"/>
      <c r="L186" s="57"/>
      <c r="M186" s="57"/>
      <c r="N186" s="57"/>
      <c r="O186" s="57"/>
      <c r="P186" s="881"/>
      <c r="Q186" s="57"/>
      <c r="R186" s="57"/>
      <c r="S186" s="250"/>
      <c r="T186" s="221"/>
      <c r="U186" s="221"/>
      <c r="V186" s="277"/>
      <c r="W186" s="57"/>
      <c r="X186" s="57"/>
      <c r="Y186" s="57"/>
      <c r="Z186" s="57"/>
      <c r="AA186" s="221"/>
      <c r="AB186" s="918"/>
      <c r="AC186" s="57"/>
      <c r="AD186" s="57"/>
      <c r="AE186" s="250"/>
      <c r="AF186" s="221"/>
      <c r="AG186" s="57"/>
      <c r="AH186" s="57"/>
      <c r="AI186" s="57"/>
      <c r="AJ186" s="57"/>
      <c r="AK186" s="57"/>
      <c r="AL186" s="57"/>
      <c r="AM186" s="57"/>
      <c r="AN186" s="57"/>
      <c r="AO186" s="57"/>
      <c r="AP186" s="57"/>
      <c r="AQ186" s="57"/>
      <c r="AR186" s="167"/>
      <c r="AS186" s="167"/>
      <c r="AT186" s="167"/>
      <c r="AU186" s="167"/>
      <c r="AV186" s="167"/>
      <c r="AW186" s="167"/>
      <c r="AX186" s="167"/>
      <c r="AY186" s="167"/>
      <c r="AZ186" s="167"/>
      <c r="BA186" s="167"/>
      <c r="BB186" s="167"/>
      <c r="BC186" s="167"/>
      <c r="BD186" s="167"/>
      <c r="BE186" s="167"/>
      <c r="BF186" s="167"/>
      <c r="BG186" s="167"/>
      <c r="BH186" s="167"/>
      <c r="BI186" s="167"/>
      <c r="BJ186" s="167"/>
      <c r="BK186" s="167"/>
      <c r="BL186" s="167"/>
      <c r="BM186" s="167"/>
      <c r="BN186" s="167"/>
      <c r="BO186" s="167"/>
      <c r="BP186" s="167"/>
      <c r="BQ186" s="167"/>
      <c r="BR186" s="167"/>
      <c r="BS186" s="167"/>
      <c r="BT186" s="167"/>
      <c r="BU186" s="167"/>
      <c r="BV186" s="167"/>
      <c r="BW186" s="167"/>
      <c r="BX186" s="167"/>
      <c r="BY186" s="167"/>
      <c r="BZ186" s="167"/>
      <c r="CA186" s="167"/>
      <c r="CB186" s="167"/>
      <c r="CC186" s="167"/>
      <c r="CD186" s="167"/>
      <c r="CE186" s="167"/>
      <c r="CF186" s="167"/>
      <c r="CG186" s="167"/>
      <c r="CH186" s="167"/>
      <c r="CI186" s="167"/>
      <c r="CJ186" s="167"/>
      <c r="CK186" s="167"/>
      <c r="CL186" s="167"/>
      <c r="CM186" s="167"/>
      <c r="CN186" s="167"/>
      <c r="CO186" s="167"/>
      <c r="CP186" s="167"/>
      <c r="CQ186" s="167"/>
    </row>
    <row r="187" spans="9:95" ht="16" customHeight="1">
      <c r="I187" s="57"/>
      <c r="J187" s="57"/>
      <c r="K187" s="57"/>
      <c r="L187" s="57"/>
      <c r="M187" s="57"/>
      <c r="N187" s="57"/>
      <c r="O187" s="57"/>
      <c r="P187" s="881"/>
      <c r="Q187" s="57"/>
      <c r="R187" s="57"/>
      <c r="S187" s="250"/>
      <c r="T187" s="221"/>
      <c r="U187" s="221"/>
      <c r="V187" s="277"/>
      <c r="W187" s="57"/>
      <c r="X187" s="57"/>
      <c r="Y187" s="57"/>
      <c r="Z187" s="57"/>
      <c r="AA187" s="221"/>
      <c r="AB187" s="918"/>
      <c r="AC187" s="57"/>
      <c r="AD187" s="57"/>
      <c r="AE187" s="250"/>
      <c r="AF187" s="221"/>
      <c r="AG187" s="57"/>
      <c r="AH187" s="57"/>
      <c r="AI187" s="57"/>
      <c r="AJ187" s="57"/>
      <c r="AK187" s="57"/>
      <c r="AL187" s="57"/>
      <c r="AM187" s="57"/>
      <c r="AN187" s="57"/>
      <c r="AO187" s="57"/>
      <c r="AP187" s="57"/>
      <c r="AQ187" s="57"/>
      <c r="AR187" s="167"/>
      <c r="AS187" s="167"/>
      <c r="AT187" s="167"/>
      <c r="AU187" s="167"/>
      <c r="AV187" s="167"/>
      <c r="AW187" s="167"/>
      <c r="AX187" s="167"/>
      <c r="AY187" s="167"/>
      <c r="AZ187" s="167"/>
      <c r="BA187" s="167"/>
      <c r="BB187" s="167"/>
      <c r="BC187" s="167"/>
      <c r="BD187" s="167"/>
      <c r="BE187" s="167"/>
      <c r="BF187" s="167"/>
      <c r="BG187" s="167"/>
      <c r="BH187" s="167"/>
      <c r="BI187" s="167"/>
      <c r="BJ187" s="167"/>
      <c r="BK187" s="167"/>
      <c r="BL187" s="167"/>
      <c r="BM187" s="167"/>
      <c r="BN187" s="167"/>
      <c r="BO187" s="167"/>
      <c r="BP187" s="167"/>
      <c r="BQ187" s="167"/>
      <c r="BR187" s="167"/>
      <c r="BS187" s="167"/>
      <c r="BT187" s="167"/>
      <c r="BU187" s="167"/>
      <c r="BV187" s="167"/>
      <c r="BW187" s="167"/>
      <c r="BX187" s="167"/>
      <c r="BY187" s="167"/>
      <c r="BZ187" s="167"/>
      <c r="CA187" s="167"/>
      <c r="CB187" s="167"/>
      <c r="CC187" s="167"/>
      <c r="CD187" s="167"/>
      <c r="CE187" s="167"/>
      <c r="CF187" s="167"/>
      <c r="CG187" s="167"/>
      <c r="CH187" s="167"/>
      <c r="CI187" s="167"/>
      <c r="CJ187" s="167"/>
      <c r="CK187" s="167"/>
      <c r="CL187" s="167"/>
      <c r="CM187" s="167"/>
      <c r="CN187" s="167"/>
      <c r="CO187" s="167"/>
      <c r="CP187" s="167"/>
      <c r="CQ187" s="167"/>
    </row>
    <row r="188" spans="9:95" ht="16" customHeight="1">
      <c r="I188" s="57"/>
      <c r="J188" s="57"/>
      <c r="K188" s="57"/>
      <c r="L188" s="57"/>
      <c r="M188" s="57"/>
      <c r="N188" s="57"/>
      <c r="O188" s="57"/>
      <c r="P188" s="881"/>
      <c r="Q188" s="57"/>
      <c r="R188" s="57"/>
      <c r="S188" s="250"/>
      <c r="T188" s="221"/>
      <c r="U188" s="221"/>
      <c r="V188" s="277"/>
      <c r="W188" s="57"/>
      <c r="X188" s="57"/>
      <c r="Y188" s="57"/>
      <c r="Z188" s="57"/>
      <c r="AA188" s="221"/>
      <c r="AB188" s="918"/>
      <c r="AC188" s="57"/>
      <c r="AD188" s="57"/>
      <c r="AE188" s="250"/>
      <c r="AF188" s="221"/>
      <c r="AG188" s="57"/>
      <c r="AH188" s="57"/>
      <c r="AI188" s="57"/>
      <c r="AJ188" s="57"/>
      <c r="AK188" s="57"/>
      <c r="AL188" s="57"/>
      <c r="AM188" s="57"/>
      <c r="AN188" s="57"/>
      <c r="AO188" s="57"/>
      <c r="AP188" s="57"/>
      <c r="AQ188" s="57"/>
      <c r="AR188" s="167"/>
      <c r="AS188" s="167"/>
      <c r="AT188" s="167"/>
      <c r="AU188" s="167"/>
      <c r="AV188" s="167"/>
      <c r="AW188" s="167"/>
      <c r="AX188" s="167"/>
      <c r="AY188" s="167"/>
      <c r="AZ188" s="167"/>
      <c r="BA188" s="167"/>
      <c r="BB188" s="167"/>
      <c r="BC188" s="167"/>
      <c r="BD188" s="167"/>
      <c r="BE188" s="167"/>
      <c r="BF188" s="167"/>
      <c r="BG188" s="167"/>
      <c r="BH188" s="167"/>
      <c r="BI188" s="167"/>
      <c r="BJ188" s="167"/>
      <c r="BK188" s="167"/>
      <c r="BL188" s="167"/>
      <c r="BM188" s="167"/>
      <c r="BN188" s="167"/>
      <c r="BO188" s="167"/>
      <c r="BP188" s="167"/>
      <c r="BQ188" s="167"/>
      <c r="BR188" s="167"/>
      <c r="BS188" s="167"/>
      <c r="BT188" s="167"/>
      <c r="BU188" s="167"/>
      <c r="BV188" s="167"/>
      <c r="BW188" s="167"/>
      <c r="BX188" s="167"/>
      <c r="BY188" s="167"/>
      <c r="BZ188" s="167"/>
      <c r="CA188" s="167"/>
      <c r="CB188" s="167"/>
      <c r="CC188" s="167"/>
      <c r="CD188" s="167"/>
      <c r="CE188" s="167"/>
      <c r="CF188" s="167"/>
      <c r="CG188" s="167"/>
      <c r="CH188" s="167"/>
      <c r="CI188" s="167"/>
      <c r="CJ188" s="167"/>
      <c r="CK188" s="167"/>
      <c r="CL188" s="167"/>
      <c r="CM188" s="167"/>
      <c r="CN188" s="167"/>
      <c r="CO188" s="167"/>
      <c r="CP188" s="167"/>
      <c r="CQ188" s="167"/>
    </row>
    <row r="189" spans="9:95" ht="16" customHeight="1">
      <c r="I189" s="57"/>
      <c r="J189" s="57"/>
      <c r="K189" s="57"/>
      <c r="L189" s="57"/>
      <c r="M189" s="57"/>
      <c r="N189" s="57"/>
      <c r="O189" s="57"/>
      <c r="P189" s="881"/>
      <c r="Q189" s="57"/>
      <c r="R189" s="57"/>
      <c r="S189" s="250"/>
      <c r="T189" s="221"/>
      <c r="U189" s="221"/>
      <c r="V189" s="277"/>
      <c r="W189" s="57"/>
      <c r="X189" s="57"/>
      <c r="Y189" s="57"/>
      <c r="Z189" s="57"/>
      <c r="AA189" s="221"/>
      <c r="AB189" s="918"/>
      <c r="AC189" s="57"/>
      <c r="AD189" s="57"/>
      <c r="AE189" s="250"/>
      <c r="AF189" s="221"/>
      <c r="AG189" s="57"/>
      <c r="AH189" s="57"/>
      <c r="AI189" s="57"/>
      <c r="AJ189" s="57"/>
      <c r="AK189" s="57"/>
      <c r="AL189" s="57"/>
      <c r="AM189" s="57"/>
      <c r="AN189" s="57"/>
      <c r="AO189" s="57"/>
      <c r="AP189" s="57"/>
      <c r="AQ189" s="57"/>
      <c r="AR189" s="167"/>
      <c r="AS189" s="167"/>
      <c r="AT189" s="167"/>
      <c r="AU189" s="167"/>
      <c r="AV189" s="167"/>
      <c r="AW189" s="167"/>
      <c r="AX189" s="167"/>
      <c r="AY189" s="167"/>
      <c r="AZ189" s="167"/>
      <c r="BA189" s="167"/>
      <c r="BB189" s="167"/>
      <c r="BC189" s="167"/>
      <c r="BD189" s="167"/>
      <c r="BE189" s="167"/>
      <c r="BF189" s="167"/>
      <c r="BG189" s="167"/>
      <c r="BH189" s="167"/>
      <c r="BI189" s="167"/>
      <c r="BJ189" s="167"/>
      <c r="BK189" s="167"/>
      <c r="BL189" s="167"/>
      <c r="BM189" s="167"/>
      <c r="BN189" s="167"/>
      <c r="BO189" s="167"/>
      <c r="BP189" s="167"/>
      <c r="BQ189" s="167"/>
      <c r="BR189" s="167"/>
      <c r="BS189" s="167"/>
      <c r="BT189" s="167"/>
      <c r="BU189" s="167"/>
      <c r="BV189" s="167"/>
      <c r="BW189" s="167"/>
      <c r="BX189" s="167"/>
      <c r="BY189" s="167"/>
      <c r="BZ189" s="167"/>
      <c r="CA189" s="167"/>
      <c r="CB189" s="167"/>
      <c r="CC189" s="167"/>
      <c r="CD189" s="167"/>
      <c r="CE189" s="167"/>
      <c r="CF189" s="167"/>
      <c r="CG189" s="167"/>
      <c r="CH189" s="167"/>
      <c r="CI189" s="167"/>
      <c r="CJ189" s="167"/>
      <c r="CK189" s="167"/>
      <c r="CL189" s="167"/>
      <c r="CM189" s="167"/>
      <c r="CN189" s="167"/>
      <c r="CO189" s="167"/>
      <c r="CP189" s="167"/>
      <c r="CQ189" s="167"/>
    </row>
    <row r="190" spans="9:95" ht="16" customHeight="1">
      <c r="I190" s="57"/>
      <c r="J190" s="57"/>
      <c r="K190" s="57"/>
      <c r="L190" s="57"/>
      <c r="M190" s="57"/>
      <c r="N190" s="57"/>
      <c r="O190" s="57"/>
      <c r="P190" s="881"/>
      <c r="Q190" s="57"/>
      <c r="R190" s="57"/>
      <c r="S190" s="250"/>
      <c r="T190" s="221"/>
      <c r="U190" s="221"/>
      <c r="V190" s="277"/>
      <c r="W190" s="57"/>
      <c r="X190" s="57"/>
      <c r="Y190" s="57"/>
      <c r="Z190" s="57"/>
      <c r="AA190" s="221"/>
      <c r="AB190" s="918"/>
      <c r="AC190" s="57"/>
      <c r="AD190" s="57"/>
      <c r="AE190" s="250"/>
      <c r="AF190" s="221"/>
      <c r="AG190" s="57"/>
      <c r="AH190" s="57"/>
      <c r="AI190" s="57"/>
      <c r="AJ190" s="57"/>
      <c r="AK190" s="57"/>
      <c r="AL190" s="57"/>
      <c r="AM190" s="57"/>
      <c r="AN190" s="57"/>
      <c r="AO190" s="57"/>
      <c r="AP190" s="57"/>
      <c r="AQ190" s="57"/>
      <c r="AR190" s="167"/>
      <c r="AS190" s="167"/>
      <c r="AT190" s="167"/>
      <c r="AU190" s="167"/>
      <c r="AV190" s="167"/>
      <c r="AW190" s="167"/>
      <c r="AX190" s="167"/>
      <c r="AY190" s="167"/>
      <c r="AZ190" s="167"/>
      <c r="BA190" s="167"/>
      <c r="BB190" s="167"/>
      <c r="BC190" s="167"/>
      <c r="BD190" s="167"/>
      <c r="BE190" s="167"/>
      <c r="BF190" s="167"/>
      <c r="BG190" s="167"/>
      <c r="BH190" s="167"/>
      <c r="BI190" s="167"/>
      <c r="BJ190" s="167"/>
      <c r="BK190" s="167"/>
      <c r="BL190" s="167"/>
      <c r="BM190" s="167"/>
      <c r="BN190" s="167"/>
      <c r="BO190" s="167"/>
      <c r="BP190" s="167"/>
      <c r="BQ190" s="167"/>
      <c r="BR190" s="167"/>
      <c r="BS190" s="167"/>
      <c r="BT190" s="167"/>
      <c r="BU190" s="167"/>
      <c r="BV190" s="167"/>
      <c r="BW190" s="167"/>
      <c r="BX190" s="167"/>
      <c r="BY190" s="167"/>
      <c r="BZ190" s="167"/>
      <c r="CA190" s="167"/>
      <c r="CB190" s="167"/>
      <c r="CC190" s="167"/>
      <c r="CD190" s="167"/>
      <c r="CE190" s="167"/>
      <c r="CF190" s="167"/>
      <c r="CG190" s="167"/>
      <c r="CH190" s="167"/>
      <c r="CI190" s="167"/>
      <c r="CJ190" s="167"/>
      <c r="CK190" s="167"/>
      <c r="CL190" s="167"/>
      <c r="CM190" s="167"/>
      <c r="CN190" s="167"/>
      <c r="CO190" s="167"/>
      <c r="CP190" s="167"/>
      <c r="CQ190" s="167"/>
    </row>
    <row r="191" spans="9:95" ht="16" customHeight="1">
      <c r="I191" s="57"/>
      <c r="J191" s="57"/>
      <c r="K191" s="57"/>
      <c r="L191" s="57"/>
      <c r="M191" s="57"/>
      <c r="N191" s="57"/>
      <c r="O191" s="57"/>
      <c r="P191" s="881"/>
      <c r="Q191" s="57"/>
      <c r="R191" s="57"/>
      <c r="S191" s="250"/>
      <c r="T191" s="221"/>
      <c r="U191" s="221"/>
      <c r="V191" s="277"/>
      <c r="W191" s="57"/>
      <c r="X191" s="57"/>
      <c r="Y191" s="57"/>
      <c r="Z191" s="57"/>
      <c r="AA191" s="221"/>
      <c r="AB191" s="918"/>
      <c r="AC191" s="57"/>
      <c r="AD191" s="57"/>
      <c r="AE191" s="250"/>
      <c r="AF191" s="221"/>
      <c r="AG191" s="57"/>
      <c r="AH191" s="57"/>
      <c r="AI191" s="57"/>
      <c r="AJ191" s="57"/>
      <c r="AK191" s="57"/>
      <c r="AL191" s="57"/>
      <c r="AM191" s="57"/>
      <c r="AN191" s="57"/>
      <c r="AO191" s="57"/>
      <c r="AP191" s="57"/>
      <c r="AQ191" s="57"/>
      <c r="AR191" s="167"/>
      <c r="AS191" s="167"/>
      <c r="AT191" s="167"/>
      <c r="AU191" s="167"/>
      <c r="AV191" s="167"/>
      <c r="AW191" s="167"/>
      <c r="AX191" s="167"/>
      <c r="AY191" s="167"/>
      <c r="AZ191" s="167"/>
      <c r="BA191" s="167"/>
      <c r="BB191" s="167"/>
      <c r="BC191" s="167"/>
      <c r="BD191" s="167"/>
      <c r="BE191" s="167"/>
      <c r="BF191" s="167"/>
      <c r="BG191" s="167"/>
      <c r="BH191" s="167"/>
      <c r="BI191" s="167"/>
      <c r="BJ191" s="167"/>
      <c r="BK191" s="167"/>
      <c r="BL191" s="167"/>
      <c r="BM191" s="167"/>
      <c r="BN191" s="167"/>
      <c r="BO191" s="167"/>
      <c r="BP191" s="167"/>
      <c r="BQ191" s="167"/>
      <c r="BR191" s="167"/>
      <c r="BS191" s="167"/>
      <c r="BT191" s="167"/>
      <c r="BU191" s="167"/>
      <c r="BV191" s="167"/>
      <c r="BW191" s="167"/>
      <c r="BX191" s="167"/>
      <c r="BY191" s="167"/>
      <c r="BZ191" s="167"/>
      <c r="CA191" s="167"/>
      <c r="CB191" s="167"/>
      <c r="CC191" s="167"/>
      <c r="CD191" s="167"/>
      <c r="CE191" s="167"/>
      <c r="CF191" s="167"/>
      <c r="CG191" s="167"/>
      <c r="CH191" s="167"/>
      <c r="CI191" s="167"/>
      <c r="CJ191" s="167"/>
      <c r="CK191" s="167"/>
      <c r="CL191" s="167"/>
      <c r="CM191" s="167"/>
      <c r="CN191" s="167"/>
      <c r="CO191" s="167"/>
      <c r="CP191" s="167"/>
      <c r="CQ191" s="167"/>
    </row>
    <row r="192" spans="9:95" ht="16" customHeight="1">
      <c r="I192" s="57"/>
      <c r="J192" s="57"/>
      <c r="K192" s="57"/>
      <c r="L192" s="57"/>
      <c r="M192" s="57"/>
      <c r="N192" s="57"/>
      <c r="O192" s="57"/>
      <c r="P192" s="881"/>
      <c r="Q192" s="57"/>
      <c r="R192" s="57"/>
      <c r="S192" s="250"/>
      <c r="T192" s="221"/>
      <c r="U192" s="221"/>
      <c r="V192" s="277"/>
      <c r="W192" s="57"/>
      <c r="X192" s="57"/>
      <c r="Y192" s="57"/>
      <c r="Z192" s="57"/>
      <c r="AA192" s="221"/>
      <c r="AB192" s="918"/>
      <c r="AC192" s="57"/>
      <c r="AD192" s="57"/>
      <c r="AE192" s="250"/>
      <c r="AF192" s="221"/>
      <c r="AG192" s="57"/>
      <c r="AH192" s="57"/>
      <c r="AI192" s="57"/>
      <c r="AJ192" s="57"/>
      <c r="AK192" s="57"/>
      <c r="AL192" s="57"/>
      <c r="AM192" s="57"/>
      <c r="AN192" s="57"/>
      <c r="AO192" s="57"/>
      <c r="AP192" s="57"/>
      <c r="AQ192" s="57"/>
      <c r="AR192" s="167"/>
      <c r="AS192" s="167"/>
      <c r="AT192" s="167"/>
      <c r="AU192" s="167"/>
      <c r="AV192" s="167"/>
      <c r="AW192" s="167"/>
      <c r="AX192" s="167"/>
      <c r="AY192" s="167"/>
      <c r="AZ192" s="167"/>
      <c r="BA192" s="167"/>
      <c r="BB192" s="167"/>
      <c r="BC192" s="167"/>
      <c r="BD192" s="167"/>
      <c r="BE192" s="167"/>
      <c r="BF192" s="167"/>
      <c r="BG192" s="167"/>
      <c r="BH192" s="167"/>
      <c r="BI192" s="167"/>
      <c r="BJ192" s="167"/>
      <c r="BK192" s="167"/>
      <c r="BL192" s="167"/>
      <c r="BM192" s="167"/>
      <c r="BN192" s="167"/>
      <c r="BO192" s="167"/>
      <c r="BP192" s="167"/>
      <c r="BQ192" s="167"/>
      <c r="BR192" s="167"/>
      <c r="BS192" s="167"/>
      <c r="BT192" s="167"/>
      <c r="BU192" s="167"/>
      <c r="BV192" s="167"/>
      <c r="BW192" s="167"/>
      <c r="BX192" s="167"/>
      <c r="BY192" s="167"/>
      <c r="BZ192" s="167"/>
      <c r="CA192" s="167"/>
      <c r="CB192" s="167"/>
      <c r="CC192" s="167"/>
      <c r="CD192" s="167"/>
      <c r="CE192" s="167"/>
      <c r="CF192" s="167"/>
      <c r="CG192" s="167"/>
      <c r="CH192" s="167"/>
      <c r="CI192" s="167"/>
      <c r="CJ192" s="167"/>
      <c r="CK192" s="167"/>
      <c r="CL192" s="167"/>
      <c r="CM192" s="167"/>
      <c r="CN192" s="167"/>
      <c r="CO192" s="167"/>
      <c r="CP192" s="167"/>
      <c r="CQ192" s="167"/>
    </row>
    <row r="193" spans="9:95" ht="16" customHeight="1">
      <c r="I193" s="57"/>
      <c r="J193" s="57"/>
      <c r="K193" s="57"/>
      <c r="L193" s="57"/>
      <c r="M193" s="57"/>
      <c r="N193" s="57"/>
      <c r="O193" s="57"/>
      <c r="P193" s="881"/>
      <c r="Q193" s="57"/>
      <c r="R193" s="57"/>
      <c r="S193" s="250"/>
      <c r="T193" s="221"/>
      <c r="U193" s="221"/>
      <c r="V193" s="277"/>
      <c r="W193" s="57"/>
      <c r="X193" s="57"/>
      <c r="Y193" s="57"/>
      <c r="Z193" s="57"/>
      <c r="AA193" s="221"/>
      <c r="AB193" s="918"/>
      <c r="AC193" s="57"/>
      <c r="AD193" s="57"/>
      <c r="AE193" s="250"/>
      <c r="AF193" s="221"/>
      <c r="AG193" s="57"/>
      <c r="AH193" s="57"/>
      <c r="AI193" s="57"/>
      <c r="AJ193" s="57"/>
      <c r="AK193" s="57"/>
      <c r="AL193" s="57"/>
      <c r="AM193" s="57"/>
      <c r="AN193" s="57"/>
      <c r="AO193" s="57"/>
      <c r="AP193" s="57"/>
      <c r="AQ193" s="57"/>
      <c r="AR193" s="167"/>
      <c r="AS193" s="167"/>
      <c r="AT193" s="167"/>
      <c r="AU193" s="167"/>
      <c r="AV193" s="167"/>
      <c r="AW193" s="167"/>
      <c r="AX193" s="167"/>
      <c r="AY193" s="167"/>
      <c r="AZ193" s="167"/>
      <c r="BA193" s="167"/>
      <c r="BB193" s="167"/>
      <c r="BC193" s="167"/>
      <c r="BD193" s="167"/>
      <c r="BE193" s="167"/>
      <c r="BF193" s="167"/>
      <c r="BG193" s="167"/>
      <c r="BH193" s="167"/>
      <c r="BI193" s="167"/>
      <c r="BJ193" s="167"/>
      <c r="BK193" s="167"/>
      <c r="BL193" s="167"/>
      <c r="BM193" s="167"/>
      <c r="BN193" s="167"/>
      <c r="BO193" s="167"/>
      <c r="BP193" s="167"/>
      <c r="BQ193" s="167"/>
      <c r="BR193" s="167"/>
      <c r="BS193" s="167"/>
      <c r="BT193" s="167"/>
      <c r="BU193" s="167"/>
      <c r="BV193" s="167"/>
      <c r="BW193" s="167"/>
      <c r="BX193" s="167"/>
      <c r="BY193" s="167"/>
      <c r="BZ193" s="167"/>
      <c r="CA193" s="167"/>
      <c r="CB193" s="167"/>
      <c r="CC193" s="167"/>
      <c r="CD193" s="167"/>
      <c r="CE193" s="167"/>
      <c r="CF193" s="167"/>
      <c r="CG193" s="167"/>
      <c r="CH193" s="167"/>
      <c r="CI193" s="167"/>
      <c r="CJ193" s="167"/>
      <c r="CK193" s="167"/>
      <c r="CL193" s="167"/>
      <c r="CM193" s="167"/>
      <c r="CN193" s="167"/>
      <c r="CO193" s="167"/>
      <c r="CP193" s="167"/>
      <c r="CQ193" s="167"/>
    </row>
    <row r="194" spans="9:95" ht="16" customHeight="1">
      <c r="I194" s="57"/>
      <c r="J194" s="57"/>
      <c r="K194" s="57"/>
      <c r="L194" s="57"/>
      <c r="M194" s="57"/>
      <c r="N194" s="57"/>
      <c r="O194" s="57"/>
      <c r="P194" s="881"/>
      <c r="Q194" s="57"/>
      <c r="R194" s="57"/>
      <c r="S194" s="250"/>
      <c r="T194" s="221"/>
      <c r="U194" s="221"/>
      <c r="V194" s="277"/>
      <c r="W194" s="57"/>
      <c r="X194" s="57"/>
      <c r="Y194" s="57"/>
      <c r="Z194" s="57"/>
      <c r="AA194" s="221"/>
      <c r="AB194" s="918"/>
      <c r="AC194" s="57"/>
      <c r="AD194" s="57"/>
      <c r="AE194" s="250"/>
      <c r="AF194" s="221"/>
      <c r="AG194" s="57"/>
      <c r="AH194" s="57"/>
      <c r="AI194" s="57"/>
      <c r="AJ194" s="57"/>
      <c r="AK194" s="57"/>
      <c r="AL194" s="57"/>
      <c r="AM194" s="57"/>
      <c r="AN194" s="57"/>
      <c r="AO194" s="57"/>
      <c r="AP194" s="57"/>
      <c r="AQ194" s="57"/>
      <c r="AT194" s="167"/>
      <c r="AU194" s="167"/>
      <c r="AV194" s="167"/>
      <c r="AW194" s="167"/>
      <c r="AX194" s="167"/>
      <c r="AY194" s="167"/>
      <c r="AZ194" s="167"/>
      <c r="BA194" s="167"/>
      <c r="BB194" s="167"/>
      <c r="BC194" s="167"/>
      <c r="BD194" s="167"/>
      <c r="BE194" s="167"/>
      <c r="BF194" s="167"/>
      <c r="BG194" s="167"/>
      <c r="BH194" s="167"/>
      <c r="BI194" s="167"/>
      <c r="BJ194" s="167"/>
      <c r="BK194" s="167"/>
      <c r="BL194" s="167"/>
      <c r="BM194" s="167"/>
      <c r="BN194" s="167"/>
      <c r="BO194" s="167"/>
      <c r="BP194" s="167"/>
      <c r="BQ194" s="167"/>
      <c r="BR194" s="167"/>
      <c r="BS194" s="167"/>
      <c r="BT194" s="167"/>
      <c r="BU194" s="167"/>
      <c r="BV194" s="167"/>
      <c r="BW194" s="167"/>
      <c r="BX194" s="167"/>
      <c r="BY194" s="167"/>
      <c r="BZ194" s="167"/>
      <c r="CA194" s="167"/>
      <c r="CB194" s="167"/>
      <c r="CC194" s="167"/>
      <c r="CD194" s="167"/>
      <c r="CE194" s="167"/>
      <c r="CF194" s="167"/>
      <c r="CG194" s="167"/>
      <c r="CH194" s="167"/>
      <c r="CI194" s="167"/>
      <c r="CJ194" s="167"/>
      <c r="CK194" s="167"/>
      <c r="CL194" s="167"/>
      <c r="CM194" s="167"/>
      <c r="CN194" s="167"/>
      <c r="CO194" s="167"/>
      <c r="CP194" s="167"/>
      <c r="CQ194" s="167"/>
    </row>
    <row r="195" spans="9:95" ht="16" customHeight="1">
      <c r="I195" s="57"/>
      <c r="J195" s="57"/>
      <c r="K195" s="57"/>
      <c r="L195" s="57"/>
      <c r="M195" s="57"/>
      <c r="N195" s="57"/>
      <c r="O195" s="57"/>
      <c r="P195" s="881"/>
      <c r="Q195" s="57"/>
      <c r="R195" s="57"/>
      <c r="S195" s="250"/>
      <c r="T195" s="221"/>
      <c r="U195" s="221"/>
      <c r="V195" s="277"/>
      <c r="W195" s="57"/>
      <c r="X195" s="57"/>
      <c r="Y195" s="57"/>
      <c r="Z195" s="57"/>
      <c r="AA195" s="221"/>
      <c r="AB195" s="918"/>
      <c r="AC195" s="57"/>
      <c r="AD195" s="57"/>
      <c r="AE195" s="250"/>
      <c r="AF195" s="221"/>
      <c r="AG195" s="57"/>
      <c r="AH195" s="57"/>
      <c r="AI195" s="57"/>
      <c r="AJ195" s="57"/>
      <c r="AK195" s="57"/>
      <c r="AL195" s="57"/>
      <c r="AM195" s="57"/>
      <c r="AN195" s="57"/>
      <c r="AO195" s="57"/>
      <c r="AP195" s="57"/>
      <c r="AQ195" s="57"/>
      <c r="AT195" s="167"/>
      <c r="AU195" s="167"/>
      <c r="AV195" s="167"/>
      <c r="AW195" s="167"/>
      <c r="AX195" s="167"/>
      <c r="AY195" s="167"/>
      <c r="AZ195" s="167"/>
      <c r="BA195" s="167"/>
      <c r="BB195" s="167"/>
      <c r="BC195" s="167"/>
      <c r="BD195" s="167"/>
      <c r="BE195" s="167"/>
      <c r="BF195" s="167"/>
      <c r="BG195" s="167"/>
      <c r="BH195" s="167"/>
      <c r="BI195" s="167"/>
      <c r="BJ195" s="167"/>
      <c r="BK195" s="167"/>
      <c r="BL195" s="167"/>
      <c r="BM195" s="167"/>
      <c r="BN195" s="167"/>
      <c r="BO195" s="167"/>
      <c r="BP195" s="167"/>
      <c r="BQ195" s="167"/>
      <c r="BR195" s="167"/>
      <c r="BS195" s="167"/>
      <c r="BT195" s="167"/>
      <c r="BU195" s="167"/>
      <c r="BV195" s="167"/>
      <c r="BW195" s="167"/>
      <c r="BX195" s="167"/>
      <c r="BY195" s="167"/>
      <c r="BZ195" s="167"/>
      <c r="CA195" s="167"/>
      <c r="CB195" s="167"/>
      <c r="CC195" s="167"/>
      <c r="CD195" s="167"/>
      <c r="CE195" s="167"/>
      <c r="CF195" s="167"/>
      <c r="CG195" s="167"/>
      <c r="CH195" s="167"/>
      <c r="CI195" s="167"/>
      <c r="CJ195" s="167"/>
      <c r="CK195" s="167"/>
      <c r="CL195" s="167"/>
      <c r="CM195" s="167"/>
      <c r="CN195" s="167"/>
      <c r="CO195" s="167"/>
      <c r="CP195" s="167"/>
      <c r="CQ195" s="167"/>
    </row>
    <row r="196" spans="9:95" ht="16" customHeight="1">
      <c r="I196" s="57"/>
      <c r="J196" s="57"/>
      <c r="K196" s="57"/>
      <c r="L196" s="57"/>
      <c r="M196" s="57"/>
      <c r="N196" s="57"/>
      <c r="O196" s="57"/>
      <c r="P196" s="881"/>
      <c r="Q196" s="57"/>
      <c r="R196" s="57"/>
      <c r="S196" s="250"/>
      <c r="T196" s="221"/>
      <c r="U196" s="221"/>
      <c r="V196" s="277"/>
      <c r="W196" s="57"/>
      <c r="X196" s="57"/>
      <c r="Y196" s="57"/>
      <c r="Z196" s="57"/>
      <c r="AA196" s="221"/>
      <c r="AB196" s="918"/>
      <c r="AC196" s="57"/>
      <c r="AD196" s="57"/>
      <c r="AE196" s="250"/>
      <c r="AF196" s="221"/>
      <c r="AG196" s="57"/>
      <c r="AH196" s="57"/>
      <c r="AI196" s="57"/>
      <c r="AJ196" s="57"/>
      <c r="AK196" s="57"/>
      <c r="AL196" s="57"/>
      <c r="AM196" s="57"/>
      <c r="AN196" s="57"/>
      <c r="AO196" s="57"/>
      <c r="AP196" s="57"/>
      <c r="AQ196" s="57"/>
      <c r="AT196" s="167"/>
      <c r="AU196" s="167"/>
      <c r="AV196" s="167"/>
      <c r="AW196" s="167"/>
      <c r="AX196" s="167"/>
      <c r="AY196" s="167"/>
      <c r="AZ196" s="167"/>
      <c r="BA196" s="167"/>
      <c r="BB196" s="167"/>
      <c r="BC196" s="167"/>
      <c r="BD196" s="167"/>
      <c r="BE196" s="167"/>
      <c r="BF196" s="167"/>
      <c r="BG196" s="167"/>
      <c r="BH196" s="167"/>
      <c r="BI196" s="167"/>
      <c r="BJ196" s="167"/>
      <c r="BK196" s="167"/>
      <c r="BL196" s="167"/>
      <c r="BM196" s="167"/>
      <c r="BN196" s="167"/>
      <c r="BO196" s="167"/>
      <c r="BP196" s="167"/>
      <c r="BQ196" s="167"/>
      <c r="BR196" s="167"/>
      <c r="BS196" s="167"/>
      <c r="BT196" s="167"/>
      <c r="BU196" s="167"/>
      <c r="BV196" s="167"/>
      <c r="BW196" s="167"/>
      <c r="BX196" s="167"/>
      <c r="BY196" s="167"/>
      <c r="BZ196" s="167"/>
      <c r="CA196" s="167"/>
      <c r="CB196" s="167"/>
      <c r="CC196" s="167"/>
      <c r="CD196" s="167"/>
      <c r="CE196" s="167"/>
      <c r="CF196" s="167"/>
      <c r="CG196" s="167"/>
      <c r="CH196" s="167"/>
      <c r="CI196" s="167"/>
      <c r="CJ196" s="167"/>
      <c r="CK196" s="167"/>
      <c r="CL196" s="167"/>
      <c r="CM196" s="167"/>
      <c r="CN196" s="167"/>
      <c r="CO196" s="167"/>
      <c r="CP196" s="167"/>
      <c r="CQ196" s="167"/>
    </row>
    <row r="197" spans="9:95" ht="16" customHeight="1">
      <c r="I197" s="57"/>
      <c r="J197" s="57"/>
      <c r="K197" s="57"/>
      <c r="L197" s="57"/>
      <c r="M197" s="57"/>
      <c r="N197" s="57"/>
      <c r="O197" s="57"/>
      <c r="P197" s="881"/>
      <c r="Q197" s="57"/>
      <c r="R197" s="57"/>
      <c r="S197" s="250"/>
      <c r="T197" s="221"/>
      <c r="U197" s="221"/>
      <c r="V197" s="277"/>
      <c r="W197" s="57"/>
      <c r="X197" s="57"/>
      <c r="Y197" s="57"/>
      <c r="Z197" s="57"/>
      <c r="AA197" s="221"/>
      <c r="AB197" s="918"/>
      <c r="AC197" s="57"/>
      <c r="AD197" s="57"/>
      <c r="AE197" s="250"/>
      <c r="AF197" s="221"/>
      <c r="AG197" s="57"/>
      <c r="AH197" s="57"/>
      <c r="AI197" s="57"/>
      <c r="AJ197" s="57"/>
      <c r="AK197" s="57"/>
      <c r="AL197" s="57"/>
      <c r="AM197" s="57"/>
      <c r="AN197" s="57"/>
      <c r="AO197" s="57"/>
      <c r="AP197" s="57"/>
      <c r="AQ197" s="57"/>
      <c r="AT197" s="167"/>
      <c r="AU197" s="167"/>
      <c r="AV197" s="167"/>
      <c r="AW197" s="167"/>
      <c r="AX197" s="167"/>
      <c r="AY197" s="167"/>
      <c r="AZ197" s="167"/>
      <c r="BA197" s="167"/>
      <c r="BB197" s="167"/>
      <c r="BC197" s="167"/>
      <c r="BD197" s="167"/>
      <c r="BE197" s="167"/>
      <c r="BF197" s="167"/>
      <c r="BG197" s="167"/>
      <c r="BH197" s="167"/>
      <c r="BI197" s="167"/>
      <c r="BJ197" s="167"/>
      <c r="BK197" s="167"/>
      <c r="BL197" s="167"/>
      <c r="BM197" s="167"/>
      <c r="BN197" s="167"/>
      <c r="BO197" s="167"/>
      <c r="BP197" s="167"/>
      <c r="BQ197" s="167"/>
      <c r="BR197" s="167"/>
      <c r="BS197" s="167"/>
      <c r="BT197" s="167"/>
      <c r="BU197" s="167"/>
      <c r="BV197" s="167"/>
      <c r="BW197" s="167"/>
      <c r="BX197" s="167"/>
      <c r="BY197" s="167"/>
      <c r="BZ197" s="167"/>
      <c r="CA197" s="167"/>
      <c r="CB197" s="167"/>
      <c r="CC197" s="167"/>
      <c r="CD197" s="167"/>
      <c r="CE197" s="167"/>
      <c r="CF197" s="167"/>
      <c r="CG197" s="167"/>
      <c r="CH197" s="167"/>
      <c r="CI197" s="167"/>
      <c r="CJ197" s="167"/>
      <c r="CK197" s="167"/>
      <c r="CL197" s="167"/>
      <c r="CM197" s="167"/>
      <c r="CN197" s="167"/>
      <c r="CO197" s="167"/>
      <c r="CP197" s="167"/>
      <c r="CQ197" s="167"/>
    </row>
    <row r="198" spans="9:95" ht="16" customHeight="1">
      <c r="I198" s="57"/>
      <c r="J198" s="57"/>
      <c r="K198" s="57"/>
      <c r="L198" s="57"/>
      <c r="M198" s="57"/>
      <c r="N198" s="57"/>
      <c r="O198" s="57"/>
      <c r="P198" s="881"/>
      <c r="Q198" s="57"/>
      <c r="R198" s="57"/>
      <c r="S198" s="250"/>
      <c r="T198" s="221"/>
      <c r="U198" s="221"/>
      <c r="V198" s="277"/>
      <c r="W198" s="57"/>
      <c r="X198" s="57"/>
      <c r="Y198" s="57"/>
      <c r="Z198" s="57"/>
      <c r="AA198" s="221"/>
      <c r="AB198" s="918"/>
      <c r="AC198" s="57"/>
      <c r="AD198" s="57"/>
      <c r="AE198" s="250"/>
      <c r="AF198" s="221"/>
      <c r="AG198" s="57"/>
      <c r="AH198" s="57"/>
      <c r="AI198" s="57"/>
      <c r="AJ198" s="57"/>
      <c r="AK198" s="57"/>
      <c r="AL198" s="57"/>
      <c r="AM198" s="57"/>
      <c r="AN198" s="57"/>
      <c r="AO198" s="57"/>
      <c r="AP198" s="57"/>
      <c r="AQ198" s="57"/>
      <c r="AT198" s="167"/>
      <c r="AU198" s="167"/>
      <c r="AV198" s="167"/>
      <c r="AW198" s="167"/>
      <c r="AX198" s="167"/>
      <c r="AY198" s="167"/>
      <c r="AZ198" s="167"/>
      <c r="BA198" s="167"/>
      <c r="BB198" s="167"/>
      <c r="BC198" s="167"/>
      <c r="BD198" s="167"/>
      <c r="BE198" s="167"/>
      <c r="BF198" s="167"/>
      <c r="BG198" s="167"/>
      <c r="BH198" s="167"/>
      <c r="BI198" s="167"/>
      <c r="BJ198" s="167"/>
      <c r="BK198" s="167"/>
      <c r="BL198" s="167"/>
      <c r="BM198" s="167"/>
      <c r="BN198" s="167"/>
      <c r="BO198" s="167"/>
      <c r="BP198" s="167"/>
      <c r="BQ198" s="167"/>
      <c r="BR198" s="167"/>
      <c r="BS198" s="167"/>
      <c r="BT198" s="167"/>
      <c r="BU198" s="167"/>
      <c r="BV198" s="167"/>
      <c r="BW198" s="167"/>
      <c r="BX198" s="167"/>
      <c r="BY198" s="167"/>
      <c r="BZ198" s="167"/>
      <c r="CA198" s="167"/>
      <c r="CB198" s="167"/>
      <c r="CC198" s="167"/>
      <c r="CD198" s="167"/>
      <c r="CE198" s="167"/>
      <c r="CF198" s="167"/>
      <c r="CG198" s="167"/>
      <c r="CH198" s="167"/>
      <c r="CI198" s="167"/>
      <c r="CJ198" s="167"/>
      <c r="CK198" s="167"/>
      <c r="CL198" s="167"/>
      <c r="CM198" s="167"/>
      <c r="CN198" s="167"/>
      <c r="CO198" s="167"/>
      <c r="CP198" s="167"/>
      <c r="CQ198" s="167"/>
    </row>
    <row r="199" spans="9:95" ht="16" customHeight="1">
      <c r="I199" s="57"/>
      <c r="J199" s="57"/>
      <c r="K199" s="57"/>
      <c r="L199" s="57"/>
      <c r="M199" s="57"/>
      <c r="N199" s="57"/>
      <c r="O199" s="57"/>
      <c r="P199" s="881"/>
      <c r="Q199" s="57"/>
      <c r="R199" s="57"/>
      <c r="S199" s="250"/>
      <c r="T199" s="221"/>
      <c r="U199" s="221"/>
      <c r="V199" s="277"/>
      <c r="W199" s="57"/>
      <c r="X199" s="57"/>
      <c r="Y199" s="57"/>
      <c r="Z199" s="57"/>
      <c r="AA199" s="221"/>
      <c r="AB199" s="918"/>
      <c r="AC199" s="57"/>
      <c r="AD199" s="57"/>
      <c r="AE199" s="250"/>
      <c r="AF199" s="221"/>
      <c r="AG199" s="57"/>
      <c r="AH199" s="57"/>
      <c r="AI199" s="57"/>
      <c r="AJ199" s="57"/>
      <c r="AK199" s="57"/>
      <c r="AL199" s="57"/>
      <c r="AM199" s="57"/>
      <c r="AN199" s="57"/>
      <c r="AO199" s="57"/>
      <c r="AP199" s="57"/>
      <c r="AQ199" s="57"/>
      <c r="AT199" s="167"/>
      <c r="AU199" s="167"/>
      <c r="AV199" s="167"/>
      <c r="AW199" s="167"/>
      <c r="AX199" s="167"/>
      <c r="AY199" s="167"/>
      <c r="AZ199" s="167"/>
      <c r="BA199" s="167"/>
      <c r="BB199" s="167"/>
      <c r="BC199" s="167"/>
      <c r="BD199" s="167"/>
      <c r="BE199" s="167"/>
      <c r="BF199" s="167"/>
      <c r="BG199" s="167"/>
      <c r="BH199" s="167"/>
      <c r="BI199" s="167"/>
      <c r="BJ199" s="167"/>
      <c r="BK199" s="167"/>
      <c r="BL199" s="167"/>
      <c r="BM199" s="167"/>
      <c r="BN199" s="167"/>
      <c r="BO199" s="167"/>
      <c r="BP199" s="167"/>
      <c r="BQ199" s="167"/>
      <c r="BR199" s="167"/>
      <c r="BS199" s="167"/>
      <c r="BT199" s="167"/>
      <c r="BU199" s="167"/>
      <c r="BV199" s="167"/>
      <c r="BW199" s="167"/>
      <c r="BX199" s="167"/>
      <c r="BY199" s="167"/>
      <c r="BZ199" s="167"/>
      <c r="CA199" s="167"/>
      <c r="CB199" s="167"/>
      <c r="CC199" s="167"/>
      <c r="CD199" s="167"/>
      <c r="CE199" s="167"/>
      <c r="CF199" s="167"/>
      <c r="CG199" s="167"/>
      <c r="CH199" s="167"/>
      <c r="CI199" s="167"/>
      <c r="CJ199" s="167"/>
      <c r="CK199" s="167"/>
      <c r="CL199" s="167"/>
      <c r="CM199" s="167"/>
      <c r="CN199" s="167"/>
      <c r="CO199" s="167"/>
      <c r="CP199" s="167"/>
      <c r="CQ199" s="167"/>
    </row>
    <row r="200" spans="9:95" ht="16" customHeight="1">
      <c r="I200" s="57"/>
      <c r="J200" s="57"/>
      <c r="K200" s="57"/>
      <c r="L200" s="57"/>
      <c r="M200" s="57"/>
      <c r="N200" s="57"/>
      <c r="O200" s="57"/>
      <c r="P200" s="881"/>
      <c r="Q200" s="57"/>
      <c r="R200" s="57"/>
      <c r="S200" s="250"/>
      <c r="T200" s="221"/>
      <c r="U200" s="221"/>
      <c r="V200" s="277"/>
      <c r="W200" s="57"/>
      <c r="X200" s="57"/>
      <c r="Y200" s="57"/>
      <c r="Z200" s="57"/>
      <c r="AA200" s="221"/>
      <c r="AB200" s="918"/>
      <c r="AC200" s="57"/>
      <c r="AD200" s="57"/>
      <c r="AE200" s="250"/>
      <c r="AF200" s="221"/>
      <c r="AG200" s="57"/>
      <c r="AH200" s="57"/>
      <c r="AI200" s="57"/>
      <c r="AJ200" s="57"/>
      <c r="AK200" s="57"/>
      <c r="AL200" s="57"/>
      <c r="AM200" s="57"/>
      <c r="AN200" s="57"/>
      <c r="AO200" s="57"/>
      <c r="AP200" s="57"/>
      <c r="AQ200" s="57"/>
      <c r="AT200" s="167"/>
      <c r="AU200" s="167"/>
      <c r="AV200" s="167"/>
      <c r="AW200" s="167"/>
      <c r="AX200" s="167"/>
      <c r="AY200" s="167"/>
      <c r="AZ200" s="167"/>
      <c r="BA200" s="167"/>
      <c r="BB200" s="167"/>
      <c r="BC200" s="167"/>
      <c r="BD200" s="167"/>
      <c r="BE200" s="167"/>
      <c r="BF200" s="167"/>
      <c r="BG200" s="167"/>
      <c r="BH200" s="167"/>
      <c r="BI200" s="167"/>
      <c r="BJ200" s="167"/>
      <c r="BK200" s="167"/>
      <c r="BL200" s="167"/>
      <c r="BM200" s="167"/>
      <c r="BN200" s="167"/>
      <c r="BO200" s="167"/>
      <c r="BP200" s="167"/>
      <c r="BQ200" s="167"/>
      <c r="BR200" s="167"/>
      <c r="BS200" s="167"/>
      <c r="BT200" s="167"/>
      <c r="BU200" s="167"/>
      <c r="BV200" s="167"/>
      <c r="BW200" s="167"/>
      <c r="BX200" s="167"/>
      <c r="BY200" s="167"/>
      <c r="BZ200" s="167"/>
      <c r="CA200" s="167"/>
      <c r="CB200" s="167"/>
      <c r="CC200" s="167"/>
      <c r="CD200" s="167"/>
      <c r="CE200" s="167"/>
      <c r="CF200" s="167"/>
      <c r="CG200" s="167"/>
      <c r="CH200" s="167"/>
      <c r="CI200" s="167"/>
      <c r="CJ200" s="167"/>
      <c r="CK200" s="167"/>
      <c r="CL200" s="167"/>
      <c r="CM200" s="167"/>
      <c r="CN200" s="167"/>
      <c r="CO200" s="167"/>
      <c r="CP200" s="167"/>
      <c r="CQ200" s="167"/>
    </row>
    <row r="201" spans="9:95" ht="16" customHeight="1">
      <c r="I201" s="57"/>
      <c r="J201" s="57"/>
      <c r="K201" s="57"/>
      <c r="L201" s="57"/>
      <c r="M201" s="57"/>
      <c r="N201" s="57"/>
      <c r="O201" s="57"/>
      <c r="P201" s="881"/>
      <c r="Q201" s="57"/>
      <c r="R201" s="57"/>
      <c r="S201" s="250"/>
      <c r="T201" s="221"/>
      <c r="U201" s="221"/>
      <c r="V201" s="277"/>
      <c r="W201" s="57"/>
      <c r="X201" s="57"/>
      <c r="Y201" s="57"/>
      <c r="Z201" s="57"/>
      <c r="AA201" s="221"/>
      <c r="AB201" s="918"/>
      <c r="AC201" s="57"/>
      <c r="AD201" s="57"/>
      <c r="AE201" s="250"/>
      <c r="AF201" s="221"/>
      <c r="AG201" s="57"/>
      <c r="AH201" s="57"/>
      <c r="AI201" s="57"/>
      <c r="AJ201" s="57"/>
      <c r="AK201" s="57"/>
      <c r="AL201" s="57"/>
      <c r="AM201" s="57"/>
      <c r="AN201" s="57"/>
      <c r="AO201" s="57"/>
      <c r="AP201" s="57"/>
      <c r="AQ201" s="57"/>
      <c r="AT201" s="167"/>
      <c r="AU201" s="167"/>
      <c r="AV201" s="167"/>
      <c r="AW201" s="167"/>
      <c r="AX201" s="167"/>
      <c r="AY201" s="167"/>
      <c r="AZ201" s="167"/>
      <c r="BA201" s="167"/>
      <c r="BB201" s="167"/>
      <c r="BC201" s="167"/>
      <c r="BD201" s="167"/>
      <c r="BE201" s="167"/>
      <c r="BF201" s="167"/>
      <c r="BG201" s="167"/>
      <c r="BH201" s="167"/>
      <c r="BI201" s="167"/>
      <c r="BJ201" s="167"/>
      <c r="BK201" s="167"/>
      <c r="BL201" s="167"/>
      <c r="BM201" s="167"/>
      <c r="BN201" s="167"/>
      <c r="BO201" s="167"/>
      <c r="BP201" s="167"/>
      <c r="BQ201" s="167"/>
      <c r="BR201" s="167"/>
      <c r="BS201" s="167"/>
      <c r="BT201" s="167"/>
      <c r="BU201" s="167"/>
      <c r="BV201" s="167"/>
      <c r="BW201" s="167"/>
      <c r="BX201" s="167"/>
      <c r="BY201" s="167"/>
      <c r="BZ201" s="167"/>
      <c r="CA201" s="167"/>
      <c r="CB201" s="167"/>
      <c r="CC201" s="167"/>
      <c r="CD201" s="167"/>
      <c r="CE201" s="167"/>
      <c r="CF201" s="167"/>
      <c r="CG201" s="167"/>
      <c r="CH201" s="167"/>
      <c r="CI201" s="167"/>
      <c r="CJ201" s="167"/>
      <c r="CK201" s="167"/>
      <c r="CL201" s="167"/>
      <c r="CM201" s="167"/>
      <c r="CN201" s="167"/>
      <c r="CO201" s="167"/>
      <c r="CP201" s="167"/>
      <c r="CQ201" s="167"/>
    </row>
    <row r="202" spans="9:95" ht="16" customHeight="1">
      <c r="I202" s="57"/>
      <c r="J202" s="57"/>
      <c r="K202" s="57"/>
      <c r="L202" s="57"/>
      <c r="M202" s="57"/>
      <c r="N202" s="57"/>
      <c r="O202" s="57"/>
      <c r="P202" s="881"/>
      <c r="Q202" s="57"/>
      <c r="R202" s="57"/>
      <c r="S202" s="250"/>
      <c r="T202" s="221"/>
      <c r="U202" s="221"/>
      <c r="V202" s="277"/>
      <c r="W202" s="57"/>
      <c r="X202" s="57"/>
      <c r="Y202" s="57"/>
      <c r="Z202" s="57"/>
      <c r="AA202" s="221"/>
      <c r="AB202" s="918"/>
      <c r="AC202" s="57"/>
      <c r="AD202" s="57"/>
      <c r="AE202" s="250"/>
      <c r="AF202" s="221"/>
      <c r="AG202" s="57"/>
      <c r="AH202" s="57"/>
      <c r="AI202" s="57"/>
      <c r="AJ202" s="57"/>
      <c r="AK202" s="57"/>
      <c r="AL202" s="57"/>
      <c r="AM202" s="57"/>
      <c r="AN202" s="57"/>
      <c r="AO202" s="57"/>
      <c r="AP202" s="57"/>
      <c r="AQ202" s="57"/>
      <c r="AT202" s="167"/>
      <c r="AU202" s="167"/>
      <c r="AV202" s="167"/>
      <c r="AW202" s="167"/>
      <c r="AX202" s="167"/>
      <c r="AY202" s="167"/>
      <c r="AZ202" s="167"/>
      <c r="BA202" s="167"/>
      <c r="BB202" s="167"/>
      <c r="BC202" s="167"/>
      <c r="BD202" s="167"/>
      <c r="BE202" s="167"/>
      <c r="BF202" s="167"/>
      <c r="BG202" s="167"/>
      <c r="BH202" s="167"/>
      <c r="BI202" s="167"/>
      <c r="BJ202" s="167"/>
      <c r="BK202" s="167"/>
      <c r="BL202" s="167"/>
      <c r="BM202" s="167"/>
      <c r="BN202" s="167"/>
      <c r="BO202" s="167"/>
      <c r="BP202" s="167"/>
      <c r="BQ202" s="167"/>
      <c r="BR202" s="167"/>
      <c r="BS202" s="167"/>
      <c r="BT202" s="167"/>
      <c r="BU202" s="167"/>
      <c r="BV202" s="167"/>
      <c r="BW202" s="167"/>
      <c r="BX202" s="167"/>
      <c r="BY202" s="167"/>
      <c r="BZ202" s="167"/>
      <c r="CA202" s="167"/>
      <c r="CB202" s="167"/>
      <c r="CC202" s="167"/>
      <c r="CD202" s="167"/>
      <c r="CE202" s="167"/>
      <c r="CF202" s="167"/>
      <c r="CG202" s="167"/>
      <c r="CH202" s="167"/>
      <c r="CI202" s="167"/>
      <c r="CJ202" s="167"/>
      <c r="CK202" s="167"/>
      <c r="CL202" s="167"/>
      <c r="CM202" s="167"/>
      <c r="CN202" s="167"/>
      <c r="CO202" s="167"/>
      <c r="CP202" s="167"/>
      <c r="CQ202" s="167"/>
    </row>
    <row r="203" spans="9:95" ht="16" customHeight="1">
      <c r="I203" s="57"/>
      <c r="J203" s="57"/>
      <c r="K203" s="57"/>
      <c r="L203" s="57"/>
      <c r="M203" s="57"/>
      <c r="N203" s="57"/>
      <c r="O203" s="57"/>
      <c r="P203" s="881"/>
      <c r="Q203" s="57"/>
      <c r="R203" s="57"/>
      <c r="S203" s="250"/>
      <c r="T203" s="221"/>
      <c r="U203" s="221"/>
      <c r="V203" s="277"/>
      <c r="W203" s="57"/>
      <c r="X203" s="57"/>
      <c r="Y203" s="57"/>
      <c r="Z203" s="57"/>
      <c r="AA203" s="221"/>
      <c r="AB203" s="918"/>
      <c r="AC203" s="57"/>
      <c r="AD203" s="57"/>
      <c r="AE203" s="250"/>
      <c r="AF203" s="221"/>
      <c r="AG203" s="57"/>
      <c r="AH203" s="57"/>
      <c r="AI203" s="57"/>
      <c r="AJ203" s="57"/>
      <c r="AK203" s="57"/>
      <c r="AL203" s="57"/>
      <c r="AM203" s="57"/>
      <c r="AN203" s="57"/>
      <c r="AO203" s="57"/>
      <c r="AP203" s="57"/>
      <c r="AQ203" s="57"/>
      <c r="AT203" s="167"/>
      <c r="AU203" s="167"/>
      <c r="AV203" s="167"/>
      <c r="AW203" s="167"/>
      <c r="AX203" s="167"/>
      <c r="AY203" s="167"/>
      <c r="AZ203" s="167"/>
      <c r="BA203" s="167"/>
      <c r="BB203" s="167"/>
      <c r="BC203" s="167"/>
      <c r="BD203" s="167"/>
      <c r="BE203" s="167"/>
      <c r="BF203" s="167"/>
      <c r="BG203" s="167"/>
      <c r="BH203" s="167"/>
      <c r="BI203" s="167"/>
      <c r="BJ203" s="167"/>
      <c r="BK203" s="167"/>
      <c r="BL203" s="167"/>
      <c r="BM203" s="167"/>
      <c r="BN203" s="167"/>
      <c r="BO203" s="167"/>
      <c r="BP203" s="167"/>
      <c r="BQ203" s="167"/>
      <c r="BR203" s="167"/>
      <c r="BS203" s="167"/>
      <c r="BT203" s="167"/>
      <c r="BU203" s="167"/>
      <c r="BV203" s="167"/>
      <c r="BW203" s="167"/>
      <c r="BX203" s="167"/>
      <c r="BY203" s="167"/>
      <c r="BZ203" s="167"/>
      <c r="CA203" s="167"/>
      <c r="CB203" s="167"/>
      <c r="CC203" s="167"/>
      <c r="CD203" s="167"/>
      <c r="CE203" s="167"/>
      <c r="CF203" s="167"/>
      <c r="CG203" s="167"/>
      <c r="CH203" s="167"/>
      <c r="CI203" s="167"/>
      <c r="CJ203" s="167"/>
      <c r="CK203" s="167"/>
      <c r="CL203" s="167"/>
      <c r="CM203" s="167"/>
      <c r="CN203" s="167"/>
      <c r="CO203" s="167"/>
      <c r="CP203" s="167"/>
      <c r="CQ203" s="167"/>
    </row>
    <row r="204" spans="9:95" ht="16" customHeight="1">
      <c r="I204" s="57"/>
      <c r="J204" s="57"/>
      <c r="K204" s="57"/>
      <c r="L204" s="57"/>
      <c r="M204" s="57"/>
      <c r="N204" s="57"/>
      <c r="O204" s="57"/>
      <c r="P204" s="881"/>
      <c r="Q204" s="57"/>
      <c r="R204" s="57"/>
      <c r="S204" s="250"/>
      <c r="T204" s="221"/>
      <c r="U204" s="221"/>
      <c r="V204" s="277"/>
      <c r="W204" s="57"/>
      <c r="X204" s="57"/>
      <c r="Y204" s="57"/>
      <c r="Z204" s="57"/>
      <c r="AA204" s="221"/>
      <c r="AB204" s="918"/>
      <c r="AC204" s="57"/>
      <c r="AD204" s="57"/>
      <c r="AE204" s="250"/>
      <c r="AF204" s="221"/>
      <c r="AG204" s="57"/>
      <c r="AH204" s="57"/>
      <c r="AI204" s="57"/>
      <c r="AJ204" s="57"/>
      <c r="AK204" s="57"/>
      <c r="AL204" s="57"/>
      <c r="AM204" s="57"/>
      <c r="AN204" s="57"/>
      <c r="AO204" s="57"/>
      <c r="AP204" s="57"/>
      <c r="AQ204" s="57"/>
      <c r="AT204" s="167"/>
      <c r="AU204" s="167"/>
      <c r="AV204" s="167"/>
      <c r="AW204" s="167"/>
      <c r="AX204" s="167"/>
      <c r="AY204" s="167"/>
      <c r="AZ204" s="167"/>
      <c r="BA204" s="167"/>
      <c r="BB204" s="167"/>
      <c r="BC204" s="167"/>
      <c r="BD204" s="167"/>
      <c r="BE204" s="167"/>
      <c r="BF204" s="167"/>
      <c r="BG204" s="167"/>
      <c r="BH204" s="167"/>
      <c r="BI204" s="167"/>
      <c r="BJ204" s="167"/>
      <c r="BK204" s="167"/>
      <c r="BL204" s="167"/>
      <c r="BM204" s="167"/>
      <c r="BN204" s="167"/>
      <c r="BO204" s="167"/>
      <c r="BP204" s="167"/>
      <c r="BQ204" s="167"/>
      <c r="BR204" s="167"/>
      <c r="BS204" s="167"/>
      <c r="BT204" s="167"/>
      <c r="BU204" s="167"/>
      <c r="BV204" s="167"/>
      <c r="BW204" s="167"/>
      <c r="BX204" s="167"/>
      <c r="BY204" s="167"/>
      <c r="BZ204" s="167"/>
      <c r="CA204" s="167"/>
      <c r="CB204" s="167"/>
      <c r="CC204" s="167"/>
      <c r="CD204" s="167"/>
      <c r="CE204" s="167"/>
      <c r="CF204" s="167"/>
      <c r="CG204" s="167"/>
      <c r="CH204" s="167"/>
      <c r="CI204" s="167"/>
      <c r="CJ204" s="167"/>
      <c r="CK204" s="167"/>
      <c r="CL204" s="167"/>
      <c r="CM204" s="167"/>
      <c r="CN204" s="167"/>
      <c r="CO204" s="167"/>
      <c r="CP204" s="167"/>
      <c r="CQ204" s="167"/>
    </row>
    <row r="205" spans="9:95" ht="16" customHeight="1">
      <c r="I205" s="57"/>
      <c r="J205" s="57"/>
      <c r="K205" s="57"/>
      <c r="L205" s="57"/>
      <c r="M205" s="57"/>
      <c r="N205" s="57"/>
      <c r="O205" s="57"/>
      <c r="P205" s="881"/>
      <c r="Q205" s="57"/>
      <c r="R205" s="57"/>
      <c r="S205" s="250"/>
      <c r="T205" s="221"/>
      <c r="U205" s="221"/>
      <c r="V205" s="277"/>
      <c r="W205" s="57"/>
      <c r="X205" s="57"/>
      <c r="Y205" s="57"/>
      <c r="Z205" s="57"/>
      <c r="AA205" s="221"/>
      <c r="AB205" s="918"/>
      <c r="AC205" s="57"/>
      <c r="AD205" s="57"/>
      <c r="AE205" s="250"/>
      <c r="AF205" s="221"/>
      <c r="AG205" s="57"/>
      <c r="AH205" s="57"/>
      <c r="AI205" s="57"/>
      <c r="AJ205" s="57"/>
      <c r="AK205" s="57"/>
      <c r="AL205" s="57"/>
      <c r="AM205" s="57"/>
      <c r="AN205" s="57"/>
      <c r="AO205" s="57"/>
      <c r="AP205" s="57"/>
      <c r="AQ205" s="57"/>
      <c r="AT205" s="167"/>
      <c r="AU205" s="167"/>
      <c r="AV205" s="167"/>
      <c r="AW205" s="167"/>
      <c r="AX205" s="167"/>
      <c r="AY205" s="167"/>
      <c r="AZ205" s="167"/>
      <c r="BA205" s="167"/>
      <c r="BB205" s="167"/>
      <c r="BC205" s="167"/>
      <c r="BD205" s="167"/>
      <c r="BE205" s="167"/>
      <c r="BF205" s="167"/>
      <c r="BG205" s="167"/>
      <c r="BH205" s="167"/>
      <c r="BI205" s="167"/>
      <c r="BJ205" s="167"/>
      <c r="BK205" s="167"/>
      <c r="BL205" s="167"/>
      <c r="BM205" s="167"/>
      <c r="BN205" s="167"/>
      <c r="BO205" s="167"/>
      <c r="BP205" s="167"/>
      <c r="BQ205" s="167"/>
      <c r="BR205" s="167"/>
      <c r="BS205" s="167"/>
      <c r="BT205" s="167"/>
      <c r="BU205" s="167"/>
      <c r="BV205" s="167"/>
      <c r="BW205" s="167"/>
      <c r="BX205" s="167"/>
      <c r="BY205" s="167"/>
      <c r="BZ205" s="167"/>
      <c r="CA205" s="167"/>
      <c r="CB205" s="167"/>
      <c r="CC205" s="167"/>
      <c r="CD205" s="167"/>
      <c r="CE205" s="167"/>
      <c r="CF205" s="167"/>
      <c r="CG205" s="167"/>
      <c r="CH205" s="167"/>
      <c r="CI205" s="167"/>
      <c r="CJ205" s="167"/>
      <c r="CK205" s="167"/>
      <c r="CL205" s="167"/>
      <c r="CM205" s="167"/>
      <c r="CN205" s="167"/>
      <c r="CO205" s="167"/>
      <c r="CP205" s="167"/>
      <c r="CQ205" s="167"/>
    </row>
    <row r="206" spans="9:95" ht="16" customHeight="1">
      <c r="I206" s="57"/>
      <c r="J206" s="57"/>
      <c r="K206" s="57"/>
      <c r="L206" s="57"/>
      <c r="M206" s="57"/>
      <c r="N206" s="57"/>
      <c r="O206" s="57"/>
      <c r="P206" s="881"/>
      <c r="Q206" s="57"/>
      <c r="R206" s="57"/>
      <c r="S206" s="250"/>
      <c r="T206" s="221"/>
      <c r="U206" s="221"/>
      <c r="V206" s="277"/>
      <c r="W206" s="57"/>
      <c r="X206" s="57"/>
      <c r="Y206" s="57"/>
      <c r="Z206" s="57"/>
      <c r="AA206" s="221"/>
      <c r="AB206" s="918"/>
      <c r="AC206" s="57"/>
      <c r="AD206" s="57"/>
      <c r="AE206" s="250"/>
      <c r="AF206" s="221"/>
      <c r="AG206" s="57"/>
      <c r="AH206" s="57"/>
      <c r="AI206" s="57"/>
      <c r="AJ206" s="57"/>
      <c r="AK206" s="57"/>
      <c r="AL206" s="57"/>
      <c r="AM206" s="57"/>
      <c r="AN206" s="57"/>
      <c r="AO206" s="57"/>
      <c r="AP206" s="57"/>
      <c r="AQ206" s="57"/>
      <c r="AT206" s="167"/>
      <c r="AU206" s="167"/>
      <c r="AV206" s="167"/>
      <c r="AW206" s="167"/>
      <c r="AX206" s="167"/>
      <c r="AY206" s="167"/>
      <c r="AZ206" s="167"/>
      <c r="BA206" s="167"/>
      <c r="BB206" s="167"/>
      <c r="BC206" s="167"/>
      <c r="BD206" s="167"/>
      <c r="BE206" s="167"/>
      <c r="BF206" s="167"/>
      <c r="BG206" s="167"/>
      <c r="BH206" s="167"/>
      <c r="BI206" s="167"/>
      <c r="BJ206" s="167"/>
      <c r="BK206" s="167"/>
      <c r="BL206" s="167"/>
      <c r="BM206" s="167"/>
      <c r="BN206" s="167"/>
      <c r="BO206" s="167"/>
      <c r="BP206" s="167"/>
      <c r="BQ206" s="167"/>
      <c r="BR206" s="167"/>
      <c r="BS206" s="167"/>
      <c r="BT206" s="167"/>
      <c r="BU206" s="167"/>
      <c r="BV206" s="167"/>
      <c r="BW206" s="167"/>
      <c r="BX206" s="167"/>
      <c r="BY206" s="167"/>
      <c r="BZ206" s="167"/>
      <c r="CA206" s="167"/>
      <c r="CB206" s="167"/>
      <c r="CC206" s="167"/>
      <c r="CD206" s="167"/>
      <c r="CE206" s="167"/>
      <c r="CF206" s="167"/>
      <c r="CG206" s="167"/>
      <c r="CH206" s="167"/>
      <c r="CI206" s="167"/>
      <c r="CJ206" s="167"/>
      <c r="CK206" s="167"/>
      <c r="CL206" s="167"/>
      <c r="CM206" s="167"/>
      <c r="CN206" s="167"/>
      <c r="CO206" s="167"/>
      <c r="CP206" s="167"/>
      <c r="CQ206" s="167"/>
    </row>
    <row r="207" spans="9:95" ht="16" customHeight="1">
      <c r="I207" s="57"/>
      <c r="J207" s="57"/>
      <c r="K207" s="57"/>
      <c r="L207" s="57"/>
      <c r="M207" s="57"/>
      <c r="N207" s="57"/>
      <c r="O207" s="57"/>
      <c r="P207" s="881"/>
      <c r="Q207" s="57"/>
      <c r="R207" s="57"/>
      <c r="S207" s="250"/>
      <c r="T207" s="221"/>
      <c r="U207" s="221"/>
      <c r="V207" s="277"/>
      <c r="W207" s="57"/>
      <c r="X207" s="57"/>
      <c r="Y207" s="57"/>
      <c r="Z207" s="57"/>
      <c r="AA207" s="221"/>
      <c r="AB207" s="918"/>
      <c r="AC207" s="57"/>
      <c r="AD207" s="57"/>
      <c r="AE207" s="250"/>
      <c r="AF207" s="221"/>
      <c r="AG207" s="57"/>
      <c r="AH207" s="57"/>
      <c r="AI207" s="57"/>
      <c r="AJ207" s="57"/>
      <c r="AK207" s="57"/>
      <c r="AL207" s="57"/>
      <c r="AM207" s="57"/>
      <c r="AN207" s="57"/>
      <c r="AO207" s="57"/>
      <c r="AP207" s="57"/>
      <c r="AQ207" s="57"/>
      <c r="AT207" s="167"/>
      <c r="AU207" s="167"/>
      <c r="AV207" s="167"/>
      <c r="AW207" s="167"/>
      <c r="AX207" s="167"/>
      <c r="AY207" s="167"/>
      <c r="AZ207" s="167"/>
      <c r="BA207" s="167"/>
      <c r="BB207" s="167"/>
      <c r="BC207" s="167"/>
      <c r="BD207" s="167"/>
      <c r="BE207" s="167"/>
      <c r="BF207" s="167"/>
      <c r="BG207" s="167"/>
      <c r="BH207" s="167"/>
      <c r="BI207" s="167"/>
      <c r="BJ207" s="167"/>
      <c r="BK207" s="167"/>
      <c r="BL207" s="167"/>
      <c r="BM207" s="167"/>
      <c r="BN207" s="167"/>
      <c r="BO207" s="167"/>
      <c r="BP207" s="167"/>
      <c r="BQ207" s="167"/>
      <c r="BR207" s="167"/>
      <c r="BS207" s="167"/>
      <c r="BT207" s="167"/>
      <c r="BU207" s="167"/>
      <c r="BV207" s="167"/>
      <c r="BW207" s="167"/>
      <c r="BX207" s="167"/>
      <c r="BY207" s="167"/>
      <c r="BZ207" s="167"/>
      <c r="CA207" s="167"/>
      <c r="CB207" s="167"/>
      <c r="CC207" s="167"/>
      <c r="CD207" s="167"/>
      <c r="CE207" s="167"/>
      <c r="CF207" s="167"/>
      <c r="CG207" s="167"/>
      <c r="CH207" s="167"/>
      <c r="CI207" s="167"/>
      <c r="CJ207" s="167"/>
      <c r="CK207" s="167"/>
      <c r="CL207" s="167"/>
      <c r="CM207" s="167"/>
      <c r="CN207" s="167"/>
      <c r="CO207" s="167"/>
      <c r="CP207" s="167"/>
      <c r="CQ207" s="167"/>
    </row>
    <row r="208" spans="9:95" ht="16" customHeight="1">
      <c r="I208" s="57"/>
      <c r="J208" s="57"/>
      <c r="K208" s="57"/>
      <c r="L208" s="57"/>
      <c r="M208" s="57"/>
      <c r="N208" s="57"/>
      <c r="O208" s="57"/>
      <c r="P208" s="881"/>
      <c r="Q208" s="57"/>
      <c r="R208" s="57"/>
      <c r="S208" s="250"/>
      <c r="T208" s="221"/>
      <c r="U208" s="221"/>
      <c r="V208" s="277"/>
      <c r="W208" s="57"/>
      <c r="X208" s="57"/>
      <c r="Y208" s="57"/>
      <c r="Z208" s="57"/>
      <c r="AA208" s="221"/>
      <c r="AB208" s="918"/>
      <c r="AC208" s="57"/>
      <c r="AD208" s="57"/>
      <c r="AE208" s="250"/>
      <c r="AF208" s="221"/>
      <c r="AG208" s="57"/>
      <c r="AH208" s="57"/>
      <c r="AI208" s="57"/>
      <c r="AJ208" s="57"/>
      <c r="AK208" s="57"/>
      <c r="AL208" s="57"/>
      <c r="AM208" s="57"/>
      <c r="AN208" s="57"/>
      <c r="AO208" s="57"/>
      <c r="AP208" s="57"/>
      <c r="AQ208" s="57"/>
      <c r="AT208" s="167"/>
      <c r="AU208" s="167"/>
      <c r="AV208" s="167"/>
      <c r="AW208" s="167"/>
      <c r="AX208" s="167"/>
      <c r="AY208" s="167"/>
      <c r="AZ208" s="167"/>
      <c r="BA208" s="167"/>
      <c r="BB208" s="167"/>
      <c r="BC208" s="167"/>
      <c r="BD208" s="167"/>
      <c r="BE208" s="167"/>
      <c r="BF208" s="167"/>
      <c r="BG208" s="167"/>
      <c r="BH208" s="167"/>
      <c r="BI208" s="167"/>
      <c r="BJ208" s="167"/>
      <c r="BK208" s="167"/>
      <c r="BL208" s="167"/>
      <c r="BM208" s="167"/>
      <c r="BN208" s="167"/>
      <c r="BO208" s="167"/>
      <c r="BP208" s="167"/>
      <c r="BQ208" s="167"/>
      <c r="BR208" s="167"/>
      <c r="BS208" s="167"/>
      <c r="BT208" s="167"/>
      <c r="BU208" s="167"/>
      <c r="BV208" s="167"/>
      <c r="BW208" s="167"/>
      <c r="BX208" s="167"/>
      <c r="BY208" s="167"/>
      <c r="BZ208" s="167"/>
      <c r="CA208" s="167"/>
      <c r="CB208" s="167"/>
      <c r="CC208" s="167"/>
      <c r="CD208" s="167"/>
      <c r="CE208" s="167"/>
      <c r="CF208" s="167"/>
      <c r="CG208" s="167"/>
      <c r="CH208" s="167"/>
      <c r="CI208" s="167"/>
      <c r="CJ208" s="167"/>
      <c r="CK208" s="167"/>
      <c r="CL208" s="167"/>
      <c r="CM208" s="167"/>
      <c r="CN208" s="167"/>
      <c r="CO208" s="167"/>
      <c r="CP208" s="167"/>
      <c r="CQ208" s="167"/>
    </row>
    <row r="209" spans="9:95" ht="16" customHeight="1">
      <c r="I209" s="57"/>
      <c r="J209" s="57"/>
      <c r="K209" s="57"/>
      <c r="L209" s="57"/>
      <c r="M209" s="57"/>
      <c r="N209" s="57"/>
      <c r="O209" s="57"/>
      <c r="P209" s="881"/>
      <c r="Q209" s="57"/>
      <c r="R209" s="57"/>
      <c r="S209" s="250"/>
      <c r="T209" s="221"/>
      <c r="U209" s="221"/>
      <c r="V209" s="277"/>
      <c r="W209" s="57"/>
      <c r="X209" s="57"/>
      <c r="Y209" s="57"/>
      <c r="Z209" s="57"/>
      <c r="AA209" s="221"/>
      <c r="AB209" s="918"/>
      <c r="AC209" s="57"/>
      <c r="AD209" s="57"/>
      <c r="AE209" s="250"/>
      <c r="AF209" s="221"/>
      <c r="AG209" s="57"/>
      <c r="AH209" s="57"/>
      <c r="AI209" s="57"/>
      <c r="AJ209" s="57"/>
      <c r="AK209" s="57"/>
      <c r="AL209" s="57"/>
      <c r="AM209" s="57"/>
      <c r="AN209" s="57"/>
      <c r="AO209" s="57"/>
      <c r="AP209" s="57"/>
      <c r="AQ209" s="57"/>
      <c r="AT209" s="167"/>
      <c r="AU209" s="167"/>
      <c r="AV209" s="167"/>
      <c r="AW209" s="167"/>
      <c r="AX209" s="167"/>
      <c r="AY209" s="167"/>
      <c r="AZ209" s="167"/>
      <c r="BA209" s="167"/>
      <c r="BB209" s="167"/>
      <c r="BC209" s="167"/>
      <c r="BD209" s="167"/>
      <c r="BE209" s="167"/>
      <c r="BF209" s="167"/>
      <c r="BG209" s="167"/>
      <c r="BH209" s="167"/>
      <c r="BI209" s="167"/>
      <c r="BJ209" s="167"/>
      <c r="BK209" s="167"/>
      <c r="BL209" s="167"/>
      <c r="BM209" s="167"/>
      <c r="BN209" s="167"/>
      <c r="BO209" s="167"/>
      <c r="BP209" s="167"/>
      <c r="BQ209" s="167"/>
      <c r="BR209" s="167"/>
      <c r="BS209" s="167"/>
      <c r="BT209" s="167"/>
      <c r="BU209" s="167"/>
      <c r="BV209" s="167"/>
      <c r="BW209" s="167"/>
      <c r="BX209" s="167"/>
      <c r="BY209" s="167"/>
      <c r="BZ209" s="167"/>
      <c r="CA209" s="167"/>
      <c r="CB209" s="167"/>
      <c r="CC209" s="167"/>
      <c r="CD209" s="167"/>
      <c r="CE209" s="167"/>
      <c r="CF209" s="167"/>
      <c r="CG209" s="167"/>
      <c r="CH209" s="167"/>
      <c r="CI209" s="167"/>
      <c r="CJ209" s="167"/>
      <c r="CK209" s="167"/>
      <c r="CL209" s="167"/>
      <c r="CM209" s="167"/>
      <c r="CN209" s="167"/>
      <c r="CO209" s="167"/>
      <c r="CP209" s="167"/>
      <c r="CQ209" s="167"/>
    </row>
    <row r="210" spans="9:95" ht="16" customHeight="1">
      <c r="I210" s="57"/>
      <c r="J210" s="57"/>
      <c r="K210" s="57"/>
      <c r="L210" s="57"/>
      <c r="M210" s="57"/>
      <c r="N210" s="57"/>
      <c r="O210" s="57"/>
      <c r="P210" s="881"/>
      <c r="Q210" s="57"/>
      <c r="R210" s="57"/>
      <c r="S210" s="250"/>
      <c r="T210" s="221"/>
      <c r="U210" s="221"/>
      <c r="V210" s="277"/>
      <c r="W210" s="57"/>
      <c r="X210" s="57"/>
      <c r="Y210" s="57"/>
      <c r="Z210" s="57"/>
      <c r="AA210" s="221"/>
      <c r="AB210" s="918"/>
      <c r="AC210" s="57"/>
      <c r="AD210" s="57"/>
      <c r="AE210" s="250"/>
      <c r="AF210" s="221"/>
      <c r="AG210" s="57"/>
      <c r="AH210" s="57"/>
      <c r="AI210" s="57"/>
      <c r="AJ210" s="57"/>
      <c r="AK210" s="57"/>
      <c r="AL210" s="57"/>
      <c r="AM210" s="57"/>
      <c r="AN210" s="57"/>
      <c r="AO210" s="57"/>
      <c r="AP210" s="57"/>
      <c r="AQ210" s="57"/>
      <c r="AT210" s="167"/>
      <c r="AU210" s="167"/>
      <c r="AV210" s="167"/>
      <c r="AW210" s="167"/>
      <c r="AX210" s="167"/>
      <c r="AY210" s="167"/>
      <c r="AZ210" s="167"/>
      <c r="BA210" s="167"/>
      <c r="BB210" s="167"/>
      <c r="BC210" s="167"/>
      <c r="BD210" s="167"/>
      <c r="BE210" s="167"/>
      <c r="BF210" s="167"/>
      <c r="BG210" s="167"/>
      <c r="BH210" s="167"/>
      <c r="BI210" s="167"/>
      <c r="BJ210" s="167"/>
      <c r="BK210" s="167"/>
      <c r="BL210" s="167"/>
      <c r="BM210" s="167"/>
      <c r="BN210" s="167"/>
      <c r="BO210" s="167"/>
      <c r="BP210" s="167"/>
      <c r="BQ210" s="167"/>
      <c r="BR210" s="167"/>
      <c r="BS210" s="167"/>
      <c r="BT210" s="167"/>
      <c r="BU210" s="167"/>
      <c r="BV210" s="167"/>
      <c r="BW210" s="167"/>
      <c r="BX210" s="167"/>
      <c r="BY210" s="167"/>
      <c r="BZ210" s="167"/>
      <c r="CA210" s="167"/>
      <c r="CB210" s="167"/>
      <c r="CC210" s="167"/>
      <c r="CD210" s="167"/>
      <c r="CE210" s="167"/>
      <c r="CF210" s="167"/>
      <c r="CG210" s="167"/>
      <c r="CH210" s="167"/>
      <c r="CI210" s="167"/>
      <c r="CJ210" s="167"/>
      <c r="CK210" s="167"/>
      <c r="CL210" s="167"/>
      <c r="CM210" s="167"/>
      <c r="CN210" s="167"/>
      <c r="CO210" s="167"/>
      <c r="CP210" s="167"/>
      <c r="CQ210" s="167"/>
    </row>
    <row r="211" spans="9:95" ht="16" customHeight="1">
      <c r="I211" s="57"/>
      <c r="J211" s="57"/>
      <c r="K211" s="57"/>
      <c r="L211" s="57"/>
      <c r="M211" s="57"/>
      <c r="N211" s="57"/>
      <c r="O211" s="57"/>
      <c r="P211" s="881"/>
      <c r="Q211" s="57"/>
      <c r="R211" s="57"/>
      <c r="S211" s="250"/>
      <c r="T211" s="221"/>
      <c r="U211" s="221"/>
      <c r="V211" s="277"/>
      <c r="W211" s="57"/>
      <c r="X211" s="57"/>
      <c r="Y211" s="57"/>
      <c r="Z211" s="57"/>
      <c r="AA211" s="221"/>
      <c r="AB211" s="918"/>
      <c r="AC211" s="57"/>
      <c r="AD211" s="57"/>
      <c r="AE211" s="250"/>
      <c r="AF211" s="221"/>
      <c r="AG211" s="57"/>
      <c r="AH211" s="57"/>
      <c r="AI211" s="57"/>
      <c r="AJ211" s="57"/>
      <c r="AK211" s="57"/>
      <c r="AL211" s="57"/>
      <c r="AM211" s="57"/>
      <c r="AN211" s="57"/>
      <c r="AO211" s="57"/>
      <c r="AP211" s="57"/>
      <c r="AQ211" s="57"/>
      <c r="AT211" s="167"/>
      <c r="AU211" s="167"/>
      <c r="AV211" s="167"/>
      <c r="AW211" s="167"/>
      <c r="AX211" s="167"/>
      <c r="AY211" s="167"/>
      <c r="AZ211" s="167"/>
      <c r="BA211" s="167"/>
      <c r="BB211" s="167"/>
      <c r="BC211" s="167"/>
      <c r="BD211" s="167"/>
      <c r="BE211" s="167"/>
      <c r="BF211" s="167"/>
      <c r="BG211" s="167"/>
      <c r="BH211" s="167"/>
      <c r="BI211" s="167"/>
      <c r="BJ211" s="167"/>
      <c r="BK211" s="167"/>
      <c r="BL211" s="167"/>
      <c r="BM211" s="167"/>
      <c r="BN211" s="167"/>
      <c r="BO211" s="167"/>
      <c r="BP211" s="167"/>
      <c r="BQ211" s="167"/>
      <c r="BR211" s="167"/>
      <c r="BS211" s="167"/>
      <c r="BT211" s="167"/>
      <c r="BU211" s="167"/>
      <c r="BV211" s="167"/>
      <c r="BW211" s="167"/>
      <c r="BX211" s="167"/>
      <c r="BY211" s="167"/>
      <c r="BZ211" s="167"/>
      <c r="CA211" s="167"/>
      <c r="CB211" s="167"/>
      <c r="CC211" s="167"/>
      <c r="CD211" s="167"/>
      <c r="CE211" s="167"/>
      <c r="CF211" s="167"/>
      <c r="CG211" s="167"/>
      <c r="CH211" s="167"/>
      <c r="CI211" s="167"/>
      <c r="CJ211" s="167"/>
      <c r="CK211" s="167"/>
      <c r="CL211" s="167"/>
      <c r="CM211" s="167"/>
      <c r="CN211" s="167"/>
      <c r="CO211" s="167"/>
      <c r="CP211" s="167"/>
      <c r="CQ211" s="167"/>
    </row>
    <row r="212" spans="9:95" ht="16" customHeight="1">
      <c r="I212" s="57"/>
      <c r="J212" s="57"/>
      <c r="K212" s="57"/>
      <c r="L212" s="57"/>
      <c r="M212" s="57"/>
      <c r="N212" s="57"/>
      <c r="O212" s="57"/>
      <c r="P212" s="881"/>
      <c r="Q212" s="57"/>
      <c r="R212" s="57"/>
      <c r="S212" s="250"/>
      <c r="T212" s="221"/>
      <c r="U212" s="221"/>
      <c r="V212" s="277"/>
      <c r="W212" s="57"/>
      <c r="X212" s="57"/>
      <c r="Y212" s="57"/>
      <c r="Z212" s="57"/>
      <c r="AA212" s="221"/>
      <c r="AB212" s="918"/>
      <c r="AC212" s="57"/>
      <c r="AD212" s="57"/>
      <c r="AE212" s="250"/>
      <c r="AF212" s="221"/>
      <c r="AG212" s="57"/>
      <c r="AH212" s="57"/>
      <c r="AI212" s="57"/>
      <c r="AJ212" s="57"/>
      <c r="AK212" s="57"/>
      <c r="AL212" s="57"/>
      <c r="AM212" s="57"/>
      <c r="AN212" s="57"/>
      <c r="AO212" s="57"/>
      <c r="AP212" s="57"/>
      <c r="AQ212" s="57"/>
      <c r="AT212" s="167"/>
      <c r="AU212" s="167"/>
      <c r="AV212" s="167"/>
      <c r="AW212" s="167"/>
      <c r="AX212" s="167"/>
      <c r="AY212" s="167"/>
      <c r="AZ212" s="167"/>
      <c r="BA212" s="167"/>
      <c r="BB212" s="167"/>
      <c r="BC212" s="167"/>
      <c r="BD212" s="167"/>
      <c r="BE212" s="167"/>
      <c r="BF212" s="167"/>
      <c r="BG212" s="167"/>
      <c r="BH212" s="167"/>
      <c r="BI212" s="167"/>
      <c r="BJ212" s="167"/>
      <c r="BK212" s="167"/>
      <c r="BL212" s="167"/>
      <c r="BM212" s="167"/>
      <c r="BN212" s="167"/>
      <c r="BO212" s="167"/>
      <c r="BP212" s="167"/>
      <c r="BQ212" s="167"/>
      <c r="BR212" s="167"/>
      <c r="BS212" s="167"/>
      <c r="BT212" s="167"/>
      <c r="BU212" s="167"/>
      <c r="BV212" s="167"/>
      <c r="BW212" s="167"/>
      <c r="BX212" s="167"/>
      <c r="BY212" s="167"/>
      <c r="BZ212" s="167"/>
      <c r="CA212" s="167"/>
      <c r="CB212" s="167"/>
      <c r="CC212" s="167"/>
      <c r="CD212" s="167"/>
      <c r="CE212" s="167"/>
      <c r="CF212" s="167"/>
      <c r="CG212" s="167"/>
      <c r="CH212" s="167"/>
      <c r="CI212" s="167"/>
      <c r="CJ212" s="167"/>
      <c r="CK212" s="167"/>
      <c r="CL212" s="167"/>
      <c r="CM212" s="167"/>
      <c r="CN212" s="167"/>
      <c r="CO212" s="167"/>
      <c r="CP212" s="167"/>
      <c r="CQ212" s="167"/>
    </row>
    <row r="213" spans="9:95" ht="16" customHeight="1">
      <c r="I213" s="57"/>
      <c r="J213" s="57"/>
      <c r="K213" s="57"/>
      <c r="L213" s="57"/>
      <c r="M213" s="57"/>
      <c r="N213" s="57"/>
      <c r="O213" s="57"/>
      <c r="P213" s="881"/>
      <c r="Q213" s="57"/>
      <c r="R213" s="57"/>
      <c r="S213" s="250"/>
      <c r="T213" s="221"/>
      <c r="U213" s="221"/>
      <c r="V213" s="277"/>
      <c r="W213" s="57"/>
      <c r="X213" s="57"/>
      <c r="Y213" s="57"/>
      <c r="Z213" s="57"/>
      <c r="AA213" s="221"/>
      <c r="AB213" s="918"/>
      <c r="AC213" s="57"/>
      <c r="AD213" s="57"/>
      <c r="AE213" s="250"/>
      <c r="AF213" s="221"/>
      <c r="AG213" s="57"/>
      <c r="AH213" s="57"/>
      <c r="AI213" s="57"/>
      <c r="AJ213" s="57"/>
      <c r="AK213" s="57"/>
      <c r="AL213" s="57"/>
      <c r="AM213" s="57"/>
      <c r="AN213" s="57"/>
      <c r="AO213" s="57"/>
      <c r="AP213" s="57"/>
      <c r="AQ213" s="57"/>
      <c r="AT213" s="167"/>
      <c r="AU213" s="167"/>
      <c r="AV213" s="167"/>
      <c r="AW213" s="167"/>
      <c r="AX213" s="167"/>
      <c r="AY213" s="167"/>
      <c r="AZ213" s="167"/>
      <c r="BA213" s="167"/>
      <c r="BB213" s="167"/>
      <c r="BC213" s="167"/>
      <c r="BD213" s="167"/>
      <c r="BE213" s="167"/>
      <c r="BF213" s="167"/>
      <c r="BG213" s="167"/>
      <c r="BH213" s="167"/>
      <c r="BI213" s="167"/>
      <c r="BJ213" s="167"/>
      <c r="BK213" s="167"/>
      <c r="BL213" s="167"/>
      <c r="BM213" s="167"/>
      <c r="BN213" s="167"/>
      <c r="BO213" s="167"/>
      <c r="BP213" s="167"/>
      <c r="BQ213" s="167"/>
      <c r="BR213" s="167"/>
      <c r="BS213" s="167"/>
      <c r="BT213" s="167"/>
      <c r="BU213" s="167"/>
      <c r="BV213" s="167"/>
      <c r="BW213" s="167"/>
      <c r="BX213" s="167"/>
      <c r="BY213" s="167"/>
      <c r="BZ213" s="167"/>
      <c r="CA213" s="167"/>
      <c r="CB213" s="167"/>
      <c r="CC213" s="167"/>
      <c r="CD213" s="167"/>
      <c r="CE213" s="167"/>
      <c r="CF213" s="167"/>
      <c r="CG213" s="167"/>
      <c r="CH213" s="167"/>
      <c r="CI213" s="167"/>
      <c r="CJ213" s="167"/>
      <c r="CK213" s="167"/>
      <c r="CL213" s="167"/>
      <c r="CM213" s="167"/>
      <c r="CN213" s="167"/>
      <c r="CO213" s="167"/>
      <c r="CP213" s="167"/>
      <c r="CQ213" s="167"/>
    </row>
    <row r="214" spans="9:95" ht="16" customHeight="1">
      <c r="I214" s="57"/>
      <c r="J214" s="57"/>
      <c r="K214" s="57"/>
      <c r="L214" s="57"/>
      <c r="M214" s="57"/>
      <c r="N214" s="57"/>
      <c r="O214" s="57"/>
      <c r="P214" s="881"/>
      <c r="Q214" s="57"/>
      <c r="R214" s="57"/>
      <c r="S214" s="250"/>
      <c r="T214" s="221"/>
      <c r="U214" s="221"/>
      <c r="V214" s="277"/>
      <c r="W214" s="57"/>
      <c r="X214" s="57"/>
      <c r="Y214" s="57"/>
      <c r="Z214" s="57"/>
      <c r="AA214" s="221"/>
      <c r="AB214" s="918"/>
      <c r="AC214" s="57"/>
      <c r="AD214" s="57"/>
      <c r="AE214" s="250"/>
      <c r="AF214" s="221"/>
      <c r="AG214" s="57"/>
      <c r="AH214" s="57"/>
      <c r="AI214" s="57"/>
      <c r="AJ214" s="57"/>
      <c r="AK214" s="57"/>
      <c r="AL214" s="57"/>
      <c r="AM214" s="57"/>
      <c r="AN214" s="57"/>
      <c r="AO214" s="57"/>
      <c r="AP214" s="57"/>
      <c r="AQ214" s="57"/>
      <c r="AT214" s="167"/>
      <c r="AU214" s="167"/>
      <c r="AV214" s="167"/>
      <c r="AW214" s="167"/>
      <c r="AX214" s="167"/>
      <c r="AY214" s="167"/>
      <c r="AZ214" s="167"/>
      <c r="BA214" s="167"/>
      <c r="BB214" s="167"/>
      <c r="BC214" s="167"/>
      <c r="BD214" s="167"/>
      <c r="BE214" s="167"/>
      <c r="BF214" s="167"/>
      <c r="BG214" s="167"/>
      <c r="BH214" s="167"/>
      <c r="BI214" s="167"/>
      <c r="BJ214" s="167"/>
      <c r="BK214" s="167"/>
      <c r="BL214" s="167"/>
      <c r="BM214" s="167"/>
      <c r="BN214" s="167"/>
      <c r="BO214" s="167"/>
      <c r="BP214" s="167"/>
      <c r="BQ214" s="167"/>
      <c r="BR214" s="167"/>
      <c r="BS214" s="167"/>
      <c r="BT214" s="167"/>
      <c r="BU214" s="167"/>
      <c r="BV214" s="167"/>
      <c r="BW214" s="167"/>
      <c r="BX214" s="167"/>
      <c r="BY214" s="167"/>
      <c r="BZ214" s="167"/>
      <c r="CA214" s="167"/>
      <c r="CB214" s="167"/>
      <c r="CC214" s="167"/>
      <c r="CD214" s="167"/>
      <c r="CE214" s="167"/>
      <c r="CF214" s="167"/>
      <c r="CG214" s="167"/>
      <c r="CH214" s="167"/>
      <c r="CI214" s="167"/>
      <c r="CJ214" s="167"/>
      <c r="CK214" s="167"/>
      <c r="CL214" s="167"/>
      <c r="CM214" s="167"/>
      <c r="CN214" s="167"/>
      <c r="CO214" s="167"/>
      <c r="CP214" s="167"/>
      <c r="CQ214" s="167"/>
    </row>
    <row r="215" spans="9:95" ht="16" customHeight="1">
      <c r="I215" s="57"/>
      <c r="J215" s="57"/>
      <c r="K215" s="57"/>
      <c r="L215" s="57"/>
      <c r="M215" s="57"/>
      <c r="N215" s="57"/>
      <c r="O215" s="57"/>
      <c r="P215" s="881"/>
      <c r="Q215" s="57"/>
      <c r="R215" s="57"/>
      <c r="S215" s="250"/>
      <c r="T215" s="221"/>
      <c r="U215" s="221"/>
      <c r="V215" s="277"/>
      <c r="W215" s="57"/>
      <c r="X215" s="57"/>
      <c r="Y215" s="57"/>
      <c r="Z215" s="57"/>
      <c r="AA215" s="221"/>
      <c r="AB215" s="918"/>
      <c r="AC215" s="57"/>
      <c r="AD215" s="57"/>
      <c r="AE215" s="250"/>
      <c r="AF215" s="221"/>
      <c r="AG215" s="57"/>
      <c r="AH215" s="57"/>
      <c r="AI215" s="57"/>
      <c r="AJ215" s="57"/>
      <c r="AK215" s="57"/>
      <c r="AL215" s="57"/>
      <c r="AM215" s="57"/>
      <c r="AN215" s="57"/>
      <c r="AO215" s="57"/>
      <c r="AP215" s="57"/>
      <c r="AQ215" s="57"/>
      <c r="AT215" s="167"/>
      <c r="AU215" s="167"/>
      <c r="AV215" s="167"/>
      <c r="AW215" s="167"/>
      <c r="AX215" s="167"/>
      <c r="AY215" s="167"/>
      <c r="AZ215" s="167"/>
      <c r="BA215" s="167"/>
      <c r="BB215" s="167"/>
      <c r="BC215" s="167"/>
      <c r="BD215" s="167"/>
      <c r="BE215" s="167"/>
      <c r="BF215" s="167"/>
      <c r="BG215" s="167"/>
      <c r="BH215" s="167"/>
      <c r="BI215" s="167"/>
      <c r="BJ215" s="167"/>
      <c r="BK215" s="167"/>
      <c r="BL215" s="167"/>
      <c r="BM215" s="167"/>
      <c r="BN215" s="167"/>
      <c r="BO215" s="167"/>
      <c r="BP215" s="167"/>
      <c r="BQ215" s="167"/>
      <c r="BR215" s="167"/>
      <c r="BS215" s="167"/>
      <c r="BT215" s="167"/>
      <c r="BU215" s="167"/>
      <c r="BV215" s="167"/>
      <c r="BW215" s="167"/>
      <c r="BX215" s="167"/>
      <c r="BY215" s="167"/>
      <c r="BZ215" s="167"/>
      <c r="CA215" s="167"/>
      <c r="CB215" s="167"/>
      <c r="CC215" s="167"/>
      <c r="CD215" s="167"/>
      <c r="CE215" s="167"/>
      <c r="CF215" s="167"/>
      <c r="CG215" s="167"/>
      <c r="CH215" s="167"/>
      <c r="CI215" s="167"/>
      <c r="CJ215" s="167"/>
      <c r="CK215" s="167"/>
      <c r="CL215" s="167"/>
      <c r="CM215" s="167"/>
      <c r="CN215" s="167"/>
      <c r="CO215" s="167"/>
      <c r="CP215" s="167"/>
      <c r="CQ215" s="167"/>
    </row>
    <row r="216" spans="9:95" ht="16" customHeight="1">
      <c r="I216" s="57"/>
      <c r="J216" s="57"/>
      <c r="K216" s="57"/>
      <c r="L216" s="57"/>
      <c r="M216" s="57"/>
      <c r="N216" s="57"/>
      <c r="O216" s="57"/>
      <c r="P216" s="881"/>
      <c r="Q216" s="57"/>
      <c r="R216" s="57"/>
      <c r="S216" s="250"/>
      <c r="T216" s="221"/>
      <c r="U216" s="221"/>
      <c r="V216" s="277"/>
      <c r="W216" s="57"/>
      <c r="X216" s="57"/>
      <c r="Y216" s="57"/>
      <c r="Z216" s="57"/>
      <c r="AA216" s="221"/>
      <c r="AB216" s="918"/>
      <c r="AC216" s="57"/>
      <c r="AD216" s="57"/>
      <c r="AE216" s="250"/>
      <c r="AF216" s="221"/>
      <c r="AG216" s="57"/>
      <c r="AH216" s="57"/>
      <c r="AI216" s="57"/>
      <c r="AJ216" s="57"/>
      <c r="AK216" s="57"/>
      <c r="AL216" s="57"/>
      <c r="AM216" s="57"/>
      <c r="AN216" s="57"/>
      <c r="AO216" s="57"/>
      <c r="AP216" s="57"/>
      <c r="AQ216" s="57"/>
      <c r="AT216" s="167"/>
      <c r="AU216" s="167"/>
      <c r="AV216" s="167"/>
      <c r="AW216" s="167"/>
      <c r="AX216" s="167"/>
      <c r="AY216" s="167"/>
      <c r="AZ216" s="167"/>
      <c r="BA216" s="167"/>
      <c r="BB216" s="167"/>
      <c r="BC216" s="167"/>
      <c r="BD216" s="167"/>
      <c r="BE216" s="167"/>
      <c r="BF216" s="167"/>
      <c r="BG216" s="167"/>
      <c r="BH216" s="167"/>
      <c r="BI216" s="167"/>
      <c r="BJ216" s="167"/>
      <c r="BK216" s="167"/>
      <c r="BL216" s="167"/>
      <c r="BM216" s="167"/>
      <c r="BN216" s="167"/>
      <c r="BO216" s="167"/>
      <c r="BP216" s="167"/>
      <c r="BQ216" s="167"/>
      <c r="BR216" s="167"/>
      <c r="BS216" s="167"/>
      <c r="BT216" s="167"/>
      <c r="BU216" s="167"/>
      <c r="BV216" s="167"/>
      <c r="BW216" s="167"/>
      <c r="BX216" s="167"/>
      <c r="BY216" s="167"/>
      <c r="BZ216" s="167"/>
      <c r="CA216" s="167"/>
      <c r="CB216" s="167"/>
      <c r="CC216" s="167"/>
      <c r="CD216" s="167"/>
      <c r="CE216" s="167"/>
      <c r="CF216" s="167"/>
      <c r="CG216" s="167"/>
      <c r="CH216" s="167"/>
      <c r="CI216" s="167"/>
      <c r="CJ216" s="167"/>
      <c r="CK216" s="167"/>
      <c r="CL216" s="167"/>
      <c r="CM216" s="167"/>
      <c r="CN216" s="167"/>
      <c r="CO216" s="167"/>
      <c r="CP216" s="167"/>
      <c r="CQ216" s="167"/>
    </row>
    <row r="217" spans="9:95" ht="16" customHeight="1">
      <c r="I217" s="57"/>
      <c r="J217" s="57"/>
      <c r="K217" s="57"/>
      <c r="L217" s="57"/>
      <c r="M217" s="57"/>
      <c r="N217" s="57"/>
      <c r="O217" s="57"/>
      <c r="P217" s="881"/>
      <c r="Q217" s="57"/>
      <c r="R217" s="57"/>
      <c r="S217" s="250"/>
      <c r="T217" s="221"/>
      <c r="U217" s="221"/>
      <c r="V217" s="277"/>
      <c r="W217" s="57"/>
      <c r="X217" s="57"/>
      <c r="Y217" s="57"/>
      <c r="Z217" s="57"/>
      <c r="AA217" s="221"/>
      <c r="AB217" s="918"/>
      <c r="AC217" s="57"/>
      <c r="AD217" s="57"/>
      <c r="AE217" s="250"/>
      <c r="AF217" s="221"/>
      <c r="AG217" s="57"/>
      <c r="AH217" s="57"/>
      <c r="AI217" s="57"/>
      <c r="AJ217" s="57"/>
      <c r="AK217" s="57"/>
      <c r="AL217" s="57"/>
      <c r="AM217" s="57"/>
      <c r="AN217" s="57"/>
      <c r="AO217" s="57"/>
      <c r="AP217" s="57"/>
      <c r="AQ217" s="57"/>
      <c r="AT217" s="167"/>
      <c r="AU217" s="167"/>
      <c r="AV217" s="167"/>
      <c r="AW217" s="167"/>
      <c r="AX217" s="167"/>
      <c r="AY217" s="167"/>
      <c r="AZ217" s="167"/>
      <c r="BA217" s="167"/>
      <c r="BB217" s="167"/>
      <c r="BC217" s="167"/>
      <c r="BD217" s="167"/>
      <c r="BE217" s="167"/>
      <c r="BF217" s="167"/>
      <c r="BG217" s="167"/>
      <c r="BH217" s="167"/>
      <c r="BI217" s="167"/>
      <c r="BJ217" s="167"/>
      <c r="BK217" s="167"/>
      <c r="BL217" s="167"/>
      <c r="BM217" s="167"/>
      <c r="BN217" s="167"/>
      <c r="BO217" s="167"/>
      <c r="BP217" s="167"/>
      <c r="BQ217" s="167"/>
      <c r="BR217" s="167"/>
      <c r="BS217" s="167"/>
      <c r="BT217" s="167"/>
      <c r="BU217" s="167"/>
      <c r="BV217" s="167"/>
      <c r="BW217" s="167"/>
      <c r="BX217" s="167"/>
      <c r="BY217" s="167"/>
      <c r="BZ217" s="167"/>
      <c r="CA217" s="167"/>
      <c r="CB217" s="167"/>
      <c r="CC217" s="167"/>
      <c r="CD217" s="167"/>
      <c r="CE217" s="167"/>
      <c r="CF217" s="167"/>
      <c r="CG217" s="167"/>
      <c r="CH217" s="167"/>
      <c r="CI217" s="167"/>
      <c r="CJ217" s="167"/>
      <c r="CK217" s="167"/>
      <c r="CL217" s="167"/>
      <c r="CM217" s="167"/>
      <c r="CN217" s="167"/>
      <c r="CO217" s="167"/>
      <c r="CP217" s="167"/>
      <c r="CQ217" s="167"/>
    </row>
    <row r="218" spans="9:95" ht="16" customHeight="1">
      <c r="I218" s="57"/>
      <c r="J218" s="57"/>
      <c r="K218" s="57"/>
      <c r="L218" s="57"/>
      <c r="M218" s="57"/>
      <c r="N218" s="57"/>
      <c r="O218" s="57"/>
      <c r="P218" s="881"/>
      <c r="Q218" s="57"/>
      <c r="R218" s="57"/>
      <c r="S218" s="250"/>
      <c r="T218" s="221"/>
      <c r="U218" s="221"/>
      <c r="V218" s="277"/>
      <c r="W218" s="57"/>
      <c r="X218" s="57"/>
      <c r="Y218" s="57"/>
      <c r="Z218" s="57"/>
      <c r="AA218" s="221"/>
      <c r="AB218" s="918"/>
      <c r="AC218" s="57"/>
      <c r="AD218" s="57"/>
      <c r="AE218" s="250"/>
      <c r="AF218" s="221"/>
      <c r="AG218" s="57"/>
      <c r="AH218" s="57"/>
      <c r="AI218" s="57"/>
      <c r="AJ218" s="57"/>
      <c r="AK218" s="57"/>
      <c r="AL218" s="57"/>
      <c r="AM218" s="57"/>
      <c r="AN218" s="57"/>
      <c r="AO218" s="57"/>
      <c r="AP218" s="57"/>
      <c r="AQ218" s="57"/>
      <c r="AT218" s="167"/>
      <c r="AU218" s="167"/>
      <c r="AV218" s="167"/>
      <c r="AW218" s="167"/>
      <c r="AX218" s="167"/>
      <c r="AY218" s="167"/>
      <c r="AZ218" s="167"/>
      <c r="BA218" s="167"/>
      <c r="BB218" s="167"/>
      <c r="BC218" s="167"/>
      <c r="BD218" s="167"/>
      <c r="BE218" s="167"/>
      <c r="BF218" s="167"/>
      <c r="BG218" s="167"/>
      <c r="BH218" s="167"/>
      <c r="BI218" s="167"/>
      <c r="BJ218" s="167"/>
      <c r="BK218" s="167"/>
      <c r="BL218" s="167"/>
      <c r="BM218" s="167"/>
      <c r="BN218" s="167"/>
      <c r="BO218" s="167"/>
      <c r="BP218" s="167"/>
      <c r="BQ218" s="167"/>
      <c r="BR218" s="167"/>
      <c r="BS218" s="167"/>
      <c r="BT218" s="167"/>
      <c r="BU218" s="167"/>
      <c r="BV218" s="167"/>
      <c r="BW218" s="167"/>
      <c r="BX218" s="167"/>
      <c r="BY218" s="167"/>
      <c r="BZ218" s="167"/>
      <c r="CA218" s="167"/>
      <c r="CB218" s="167"/>
      <c r="CC218" s="167"/>
      <c r="CD218" s="167"/>
      <c r="CE218" s="167"/>
      <c r="CF218" s="167"/>
      <c r="CG218" s="167"/>
      <c r="CH218" s="167"/>
      <c r="CI218" s="167"/>
      <c r="CJ218" s="167"/>
      <c r="CK218" s="167"/>
      <c r="CL218" s="167"/>
      <c r="CM218" s="167"/>
      <c r="CN218" s="167"/>
      <c r="CO218" s="167"/>
      <c r="CP218" s="167"/>
      <c r="CQ218" s="167"/>
    </row>
    <row r="219" spans="9:95" ht="16" customHeight="1">
      <c r="I219" s="57"/>
      <c r="J219" s="57"/>
      <c r="K219" s="57"/>
      <c r="L219" s="57"/>
      <c r="M219" s="57"/>
      <c r="N219" s="57"/>
      <c r="O219" s="57"/>
      <c r="P219" s="881"/>
      <c r="Q219" s="57"/>
      <c r="R219" s="57"/>
      <c r="S219" s="250"/>
      <c r="T219" s="221"/>
      <c r="U219" s="221"/>
      <c r="V219" s="277"/>
      <c r="W219" s="57"/>
      <c r="X219" s="57"/>
      <c r="Y219" s="57"/>
      <c r="Z219" s="57"/>
      <c r="AA219" s="221"/>
      <c r="AB219" s="918"/>
      <c r="AC219" s="57"/>
      <c r="AD219" s="57"/>
      <c r="AE219" s="250"/>
      <c r="AF219" s="221"/>
      <c r="AG219" s="57"/>
      <c r="AH219" s="57"/>
      <c r="AI219" s="57"/>
      <c r="AJ219" s="57"/>
      <c r="AK219" s="57"/>
      <c r="AL219" s="57"/>
      <c r="AM219" s="57"/>
      <c r="AN219" s="57"/>
      <c r="AO219" s="57"/>
      <c r="AP219" s="57"/>
      <c r="AQ219" s="57"/>
      <c r="AT219" s="167"/>
      <c r="AU219" s="167"/>
      <c r="AV219" s="167"/>
      <c r="AW219" s="167"/>
      <c r="AX219" s="167"/>
      <c r="AY219" s="167"/>
      <c r="AZ219" s="167"/>
      <c r="BA219" s="167"/>
      <c r="BB219" s="167"/>
      <c r="BC219" s="167"/>
      <c r="BD219" s="167"/>
      <c r="BE219" s="167"/>
      <c r="BF219" s="167"/>
      <c r="BG219" s="167"/>
      <c r="BH219" s="167"/>
      <c r="BI219" s="167"/>
      <c r="BJ219" s="167"/>
      <c r="BK219" s="167"/>
      <c r="BL219" s="167"/>
      <c r="BM219" s="167"/>
      <c r="BN219" s="167"/>
      <c r="BO219" s="167"/>
      <c r="BP219" s="167"/>
      <c r="BQ219" s="167"/>
      <c r="BR219" s="167"/>
      <c r="BS219" s="167"/>
      <c r="BT219" s="167"/>
      <c r="BU219" s="167"/>
      <c r="BV219" s="167"/>
      <c r="BW219" s="167"/>
      <c r="BX219" s="167"/>
      <c r="BY219" s="167"/>
      <c r="BZ219" s="167"/>
      <c r="CA219" s="167"/>
      <c r="CB219" s="167"/>
      <c r="CC219" s="167"/>
      <c r="CD219" s="167"/>
      <c r="CE219" s="167"/>
      <c r="CF219" s="167"/>
      <c r="CG219" s="167"/>
      <c r="CH219" s="167"/>
      <c r="CI219" s="167"/>
      <c r="CJ219" s="167"/>
      <c r="CK219" s="167"/>
      <c r="CL219" s="167"/>
      <c r="CM219" s="167"/>
      <c r="CN219" s="167"/>
      <c r="CO219" s="167"/>
      <c r="CP219" s="167"/>
      <c r="CQ219" s="167"/>
    </row>
    <row r="220" spans="9:95" ht="16" customHeight="1">
      <c r="I220" s="57"/>
      <c r="J220" s="57"/>
      <c r="K220" s="57"/>
      <c r="L220" s="57"/>
      <c r="M220" s="57"/>
      <c r="N220" s="57"/>
      <c r="O220" s="57"/>
      <c r="P220" s="881"/>
      <c r="Q220" s="57"/>
      <c r="R220" s="57"/>
      <c r="S220" s="250"/>
      <c r="T220" s="221"/>
      <c r="U220" s="221"/>
      <c r="V220" s="277"/>
      <c r="W220" s="57"/>
      <c r="X220" s="57"/>
      <c r="Y220" s="57"/>
      <c r="Z220" s="57"/>
      <c r="AA220" s="221"/>
      <c r="AB220" s="918"/>
      <c r="AC220" s="57"/>
      <c r="AD220" s="57"/>
      <c r="AE220" s="250"/>
      <c r="AF220" s="221"/>
      <c r="AG220" s="57"/>
      <c r="AH220" s="57"/>
      <c r="AI220" s="57"/>
      <c r="AJ220" s="57"/>
      <c r="AK220" s="57"/>
      <c r="AL220" s="57"/>
      <c r="AM220" s="57"/>
      <c r="AN220" s="57"/>
      <c r="AO220" s="57"/>
      <c r="AP220" s="57"/>
      <c r="AQ220" s="57"/>
      <c r="AT220" s="167"/>
      <c r="AU220" s="167"/>
      <c r="AV220" s="167"/>
      <c r="AW220" s="167"/>
      <c r="AX220" s="167"/>
      <c r="AY220" s="167"/>
      <c r="AZ220" s="167"/>
      <c r="BA220" s="167"/>
      <c r="BB220" s="167"/>
      <c r="BC220" s="167"/>
      <c r="BD220" s="167"/>
      <c r="BE220" s="167"/>
      <c r="BF220" s="167"/>
      <c r="BG220" s="167"/>
      <c r="BH220" s="167"/>
      <c r="BI220" s="167"/>
      <c r="BJ220" s="167"/>
      <c r="BK220" s="167"/>
      <c r="BL220" s="167"/>
      <c r="BM220" s="167"/>
      <c r="BN220" s="167"/>
      <c r="BO220" s="167"/>
      <c r="BP220" s="167"/>
      <c r="BQ220" s="167"/>
      <c r="BR220" s="167"/>
      <c r="BS220" s="167"/>
      <c r="BT220" s="167"/>
      <c r="BU220" s="167"/>
      <c r="BV220" s="167"/>
      <c r="BW220" s="167"/>
      <c r="BX220" s="167"/>
      <c r="BY220" s="167"/>
      <c r="BZ220" s="167"/>
      <c r="CA220" s="167"/>
      <c r="CB220" s="167"/>
      <c r="CC220" s="167"/>
      <c r="CD220" s="167"/>
      <c r="CE220" s="167"/>
      <c r="CF220" s="167"/>
      <c r="CG220" s="167"/>
      <c r="CH220" s="167"/>
      <c r="CI220" s="167"/>
      <c r="CJ220" s="167"/>
      <c r="CK220" s="167"/>
      <c r="CL220" s="167"/>
      <c r="CM220" s="167"/>
      <c r="CN220" s="167"/>
      <c r="CO220" s="167"/>
      <c r="CP220" s="167"/>
      <c r="CQ220" s="167"/>
    </row>
    <row r="221" spans="9:95" ht="16" customHeight="1">
      <c r="I221" s="57"/>
      <c r="J221" s="57"/>
      <c r="K221" s="57"/>
      <c r="L221" s="57"/>
      <c r="M221" s="57"/>
      <c r="N221" s="57"/>
      <c r="O221" s="57"/>
      <c r="P221" s="881"/>
      <c r="Q221" s="57"/>
      <c r="R221" s="57"/>
      <c r="S221" s="250"/>
      <c r="T221" s="221"/>
      <c r="U221" s="221"/>
      <c r="V221" s="277"/>
      <c r="W221" s="57"/>
      <c r="X221" s="57"/>
      <c r="Y221" s="57"/>
      <c r="Z221" s="57"/>
      <c r="AA221" s="221"/>
      <c r="AB221" s="918"/>
      <c r="AC221" s="57"/>
      <c r="AD221" s="57"/>
      <c r="AE221" s="250"/>
      <c r="AF221" s="221"/>
      <c r="AG221" s="57"/>
      <c r="AH221" s="57"/>
      <c r="AI221" s="57"/>
      <c r="AJ221" s="57"/>
      <c r="AK221" s="57"/>
      <c r="AL221" s="57"/>
      <c r="AM221" s="57"/>
      <c r="AN221" s="57"/>
      <c r="AO221" s="57"/>
      <c r="AP221" s="57"/>
      <c r="AQ221" s="57"/>
      <c r="AT221" s="167"/>
      <c r="AU221" s="167"/>
      <c r="AV221" s="167"/>
      <c r="AW221" s="167"/>
      <c r="AX221" s="167"/>
      <c r="AY221" s="167"/>
      <c r="AZ221" s="167"/>
      <c r="BA221" s="167"/>
      <c r="BB221" s="167"/>
      <c r="BC221" s="167"/>
      <c r="BD221" s="167"/>
      <c r="BE221" s="167"/>
      <c r="BF221" s="167"/>
      <c r="BG221" s="167"/>
      <c r="BH221" s="167"/>
      <c r="BI221" s="167"/>
      <c r="BJ221" s="167"/>
      <c r="BK221" s="167"/>
      <c r="BL221" s="167"/>
      <c r="BM221" s="167"/>
      <c r="BN221" s="167"/>
      <c r="BO221" s="167"/>
      <c r="BP221" s="167"/>
      <c r="BQ221" s="167"/>
      <c r="BR221" s="167"/>
      <c r="BS221" s="167"/>
      <c r="BT221" s="167"/>
      <c r="BU221" s="167"/>
      <c r="BV221" s="167"/>
      <c r="BW221" s="167"/>
      <c r="BX221" s="167"/>
      <c r="BY221" s="167"/>
      <c r="BZ221" s="167"/>
      <c r="CA221" s="167"/>
      <c r="CB221" s="167"/>
      <c r="CC221" s="167"/>
      <c r="CD221" s="167"/>
      <c r="CE221" s="167"/>
      <c r="CF221" s="167"/>
      <c r="CG221" s="167"/>
      <c r="CH221" s="167"/>
      <c r="CI221" s="167"/>
      <c r="CJ221" s="167"/>
      <c r="CK221" s="167"/>
      <c r="CL221" s="167"/>
      <c r="CM221" s="167"/>
      <c r="CN221" s="167"/>
      <c r="CO221" s="167"/>
      <c r="CP221" s="167"/>
      <c r="CQ221" s="167"/>
    </row>
    <row r="222" spans="9:95" ht="16" customHeight="1">
      <c r="I222" s="57"/>
      <c r="J222" s="57"/>
      <c r="K222" s="57"/>
      <c r="L222" s="57"/>
      <c r="M222" s="57"/>
      <c r="N222" s="57"/>
      <c r="O222" s="57"/>
      <c r="P222" s="881"/>
      <c r="Q222" s="57"/>
      <c r="R222" s="57"/>
      <c r="S222" s="250"/>
      <c r="T222" s="221"/>
      <c r="U222" s="221"/>
      <c r="V222" s="277"/>
      <c r="W222" s="57"/>
      <c r="X222" s="57"/>
      <c r="Y222" s="57"/>
      <c r="Z222" s="57"/>
      <c r="AA222" s="221"/>
      <c r="AB222" s="918"/>
      <c r="AC222" s="57"/>
      <c r="AD222" s="57"/>
      <c r="AE222" s="250"/>
      <c r="AF222" s="221"/>
      <c r="AG222" s="57"/>
      <c r="AH222" s="57"/>
      <c r="AI222" s="57"/>
      <c r="AJ222" s="57"/>
      <c r="AK222" s="57"/>
      <c r="AL222" s="57"/>
      <c r="AM222" s="57"/>
      <c r="AN222" s="57"/>
      <c r="AO222" s="57"/>
      <c r="AP222" s="57"/>
      <c r="AQ222" s="57"/>
      <c r="AT222" s="167"/>
      <c r="AU222" s="167"/>
      <c r="AV222" s="167"/>
      <c r="AW222" s="167"/>
      <c r="AX222" s="167"/>
      <c r="AY222" s="167"/>
      <c r="AZ222" s="167"/>
      <c r="BA222" s="167"/>
      <c r="BB222" s="167"/>
      <c r="BC222" s="167"/>
      <c r="BD222" s="167"/>
      <c r="BE222" s="167"/>
      <c r="BF222" s="167"/>
      <c r="BG222" s="167"/>
      <c r="BH222" s="167"/>
      <c r="BI222" s="167"/>
      <c r="BJ222" s="167"/>
      <c r="BK222" s="167"/>
      <c r="BL222" s="167"/>
      <c r="BM222" s="167"/>
      <c r="BN222" s="167"/>
      <c r="BO222" s="167"/>
      <c r="BP222" s="167"/>
      <c r="BQ222" s="167"/>
      <c r="BR222" s="167"/>
      <c r="BS222" s="167"/>
      <c r="BT222" s="167"/>
      <c r="BU222" s="167"/>
      <c r="BV222" s="167"/>
      <c r="BW222" s="167"/>
      <c r="BX222" s="167"/>
      <c r="BY222" s="167"/>
      <c r="BZ222" s="167"/>
      <c r="CA222" s="167"/>
      <c r="CB222" s="167"/>
      <c r="CC222" s="167"/>
      <c r="CD222" s="167"/>
      <c r="CE222" s="167"/>
      <c r="CF222" s="167"/>
      <c r="CG222" s="167"/>
      <c r="CH222" s="167"/>
      <c r="CI222" s="167"/>
      <c r="CJ222" s="167"/>
      <c r="CK222" s="167"/>
      <c r="CL222" s="167"/>
      <c r="CM222" s="167"/>
      <c r="CN222" s="167"/>
      <c r="CO222" s="167"/>
      <c r="CP222" s="167"/>
      <c r="CQ222" s="167"/>
    </row>
    <row r="223" spans="9:95" ht="16" customHeight="1">
      <c r="I223" s="57"/>
      <c r="J223" s="57"/>
      <c r="K223" s="57"/>
      <c r="L223" s="57"/>
      <c r="M223" s="57"/>
      <c r="N223" s="57"/>
      <c r="O223" s="57"/>
      <c r="P223" s="881"/>
      <c r="Q223" s="57"/>
      <c r="R223" s="57"/>
      <c r="S223" s="250"/>
      <c r="T223" s="221"/>
      <c r="U223" s="221"/>
      <c r="V223" s="277"/>
      <c r="W223" s="57"/>
      <c r="X223" s="57"/>
      <c r="Y223" s="57"/>
      <c r="Z223" s="57"/>
      <c r="AA223" s="221"/>
      <c r="AB223" s="918"/>
      <c r="AC223" s="57"/>
      <c r="AD223" s="57"/>
      <c r="AE223" s="250"/>
      <c r="AF223" s="221"/>
      <c r="AG223" s="57"/>
      <c r="AH223" s="57"/>
      <c r="AI223" s="57"/>
      <c r="AJ223" s="57"/>
      <c r="AK223" s="57"/>
      <c r="AL223" s="57"/>
      <c r="AM223" s="57"/>
      <c r="AN223" s="57"/>
      <c r="AO223" s="57"/>
      <c r="AP223" s="57"/>
      <c r="AQ223" s="57"/>
      <c r="AT223" s="167"/>
      <c r="AU223" s="167"/>
      <c r="AV223" s="167"/>
      <c r="AW223" s="167"/>
      <c r="AX223" s="167"/>
      <c r="AY223" s="167"/>
      <c r="AZ223" s="167"/>
      <c r="BA223" s="167"/>
      <c r="BB223" s="167"/>
      <c r="BC223" s="167"/>
      <c r="BD223" s="167"/>
      <c r="BE223" s="167"/>
      <c r="BF223" s="167"/>
      <c r="BG223" s="167"/>
      <c r="BH223" s="167"/>
      <c r="BI223" s="167"/>
      <c r="BJ223" s="167"/>
      <c r="BK223" s="167"/>
      <c r="BL223" s="167"/>
      <c r="BM223" s="167"/>
      <c r="BN223" s="167"/>
      <c r="BO223" s="167"/>
      <c r="BP223" s="167"/>
      <c r="BQ223" s="167"/>
      <c r="BR223" s="167"/>
      <c r="BS223" s="167"/>
      <c r="BT223" s="167"/>
      <c r="BU223" s="167"/>
      <c r="BV223" s="167"/>
      <c r="BW223" s="167"/>
      <c r="BX223" s="167"/>
      <c r="BY223" s="167"/>
      <c r="BZ223" s="167"/>
      <c r="CA223" s="167"/>
      <c r="CB223" s="167"/>
      <c r="CC223" s="167"/>
      <c r="CD223" s="167"/>
      <c r="CE223" s="167"/>
      <c r="CF223" s="167"/>
      <c r="CG223" s="167"/>
      <c r="CH223" s="167"/>
      <c r="CI223" s="167"/>
      <c r="CJ223" s="167"/>
      <c r="CK223" s="167"/>
      <c r="CL223" s="167"/>
      <c r="CM223" s="167"/>
      <c r="CN223" s="167"/>
      <c r="CO223" s="167"/>
      <c r="CP223" s="167"/>
      <c r="CQ223" s="167"/>
    </row>
    <row r="224" spans="9:95" ht="16" customHeight="1">
      <c r="I224" s="57"/>
      <c r="J224" s="57"/>
      <c r="K224" s="57"/>
      <c r="L224" s="57"/>
      <c r="M224" s="57"/>
      <c r="N224" s="57"/>
      <c r="O224" s="57"/>
      <c r="P224" s="881"/>
      <c r="Q224" s="57"/>
      <c r="R224" s="57"/>
      <c r="S224" s="250"/>
      <c r="T224" s="221"/>
      <c r="U224" s="221"/>
      <c r="V224" s="277"/>
      <c r="W224" s="57"/>
      <c r="X224" s="57"/>
      <c r="Y224" s="57"/>
      <c r="Z224" s="57"/>
      <c r="AA224" s="221"/>
      <c r="AB224" s="918"/>
      <c r="AC224" s="57"/>
      <c r="AD224" s="57"/>
      <c r="AE224" s="250"/>
      <c r="AF224" s="221"/>
      <c r="AG224" s="57"/>
      <c r="AH224" s="57"/>
      <c r="AI224" s="57"/>
      <c r="AJ224" s="57"/>
      <c r="AK224" s="57"/>
      <c r="AL224" s="57"/>
      <c r="AM224" s="57"/>
      <c r="AN224" s="57"/>
      <c r="AO224" s="57"/>
      <c r="AP224" s="57"/>
      <c r="AQ224" s="57"/>
      <c r="AT224" s="167"/>
      <c r="AU224" s="167"/>
      <c r="AV224" s="167"/>
      <c r="AW224" s="167"/>
      <c r="AX224" s="167"/>
      <c r="AY224" s="167"/>
      <c r="AZ224" s="167"/>
      <c r="BA224" s="167"/>
      <c r="BB224" s="167"/>
      <c r="BC224" s="167"/>
      <c r="BD224" s="167"/>
      <c r="BE224" s="167"/>
      <c r="BF224" s="167"/>
      <c r="BG224" s="167"/>
      <c r="BH224" s="167"/>
      <c r="BI224" s="167"/>
      <c r="BJ224" s="167"/>
      <c r="BK224" s="167"/>
      <c r="BL224" s="167"/>
      <c r="BM224" s="167"/>
      <c r="BN224" s="167"/>
      <c r="BO224" s="167"/>
      <c r="BP224" s="167"/>
      <c r="BQ224" s="167"/>
      <c r="BR224" s="167"/>
      <c r="BS224" s="167"/>
      <c r="BT224" s="167"/>
      <c r="BU224" s="167"/>
      <c r="BV224" s="167"/>
      <c r="BW224" s="167"/>
      <c r="BX224" s="167"/>
      <c r="BY224" s="167"/>
      <c r="BZ224" s="167"/>
      <c r="CA224" s="167"/>
      <c r="CB224" s="167"/>
      <c r="CC224" s="167"/>
      <c r="CD224" s="167"/>
      <c r="CE224" s="167"/>
      <c r="CF224" s="167"/>
      <c r="CG224" s="167"/>
      <c r="CH224" s="167"/>
      <c r="CI224" s="167"/>
      <c r="CJ224" s="167"/>
      <c r="CK224" s="167"/>
      <c r="CL224" s="167"/>
      <c r="CM224" s="167"/>
      <c r="CN224" s="167"/>
      <c r="CO224" s="167"/>
      <c r="CP224" s="167"/>
      <c r="CQ224" s="167"/>
    </row>
    <row r="225" spans="9:95" ht="16" customHeight="1">
      <c r="I225" s="57"/>
      <c r="J225" s="57"/>
      <c r="K225" s="57"/>
      <c r="L225" s="57"/>
      <c r="M225" s="57"/>
      <c r="N225" s="57"/>
      <c r="O225" s="57"/>
      <c r="P225" s="881"/>
      <c r="Q225" s="57"/>
      <c r="R225" s="57"/>
      <c r="S225" s="250"/>
      <c r="T225" s="221"/>
      <c r="U225" s="221"/>
      <c r="V225" s="277"/>
      <c r="W225" s="57"/>
      <c r="X225" s="57"/>
      <c r="Y225" s="57"/>
      <c r="Z225" s="57"/>
      <c r="AA225" s="221"/>
      <c r="AB225" s="918"/>
      <c r="AC225" s="57"/>
      <c r="AD225" s="57"/>
      <c r="AE225" s="250"/>
      <c r="AF225" s="221"/>
      <c r="AG225" s="57"/>
      <c r="AH225" s="57"/>
      <c r="AI225" s="57"/>
      <c r="AJ225" s="57"/>
      <c r="AK225" s="57"/>
      <c r="AL225" s="57"/>
      <c r="AM225" s="57"/>
      <c r="AN225" s="57"/>
      <c r="AO225" s="57"/>
      <c r="AP225" s="57"/>
      <c r="AQ225" s="57"/>
      <c r="AT225" s="167"/>
      <c r="AU225" s="167"/>
      <c r="AV225" s="167"/>
      <c r="AW225" s="167"/>
      <c r="AX225" s="167"/>
      <c r="AY225" s="167"/>
      <c r="AZ225" s="167"/>
      <c r="BA225" s="167"/>
      <c r="BB225" s="167"/>
      <c r="BC225" s="167"/>
      <c r="BD225" s="167"/>
      <c r="BE225" s="167"/>
      <c r="BF225" s="167"/>
      <c r="BG225" s="167"/>
      <c r="BH225" s="167"/>
      <c r="BI225" s="167"/>
      <c r="BJ225" s="167"/>
      <c r="BK225" s="167"/>
      <c r="BL225" s="167"/>
      <c r="BM225" s="167"/>
      <c r="BN225" s="167"/>
      <c r="BO225" s="167"/>
      <c r="BP225" s="167"/>
      <c r="BQ225" s="167"/>
      <c r="BR225" s="167"/>
      <c r="BS225" s="167"/>
      <c r="BT225" s="167"/>
      <c r="BU225" s="167"/>
      <c r="BV225" s="167"/>
      <c r="BW225" s="167"/>
      <c r="BX225" s="167"/>
      <c r="BY225" s="167"/>
      <c r="BZ225" s="167"/>
      <c r="CA225" s="167"/>
      <c r="CB225" s="167"/>
      <c r="CC225" s="167"/>
      <c r="CD225" s="167"/>
      <c r="CE225" s="167"/>
      <c r="CF225" s="167"/>
      <c r="CG225" s="167"/>
      <c r="CH225" s="167"/>
      <c r="CI225" s="167"/>
      <c r="CJ225" s="167"/>
      <c r="CK225" s="167"/>
      <c r="CL225" s="167"/>
      <c r="CM225" s="167"/>
      <c r="CN225" s="167"/>
      <c r="CO225" s="167"/>
      <c r="CP225" s="167"/>
      <c r="CQ225" s="167"/>
    </row>
    <row r="226" spans="9:95" ht="16" customHeight="1">
      <c r="I226" s="57"/>
      <c r="J226" s="57"/>
      <c r="K226" s="57"/>
      <c r="L226" s="57"/>
      <c r="M226" s="57"/>
      <c r="N226" s="57"/>
      <c r="O226" s="57"/>
      <c r="P226" s="881"/>
      <c r="Q226" s="57"/>
      <c r="R226" s="57"/>
      <c r="S226" s="250"/>
      <c r="T226" s="221"/>
      <c r="U226" s="221"/>
      <c r="V226" s="277"/>
      <c r="W226" s="57"/>
      <c r="X226" s="57"/>
      <c r="Y226" s="57"/>
      <c r="Z226" s="57"/>
      <c r="AA226" s="221"/>
      <c r="AB226" s="918"/>
      <c r="AC226" s="57"/>
      <c r="AD226" s="57"/>
      <c r="AE226" s="250"/>
      <c r="AF226" s="221"/>
      <c r="AG226" s="57"/>
      <c r="AH226" s="57"/>
      <c r="AI226" s="57"/>
      <c r="AJ226" s="57"/>
      <c r="AK226" s="57"/>
      <c r="AL226" s="57"/>
      <c r="AM226" s="57"/>
      <c r="AN226" s="57"/>
      <c r="AO226" s="57"/>
      <c r="AP226" s="57"/>
      <c r="AQ226" s="57"/>
      <c r="AT226" s="167"/>
      <c r="AU226" s="167"/>
      <c r="AV226" s="167"/>
      <c r="AW226" s="167"/>
      <c r="AX226" s="167"/>
      <c r="AY226" s="167"/>
      <c r="AZ226" s="167"/>
      <c r="BA226" s="167"/>
      <c r="BB226" s="167"/>
      <c r="BC226" s="167"/>
      <c r="BD226" s="167"/>
      <c r="BE226" s="167"/>
      <c r="BF226" s="167"/>
      <c r="BG226" s="167"/>
      <c r="BH226" s="167"/>
      <c r="BI226" s="167"/>
      <c r="BJ226" s="167"/>
      <c r="BK226" s="167"/>
      <c r="BL226" s="167"/>
      <c r="BM226" s="167"/>
      <c r="BN226" s="167"/>
      <c r="BO226" s="167"/>
      <c r="BP226" s="167"/>
      <c r="BQ226" s="167"/>
      <c r="BR226" s="167"/>
      <c r="BS226" s="167"/>
      <c r="BT226" s="167"/>
      <c r="BU226" s="167"/>
      <c r="BV226" s="167"/>
      <c r="BW226" s="167"/>
      <c r="BX226" s="167"/>
      <c r="BY226" s="167"/>
      <c r="BZ226" s="167"/>
      <c r="CA226" s="167"/>
      <c r="CB226" s="167"/>
      <c r="CC226" s="167"/>
      <c r="CD226" s="167"/>
      <c r="CE226" s="167"/>
      <c r="CF226" s="167"/>
      <c r="CG226" s="167"/>
      <c r="CH226" s="167"/>
      <c r="CI226" s="167"/>
      <c r="CJ226" s="167"/>
      <c r="CK226" s="167"/>
      <c r="CL226" s="167"/>
      <c r="CM226" s="167"/>
      <c r="CN226" s="167"/>
      <c r="CO226" s="167"/>
      <c r="CP226" s="167"/>
      <c r="CQ226" s="167"/>
    </row>
    <row r="227" spans="9:95" ht="16" customHeight="1">
      <c r="I227" s="57"/>
      <c r="J227" s="57"/>
      <c r="K227" s="57"/>
      <c r="L227" s="57"/>
      <c r="M227" s="57"/>
      <c r="N227" s="57"/>
      <c r="O227" s="57"/>
      <c r="P227" s="881"/>
      <c r="Q227" s="57"/>
      <c r="R227" s="57"/>
      <c r="S227" s="250"/>
      <c r="T227" s="221"/>
      <c r="U227" s="221"/>
      <c r="V227" s="277"/>
      <c r="W227" s="57"/>
      <c r="X227" s="57"/>
      <c r="Y227" s="57"/>
      <c r="Z227" s="57"/>
      <c r="AA227" s="221"/>
      <c r="AB227" s="918"/>
      <c r="AC227" s="57"/>
      <c r="AD227" s="57"/>
      <c r="AE227" s="250"/>
      <c r="AF227" s="221"/>
      <c r="AG227" s="57"/>
      <c r="AH227" s="57"/>
      <c r="AI227" s="57"/>
      <c r="AJ227" s="57"/>
      <c r="AK227" s="57"/>
      <c r="AL227" s="57"/>
      <c r="AM227" s="57"/>
      <c r="AN227" s="57"/>
      <c r="AO227" s="57"/>
      <c r="AP227" s="57"/>
      <c r="AQ227" s="57"/>
      <c r="AT227" s="167"/>
      <c r="AU227" s="167"/>
      <c r="AV227" s="167"/>
      <c r="AW227" s="167"/>
      <c r="AX227" s="167"/>
      <c r="AY227" s="167"/>
      <c r="AZ227" s="167"/>
      <c r="BA227" s="167"/>
      <c r="BB227" s="167"/>
      <c r="BC227" s="167"/>
      <c r="BD227" s="167"/>
      <c r="BE227" s="167"/>
      <c r="BF227" s="167"/>
      <c r="BG227" s="167"/>
      <c r="BH227" s="167"/>
      <c r="BI227" s="167"/>
      <c r="BJ227" s="167"/>
      <c r="BK227" s="167"/>
      <c r="BL227" s="167"/>
      <c r="BM227" s="167"/>
      <c r="BN227" s="167"/>
      <c r="BO227" s="167"/>
      <c r="BP227" s="167"/>
      <c r="BQ227" s="167"/>
      <c r="BR227" s="167"/>
      <c r="BS227" s="167"/>
      <c r="BT227" s="167"/>
      <c r="BU227" s="167"/>
      <c r="BV227" s="167"/>
      <c r="BW227" s="167"/>
      <c r="BX227" s="167"/>
      <c r="BY227" s="167"/>
      <c r="BZ227" s="167"/>
      <c r="CA227" s="167"/>
      <c r="CB227" s="167"/>
      <c r="CC227" s="167"/>
      <c r="CD227" s="167"/>
      <c r="CE227" s="167"/>
      <c r="CF227" s="167"/>
      <c r="CG227" s="167"/>
      <c r="CH227" s="167"/>
      <c r="CI227" s="167"/>
      <c r="CJ227" s="167"/>
      <c r="CK227" s="167"/>
      <c r="CL227" s="167"/>
      <c r="CM227" s="167"/>
      <c r="CN227" s="167"/>
      <c r="CO227" s="167"/>
      <c r="CP227" s="167"/>
      <c r="CQ227" s="167"/>
    </row>
    <row r="228" spans="9:95" ht="16" customHeight="1">
      <c r="I228" s="57"/>
      <c r="J228" s="57"/>
      <c r="K228" s="57"/>
      <c r="L228" s="57"/>
      <c r="M228" s="57"/>
      <c r="N228" s="57"/>
      <c r="O228" s="57"/>
      <c r="P228" s="881"/>
      <c r="Q228" s="57"/>
      <c r="R228" s="57"/>
      <c r="S228" s="250"/>
      <c r="T228" s="221"/>
      <c r="U228" s="221"/>
      <c r="V228" s="277"/>
      <c r="W228" s="57"/>
      <c r="X228" s="57"/>
      <c r="Y228" s="57"/>
      <c r="Z228" s="57"/>
      <c r="AA228" s="221"/>
      <c r="AB228" s="918"/>
      <c r="AC228" s="57"/>
      <c r="AD228" s="57"/>
      <c r="AE228" s="250"/>
      <c r="AF228" s="221"/>
      <c r="AG228" s="57"/>
      <c r="AH228" s="57"/>
      <c r="AI228" s="57"/>
      <c r="AJ228" s="57"/>
      <c r="AK228" s="57"/>
      <c r="AL228" s="57"/>
      <c r="AM228" s="57"/>
      <c r="AN228" s="57"/>
      <c r="AO228" s="57"/>
      <c r="AP228" s="57"/>
      <c r="AQ228" s="57"/>
      <c r="AT228" s="167"/>
      <c r="AU228" s="167"/>
      <c r="AV228" s="167"/>
      <c r="AW228" s="167"/>
      <c r="AX228" s="167"/>
      <c r="AY228" s="167"/>
      <c r="AZ228" s="167"/>
      <c r="BA228" s="167"/>
      <c r="BB228" s="167"/>
      <c r="BC228" s="167"/>
      <c r="BD228" s="167"/>
      <c r="BE228" s="167"/>
      <c r="BF228" s="167"/>
      <c r="BG228" s="167"/>
      <c r="BH228" s="167"/>
      <c r="BI228" s="167"/>
      <c r="BJ228" s="167"/>
      <c r="BK228" s="167"/>
      <c r="BL228" s="167"/>
      <c r="BM228" s="167"/>
      <c r="BN228" s="167"/>
      <c r="BO228" s="167"/>
      <c r="BP228" s="167"/>
      <c r="BQ228" s="167"/>
      <c r="BR228" s="167"/>
      <c r="BS228" s="167"/>
      <c r="BT228" s="167"/>
      <c r="BU228" s="167"/>
      <c r="BV228" s="167"/>
      <c r="BW228" s="167"/>
      <c r="BX228" s="167"/>
      <c r="BY228" s="167"/>
      <c r="BZ228" s="167"/>
      <c r="CA228" s="167"/>
      <c r="CB228" s="167"/>
      <c r="CC228" s="167"/>
      <c r="CD228" s="167"/>
      <c r="CE228" s="167"/>
      <c r="CF228" s="167"/>
      <c r="CG228" s="167"/>
      <c r="CH228" s="167"/>
      <c r="CI228" s="167"/>
      <c r="CJ228" s="167"/>
      <c r="CK228" s="167"/>
      <c r="CL228" s="167"/>
      <c r="CM228" s="167"/>
      <c r="CN228" s="167"/>
      <c r="CO228" s="167"/>
      <c r="CP228" s="167"/>
      <c r="CQ228" s="167"/>
    </row>
    <row r="229" spans="9:95" ht="16" customHeight="1">
      <c r="I229" s="57"/>
      <c r="J229" s="57"/>
      <c r="K229" s="57"/>
      <c r="L229" s="57"/>
      <c r="M229" s="57"/>
      <c r="N229" s="57"/>
      <c r="O229" s="57"/>
      <c r="P229" s="881"/>
      <c r="Q229" s="57"/>
      <c r="R229" s="57"/>
      <c r="S229" s="250"/>
      <c r="T229" s="221"/>
      <c r="U229" s="221"/>
      <c r="V229" s="277"/>
      <c r="W229" s="57"/>
      <c r="X229" s="57"/>
      <c r="Y229" s="57"/>
      <c r="Z229" s="57"/>
      <c r="AA229" s="221"/>
      <c r="AB229" s="918"/>
      <c r="AC229" s="57"/>
      <c r="AD229" s="57"/>
      <c r="AE229" s="250"/>
      <c r="AF229" s="221"/>
      <c r="AG229" s="57"/>
      <c r="AH229" s="57"/>
      <c r="AI229" s="57"/>
      <c r="AJ229" s="57"/>
      <c r="AK229" s="57"/>
      <c r="AL229" s="57"/>
      <c r="AM229" s="57"/>
      <c r="AN229" s="57"/>
      <c r="AO229" s="57"/>
      <c r="AP229" s="57"/>
      <c r="AQ229" s="57"/>
      <c r="AT229" s="167"/>
      <c r="AU229" s="167"/>
      <c r="AV229" s="167"/>
      <c r="AW229" s="167"/>
      <c r="AX229" s="167"/>
      <c r="AY229" s="167"/>
      <c r="AZ229" s="167"/>
      <c r="BA229" s="167"/>
      <c r="BB229" s="167"/>
      <c r="BC229" s="167"/>
      <c r="BD229" s="167"/>
      <c r="BE229" s="167"/>
      <c r="BF229" s="167"/>
      <c r="BG229" s="167"/>
      <c r="BH229" s="167"/>
      <c r="BI229" s="167"/>
      <c r="BJ229" s="167"/>
      <c r="BK229" s="167"/>
      <c r="BL229" s="167"/>
      <c r="BM229" s="167"/>
      <c r="BN229" s="167"/>
      <c r="BO229" s="167"/>
      <c r="BP229" s="167"/>
      <c r="BQ229" s="167"/>
      <c r="BR229" s="167"/>
      <c r="BS229" s="167"/>
      <c r="BT229" s="167"/>
      <c r="BU229" s="167"/>
      <c r="BV229" s="167"/>
      <c r="BW229" s="167"/>
      <c r="BX229" s="167"/>
      <c r="BY229" s="167"/>
      <c r="BZ229" s="167"/>
      <c r="CA229" s="167"/>
      <c r="CB229" s="167"/>
      <c r="CC229" s="167"/>
      <c r="CD229" s="167"/>
      <c r="CE229" s="167"/>
      <c r="CF229" s="167"/>
      <c r="CG229" s="167"/>
      <c r="CH229" s="167"/>
      <c r="CI229" s="167"/>
      <c r="CJ229" s="167"/>
      <c r="CK229" s="167"/>
      <c r="CL229" s="167"/>
      <c r="CM229" s="167"/>
      <c r="CN229" s="167"/>
      <c r="CO229" s="167"/>
      <c r="CP229" s="167"/>
      <c r="CQ229" s="167"/>
    </row>
    <row r="230" spans="9:95" ht="16" customHeight="1">
      <c r="I230" s="57"/>
      <c r="J230" s="57"/>
      <c r="K230" s="57"/>
      <c r="L230" s="57"/>
      <c r="M230" s="57"/>
      <c r="N230" s="57"/>
      <c r="O230" s="57"/>
      <c r="P230" s="881"/>
      <c r="Q230" s="57"/>
      <c r="R230" s="57"/>
      <c r="S230" s="250"/>
      <c r="T230" s="221"/>
      <c r="U230" s="221"/>
      <c r="V230" s="277"/>
      <c r="W230" s="57"/>
      <c r="X230" s="57"/>
      <c r="Y230" s="57"/>
      <c r="Z230" s="57"/>
      <c r="AA230" s="221"/>
      <c r="AB230" s="918"/>
      <c r="AC230" s="57"/>
      <c r="AD230" s="57"/>
      <c r="AE230" s="250"/>
      <c r="AF230" s="221"/>
      <c r="AG230" s="57"/>
      <c r="AH230" s="57"/>
      <c r="AI230" s="57"/>
      <c r="AJ230" s="57"/>
      <c r="AK230" s="57"/>
      <c r="AL230" s="57"/>
      <c r="AM230" s="57"/>
      <c r="AN230" s="57"/>
      <c r="AO230" s="57"/>
      <c r="AP230" s="57"/>
      <c r="AQ230" s="57"/>
      <c r="AT230" s="167"/>
      <c r="AU230" s="167"/>
      <c r="AV230" s="167"/>
      <c r="AW230" s="167"/>
      <c r="AX230" s="167"/>
      <c r="AY230" s="167"/>
      <c r="AZ230" s="167"/>
      <c r="BA230" s="167"/>
      <c r="BB230" s="167"/>
      <c r="BC230" s="167"/>
      <c r="BD230" s="167"/>
      <c r="BE230" s="167"/>
      <c r="BF230" s="167"/>
      <c r="BG230" s="167"/>
      <c r="BH230" s="167"/>
      <c r="BI230" s="167"/>
      <c r="BJ230" s="167"/>
      <c r="BK230" s="167"/>
      <c r="BL230" s="167"/>
      <c r="BM230" s="167"/>
      <c r="BN230" s="167"/>
      <c r="BO230" s="167"/>
      <c r="BP230" s="167"/>
      <c r="BQ230" s="167"/>
      <c r="BR230" s="167"/>
      <c r="BS230" s="167"/>
      <c r="BT230" s="167"/>
      <c r="BU230" s="167"/>
      <c r="BV230" s="167"/>
      <c r="BW230" s="167"/>
      <c r="BX230" s="167"/>
      <c r="BY230" s="167"/>
      <c r="BZ230" s="167"/>
      <c r="CA230" s="167"/>
      <c r="CB230" s="167"/>
      <c r="CC230" s="167"/>
      <c r="CD230" s="167"/>
      <c r="CE230" s="167"/>
      <c r="CF230" s="167"/>
      <c r="CG230" s="167"/>
      <c r="CH230" s="167"/>
      <c r="CI230" s="167"/>
      <c r="CJ230" s="167"/>
      <c r="CK230" s="167"/>
      <c r="CL230" s="167"/>
      <c r="CM230" s="167"/>
      <c r="CN230" s="167"/>
      <c r="CO230" s="167"/>
      <c r="CP230" s="167"/>
      <c r="CQ230" s="167"/>
    </row>
    <row r="231" spans="9:95" ht="16" customHeight="1">
      <c r="I231" s="57"/>
      <c r="J231" s="57"/>
      <c r="K231" s="57"/>
      <c r="L231" s="57"/>
      <c r="M231" s="57"/>
      <c r="N231" s="57"/>
      <c r="O231" s="57"/>
      <c r="P231" s="881"/>
      <c r="Q231" s="57"/>
      <c r="R231" s="57"/>
      <c r="S231" s="250"/>
      <c r="T231" s="221"/>
      <c r="U231" s="221"/>
      <c r="V231" s="277"/>
      <c r="W231" s="57"/>
      <c r="X231" s="57"/>
      <c r="Y231" s="57"/>
      <c r="Z231" s="57"/>
      <c r="AA231" s="221"/>
      <c r="AB231" s="918"/>
      <c r="AC231" s="57"/>
      <c r="AD231" s="57"/>
      <c r="AE231" s="250"/>
      <c r="AF231" s="221"/>
      <c r="AG231" s="57"/>
      <c r="AH231" s="57"/>
      <c r="AI231" s="57"/>
      <c r="AJ231" s="57"/>
      <c r="AK231" s="57"/>
      <c r="AL231" s="57"/>
      <c r="AM231" s="57"/>
      <c r="AN231" s="57"/>
      <c r="AO231" s="57"/>
      <c r="AP231" s="57"/>
      <c r="AQ231" s="57"/>
      <c r="AT231" s="167"/>
      <c r="AU231" s="167"/>
      <c r="AV231" s="167"/>
      <c r="AW231" s="167"/>
      <c r="AX231" s="167"/>
      <c r="AY231" s="167"/>
      <c r="AZ231" s="167"/>
      <c r="BA231" s="167"/>
      <c r="BB231" s="167"/>
      <c r="BC231" s="167"/>
      <c r="BD231" s="167"/>
      <c r="BE231" s="167"/>
      <c r="BF231" s="167"/>
      <c r="BG231" s="167"/>
      <c r="BH231" s="167"/>
      <c r="BI231" s="167"/>
      <c r="BJ231" s="167"/>
      <c r="BK231" s="167"/>
      <c r="BL231" s="167"/>
      <c r="BM231" s="167"/>
      <c r="BN231" s="167"/>
      <c r="BO231" s="167"/>
      <c r="BP231" s="167"/>
      <c r="BQ231" s="167"/>
      <c r="BR231" s="167"/>
      <c r="BS231" s="167"/>
      <c r="BT231" s="167"/>
      <c r="BU231" s="167"/>
      <c r="BV231" s="167"/>
      <c r="BW231" s="167"/>
      <c r="BX231" s="167"/>
      <c r="BY231" s="167"/>
      <c r="BZ231" s="167"/>
      <c r="CA231" s="167"/>
      <c r="CB231" s="167"/>
      <c r="CC231" s="167"/>
      <c r="CD231" s="167"/>
      <c r="CE231" s="167"/>
      <c r="CF231" s="167"/>
      <c r="CG231" s="167"/>
      <c r="CH231" s="167"/>
      <c r="CI231" s="167"/>
      <c r="CJ231" s="167"/>
      <c r="CK231" s="167"/>
      <c r="CL231" s="167"/>
      <c r="CM231" s="167"/>
      <c r="CN231" s="167"/>
      <c r="CO231" s="167"/>
      <c r="CP231" s="167"/>
      <c r="CQ231" s="167"/>
    </row>
    <row r="232" spans="9:95" ht="16" customHeight="1">
      <c r="I232" s="57"/>
      <c r="J232" s="57"/>
      <c r="K232" s="57"/>
      <c r="L232" s="57"/>
      <c r="M232" s="57"/>
      <c r="N232" s="57"/>
      <c r="O232" s="57"/>
      <c r="P232" s="881"/>
      <c r="Q232" s="57"/>
      <c r="R232" s="57"/>
      <c r="S232" s="250"/>
      <c r="T232" s="221"/>
      <c r="U232" s="221"/>
      <c r="V232" s="277"/>
      <c r="W232" s="57"/>
      <c r="X232" s="57"/>
      <c r="Y232" s="57"/>
      <c r="Z232" s="57"/>
      <c r="AA232" s="221"/>
      <c r="AB232" s="918"/>
      <c r="AC232" s="57"/>
      <c r="AD232" s="57"/>
      <c r="AE232" s="250"/>
      <c r="AF232" s="221"/>
      <c r="AG232" s="57"/>
      <c r="AH232" s="57"/>
      <c r="AI232" s="57"/>
      <c r="AJ232" s="57"/>
      <c r="AK232" s="57"/>
      <c r="AL232" s="57"/>
      <c r="AM232" s="57"/>
      <c r="AN232" s="57"/>
      <c r="AO232" s="57"/>
      <c r="AP232" s="57"/>
      <c r="AQ232" s="57"/>
      <c r="AT232" s="167"/>
      <c r="AU232" s="167"/>
      <c r="AV232" s="167"/>
      <c r="AW232" s="167"/>
      <c r="AX232" s="167"/>
      <c r="AY232" s="167"/>
      <c r="AZ232" s="167"/>
      <c r="BA232" s="167"/>
      <c r="BB232" s="167"/>
      <c r="BC232" s="167"/>
      <c r="BD232" s="167"/>
      <c r="BE232" s="167"/>
      <c r="BF232" s="167"/>
      <c r="BG232" s="167"/>
      <c r="BH232" s="167"/>
      <c r="BI232" s="167"/>
      <c r="BJ232" s="167"/>
      <c r="BK232" s="167"/>
      <c r="BL232" s="167"/>
      <c r="BM232" s="167"/>
      <c r="BN232" s="167"/>
      <c r="BO232" s="167"/>
      <c r="BP232" s="167"/>
      <c r="BQ232" s="167"/>
      <c r="BR232" s="167"/>
      <c r="BS232" s="167"/>
      <c r="BT232" s="167"/>
      <c r="BU232" s="167"/>
      <c r="BV232" s="167"/>
      <c r="BW232" s="167"/>
      <c r="BX232" s="167"/>
      <c r="BY232" s="167"/>
      <c r="BZ232" s="167"/>
      <c r="CA232" s="167"/>
      <c r="CB232" s="167"/>
      <c r="CC232" s="167"/>
      <c r="CD232" s="167"/>
      <c r="CE232" s="167"/>
      <c r="CF232" s="167"/>
      <c r="CG232" s="167"/>
      <c r="CH232" s="167"/>
      <c r="CI232" s="167"/>
      <c r="CJ232" s="167"/>
      <c r="CK232" s="167"/>
      <c r="CL232" s="167"/>
      <c r="CM232" s="167"/>
      <c r="CN232" s="167"/>
      <c r="CO232" s="167"/>
      <c r="CP232" s="167"/>
      <c r="CQ232" s="167"/>
    </row>
    <row r="233" spans="9:95" ht="16" customHeight="1">
      <c r="I233" s="57"/>
      <c r="J233" s="57"/>
      <c r="K233" s="57"/>
      <c r="L233" s="57"/>
      <c r="M233" s="57"/>
      <c r="N233" s="57"/>
      <c r="O233" s="57"/>
      <c r="P233" s="881"/>
      <c r="Q233" s="57"/>
      <c r="R233" s="57"/>
      <c r="S233" s="250"/>
      <c r="T233" s="221"/>
      <c r="U233" s="221"/>
      <c r="V233" s="277"/>
      <c r="W233" s="57"/>
      <c r="X233" s="57"/>
      <c r="Y233" s="57"/>
      <c r="Z233" s="57"/>
      <c r="AA233" s="221"/>
      <c r="AB233" s="918"/>
      <c r="AC233" s="57"/>
      <c r="AD233" s="57"/>
      <c r="AE233" s="250"/>
      <c r="AF233" s="221"/>
      <c r="AG233" s="57"/>
      <c r="AH233" s="57"/>
      <c r="AI233" s="57"/>
      <c r="AJ233" s="57"/>
      <c r="AK233" s="57"/>
      <c r="AL233" s="57"/>
      <c r="AM233" s="57"/>
      <c r="AN233" s="57"/>
      <c r="AO233" s="57"/>
      <c r="AP233" s="57"/>
      <c r="AQ233" s="57"/>
      <c r="AT233" s="167"/>
      <c r="AU233" s="167"/>
      <c r="AV233" s="167"/>
      <c r="AW233" s="167"/>
      <c r="AX233" s="167"/>
      <c r="AY233" s="167"/>
      <c r="AZ233" s="167"/>
      <c r="BA233" s="167"/>
      <c r="BB233" s="167"/>
      <c r="BC233" s="167"/>
      <c r="BD233" s="167"/>
      <c r="BE233" s="167"/>
      <c r="BF233" s="167"/>
      <c r="BG233" s="167"/>
      <c r="BH233" s="167"/>
      <c r="BI233" s="167"/>
      <c r="BJ233" s="167"/>
      <c r="BK233" s="167"/>
      <c r="BL233" s="167"/>
      <c r="BM233" s="167"/>
      <c r="BN233" s="167"/>
      <c r="BO233" s="167"/>
      <c r="BP233" s="167"/>
      <c r="BQ233" s="167"/>
      <c r="BR233" s="167"/>
      <c r="BS233" s="167"/>
      <c r="BT233" s="167"/>
      <c r="BU233" s="167"/>
      <c r="BV233" s="167"/>
      <c r="BW233" s="167"/>
      <c r="BX233" s="167"/>
      <c r="BY233" s="167"/>
      <c r="BZ233" s="167"/>
      <c r="CA233" s="167"/>
      <c r="CB233" s="167"/>
      <c r="CC233" s="167"/>
      <c r="CD233" s="167"/>
      <c r="CE233" s="167"/>
      <c r="CF233" s="167"/>
      <c r="CG233" s="167"/>
      <c r="CH233" s="167"/>
      <c r="CI233" s="167"/>
      <c r="CJ233" s="167"/>
      <c r="CK233" s="167"/>
      <c r="CL233" s="167"/>
      <c r="CM233" s="167"/>
      <c r="CN233" s="167"/>
      <c r="CO233" s="167"/>
      <c r="CP233" s="167"/>
      <c r="CQ233" s="167"/>
    </row>
    <row r="234" spans="9:95" ht="16" customHeight="1">
      <c r="I234" s="57"/>
      <c r="J234" s="57"/>
      <c r="K234" s="57"/>
      <c r="L234" s="57"/>
      <c r="M234" s="57"/>
      <c r="N234" s="57"/>
      <c r="O234" s="57"/>
      <c r="P234" s="881"/>
      <c r="Q234" s="57"/>
      <c r="R234" s="57"/>
      <c r="S234" s="250"/>
      <c r="T234" s="221"/>
      <c r="U234" s="221"/>
      <c r="V234" s="277"/>
      <c r="W234" s="57"/>
      <c r="X234" s="57"/>
      <c r="Y234" s="57"/>
      <c r="Z234" s="57"/>
      <c r="AA234" s="221"/>
      <c r="AB234" s="918"/>
      <c r="AC234" s="57"/>
      <c r="AD234" s="57"/>
      <c r="AE234" s="250"/>
      <c r="AF234" s="221"/>
      <c r="AG234" s="57"/>
      <c r="AH234" s="57"/>
      <c r="AI234" s="57"/>
      <c r="AJ234" s="57"/>
      <c r="AK234" s="57"/>
      <c r="AL234" s="57"/>
      <c r="AM234" s="57"/>
      <c r="AN234" s="57"/>
      <c r="AO234" s="57"/>
      <c r="AP234" s="57"/>
      <c r="AQ234" s="57"/>
      <c r="AT234" s="167"/>
      <c r="AU234" s="167"/>
      <c r="AV234" s="167"/>
      <c r="AW234" s="167"/>
      <c r="AX234" s="167"/>
      <c r="AY234" s="167"/>
      <c r="AZ234" s="167"/>
      <c r="BA234" s="167"/>
      <c r="BB234" s="167"/>
      <c r="BC234" s="167"/>
      <c r="BD234" s="167"/>
      <c r="BE234" s="167"/>
      <c r="BF234" s="167"/>
      <c r="BG234" s="167"/>
      <c r="BH234" s="167"/>
      <c r="BI234" s="167"/>
      <c r="BJ234" s="167"/>
      <c r="BK234" s="167"/>
      <c r="BL234" s="167"/>
      <c r="BM234" s="167"/>
      <c r="BN234" s="167"/>
      <c r="BO234" s="167"/>
      <c r="BP234" s="167"/>
      <c r="BQ234" s="167"/>
      <c r="BR234" s="167"/>
      <c r="BS234" s="167"/>
      <c r="BT234" s="167"/>
      <c r="BU234" s="167"/>
      <c r="BV234" s="167"/>
      <c r="BW234" s="167"/>
      <c r="BX234" s="167"/>
      <c r="BY234" s="167"/>
      <c r="BZ234" s="167"/>
      <c r="CA234" s="167"/>
      <c r="CB234" s="167"/>
      <c r="CC234" s="167"/>
      <c r="CD234" s="167"/>
      <c r="CE234" s="167"/>
      <c r="CF234" s="167"/>
      <c r="CG234" s="167"/>
      <c r="CH234" s="167"/>
      <c r="CI234" s="167"/>
      <c r="CJ234" s="167"/>
      <c r="CK234" s="167"/>
      <c r="CL234" s="167"/>
      <c r="CM234" s="167"/>
      <c r="CN234" s="167"/>
      <c r="CO234" s="167"/>
      <c r="CP234" s="167"/>
      <c r="CQ234" s="167"/>
    </row>
    <row r="235" spans="9:95" ht="16" customHeight="1">
      <c r="I235" s="57"/>
      <c r="J235" s="57"/>
      <c r="K235" s="57"/>
      <c r="L235" s="57"/>
      <c r="M235" s="57"/>
      <c r="N235" s="57"/>
      <c r="O235" s="57"/>
      <c r="P235" s="881"/>
      <c r="Q235" s="57"/>
      <c r="R235" s="57"/>
      <c r="S235" s="250"/>
      <c r="T235" s="221"/>
      <c r="U235" s="221"/>
      <c r="V235" s="277"/>
      <c r="W235" s="57"/>
      <c r="X235" s="57"/>
      <c r="Y235" s="57"/>
      <c r="Z235" s="57"/>
      <c r="AA235" s="221"/>
      <c r="AB235" s="918"/>
      <c r="AC235" s="57"/>
      <c r="AD235" s="57"/>
      <c r="AE235" s="250"/>
      <c r="AF235" s="221"/>
      <c r="AG235" s="57"/>
      <c r="AH235" s="57"/>
      <c r="AI235" s="57"/>
      <c r="AJ235" s="57"/>
      <c r="AK235" s="57"/>
      <c r="AL235" s="57"/>
      <c r="AM235" s="57"/>
      <c r="AN235" s="57"/>
      <c r="AO235" s="57"/>
      <c r="AP235" s="57"/>
      <c r="AQ235" s="57"/>
      <c r="AT235" s="167"/>
      <c r="AU235" s="167"/>
      <c r="AV235" s="167"/>
      <c r="AW235" s="167"/>
      <c r="AX235" s="167"/>
      <c r="AY235" s="167"/>
      <c r="AZ235" s="167"/>
      <c r="BA235" s="167"/>
      <c r="BB235" s="167"/>
      <c r="BC235" s="167"/>
      <c r="BD235" s="167"/>
      <c r="BE235" s="167"/>
      <c r="BF235" s="167"/>
      <c r="BG235" s="167"/>
      <c r="BH235" s="167"/>
      <c r="BI235" s="167"/>
      <c r="BJ235" s="167"/>
      <c r="BK235" s="167"/>
      <c r="BL235" s="167"/>
      <c r="BM235" s="167"/>
      <c r="BN235" s="167"/>
      <c r="BO235" s="167"/>
      <c r="BP235" s="167"/>
      <c r="BQ235" s="167"/>
      <c r="BR235" s="167"/>
      <c r="BS235" s="167"/>
      <c r="BT235" s="167"/>
      <c r="BU235" s="167"/>
      <c r="BV235" s="167"/>
      <c r="BW235" s="167"/>
      <c r="BX235" s="167"/>
      <c r="BY235" s="167"/>
      <c r="BZ235" s="167"/>
      <c r="CA235" s="167"/>
      <c r="CB235" s="167"/>
      <c r="CC235" s="167"/>
      <c r="CD235" s="167"/>
      <c r="CE235" s="167"/>
      <c r="CF235" s="167"/>
      <c r="CG235" s="167"/>
      <c r="CH235" s="167"/>
      <c r="CI235" s="167"/>
      <c r="CJ235" s="167"/>
      <c r="CK235" s="167"/>
      <c r="CL235" s="167"/>
      <c r="CM235" s="167"/>
      <c r="CN235" s="167"/>
      <c r="CO235" s="167"/>
      <c r="CP235" s="167"/>
      <c r="CQ235" s="167"/>
    </row>
    <row r="236" spans="9:95" ht="16" customHeight="1">
      <c r="AT236" s="167"/>
      <c r="AU236" s="167"/>
      <c r="AV236" s="167"/>
      <c r="AW236" s="167"/>
      <c r="AX236" s="167"/>
      <c r="AY236" s="167"/>
      <c r="AZ236" s="167"/>
      <c r="BA236" s="167"/>
      <c r="BB236" s="167"/>
      <c r="BC236" s="167"/>
      <c r="BD236" s="167"/>
      <c r="BE236" s="167"/>
      <c r="BF236" s="167"/>
      <c r="BG236" s="167"/>
      <c r="BH236" s="167"/>
      <c r="BI236" s="167"/>
      <c r="BJ236" s="167"/>
      <c r="BK236" s="167"/>
      <c r="BL236" s="167"/>
      <c r="BM236" s="167"/>
      <c r="BN236" s="167"/>
      <c r="BO236" s="167"/>
      <c r="BP236" s="167"/>
      <c r="BQ236" s="167"/>
      <c r="BR236" s="167"/>
      <c r="BS236" s="167"/>
      <c r="BT236" s="167"/>
      <c r="BU236" s="167"/>
      <c r="BV236" s="167"/>
      <c r="BW236" s="167"/>
      <c r="BX236" s="167"/>
      <c r="BY236" s="167"/>
      <c r="BZ236" s="167"/>
      <c r="CA236" s="167"/>
      <c r="CB236" s="167"/>
      <c r="CC236" s="167"/>
      <c r="CD236" s="167"/>
      <c r="CE236" s="167"/>
      <c r="CF236" s="167"/>
      <c r="CG236" s="167"/>
      <c r="CH236" s="167"/>
      <c r="CI236" s="167"/>
      <c r="CJ236" s="167"/>
      <c r="CK236" s="167"/>
      <c r="CL236" s="167"/>
      <c r="CM236" s="167"/>
      <c r="CN236" s="167"/>
      <c r="CO236" s="167"/>
      <c r="CP236" s="167"/>
      <c r="CQ236" s="167"/>
    </row>
    <row r="237" spans="9:95" ht="16" customHeight="1">
      <c r="AT237" s="167"/>
      <c r="AU237" s="167"/>
      <c r="AV237" s="167"/>
      <c r="AW237" s="167"/>
      <c r="AX237" s="167"/>
      <c r="AY237" s="167"/>
      <c r="AZ237" s="167"/>
      <c r="BA237" s="167"/>
      <c r="BB237" s="167"/>
      <c r="BC237" s="167"/>
      <c r="BD237" s="167"/>
      <c r="BE237" s="167"/>
      <c r="BF237" s="167"/>
      <c r="BG237" s="167"/>
      <c r="BH237" s="167"/>
      <c r="BI237" s="167"/>
      <c r="BJ237" s="167"/>
      <c r="BK237" s="167"/>
      <c r="BL237" s="167"/>
      <c r="BM237" s="167"/>
      <c r="BN237" s="167"/>
      <c r="BO237" s="167"/>
      <c r="BP237" s="167"/>
      <c r="BQ237" s="167"/>
      <c r="BR237" s="167"/>
      <c r="BS237" s="167"/>
      <c r="BT237" s="167"/>
      <c r="BU237" s="167"/>
      <c r="BV237" s="167"/>
      <c r="BW237" s="167"/>
      <c r="BX237" s="167"/>
      <c r="BY237" s="167"/>
      <c r="BZ237" s="167"/>
      <c r="CA237" s="167"/>
      <c r="CB237" s="167"/>
      <c r="CC237" s="167"/>
      <c r="CD237" s="167"/>
      <c r="CE237" s="167"/>
      <c r="CF237" s="167"/>
      <c r="CG237" s="167"/>
      <c r="CH237" s="167"/>
      <c r="CI237" s="167"/>
      <c r="CJ237" s="167"/>
      <c r="CK237" s="167"/>
      <c r="CL237" s="167"/>
      <c r="CM237" s="167"/>
      <c r="CN237" s="167"/>
      <c r="CO237" s="167"/>
      <c r="CP237" s="167"/>
      <c r="CQ237" s="167"/>
    </row>
    <row r="238" spans="9:95" ht="16" customHeight="1">
      <c r="AT238" s="167"/>
      <c r="AU238" s="167"/>
      <c r="AV238" s="167"/>
      <c r="AW238" s="167"/>
      <c r="AX238" s="167"/>
      <c r="AY238" s="167"/>
      <c r="AZ238" s="167"/>
      <c r="BA238" s="167"/>
      <c r="BB238" s="167"/>
      <c r="BC238" s="167"/>
      <c r="BD238" s="167"/>
      <c r="BE238" s="167"/>
      <c r="BF238" s="167"/>
      <c r="BG238" s="167"/>
      <c r="BH238" s="167"/>
      <c r="BI238" s="167"/>
      <c r="BJ238" s="167"/>
      <c r="BK238" s="167"/>
      <c r="BL238" s="167"/>
      <c r="BM238" s="167"/>
      <c r="BN238" s="167"/>
      <c r="BO238" s="167"/>
      <c r="BP238" s="167"/>
      <c r="BQ238" s="167"/>
      <c r="BR238" s="167"/>
      <c r="BS238" s="167"/>
      <c r="BT238" s="167"/>
      <c r="BU238" s="167"/>
      <c r="BV238" s="167"/>
      <c r="BW238" s="167"/>
      <c r="BX238" s="167"/>
      <c r="BY238" s="167"/>
      <c r="BZ238" s="167"/>
      <c r="CA238" s="167"/>
      <c r="CB238" s="167"/>
      <c r="CC238" s="167"/>
      <c r="CD238" s="167"/>
      <c r="CE238" s="167"/>
      <c r="CF238" s="167"/>
      <c r="CG238" s="167"/>
      <c r="CH238" s="167"/>
      <c r="CI238" s="167"/>
      <c r="CJ238" s="167"/>
      <c r="CK238" s="167"/>
      <c r="CL238" s="167"/>
      <c r="CM238" s="167"/>
      <c r="CN238" s="167"/>
      <c r="CO238" s="167"/>
      <c r="CP238" s="167"/>
      <c r="CQ238" s="167"/>
    </row>
    <row r="239" spans="9:95" ht="16" customHeight="1">
      <c r="AT239" s="167"/>
      <c r="AU239" s="167"/>
      <c r="AV239" s="167"/>
      <c r="AW239" s="167"/>
      <c r="AX239" s="167"/>
      <c r="AY239" s="167"/>
      <c r="AZ239" s="167"/>
      <c r="BA239" s="167"/>
      <c r="BB239" s="167"/>
      <c r="BC239" s="167"/>
      <c r="BD239" s="167"/>
      <c r="BE239" s="167"/>
      <c r="BF239" s="167"/>
      <c r="BG239" s="167"/>
      <c r="BH239" s="167"/>
      <c r="BI239" s="167"/>
      <c r="BJ239" s="167"/>
      <c r="BK239" s="167"/>
      <c r="BL239" s="167"/>
      <c r="BM239" s="167"/>
      <c r="BN239" s="167"/>
      <c r="BO239" s="167"/>
      <c r="BP239" s="167"/>
      <c r="BQ239" s="167"/>
      <c r="BR239" s="167"/>
      <c r="BS239" s="167"/>
      <c r="BT239" s="167"/>
      <c r="BU239" s="167"/>
      <c r="BV239" s="167"/>
      <c r="BW239" s="167"/>
      <c r="BX239" s="167"/>
      <c r="BY239" s="167"/>
      <c r="BZ239" s="167"/>
      <c r="CA239" s="167"/>
      <c r="CB239" s="167"/>
      <c r="CC239" s="167"/>
      <c r="CD239" s="167"/>
      <c r="CE239" s="167"/>
      <c r="CF239" s="167"/>
      <c r="CG239" s="167"/>
      <c r="CH239" s="167"/>
      <c r="CI239" s="167"/>
      <c r="CJ239" s="167"/>
      <c r="CK239" s="167"/>
      <c r="CL239" s="167"/>
      <c r="CM239" s="167"/>
      <c r="CN239" s="167"/>
      <c r="CO239" s="167"/>
      <c r="CP239" s="167"/>
      <c r="CQ239" s="167"/>
    </row>
    <row r="240" spans="9:95" ht="16" customHeight="1">
      <c r="AT240" s="167"/>
      <c r="AU240" s="167"/>
      <c r="AV240" s="167"/>
      <c r="AW240" s="167"/>
      <c r="AX240" s="167"/>
      <c r="AY240" s="167"/>
      <c r="AZ240" s="167"/>
      <c r="BA240" s="167"/>
      <c r="BB240" s="167"/>
      <c r="BC240" s="167"/>
      <c r="BD240" s="167"/>
      <c r="BE240" s="167"/>
      <c r="BF240" s="167"/>
      <c r="BG240" s="167"/>
      <c r="BH240" s="167"/>
      <c r="BI240" s="167"/>
      <c r="BJ240" s="167"/>
      <c r="BK240" s="167"/>
      <c r="BL240" s="167"/>
      <c r="BM240" s="167"/>
      <c r="BN240" s="167"/>
      <c r="BO240" s="167"/>
      <c r="BP240" s="167"/>
      <c r="BQ240" s="167"/>
      <c r="BR240" s="167"/>
      <c r="BS240" s="167"/>
      <c r="BT240" s="167"/>
      <c r="BU240" s="167"/>
      <c r="BV240" s="167"/>
      <c r="BW240" s="167"/>
      <c r="BX240" s="167"/>
      <c r="BY240" s="167"/>
      <c r="BZ240" s="167"/>
      <c r="CA240" s="167"/>
      <c r="CB240" s="167"/>
      <c r="CC240" s="167"/>
      <c r="CD240" s="167"/>
      <c r="CE240" s="167"/>
      <c r="CF240" s="167"/>
      <c r="CG240" s="167"/>
      <c r="CH240" s="167"/>
      <c r="CI240" s="167"/>
      <c r="CJ240" s="167"/>
      <c r="CK240" s="167"/>
      <c r="CL240" s="167"/>
      <c r="CM240" s="167"/>
      <c r="CN240" s="167"/>
      <c r="CO240" s="167"/>
      <c r="CP240" s="167"/>
      <c r="CQ240" s="167"/>
    </row>
    <row r="241" spans="46:95" ht="16" customHeight="1">
      <c r="AT241" s="167"/>
      <c r="AU241" s="167"/>
      <c r="AV241" s="167"/>
      <c r="AW241" s="167"/>
      <c r="AX241" s="167"/>
      <c r="AY241" s="167"/>
      <c r="AZ241" s="167"/>
      <c r="BA241" s="167"/>
      <c r="BB241" s="167"/>
      <c r="BC241" s="167"/>
      <c r="BD241" s="167"/>
      <c r="BE241" s="167"/>
      <c r="BF241" s="167"/>
      <c r="BG241" s="167"/>
      <c r="BH241" s="167"/>
      <c r="BI241" s="167"/>
      <c r="BJ241" s="167"/>
      <c r="BK241" s="167"/>
      <c r="BL241" s="167"/>
      <c r="BM241" s="167"/>
      <c r="BN241" s="167"/>
      <c r="BO241" s="167"/>
      <c r="BP241" s="167"/>
      <c r="BQ241" s="167"/>
      <c r="BR241" s="167"/>
      <c r="BS241" s="167"/>
      <c r="BT241" s="167"/>
      <c r="BU241" s="167"/>
      <c r="BV241" s="167"/>
      <c r="BW241" s="167"/>
      <c r="BX241" s="167"/>
      <c r="BY241" s="167"/>
      <c r="BZ241" s="167"/>
      <c r="CA241" s="167"/>
      <c r="CB241" s="167"/>
      <c r="CC241" s="167"/>
      <c r="CD241" s="167"/>
      <c r="CE241" s="167"/>
      <c r="CF241" s="167"/>
      <c r="CG241" s="167"/>
      <c r="CH241" s="167"/>
      <c r="CI241" s="167"/>
      <c r="CJ241" s="167"/>
      <c r="CK241" s="167"/>
      <c r="CL241" s="167"/>
      <c r="CM241" s="167"/>
      <c r="CN241" s="167"/>
      <c r="CO241" s="167"/>
      <c r="CP241" s="167"/>
      <c r="CQ241" s="167"/>
    </row>
    <row r="242" spans="46:95" ht="16" customHeight="1">
      <c r="AT242" s="167"/>
      <c r="AU242" s="167"/>
      <c r="AV242" s="167"/>
      <c r="AW242" s="167"/>
      <c r="AX242" s="167"/>
      <c r="AY242" s="167"/>
      <c r="AZ242" s="167"/>
      <c r="BA242" s="167"/>
      <c r="BB242" s="167"/>
      <c r="BC242" s="167"/>
      <c r="BD242" s="167"/>
      <c r="BE242" s="167"/>
      <c r="BF242" s="167"/>
      <c r="BG242" s="167"/>
      <c r="BH242" s="167"/>
      <c r="BI242" s="167"/>
      <c r="BJ242" s="167"/>
      <c r="BK242" s="167"/>
      <c r="BL242" s="167"/>
      <c r="BM242" s="167"/>
      <c r="BN242" s="167"/>
      <c r="BO242" s="167"/>
      <c r="BP242" s="167"/>
      <c r="BQ242" s="167"/>
      <c r="BR242" s="167"/>
      <c r="BS242" s="167"/>
      <c r="BT242" s="167"/>
      <c r="BU242" s="167"/>
      <c r="BV242" s="167"/>
      <c r="BW242" s="167"/>
      <c r="BX242" s="167"/>
      <c r="BY242" s="167"/>
      <c r="BZ242" s="167"/>
      <c r="CA242" s="167"/>
      <c r="CB242" s="167"/>
      <c r="CC242" s="167"/>
      <c r="CD242" s="167"/>
      <c r="CE242" s="167"/>
      <c r="CF242" s="167"/>
      <c r="CG242" s="167"/>
      <c r="CH242" s="167"/>
      <c r="CI242" s="167"/>
      <c r="CJ242" s="167"/>
      <c r="CK242" s="167"/>
      <c r="CL242" s="167"/>
      <c r="CM242" s="167"/>
      <c r="CN242" s="167"/>
      <c r="CO242" s="167"/>
      <c r="CP242" s="167"/>
      <c r="CQ242" s="167"/>
    </row>
    <row r="243" spans="46:95" ht="16" customHeight="1">
      <c r="AT243" s="167"/>
      <c r="AU243" s="167"/>
      <c r="AV243" s="167"/>
      <c r="AW243" s="167"/>
      <c r="AX243" s="167"/>
      <c r="AY243" s="167"/>
      <c r="AZ243" s="167"/>
      <c r="BA243" s="167"/>
      <c r="BB243" s="167"/>
      <c r="BC243" s="167"/>
      <c r="BD243" s="167"/>
      <c r="BE243" s="167"/>
      <c r="BF243" s="167"/>
      <c r="BG243" s="167"/>
      <c r="BH243" s="167"/>
      <c r="BI243" s="167"/>
      <c r="BJ243" s="167"/>
      <c r="BK243" s="167"/>
      <c r="BL243" s="167"/>
      <c r="BM243" s="167"/>
      <c r="BN243" s="167"/>
      <c r="BO243" s="167"/>
      <c r="BP243" s="167"/>
      <c r="BQ243" s="167"/>
      <c r="BR243" s="167"/>
      <c r="BS243" s="167"/>
      <c r="BT243" s="167"/>
      <c r="BU243" s="167"/>
      <c r="BV243" s="167"/>
      <c r="BW243" s="167"/>
      <c r="BX243" s="167"/>
      <c r="BY243" s="167"/>
      <c r="BZ243" s="167"/>
      <c r="CA243" s="167"/>
      <c r="CB243" s="167"/>
      <c r="CC243" s="167"/>
      <c r="CD243" s="167"/>
      <c r="CE243" s="167"/>
      <c r="CF243" s="167"/>
      <c r="CG243" s="167"/>
      <c r="CH243" s="167"/>
      <c r="CI243" s="167"/>
      <c r="CJ243" s="167"/>
      <c r="CK243" s="167"/>
      <c r="CL243" s="167"/>
      <c r="CM243" s="167"/>
      <c r="CN243" s="167"/>
      <c r="CO243" s="167"/>
      <c r="CP243" s="167"/>
      <c r="CQ243" s="167"/>
    </row>
    <row r="244" spans="46:95" ht="16" customHeight="1">
      <c r="AT244" s="167"/>
      <c r="AU244" s="167"/>
      <c r="AV244" s="167"/>
      <c r="AW244" s="167"/>
      <c r="AX244" s="167"/>
      <c r="AY244" s="167"/>
      <c r="AZ244" s="167"/>
      <c r="BA244" s="167"/>
      <c r="BB244" s="167"/>
      <c r="BC244" s="167"/>
      <c r="BD244" s="167"/>
      <c r="BE244" s="167"/>
      <c r="BF244" s="167"/>
      <c r="BG244" s="167"/>
      <c r="BH244" s="167"/>
      <c r="BI244" s="167"/>
      <c r="BJ244" s="167"/>
      <c r="BK244" s="167"/>
      <c r="BL244" s="167"/>
      <c r="BM244" s="167"/>
      <c r="BN244" s="167"/>
      <c r="BO244" s="167"/>
      <c r="BP244" s="167"/>
      <c r="BQ244" s="167"/>
      <c r="BR244" s="167"/>
      <c r="BS244" s="167"/>
      <c r="BT244" s="167"/>
      <c r="BU244" s="167"/>
      <c r="BV244" s="167"/>
      <c r="BW244" s="167"/>
      <c r="BX244" s="167"/>
      <c r="BY244" s="167"/>
      <c r="BZ244" s="167"/>
      <c r="CA244" s="167"/>
      <c r="CB244" s="167"/>
      <c r="CC244" s="167"/>
      <c r="CD244" s="167"/>
      <c r="CE244" s="167"/>
      <c r="CF244" s="167"/>
      <c r="CG244" s="167"/>
      <c r="CH244" s="167"/>
      <c r="CI244" s="167"/>
      <c r="CJ244" s="167"/>
      <c r="CK244" s="167"/>
      <c r="CL244" s="167"/>
      <c r="CM244" s="167"/>
      <c r="CN244" s="167"/>
      <c r="CO244" s="167"/>
      <c r="CP244" s="167"/>
      <c r="CQ244" s="167"/>
    </row>
    <row r="245" spans="46:95" ht="16" customHeight="1">
      <c r="AT245" s="167"/>
      <c r="AU245" s="167"/>
      <c r="AV245" s="167"/>
      <c r="AW245" s="167"/>
      <c r="AX245" s="167"/>
      <c r="AY245" s="167"/>
      <c r="AZ245" s="167"/>
      <c r="BA245" s="167"/>
      <c r="BB245" s="167"/>
      <c r="BC245" s="167"/>
      <c r="BD245" s="167"/>
      <c r="BE245" s="167"/>
      <c r="BF245" s="167"/>
      <c r="BG245" s="167"/>
      <c r="BH245" s="167"/>
      <c r="BI245" s="167"/>
      <c r="BJ245" s="167"/>
      <c r="BK245" s="167"/>
      <c r="BL245" s="167"/>
      <c r="BM245" s="167"/>
      <c r="BN245" s="167"/>
      <c r="BO245" s="167"/>
      <c r="BP245" s="167"/>
      <c r="BQ245" s="167"/>
      <c r="BR245" s="167"/>
      <c r="BS245" s="167"/>
      <c r="BT245" s="167"/>
      <c r="BU245" s="167"/>
      <c r="BV245" s="167"/>
      <c r="BW245" s="167"/>
      <c r="BX245" s="167"/>
      <c r="BY245" s="167"/>
      <c r="BZ245" s="167"/>
      <c r="CA245" s="167"/>
      <c r="CB245" s="167"/>
      <c r="CC245" s="167"/>
      <c r="CD245" s="167"/>
      <c r="CE245" s="167"/>
      <c r="CF245" s="167"/>
      <c r="CG245" s="167"/>
      <c r="CH245" s="167"/>
      <c r="CI245" s="167"/>
      <c r="CJ245" s="167"/>
      <c r="CK245" s="167"/>
      <c r="CL245" s="167"/>
      <c r="CM245" s="167"/>
      <c r="CN245" s="167"/>
      <c r="CO245" s="167"/>
      <c r="CP245" s="167"/>
      <c r="CQ245" s="167"/>
    </row>
    <row r="246" spans="46:95" ht="16" customHeight="1">
      <c r="AT246" s="167"/>
      <c r="AU246" s="167"/>
      <c r="AV246" s="167"/>
      <c r="AW246" s="167"/>
      <c r="AX246" s="167"/>
      <c r="AY246" s="167"/>
      <c r="AZ246" s="167"/>
      <c r="BA246" s="167"/>
      <c r="BB246" s="167"/>
      <c r="BC246" s="167"/>
      <c r="BD246" s="167"/>
      <c r="BE246" s="167"/>
      <c r="BF246" s="167"/>
      <c r="BG246" s="167"/>
      <c r="BH246" s="167"/>
      <c r="BI246" s="167"/>
      <c r="BJ246" s="167"/>
      <c r="BK246" s="167"/>
      <c r="BL246" s="167"/>
      <c r="BM246" s="167"/>
      <c r="BN246" s="167"/>
      <c r="BO246" s="167"/>
      <c r="BP246" s="167"/>
      <c r="BQ246" s="167"/>
      <c r="BR246" s="167"/>
      <c r="BS246" s="167"/>
      <c r="BT246" s="167"/>
      <c r="BU246" s="167"/>
      <c r="BV246" s="167"/>
      <c r="BW246" s="167"/>
      <c r="BX246" s="167"/>
      <c r="BY246" s="167"/>
      <c r="BZ246" s="167"/>
      <c r="CA246" s="167"/>
      <c r="CB246" s="167"/>
      <c r="CC246" s="167"/>
      <c r="CD246" s="167"/>
      <c r="CE246" s="167"/>
      <c r="CF246" s="167"/>
      <c r="CG246" s="167"/>
      <c r="CH246" s="167"/>
      <c r="CI246" s="167"/>
      <c r="CJ246" s="167"/>
      <c r="CK246" s="167"/>
      <c r="CL246" s="167"/>
      <c r="CM246" s="167"/>
      <c r="CN246" s="167"/>
      <c r="CO246" s="167"/>
      <c r="CP246" s="167"/>
      <c r="CQ246" s="167"/>
    </row>
    <row r="247" spans="46:95" ht="16" customHeight="1">
      <c r="AT247" s="167"/>
      <c r="AU247" s="167"/>
      <c r="AV247" s="167"/>
      <c r="AW247" s="167"/>
      <c r="AX247" s="167"/>
      <c r="AY247" s="167"/>
      <c r="AZ247" s="167"/>
      <c r="BA247" s="167"/>
      <c r="BB247" s="167"/>
      <c r="BC247" s="167"/>
      <c r="BD247" s="167"/>
      <c r="BE247" s="167"/>
      <c r="BF247" s="167"/>
      <c r="BG247" s="167"/>
      <c r="BH247" s="167"/>
      <c r="BI247" s="167"/>
      <c r="BJ247" s="167"/>
      <c r="BK247" s="167"/>
      <c r="BL247" s="167"/>
      <c r="BM247" s="167"/>
      <c r="BN247" s="167"/>
      <c r="BO247" s="167"/>
      <c r="BP247" s="167"/>
      <c r="BQ247" s="167"/>
      <c r="BR247" s="167"/>
      <c r="BS247" s="167"/>
      <c r="BT247" s="167"/>
      <c r="BU247" s="167"/>
      <c r="BV247" s="167"/>
      <c r="BW247" s="167"/>
      <c r="BX247" s="167"/>
      <c r="BY247" s="167"/>
      <c r="BZ247" s="167"/>
      <c r="CA247" s="167"/>
      <c r="CB247" s="167"/>
      <c r="CC247" s="167"/>
      <c r="CD247" s="167"/>
      <c r="CE247" s="167"/>
      <c r="CF247" s="167"/>
      <c r="CG247" s="167"/>
      <c r="CH247" s="167"/>
      <c r="CI247" s="167"/>
      <c r="CJ247" s="167"/>
      <c r="CK247" s="167"/>
      <c r="CL247" s="167"/>
      <c r="CM247" s="167"/>
      <c r="CN247" s="167"/>
      <c r="CO247" s="167"/>
      <c r="CP247" s="167"/>
      <c r="CQ247" s="167"/>
    </row>
    <row r="248" spans="46:95" ht="16" customHeight="1">
      <c r="AT248" s="167"/>
      <c r="AU248" s="167"/>
      <c r="AV248" s="167"/>
      <c r="AW248" s="167"/>
      <c r="AX248" s="167"/>
      <c r="AY248" s="167"/>
      <c r="AZ248" s="167"/>
      <c r="BA248" s="167"/>
      <c r="BB248" s="167"/>
      <c r="BC248" s="167"/>
      <c r="BD248" s="167"/>
      <c r="BE248" s="167"/>
      <c r="BF248" s="167"/>
      <c r="BG248" s="167"/>
      <c r="BH248" s="167"/>
      <c r="BI248" s="167"/>
      <c r="BJ248" s="167"/>
      <c r="BK248" s="167"/>
      <c r="BL248" s="167"/>
      <c r="BM248" s="167"/>
      <c r="BN248" s="167"/>
      <c r="BO248" s="167"/>
      <c r="BP248" s="167"/>
      <c r="BQ248" s="167"/>
      <c r="BR248" s="167"/>
      <c r="BS248" s="167"/>
      <c r="BT248" s="167"/>
      <c r="BU248" s="167"/>
      <c r="BV248" s="167"/>
      <c r="BW248" s="167"/>
      <c r="BX248" s="167"/>
      <c r="BY248" s="167"/>
      <c r="BZ248" s="167"/>
      <c r="CA248" s="167"/>
      <c r="CB248" s="167"/>
      <c r="CC248" s="167"/>
      <c r="CD248" s="167"/>
      <c r="CE248" s="167"/>
      <c r="CF248" s="167"/>
      <c r="CG248" s="167"/>
      <c r="CH248" s="167"/>
      <c r="CI248" s="167"/>
      <c r="CJ248" s="167"/>
      <c r="CK248" s="167"/>
      <c r="CL248" s="167"/>
      <c r="CM248" s="167"/>
      <c r="CN248" s="167"/>
      <c r="CO248" s="167"/>
      <c r="CP248" s="167"/>
      <c r="CQ248" s="167"/>
    </row>
    <row r="249" spans="46:95" ht="16" customHeight="1">
      <c r="AT249" s="167"/>
      <c r="AU249" s="167"/>
      <c r="AV249" s="167"/>
      <c r="AW249" s="167"/>
      <c r="AX249" s="167"/>
      <c r="AY249" s="167"/>
      <c r="AZ249" s="167"/>
      <c r="BA249" s="167"/>
      <c r="BB249" s="167"/>
      <c r="BC249" s="167"/>
      <c r="BD249" s="167"/>
      <c r="BE249" s="167"/>
      <c r="BF249" s="167"/>
      <c r="BG249" s="167"/>
      <c r="BH249" s="167"/>
      <c r="BI249" s="167"/>
      <c r="BJ249" s="167"/>
      <c r="BK249" s="167"/>
      <c r="BL249" s="167"/>
      <c r="BM249" s="167"/>
      <c r="BN249" s="167"/>
      <c r="BO249" s="167"/>
      <c r="BP249" s="167"/>
      <c r="BQ249" s="167"/>
      <c r="BR249" s="167"/>
      <c r="BS249" s="167"/>
      <c r="BT249" s="167"/>
      <c r="BU249" s="167"/>
      <c r="BV249" s="167"/>
      <c r="BW249" s="167"/>
      <c r="BX249" s="167"/>
      <c r="BY249" s="167"/>
      <c r="BZ249" s="167"/>
      <c r="CA249" s="167"/>
      <c r="CB249" s="167"/>
      <c r="CC249" s="167"/>
      <c r="CD249" s="167"/>
      <c r="CE249" s="167"/>
      <c r="CF249" s="167"/>
      <c r="CG249" s="167"/>
      <c r="CH249" s="167"/>
      <c r="CI249" s="167"/>
      <c r="CJ249" s="167"/>
      <c r="CK249" s="167"/>
      <c r="CL249" s="167"/>
      <c r="CM249" s="167"/>
      <c r="CN249" s="167"/>
      <c r="CO249" s="167"/>
      <c r="CP249" s="167"/>
      <c r="CQ249" s="167"/>
    </row>
    <row r="250" spans="46:95" ht="16" customHeight="1">
      <c r="AT250" s="167"/>
      <c r="AU250" s="167"/>
      <c r="AV250" s="167"/>
      <c r="AW250" s="167"/>
      <c r="AX250" s="167"/>
      <c r="AY250" s="167"/>
      <c r="AZ250" s="167"/>
      <c r="BA250" s="167"/>
      <c r="BB250" s="167"/>
      <c r="BC250" s="167"/>
      <c r="BD250" s="167"/>
      <c r="BE250" s="167"/>
      <c r="BF250" s="167"/>
      <c r="BG250" s="167"/>
      <c r="BH250" s="167"/>
      <c r="BI250" s="167"/>
      <c r="BJ250" s="167"/>
      <c r="BK250" s="167"/>
      <c r="BL250" s="167"/>
      <c r="BM250" s="167"/>
      <c r="BN250" s="167"/>
      <c r="BO250" s="167"/>
      <c r="BP250" s="167"/>
      <c r="BQ250" s="167"/>
      <c r="BR250" s="167"/>
      <c r="BS250" s="167"/>
      <c r="BT250" s="167"/>
      <c r="BU250" s="167"/>
      <c r="BV250" s="167"/>
      <c r="BW250" s="167"/>
      <c r="BX250" s="167"/>
      <c r="BY250" s="167"/>
      <c r="BZ250" s="167"/>
      <c r="CA250" s="167"/>
      <c r="CB250" s="167"/>
      <c r="CC250" s="167"/>
      <c r="CD250" s="167"/>
      <c r="CE250" s="167"/>
      <c r="CF250" s="167"/>
      <c r="CG250" s="167"/>
      <c r="CH250" s="167"/>
      <c r="CI250" s="167"/>
      <c r="CJ250" s="167"/>
      <c r="CK250" s="167"/>
      <c r="CL250" s="167"/>
      <c r="CM250" s="167"/>
      <c r="CN250" s="167"/>
      <c r="CO250" s="167"/>
      <c r="CP250" s="167"/>
      <c r="CQ250" s="167"/>
    </row>
    <row r="251" spans="46:95" ht="16" customHeight="1">
      <c r="AT251" s="167"/>
      <c r="AU251" s="167"/>
      <c r="AV251" s="167"/>
      <c r="AW251" s="167"/>
      <c r="AX251" s="167"/>
      <c r="AY251" s="167"/>
      <c r="AZ251" s="167"/>
      <c r="BA251" s="167"/>
      <c r="BB251" s="167"/>
      <c r="BC251" s="167"/>
      <c r="BD251" s="167"/>
      <c r="BE251" s="167"/>
      <c r="BF251" s="167"/>
      <c r="BG251" s="167"/>
      <c r="BH251" s="167"/>
      <c r="BI251" s="167"/>
      <c r="BJ251" s="167"/>
      <c r="BK251" s="167"/>
      <c r="BL251" s="167"/>
      <c r="BM251" s="167"/>
      <c r="BN251" s="167"/>
      <c r="BO251" s="167"/>
      <c r="BP251" s="167"/>
      <c r="BQ251" s="167"/>
      <c r="BR251" s="167"/>
      <c r="BS251" s="167"/>
      <c r="BT251" s="167"/>
      <c r="BU251" s="167"/>
      <c r="BV251" s="167"/>
      <c r="BW251" s="167"/>
      <c r="BX251" s="167"/>
      <c r="BY251" s="167"/>
      <c r="BZ251" s="167"/>
      <c r="CA251" s="167"/>
      <c r="CB251" s="167"/>
      <c r="CC251" s="167"/>
      <c r="CD251" s="167"/>
      <c r="CE251" s="167"/>
      <c r="CF251" s="167"/>
      <c r="CG251" s="167"/>
      <c r="CH251" s="167"/>
      <c r="CI251" s="167"/>
      <c r="CJ251" s="167"/>
      <c r="CK251" s="167"/>
      <c r="CL251" s="167"/>
      <c r="CM251" s="167"/>
      <c r="CN251" s="167"/>
      <c r="CO251" s="167"/>
      <c r="CP251" s="167"/>
      <c r="CQ251" s="167"/>
    </row>
    <row r="252" spans="46:95" ht="16" customHeight="1">
      <c r="AT252" s="167"/>
      <c r="AU252" s="167"/>
      <c r="AV252" s="167"/>
      <c r="AW252" s="167"/>
      <c r="AX252" s="167"/>
      <c r="AY252" s="167"/>
      <c r="AZ252" s="167"/>
      <c r="BA252" s="167"/>
      <c r="BB252" s="167"/>
      <c r="BC252" s="167"/>
      <c r="BD252" s="167"/>
      <c r="BE252" s="167"/>
      <c r="BF252" s="167"/>
      <c r="BG252" s="167"/>
      <c r="BH252" s="167"/>
      <c r="BI252" s="167"/>
      <c r="BJ252" s="167"/>
      <c r="BK252" s="167"/>
      <c r="BL252" s="167"/>
      <c r="BM252" s="167"/>
      <c r="BN252" s="167"/>
      <c r="BO252" s="167"/>
      <c r="BP252" s="167"/>
      <c r="BQ252" s="167"/>
      <c r="BR252" s="167"/>
      <c r="BS252" s="167"/>
      <c r="BT252" s="167"/>
      <c r="BU252" s="167"/>
      <c r="BV252" s="167"/>
      <c r="BW252" s="167"/>
      <c r="BX252" s="167"/>
      <c r="BY252" s="167"/>
      <c r="BZ252" s="167"/>
      <c r="CA252" s="167"/>
      <c r="CB252" s="167"/>
      <c r="CC252" s="167"/>
      <c r="CD252" s="167"/>
      <c r="CE252" s="167"/>
      <c r="CF252" s="167"/>
      <c r="CG252" s="167"/>
      <c r="CH252" s="167"/>
      <c r="CI252" s="167"/>
      <c r="CJ252" s="167"/>
      <c r="CK252" s="167"/>
      <c r="CL252" s="167"/>
      <c r="CM252" s="167"/>
      <c r="CN252" s="167"/>
      <c r="CO252" s="167"/>
      <c r="CP252" s="167"/>
      <c r="CQ252" s="167"/>
    </row>
    <row r="253" spans="46:95" ht="16" customHeight="1">
      <c r="AT253" s="167"/>
      <c r="AU253" s="167"/>
      <c r="AV253" s="167"/>
      <c r="AW253" s="167"/>
      <c r="AX253" s="167"/>
      <c r="AY253" s="167"/>
      <c r="AZ253" s="167"/>
      <c r="BA253" s="167"/>
      <c r="BB253" s="167"/>
      <c r="BC253" s="167"/>
      <c r="BD253" s="167"/>
      <c r="BE253" s="167"/>
      <c r="BF253" s="167"/>
      <c r="BG253" s="167"/>
      <c r="BH253" s="167"/>
      <c r="BI253" s="167"/>
      <c r="BJ253" s="167"/>
      <c r="BK253" s="167"/>
      <c r="BL253" s="167"/>
      <c r="BM253" s="167"/>
      <c r="BN253" s="167"/>
      <c r="BO253" s="167"/>
      <c r="BP253" s="167"/>
      <c r="BQ253" s="167"/>
      <c r="BR253" s="167"/>
      <c r="BS253" s="167"/>
      <c r="BT253" s="167"/>
      <c r="BU253" s="167"/>
      <c r="BV253" s="167"/>
      <c r="BW253" s="167"/>
      <c r="BX253" s="167"/>
      <c r="BY253" s="167"/>
      <c r="BZ253" s="167"/>
      <c r="CA253" s="167"/>
      <c r="CB253" s="167"/>
      <c r="CC253" s="167"/>
      <c r="CD253" s="167"/>
      <c r="CE253" s="167"/>
      <c r="CF253" s="167"/>
      <c r="CG253" s="167"/>
      <c r="CH253" s="167"/>
      <c r="CI253" s="167"/>
      <c r="CJ253" s="167"/>
      <c r="CK253" s="167"/>
      <c r="CL253" s="167"/>
      <c r="CM253" s="167"/>
      <c r="CN253" s="167"/>
      <c r="CO253" s="167"/>
      <c r="CP253" s="167"/>
      <c r="CQ253" s="167"/>
    </row>
    <row r="254" spans="46:95" ht="16" customHeight="1">
      <c r="AT254" s="167"/>
      <c r="AU254" s="167"/>
      <c r="AV254" s="167"/>
      <c r="AW254" s="167"/>
      <c r="AX254" s="167"/>
      <c r="AY254" s="167"/>
      <c r="AZ254" s="167"/>
      <c r="BA254" s="167"/>
      <c r="BB254" s="167"/>
      <c r="BC254" s="167"/>
      <c r="BD254" s="167"/>
      <c r="BE254" s="167"/>
      <c r="BF254" s="167"/>
      <c r="BG254" s="167"/>
      <c r="BH254" s="167"/>
      <c r="BI254" s="167"/>
      <c r="BJ254" s="167"/>
      <c r="BK254" s="167"/>
      <c r="BL254" s="167"/>
      <c r="BM254" s="167"/>
      <c r="BN254" s="167"/>
      <c r="BO254" s="167"/>
      <c r="BP254" s="167"/>
      <c r="BQ254" s="167"/>
      <c r="BR254" s="167"/>
      <c r="BS254" s="167"/>
      <c r="BT254" s="167"/>
      <c r="BU254" s="167"/>
      <c r="BV254" s="167"/>
      <c r="BW254" s="167"/>
      <c r="BX254" s="167"/>
      <c r="BY254" s="167"/>
      <c r="BZ254" s="167"/>
      <c r="CA254" s="167"/>
      <c r="CB254" s="167"/>
      <c r="CC254" s="167"/>
      <c r="CD254" s="167"/>
      <c r="CE254" s="167"/>
      <c r="CF254" s="167"/>
      <c r="CG254" s="167"/>
      <c r="CH254" s="167"/>
      <c r="CI254" s="167"/>
      <c r="CJ254" s="167"/>
      <c r="CK254" s="167"/>
      <c r="CL254" s="167"/>
      <c r="CM254" s="167"/>
      <c r="CN254" s="167"/>
      <c r="CO254" s="167"/>
      <c r="CP254" s="167"/>
      <c r="CQ254" s="167"/>
    </row>
    <row r="255" spans="46:95" ht="16" customHeight="1">
      <c r="AT255" s="167"/>
      <c r="AU255" s="167"/>
      <c r="AV255" s="167"/>
      <c r="AW255" s="167"/>
      <c r="AX255" s="167"/>
      <c r="AY255" s="167"/>
      <c r="AZ255" s="167"/>
      <c r="BA255" s="167"/>
      <c r="BB255" s="167"/>
      <c r="BC255" s="167"/>
      <c r="BD255" s="167"/>
      <c r="BE255" s="167"/>
      <c r="BF255" s="167"/>
      <c r="BG255" s="167"/>
      <c r="BH255" s="167"/>
      <c r="BI255" s="167"/>
      <c r="BJ255" s="167"/>
      <c r="BK255" s="167"/>
      <c r="BL255" s="167"/>
      <c r="BM255" s="167"/>
      <c r="BN255" s="167"/>
      <c r="BO255" s="167"/>
      <c r="BP255" s="167"/>
      <c r="BQ255" s="167"/>
      <c r="BR255" s="167"/>
      <c r="BS255" s="167"/>
      <c r="BT255" s="167"/>
      <c r="BU255" s="167"/>
      <c r="BV255" s="167"/>
      <c r="BW255" s="167"/>
      <c r="BX255" s="167"/>
      <c r="BY255" s="167"/>
      <c r="BZ255" s="167"/>
      <c r="CA255" s="167"/>
      <c r="CB255" s="167"/>
      <c r="CC255" s="167"/>
      <c r="CD255" s="167"/>
      <c r="CE255" s="167"/>
      <c r="CF255" s="167"/>
      <c r="CG255" s="167"/>
      <c r="CH255" s="167"/>
      <c r="CI255" s="167"/>
      <c r="CJ255" s="167"/>
      <c r="CK255" s="167"/>
      <c r="CL255" s="167"/>
      <c r="CM255" s="167"/>
      <c r="CN255" s="167"/>
      <c r="CO255" s="167"/>
      <c r="CP255" s="167"/>
      <c r="CQ255" s="167"/>
    </row>
    <row r="256" spans="46:95" ht="16" customHeight="1">
      <c r="AT256" s="167"/>
      <c r="AU256" s="167"/>
      <c r="AV256" s="167"/>
      <c r="AW256" s="167"/>
      <c r="AX256" s="167"/>
      <c r="AY256" s="167"/>
      <c r="AZ256" s="167"/>
      <c r="BA256" s="167"/>
      <c r="BB256" s="167"/>
      <c r="BC256" s="167"/>
      <c r="BD256" s="167"/>
      <c r="BE256" s="167"/>
      <c r="BF256" s="167"/>
      <c r="BG256" s="167"/>
      <c r="BH256" s="167"/>
      <c r="BI256" s="167"/>
      <c r="BJ256" s="167"/>
      <c r="BK256" s="167"/>
      <c r="BL256" s="167"/>
      <c r="BM256" s="167"/>
      <c r="BN256" s="167"/>
      <c r="BO256" s="167"/>
      <c r="BP256" s="167"/>
      <c r="BQ256" s="167"/>
      <c r="BR256" s="167"/>
      <c r="BS256" s="167"/>
      <c r="BT256" s="167"/>
      <c r="BU256" s="167"/>
      <c r="BV256" s="167"/>
      <c r="BW256" s="167"/>
      <c r="BX256" s="167"/>
      <c r="BY256" s="167"/>
      <c r="BZ256" s="167"/>
      <c r="CA256" s="167"/>
      <c r="CB256" s="167"/>
      <c r="CC256" s="167"/>
      <c r="CD256" s="167"/>
      <c r="CE256" s="167"/>
      <c r="CF256" s="167"/>
      <c r="CG256" s="167"/>
      <c r="CH256" s="167"/>
      <c r="CI256" s="167"/>
      <c r="CJ256" s="167"/>
      <c r="CK256" s="167"/>
      <c r="CL256" s="167"/>
      <c r="CM256" s="167"/>
      <c r="CN256" s="167"/>
      <c r="CO256" s="167"/>
      <c r="CP256" s="167"/>
      <c r="CQ256" s="167"/>
    </row>
    <row r="257" spans="46:95" ht="16" customHeight="1">
      <c r="AT257" s="167"/>
      <c r="AU257" s="167"/>
      <c r="AV257" s="167"/>
      <c r="AW257" s="167"/>
      <c r="AX257" s="167"/>
      <c r="AY257" s="167"/>
      <c r="AZ257" s="167"/>
      <c r="BA257" s="167"/>
      <c r="BB257" s="167"/>
      <c r="BC257" s="167"/>
      <c r="BD257" s="167"/>
      <c r="BE257" s="167"/>
      <c r="BF257" s="167"/>
      <c r="BG257" s="167"/>
      <c r="BH257" s="167"/>
      <c r="BI257" s="167"/>
      <c r="BJ257" s="167"/>
      <c r="BK257" s="167"/>
      <c r="BL257" s="167"/>
      <c r="BM257" s="167"/>
      <c r="BN257" s="167"/>
      <c r="BO257" s="167"/>
      <c r="BP257" s="167"/>
      <c r="BQ257" s="167"/>
      <c r="BR257" s="167"/>
      <c r="BS257" s="167"/>
      <c r="BT257" s="167"/>
      <c r="BU257" s="167"/>
      <c r="BV257" s="167"/>
      <c r="BW257" s="167"/>
      <c r="BX257" s="167"/>
      <c r="BY257" s="167"/>
      <c r="BZ257" s="167"/>
      <c r="CA257" s="167"/>
      <c r="CB257" s="167"/>
      <c r="CC257" s="167"/>
      <c r="CD257" s="167"/>
      <c r="CE257" s="167"/>
      <c r="CF257" s="167"/>
      <c r="CG257" s="167"/>
      <c r="CH257" s="167"/>
      <c r="CI257" s="167"/>
      <c r="CJ257" s="167"/>
      <c r="CK257" s="167"/>
      <c r="CL257" s="167"/>
      <c r="CM257" s="167"/>
      <c r="CN257" s="167"/>
      <c r="CO257" s="167"/>
      <c r="CP257" s="167"/>
      <c r="CQ257" s="167"/>
    </row>
    <row r="258" spans="46:95" ht="16" customHeight="1">
      <c r="AT258" s="167"/>
      <c r="AU258" s="167"/>
      <c r="AV258" s="167"/>
      <c r="AW258" s="167"/>
      <c r="AX258" s="167"/>
      <c r="AY258" s="167"/>
      <c r="AZ258" s="167"/>
      <c r="BA258" s="167"/>
      <c r="BB258" s="167"/>
      <c r="BC258" s="167"/>
      <c r="BD258" s="167"/>
      <c r="BE258" s="167"/>
      <c r="BF258" s="167"/>
      <c r="BG258" s="167"/>
      <c r="BH258" s="167"/>
      <c r="BI258" s="167"/>
      <c r="BJ258" s="167"/>
      <c r="BK258" s="167"/>
      <c r="BL258" s="167"/>
      <c r="BM258" s="167"/>
      <c r="BN258" s="167"/>
      <c r="BO258" s="167"/>
      <c r="BP258" s="167"/>
      <c r="BQ258" s="167"/>
      <c r="BR258" s="167"/>
      <c r="BS258" s="167"/>
      <c r="BT258" s="167"/>
      <c r="BU258" s="167"/>
      <c r="BV258" s="167"/>
      <c r="BW258" s="167"/>
      <c r="BX258" s="167"/>
      <c r="BY258" s="167"/>
      <c r="BZ258" s="167"/>
      <c r="CA258" s="167"/>
      <c r="CB258" s="167"/>
      <c r="CC258" s="167"/>
      <c r="CD258" s="167"/>
      <c r="CE258" s="167"/>
      <c r="CF258" s="167"/>
      <c r="CG258" s="167"/>
      <c r="CH258" s="167"/>
      <c r="CI258" s="167"/>
      <c r="CJ258" s="167"/>
      <c r="CK258" s="167"/>
      <c r="CL258" s="167"/>
      <c r="CM258" s="167"/>
      <c r="CN258" s="167"/>
      <c r="CO258" s="167"/>
      <c r="CP258" s="167"/>
      <c r="CQ258" s="167"/>
    </row>
    <row r="259" spans="46:95" ht="16" customHeight="1">
      <c r="AT259" s="167"/>
      <c r="AU259" s="167"/>
      <c r="AV259" s="167"/>
      <c r="AW259" s="167"/>
      <c r="AX259" s="167"/>
      <c r="AY259" s="167"/>
      <c r="AZ259" s="167"/>
      <c r="BA259" s="167"/>
      <c r="BB259" s="167"/>
      <c r="BC259" s="167"/>
      <c r="BD259" s="167"/>
      <c r="BE259" s="167"/>
      <c r="BF259" s="167"/>
      <c r="BG259" s="167"/>
      <c r="BH259" s="167"/>
      <c r="BI259" s="167"/>
      <c r="BJ259" s="167"/>
      <c r="BK259" s="167"/>
      <c r="BL259" s="167"/>
      <c r="BM259" s="167"/>
      <c r="BN259" s="167"/>
      <c r="BO259" s="167"/>
      <c r="BP259" s="167"/>
      <c r="BQ259" s="167"/>
      <c r="BR259" s="167"/>
      <c r="BS259" s="167"/>
      <c r="BT259" s="167"/>
      <c r="BU259" s="167"/>
      <c r="BV259" s="167"/>
      <c r="BW259" s="167"/>
      <c r="BX259" s="167"/>
      <c r="BY259" s="167"/>
      <c r="BZ259" s="167"/>
      <c r="CA259" s="167"/>
      <c r="CB259" s="167"/>
      <c r="CC259" s="167"/>
      <c r="CD259" s="167"/>
      <c r="CE259" s="167"/>
      <c r="CF259" s="167"/>
      <c r="CG259" s="167"/>
      <c r="CH259" s="167"/>
      <c r="CI259" s="167"/>
      <c r="CJ259" s="167"/>
      <c r="CK259" s="167"/>
      <c r="CL259" s="167"/>
      <c r="CM259" s="167"/>
      <c r="CN259" s="167"/>
      <c r="CO259" s="167"/>
      <c r="CP259" s="167"/>
      <c r="CQ259" s="167"/>
    </row>
    <row r="260" spans="46:95" ht="16" customHeight="1">
      <c r="AT260" s="167"/>
      <c r="AU260" s="167"/>
      <c r="AV260" s="167"/>
      <c r="AW260" s="167"/>
      <c r="AX260" s="167"/>
      <c r="AY260" s="167"/>
      <c r="AZ260" s="167"/>
      <c r="BA260" s="167"/>
      <c r="BB260" s="167"/>
      <c r="BC260" s="167"/>
      <c r="BD260" s="167"/>
      <c r="BE260" s="167"/>
      <c r="BF260" s="167"/>
      <c r="BG260" s="167"/>
      <c r="BH260" s="167"/>
      <c r="BI260" s="167"/>
      <c r="BJ260" s="167"/>
      <c r="BK260" s="167"/>
      <c r="BL260" s="167"/>
      <c r="BM260" s="167"/>
      <c r="BN260" s="167"/>
      <c r="BO260" s="167"/>
      <c r="BP260" s="167"/>
      <c r="BQ260" s="167"/>
      <c r="BR260" s="167"/>
      <c r="BS260" s="167"/>
      <c r="BT260" s="167"/>
      <c r="BU260" s="167"/>
      <c r="BV260" s="167"/>
      <c r="BW260" s="167"/>
      <c r="BX260" s="167"/>
      <c r="BY260" s="167"/>
      <c r="BZ260" s="167"/>
      <c r="CA260" s="167"/>
      <c r="CB260" s="167"/>
      <c r="CC260" s="167"/>
      <c r="CD260" s="167"/>
      <c r="CE260" s="167"/>
      <c r="CF260" s="167"/>
      <c r="CG260" s="167"/>
      <c r="CH260" s="167"/>
      <c r="CI260" s="167"/>
      <c r="CJ260" s="167"/>
      <c r="CK260" s="167"/>
      <c r="CL260" s="167"/>
      <c r="CM260" s="167"/>
      <c r="CN260" s="167"/>
      <c r="CO260" s="167"/>
      <c r="CP260" s="167"/>
      <c r="CQ260" s="167"/>
    </row>
    <row r="261" spans="46:95" ht="16" customHeight="1">
      <c r="AT261" s="167"/>
      <c r="AU261" s="167"/>
      <c r="AV261" s="167"/>
      <c r="AW261" s="167"/>
      <c r="AX261" s="167"/>
      <c r="AY261" s="167"/>
      <c r="AZ261" s="167"/>
      <c r="BA261" s="167"/>
      <c r="BB261" s="167"/>
      <c r="BC261" s="167"/>
      <c r="BD261" s="167"/>
      <c r="BE261" s="167"/>
      <c r="BF261" s="167"/>
      <c r="BG261" s="167"/>
      <c r="BH261" s="167"/>
      <c r="BI261" s="167"/>
      <c r="BJ261" s="167"/>
      <c r="BK261" s="167"/>
      <c r="BL261" s="167"/>
      <c r="BM261" s="167"/>
      <c r="BN261" s="167"/>
      <c r="BO261" s="167"/>
      <c r="BP261" s="167"/>
      <c r="BQ261" s="167"/>
      <c r="BR261" s="167"/>
      <c r="BS261" s="167"/>
      <c r="BT261" s="167"/>
      <c r="BU261" s="167"/>
      <c r="BV261" s="167"/>
      <c r="BW261" s="167"/>
      <c r="BX261" s="167"/>
      <c r="BY261" s="167"/>
      <c r="BZ261" s="167"/>
      <c r="CA261" s="167"/>
      <c r="CB261" s="167"/>
      <c r="CC261" s="167"/>
      <c r="CD261" s="167"/>
      <c r="CE261" s="167"/>
      <c r="CF261" s="167"/>
      <c r="CG261" s="167"/>
      <c r="CH261" s="167"/>
      <c r="CI261" s="167"/>
      <c r="CJ261" s="167"/>
      <c r="CK261" s="167"/>
      <c r="CL261" s="167"/>
      <c r="CM261" s="167"/>
      <c r="CN261" s="167"/>
      <c r="CO261" s="167"/>
      <c r="CP261" s="167"/>
      <c r="CQ261" s="167"/>
    </row>
    <row r="262" spans="46:95" ht="16" customHeight="1">
      <c r="AT262" s="167"/>
      <c r="AU262" s="167"/>
      <c r="AV262" s="167"/>
      <c r="AW262" s="167"/>
      <c r="AX262" s="167"/>
      <c r="AY262" s="167"/>
      <c r="AZ262" s="167"/>
      <c r="BA262" s="167"/>
      <c r="BB262" s="167"/>
      <c r="BC262" s="167"/>
      <c r="BD262" s="167"/>
      <c r="BE262" s="167"/>
      <c r="BF262" s="167"/>
      <c r="BG262" s="167"/>
      <c r="BH262" s="167"/>
      <c r="BI262" s="167"/>
      <c r="BJ262" s="167"/>
      <c r="BK262" s="167"/>
      <c r="BL262" s="167"/>
      <c r="BM262" s="167"/>
      <c r="BN262" s="167"/>
      <c r="BO262" s="167"/>
      <c r="BP262" s="167"/>
      <c r="BQ262" s="167"/>
      <c r="BR262" s="167"/>
      <c r="BS262" s="167"/>
      <c r="BT262" s="167"/>
      <c r="BU262" s="167"/>
      <c r="BV262" s="167"/>
      <c r="BW262" s="167"/>
      <c r="BX262" s="167"/>
      <c r="BY262" s="167"/>
      <c r="BZ262" s="167"/>
      <c r="CA262" s="167"/>
      <c r="CB262" s="167"/>
      <c r="CC262" s="167"/>
      <c r="CD262" s="167"/>
      <c r="CE262" s="167"/>
      <c r="CF262" s="167"/>
      <c r="CG262" s="167"/>
      <c r="CH262" s="167"/>
      <c r="CI262" s="167"/>
      <c r="CJ262" s="167"/>
      <c r="CK262" s="167"/>
      <c r="CL262" s="167"/>
      <c r="CM262" s="167"/>
      <c r="CN262" s="167"/>
      <c r="CO262" s="167"/>
      <c r="CP262" s="167"/>
      <c r="CQ262" s="167"/>
    </row>
    <row r="263" spans="46:95" ht="16" customHeight="1">
      <c r="AT263" s="167"/>
      <c r="AU263" s="167"/>
      <c r="AV263" s="167"/>
      <c r="AW263" s="167"/>
      <c r="AX263" s="167"/>
      <c r="AY263" s="167"/>
      <c r="AZ263" s="167"/>
      <c r="BA263" s="167"/>
      <c r="BB263" s="167"/>
      <c r="BC263" s="167"/>
      <c r="BD263" s="167"/>
      <c r="BE263" s="167"/>
      <c r="BF263" s="167"/>
      <c r="BG263" s="167"/>
      <c r="BH263" s="167"/>
      <c r="BI263" s="167"/>
      <c r="BJ263" s="167"/>
      <c r="BK263" s="167"/>
      <c r="BL263" s="167"/>
      <c r="BM263" s="167"/>
      <c r="BN263" s="167"/>
      <c r="BO263" s="167"/>
      <c r="BP263" s="167"/>
      <c r="BQ263" s="167"/>
      <c r="BR263" s="167"/>
      <c r="BS263" s="167"/>
      <c r="BT263" s="167"/>
      <c r="BU263" s="167"/>
      <c r="BV263" s="167"/>
      <c r="BW263" s="167"/>
      <c r="BX263" s="167"/>
      <c r="BY263" s="167"/>
      <c r="BZ263" s="167"/>
      <c r="CA263" s="167"/>
      <c r="CB263" s="167"/>
      <c r="CC263" s="167"/>
      <c r="CD263" s="167"/>
      <c r="CE263" s="167"/>
      <c r="CF263" s="167"/>
      <c r="CG263" s="167"/>
      <c r="CH263" s="167"/>
      <c r="CI263" s="167"/>
      <c r="CJ263" s="167"/>
      <c r="CK263" s="167"/>
      <c r="CL263" s="167"/>
      <c r="CM263" s="167"/>
      <c r="CN263" s="167"/>
      <c r="CO263" s="167"/>
      <c r="CP263" s="167"/>
      <c r="CQ263" s="167"/>
    </row>
    <row r="264" spans="46:95" ht="16" customHeight="1">
      <c r="AT264" s="167"/>
      <c r="AU264" s="167"/>
      <c r="AV264" s="167"/>
      <c r="AW264" s="167"/>
      <c r="AX264" s="167"/>
      <c r="AY264" s="167"/>
      <c r="AZ264" s="167"/>
      <c r="BA264" s="167"/>
      <c r="BB264" s="167"/>
      <c r="BC264" s="167"/>
      <c r="BD264" s="167"/>
      <c r="BE264" s="167"/>
      <c r="BF264" s="167"/>
      <c r="BG264" s="167"/>
      <c r="BH264" s="167"/>
      <c r="BI264" s="167"/>
      <c r="BJ264" s="167"/>
      <c r="BK264" s="167"/>
      <c r="BL264" s="167"/>
      <c r="BM264" s="167"/>
      <c r="BN264" s="167"/>
      <c r="BO264" s="167"/>
      <c r="BP264" s="167"/>
      <c r="BQ264" s="167"/>
      <c r="BR264" s="167"/>
      <c r="BS264" s="167"/>
      <c r="BT264" s="167"/>
      <c r="BU264" s="167"/>
      <c r="BV264" s="167"/>
      <c r="BW264" s="167"/>
      <c r="BX264" s="167"/>
      <c r="BY264" s="167"/>
      <c r="BZ264" s="167"/>
      <c r="CA264" s="167"/>
      <c r="CB264" s="167"/>
      <c r="CC264" s="167"/>
      <c r="CD264" s="167"/>
      <c r="CE264" s="167"/>
      <c r="CF264" s="167"/>
      <c r="CG264" s="167"/>
      <c r="CH264" s="167"/>
      <c r="CI264" s="167"/>
      <c r="CJ264" s="167"/>
      <c r="CK264" s="167"/>
      <c r="CL264" s="167"/>
      <c r="CM264" s="167"/>
      <c r="CN264" s="167"/>
      <c r="CO264" s="167"/>
      <c r="CP264" s="167"/>
      <c r="CQ264" s="167"/>
    </row>
    <row r="265" spans="46:95" ht="16" customHeight="1">
      <c r="AT265" s="167"/>
      <c r="AU265" s="167"/>
      <c r="AV265" s="167"/>
      <c r="AW265" s="167"/>
      <c r="AX265" s="167"/>
      <c r="AY265" s="167"/>
      <c r="AZ265" s="167"/>
      <c r="BA265" s="167"/>
      <c r="BB265" s="167"/>
      <c r="BC265" s="167"/>
      <c r="BD265" s="167"/>
      <c r="BE265" s="167"/>
      <c r="BF265" s="167"/>
      <c r="BG265" s="167"/>
      <c r="BH265" s="167"/>
      <c r="BI265" s="167"/>
      <c r="BJ265" s="167"/>
      <c r="BK265" s="167"/>
      <c r="BL265" s="167"/>
      <c r="BM265" s="167"/>
      <c r="BN265" s="167"/>
      <c r="BO265" s="167"/>
      <c r="BP265" s="167"/>
      <c r="BQ265" s="167"/>
      <c r="BR265" s="167"/>
      <c r="BS265" s="167"/>
      <c r="BT265" s="167"/>
      <c r="BU265" s="167"/>
      <c r="BV265" s="167"/>
      <c r="BW265" s="167"/>
      <c r="BX265" s="167"/>
      <c r="BY265" s="167"/>
      <c r="BZ265" s="167"/>
      <c r="CA265" s="167"/>
      <c r="CB265" s="167"/>
      <c r="CC265" s="167"/>
      <c r="CD265" s="167"/>
      <c r="CE265" s="167"/>
      <c r="CF265" s="167"/>
      <c r="CG265" s="167"/>
      <c r="CH265" s="167"/>
      <c r="CI265" s="167"/>
      <c r="CJ265" s="167"/>
      <c r="CK265" s="167"/>
      <c r="CL265" s="167"/>
      <c r="CM265" s="167"/>
      <c r="CN265" s="167"/>
      <c r="CO265" s="167"/>
      <c r="CP265" s="167"/>
      <c r="CQ265" s="167"/>
    </row>
    <row r="266" spans="46:95" ht="16" customHeight="1">
      <c r="AT266" s="167"/>
      <c r="AU266" s="167"/>
      <c r="AV266" s="167"/>
      <c r="AW266" s="167"/>
      <c r="AX266" s="167"/>
      <c r="AY266" s="167"/>
      <c r="AZ266" s="167"/>
      <c r="BA266" s="167"/>
      <c r="BB266" s="167"/>
      <c r="BC266" s="167"/>
      <c r="BD266" s="167"/>
      <c r="BE266" s="167"/>
      <c r="BF266" s="167"/>
      <c r="BG266" s="167"/>
      <c r="BH266" s="167"/>
      <c r="BI266" s="167"/>
      <c r="BJ266" s="167"/>
      <c r="BK266" s="167"/>
      <c r="BL266" s="167"/>
      <c r="BM266" s="167"/>
      <c r="BN266" s="167"/>
      <c r="BO266" s="167"/>
      <c r="BP266" s="167"/>
      <c r="BQ266" s="167"/>
      <c r="BR266" s="167"/>
      <c r="BS266" s="167"/>
      <c r="BT266" s="167"/>
      <c r="BU266" s="167"/>
      <c r="BV266" s="167"/>
      <c r="BW266" s="167"/>
      <c r="BX266" s="167"/>
      <c r="BY266" s="167"/>
      <c r="BZ266" s="167"/>
      <c r="CA266" s="167"/>
      <c r="CB266" s="167"/>
      <c r="CC266" s="167"/>
      <c r="CD266" s="167"/>
      <c r="CE266" s="167"/>
      <c r="CF266" s="167"/>
      <c r="CG266" s="167"/>
      <c r="CH266" s="167"/>
      <c r="CI266" s="167"/>
      <c r="CJ266" s="167"/>
      <c r="CK266" s="167"/>
      <c r="CL266" s="167"/>
      <c r="CM266" s="167"/>
      <c r="CN266" s="167"/>
      <c r="CO266" s="167"/>
      <c r="CP266" s="167"/>
      <c r="CQ266" s="167"/>
    </row>
    <row r="267" spans="46:95" ht="16" customHeight="1">
      <c r="AT267" s="167"/>
      <c r="AU267" s="167"/>
      <c r="AV267" s="167"/>
      <c r="AW267" s="167"/>
      <c r="AX267" s="167"/>
      <c r="AY267" s="167"/>
      <c r="AZ267" s="167"/>
      <c r="BA267" s="167"/>
      <c r="BB267" s="167"/>
      <c r="BC267" s="167"/>
      <c r="BD267" s="167"/>
      <c r="BE267" s="167"/>
      <c r="BF267" s="167"/>
      <c r="BG267" s="167"/>
      <c r="BH267" s="167"/>
      <c r="BI267" s="167"/>
      <c r="BJ267" s="167"/>
      <c r="BK267" s="167"/>
      <c r="BL267" s="167"/>
      <c r="BM267" s="167"/>
      <c r="BN267" s="167"/>
      <c r="BO267" s="167"/>
      <c r="BP267" s="167"/>
      <c r="BQ267" s="167"/>
      <c r="BR267" s="167"/>
      <c r="BS267" s="167"/>
      <c r="BT267" s="167"/>
      <c r="BU267" s="167"/>
      <c r="BV267" s="167"/>
      <c r="BW267" s="167"/>
      <c r="BX267" s="167"/>
      <c r="BY267" s="167"/>
      <c r="BZ267" s="167"/>
      <c r="CA267" s="167"/>
      <c r="CB267" s="167"/>
      <c r="CC267" s="167"/>
      <c r="CD267" s="167"/>
      <c r="CE267" s="167"/>
      <c r="CF267" s="167"/>
      <c r="CG267" s="167"/>
      <c r="CH267" s="167"/>
      <c r="CI267" s="167"/>
      <c r="CJ267" s="167"/>
      <c r="CK267" s="167"/>
      <c r="CL267" s="167"/>
      <c r="CM267" s="167"/>
      <c r="CN267" s="167"/>
      <c r="CO267" s="167"/>
      <c r="CP267" s="167"/>
      <c r="CQ267" s="167"/>
    </row>
    <row r="268" spans="46:95" ht="16" customHeight="1">
      <c r="AT268" s="167"/>
      <c r="AU268" s="167"/>
      <c r="AV268" s="167"/>
      <c r="AW268" s="167"/>
      <c r="AX268" s="167"/>
      <c r="AY268" s="167"/>
      <c r="AZ268" s="167"/>
      <c r="BA268" s="167"/>
      <c r="BB268" s="167"/>
      <c r="BC268" s="167"/>
      <c r="BD268" s="167"/>
      <c r="BE268" s="167"/>
      <c r="BF268" s="167"/>
      <c r="BG268" s="167"/>
      <c r="BH268" s="167"/>
      <c r="BI268" s="167"/>
      <c r="BJ268" s="167"/>
      <c r="BK268" s="167"/>
      <c r="BL268" s="167"/>
      <c r="BM268" s="167"/>
      <c r="BN268" s="167"/>
      <c r="BO268" s="167"/>
      <c r="BP268" s="167"/>
      <c r="BQ268" s="167"/>
      <c r="BR268" s="167"/>
      <c r="BS268" s="167"/>
      <c r="BT268" s="167"/>
      <c r="BU268" s="167"/>
      <c r="BV268" s="167"/>
      <c r="BW268" s="167"/>
      <c r="BX268" s="167"/>
      <c r="BY268" s="167"/>
      <c r="BZ268" s="167"/>
      <c r="CA268" s="167"/>
      <c r="CB268" s="167"/>
      <c r="CC268" s="167"/>
      <c r="CD268" s="167"/>
      <c r="CE268" s="167"/>
      <c r="CF268" s="167"/>
      <c r="CG268" s="167"/>
      <c r="CH268" s="167"/>
      <c r="CI268" s="167"/>
      <c r="CJ268" s="167"/>
      <c r="CK268" s="167"/>
      <c r="CL268" s="167"/>
      <c r="CM268" s="167"/>
      <c r="CN268" s="167"/>
      <c r="CO268" s="167"/>
      <c r="CP268" s="167"/>
      <c r="CQ268" s="167"/>
    </row>
    <row r="269" spans="46:95" ht="16" customHeight="1">
      <c r="AT269" s="167"/>
      <c r="AU269" s="167"/>
      <c r="AV269" s="167"/>
      <c r="AW269" s="167"/>
      <c r="AX269" s="167"/>
      <c r="AY269" s="167"/>
      <c r="AZ269" s="167"/>
      <c r="BA269" s="167"/>
      <c r="BB269" s="167"/>
      <c r="BC269" s="167"/>
      <c r="BD269" s="167"/>
      <c r="BE269" s="167"/>
      <c r="BF269" s="167"/>
      <c r="BG269" s="167"/>
      <c r="BH269" s="167"/>
      <c r="BI269" s="167"/>
      <c r="BJ269" s="167"/>
      <c r="BK269" s="167"/>
      <c r="BL269" s="167"/>
      <c r="BM269" s="167"/>
      <c r="BN269" s="167"/>
      <c r="BO269" s="167"/>
      <c r="BP269" s="167"/>
      <c r="BQ269" s="167"/>
      <c r="BR269" s="167"/>
      <c r="BS269" s="167"/>
      <c r="BT269" s="167"/>
      <c r="BU269" s="167"/>
      <c r="BV269" s="167"/>
      <c r="BW269" s="167"/>
      <c r="BX269" s="167"/>
      <c r="BY269" s="167"/>
      <c r="BZ269" s="167"/>
      <c r="CA269" s="167"/>
      <c r="CB269" s="167"/>
      <c r="CC269" s="167"/>
      <c r="CD269" s="167"/>
      <c r="CE269" s="167"/>
      <c r="CF269" s="167"/>
      <c r="CG269" s="167"/>
      <c r="CH269" s="167"/>
      <c r="CI269" s="167"/>
      <c r="CJ269" s="167"/>
      <c r="CK269" s="167"/>
      <c r="CL269" s="167"/>
      <c r="CM269" s="167"/>
      <c r="CN269" s="167"/>
      <c r="CO269" s="167"/>
      <c r="CP269" s="167"/>
      <c r="CQ269" s="167"/>
    </row>
    <row r="270" spans="46:95" ht="16" customHeight="1">
      <c r="AT270" s="167"/>
      <c r="AU270" s="167"/>
      <c r="AV270" s="167"/>
      <c r="AW270" s="167"/>
      <c r="AX270" s="167"/>
      <c r="AY270" s="167"/>
      <c r="AZ270" s="167"/>
      <c r="BA270" s="167"/>
      <c r="BB270" s="167"/>
      <c r="BC270" s="167"/>
      <c r="BD270" s="167"/>
      <c r="BE270" s="167"/>
      <c r="BF270" s="167"/>
      <c r="BG270" s="167"/>
      <c r="BH270" s="167"/>
      <c r="BI270" s="167"/>
      <c r="BJ270" s="167"/>
      <c r="BK270" s="167"/>
      <c r="BL270" s="167"/>
      <c r="BM270" s="167"/>
      <c r="BN270" s="167"/>
      <c r="BO270" s="167"/>
      <c r="BP270" s="167"/>
      <c r="BQ270" s="167"/>
      <c r="BR270" s="167"/>
      <c r="BS270" s="167"/>
      <c r="BT270" s="167"/>
      <c r="BU270" s="167"/>
      <c r="BV270" s="167"/>
      <c r="BW270" s="167"/>
      <c r="BX270" s="167"/>
      <c r="BY270" s="167"/>
      <c r="BZ270" s="167"/>
      <c r="CA270" s="167"/>
      <c r="CB270" s="167"/>
      <c r="CC270" s="167"/>
      <c r="CD270" s="167"/>
      <c r="CE270" s="167"/>
      <c r="CF270" s="167"/>
      <c r="CG270" s="167"/>
      <c r="CH270" s="167"/>
      <c r="CI270" s="167"/>
      <c r="CJ270" s="167"/>
      <c r="CK270" s="167"/>
      <c r="CL270" s="167"/>
      <c r="CM270" s="167"/>
      <c r="CN270" s="167"/>
      <c r="CO270" s="167"/>
      <c r="CP270" s="167"/>
      <c r="CQ270" s="167"/>
    </row>
    <row r="271" spans="46:95" ht="16" customHeight="1">
      <c r="AT271" s="167"/>
      <c r="AU271" s="167"/>
      <c r="AV271" s="167"/>
      <c r="AW271" s="167"/>
      <c r="AX271" s="167"/>
      <c r="AY271" s="167"/>
      <c r="AZ271" s="167"/>
      <c r="BA271" s="167"/>
      <c r="BB271" s="167"/>
      <c r="BC271" s="167"/>
      <c r="BD271" s="167"/>
      <c r="BE271" s="167"/>
      <c r="BF271" s="167"/>
      <c r="BG271" s="167"/>
      <c r="BH271" s="167"/>
      <c r="BI271" s="167"/>
      <c r="BJ271" s="167"/>
      <c r="BK271" s="167"/>
      <c r="BL271" s="167"/>
      <c r="BM271" s="167"/>
      <c r="BN271" s="167"/>
      <c r="BO271" s="167"/>
      <c r="BP271" s="167"/>
      <c r="BQ271" s="167"/>
      <c r="BR271" s="167"/>
      <c r="BS271" s="167"/>
      <c r="BT271" s="167"/>
      <c r="BU271" s="167"/>
      <c r="BV271" s="167"/>
      <c r="BW271" s="167"/>
      <c r="BX271" s="167"/>
      <c r="BY271" s="167"/>
      <c r="BZ271" s="167"/>
      <c r="CA271" s="167"/>
      <c r="CB271" s="167"/>
      <c r="CC271" s="167"/>
      <c r="CD271" s="167"/>
      <c r="CE271" s="167"/>
      <c r="CF271" s="167"/>
      <c r="CG271" s="167"/>
      <c r="CH271" s="167"/>
      <c r="CI271" s="167"/>
      <c r="CJ271" s="167"/>
      <c r="CK271" s="167"/>
      <c r="CL271" s="167"/>
      <c r="CM271" s="167"/>
      <c r="CN271" s="167"/>
      <c r="CO271" s="167"/>
      <c r="CP271" s="167"/>
      <c r="CQ271" s="167"/>
    </row>
    <row r="272" spans="46:95" ht="16" customHeight="1">
      <c r="AT272" s="167"/>
      <c r="AU272" s="167"/>
      <c r="AV272" s="167"/>
      <c r="AW272" s="167"/>
      <c r="AX272" s="167"/>
      <c r="AY272" s="167"/>
      <c r="AZ272" s="167"/>
      <c r="BA272" s="167"/>
      <c r="BB272" s="167"/>
      <c r="BC272" s="167"/>
      <c r="BD272" s="167"/>
      <c r="BE272" s="167"/>
      <c r="BF272" s="167"/>
      <c r="BG272" s="167"/>
      <c r="BH272" s="167"/>
      <c r="BI272" s="167"/>
      <c r="BJ272" s="167"/>
      <c r="BK272" s="167"/>
      <c r="BL272" s="167"/>
      <c r="BM272" s="167"/>
      <c r="BN272" s="167"/>
      <c r="BO272" s="167"/>
      <c r="BP272" s="167"/>
      <c r="BQ272" s="167"/>
      <c r="BR272" s="167"/>
      <c r="BS272" s="167"/>
      <c r="BT272" s="167"/>
      <c r="BU272" s="167"/>
      <c r="BV272" s="167"/>
      <c r="BW272" s="167"/>
      <c r="BX272" s="167"/>
      <c r="BY272" s="167"/>
      <c r="BZ272" s="167"/>
      <c r="CA272" s="167"/>
      <c r="CB272" s="167"/>
      <c r="CC272" s="167"/>
      <c r="CD272" s="167"/>
      <c r="CE272" s="167"/>
      <c r="CF272" s="167"/>
      <c r="CG272" s="167"/>
      <c r="CH272" s="167"/>
      <c r="CI272" s="167"/>
      <c r="CJ272" s="167"/>
      <c r="CK272" s="167"/>
      <c r="CL272" s="167"/>
      <c r="CM272" s="167"/>
      <c r="CN272" s="167"/>
      <c r="CO272" s="167"/>
      <c r="CP272" s="167"/>
      <c r="CQ272" s="167"/>
    </row>
    <row r="273" spans="46:95" ht="16" customHeight="1">
      <c r="AT273" s="167"/>
      <c r="AU273" s="167"/>
      <c r="AV273" s="167"/>
      <c r="AW273" s="167"/>
      <c r="AX273" s="167"/>
      <c r="AY273" s="167"/>
      <c r="AZ273" s="167"/>
      <c r="BA273" s="167"/>
      <c r="BB273" s="167"/>
      <c r="BC273" s="167"/>
      <c r="BD273" s="167"/>
      <c r="BE273" s="167"/>
      <c r="BF273" s="167"/>
      <c r="BG273" s="167"/>
      <c r="BH273" s="167"/>
      <c r="BI273" s="167"/>
      <c r="BJ273" s="167"/>
      <c r="BK273" s="167"/>
      <c r="BL273" s="167"/>
      <c r="BM273" s="167"/>
      <c r="BN273" s="167"/>
      <c r="BO273" s="167"/>
      <c r="BP273" s="167"/>
      <c r="BQ273" s="167"/>
      <c r="BR273" s="167"/>
      <c r="BS273" s="167"/>
      <c r="BT273" s="167"/>
      <c r="BU273" s="167"/>
      <c r="BV273" s="167"/>
      <c r="BW273" s="167"/>
      <c r="BX273" s="167"/>
      <c r="BY273" s="167"/>
      <c r="BZ273" s="167"/>
      <c r="CA273" s="167"/>
      <c r="CB273" s="167"/>
      <c r="CC273" s="167"/>
      <c r="CD273" s="167"/>
      <c r="CE273" s="167"/>
      <c r="CF273" s="167"/>
      <c r="CG273" s="167"/>
      <c r="CH273" s="167"/>
      <c r="CI273" s="167"/>
      <c r="CJ273" s="167"/>
      <c r="CK273" s="167"/>
      <c r="CL273" s="167"/>
      <c r="CM273" s="167"/>
      <c r="CN273" s="167"/>
      <c r="CO273" s="167"/>
      <c r="CP273" s="167"/>
      <c r="CQ273" s="167"/>
    </row>
    <row r="274" spans="46:95" ht="16" customHeight="1">
      <c r="AT274" s="167"/>
      <c r="AU274" s="167"/>
      <c r="AV274" s="167"/>
      <c r="AW274" s="167"/>
      <c r="AX274" s="167"/>
      <c r="AY274" s="167"/>
      <c r="AZ274" s="167"/>
      <c r="BA274" s="167"/>
      <c r="BB274" s="167"/>
      <c r="BC274" s="167"/>
      <c r="BD274" s="167"/>
      <c r="BE274" s="167"/>
      <c r="BF274" s="167"/>
      <c r="BG274" s="167"/>
      <c r="BH274" s="167"/>
      <c r="BI274" s="167"/>
      <c r="BJ274" s="167"/>
      <c r="BK274" s="167"/>
      <c r="BL274" s="167"/>
      <c r="BM274" s="167"/>
      <c r="BN274" s="167"/>
      <c r="BO274" s="167"/>
      <c r="BP274" s="167"/>
      <c r="BQ274" s="167"/>
      <c r="BR274" s="167"/>
      <c r="BS274" s="167"/>
      <c r="BT274" s="167"/>
      <c r="BU274" s="167"/>
      <c r="BV274" s="167"/>
      <c r="BW274" s="167"/>
      <c r="BX274" s="167"/>
      <c r="BY274" s="167"/>
      <c r="BZ274" s="167"/>
      <c r="CA274" s="167"/>
      <c r="CB274" s="167"/>
      <c r="CC274" s="167"/>
      <c r="CD274" s="167"/>
      <c r="CE274" s="167"/>
      <c r="CF274" s="167"/>
      <c r="CG274" s="167"/>
      <c r="CH274" s="167"/>
      <c r="CI274" s="167"/>
      <c r="CJ274" s="167"/>
      <c r="CK274" s="167"/>
      <c r="CL274" s="167"/>
      <c r="CM274" s="167"/>
      <c r="CN274" s="167"/>
      <c r="CO274" s="167"/>
      <c r="CP274" s="167"/>
      <c r="CQ274" s="167"/>
    </row>
    <row r="275" spans="46:95" ht="16" customHeight="1">
      <c r="AT275" s="167"/>
      <c r="AU275" s="167"/>
      <c r="AV275" s="167"/>
      <c r="AW275" s="167"/>
      <c r="AX275" s="167"/>
      <c r="AY275" s="167"/>
      <c r="AZ275" s="167"/>
      <c r="BA275" s="167"/>
      <c r="BB275" s="167"/>
      <c r="BC275" s="167"/>
      <c r="BD275" s="167"/>
      <c r="BE275" s="167"/>
      <c r="BF275" s="167"/>
      <c r="BG275" s="167"/>
      <c r="BH275" s="167"/>
      <c r="BI275" s="167"/>
      <c r="BJ275" s="167"/>
      <c r="BK275" s="167"/>
      <c r="BL275" s="167"/>
      <c r="BM275" s="167"/>
      <c r="BN275" s="167"/>
      <c r="BO275" s="167"/>
      <c r="BP275" s="167"/>
      <c r="BQ275" s="167"/>
      <c r="BR275" s="167"/>
      <c r="BS275" s="167"/>
      <c r="BT275" s="167"/>
      <c r="BU275" s="167"/>
      <c r="BV275" s="167"/>
      <c r="BW275" s="167"/>
      <c r="BX275" s="167"/>
      <c r="BY275" s="167"/>
      <c r="BZ275" s="167"/>
      <c r="CA275" s="167"/>
      <c r="CB275" s="167"/>
      <c r="CC275" s="167"/>
      <c r="CD275" s="167"/>
      <c r="CE275" s="167"/>
      <c r="CF275" s="167"/>
      <c r="CG275" s="167"/>
      <c r="CH275" s="167"/>
      <c r="CI275" s="167"/>
      <c r="CJ275" s="167"/>
      <c r="CK275" s="167"/>
      <c r="CL275" s="167"/>
      <c r="CM275" s="167"/>
      <c r="CN275" s="167"/>
      <c r="CO275" s="167"/>
      <c r="CP275" s="167"/>
      <c r="CQ275" s="167"/>
    </row>
    <row r="276" spans="46:95" ht="16" customHeight="1">
      <c r="AT276" s="167"/>
      <c r="AU276" s="167"/>
      <c r="AV276" s="167"/>
      <c r="AW276" s="167"/>
      <c r="AX276" s="167"/>
      <c r="AY276" s="167"/>
      <c r="AZ276" s="167"/>
      <c r="BA276" s="167"/>
      <c r="BB276" s="167"/>
      <c r="BC276" s="167"/>
      <c r="BD276" s="167"/>
      <c r="BE276" s="167"/>
      <c r="BF276" s="167"/>
      <c r="BG276" s="167"/>
      <c r="BH276" s="167"/>
      <c r="BI276" s="167"/>
      <c r="BJ276" s="167"/>
      <c r="BK276" s="167"/>
      <c r="BL276" s="167"/>
      <c r="BM276" s="167"/>
      <c r="BN276" s="167"/>
      <c r="BO276" s="167"/>
      <c r="BP276" s="167"/>
      <c r="BQ276" s="167"/>
      <c r="BR276" s="167"/>
      <c r="BS276" s="167"/>
      <c r="BT276" s="167"/>
      <c r="BU276" s="167"/>
      <c r="BV276" s="167"/>
      <c r="BW276" s="167"/>
      <c r="BX276" s="167"/>
      <c r="BY276" s="167"/>
      <c r="BZ276" s="167"/>
      <c r="CA276" s="167"/>
      <c r="CB276" s="167"/>
      <c r="CC276" s="167"/>
      <c r="CD276" s="167"/>
      <c r="CE276" s="167"/>
      <c r="CF276" s="167"/>
      <c r="CG276" s="167"/>
      <c r="CH276" s="167"/>
      <c r="CI276" s="167"/>
      <c r="CJ276" s="167"/>
      <c r="CK276" s="167"/>
      <c r="CL276" s="167"/>
      <c r="CM276" s="167"/>
      <c r="CN276" s="167"/>
      <c r="CO276" s="167"/>
      <c r="CP276" s="167"/>
      <c r="CQ276" s="167"/>
    </row>
    <row r="982" spans="1:1" ht="16" customHeight="1">
      <c r="A982" s="59" t="s">
        <v>237</v>
      </c>
    </row>
    <row r="1019" spans="2:4" ht="16" customHeight="1">
      <c r="B1019" s="59"/>
      <c r="C1019" s="163"/>
      <c r="D1019" s="163"/>
    </row>
  </sheetData>
  <sheetProtection formatCells="0" formatColumns="0" formatRows="0" insertColumns="0" insertRows="0" insertHyperlinks="0" deleteColumns="0" deleteRows="0" sort="0" autoFilter="0" pivotTables="0"/>
  <mergeCells count="41">
    <mergeCell ref="B23:B26"/>
    <mergeCell ref="B83:AQ83"/>
    <mergeCell ref="AB16:AB17"/>
    <mergeCell ref="AB79:AB80"/>
    <mergeCell ref="AB46:AB47"/>
    <mergeCell ref="U46:U47"/>
    <mergeCell ref="U79:U80"/>
    <mergeCell ref="B50:AQ50"/>
    <mergeCell ref="B29:B32"/>
    <mergeCell ref="B35:B38"/>
    <mergeCell ref="B41:B44"/>
    <mergeCell ref="B120:C124"/>
    <mergeCell ref="B113:B116"/>
    <mergeCell ref="V16:V17"/>
    <mergeCell ref="V46:V47"/>
    <mergeCell ref="V79:V80"/>
    <mergeCell ref="F41:F43"/>
    <mergeCell ref="F74:F76"/>
    <mergeCell ref="F23:F25"/>
    <mergeCell ref="F29:F31"/>
    <mergeCell ref="F35:F37"/>
    <mergeCell ref="B74:B77"/>
    <mergeCell ref="P79:P80"/>
    <mergeCell ref="P16:P17"/>
    <mergeCell ref="P46:P47"/>
    <mergeCell ref="B95:B101"/>
    <mergeCell ref="H129:H131"/>
    <mergeCell ref="B104:B110"/>
    <mergeCell ref="B53:B59"/>
    <mergeCell ref="F55:F57"/>
    <mergeCell ref="F62:F64"/>
    <mergeCell ref="F68:F70"/>
    <mergeCell ref="F88:F90"/>
    <mergeCell ref="F97:F99"/>
    <mergeCell ref="F107:F109"/>
    <mergeCell ref="H104:O110"/>
    <mergeCell ref="F113:F115"/>
    <mergeCell ref="F121:F123"/>
    <mergeCell ref="B86:B92"/>
    <mergeCell ref="B62:B65"/>
    <mergeCell ref="B68:B71"/>
  </mergeCells>
  <pageMargins left="0.7" right="0.7" top="0.75" bottom="0.75" header="0.3" footer="0.3"/>
  <pageSetup paperSize="9" orientation="portrait" horizontalDpi="0" verticalDpi="0"/>
  <ignoredErrors>
    <ignoredError sqref="H96:S96" formula="1"/>
  </ignoredErrors>
  <drawing r:id="rId1"/>
  <legacyDrawing r:id="rId2"/>
  <extLst>
    <ext xmlns:x14="http://schemas.microsoft.com/office/spreadsheetml/2009/9/main" uri="{05C60535-1F16-4fd2-B633-F4F36F0B64E0}">
      <x14:sparklineGroups xmlns:xm="http://schemas.microsoft.com/office/excel/2006/main">
        <x14:sparklineGroup displayEmptyCellsAs="gap" xr2:uid="{78E61E16-4F49-7A43-9E34-E9E162131394}">
          <x14:colorSeries theme="5"/>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'Sales Forecast'!H26:AQ26</xm:f>
              <xm:sqref>F23</xm:sqref>
            </x14:sparkline>
          </x14:sparklines>
        </x14:sparklineGroup>
        <x14:sparklineGroup displayEmptyCellsAs="gap" xr2:uid="{4EB06627-951A-594D-B3CF-B2609B02B7E1}">
          <x14:colorSeries theme="5"/>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'Sales Forecast'!H32:AQ32</xm:f>
              <xm:sqref>F29</xm:sqref>
            </x14:sparkline>
          </x14:sparklines>
        </x14:sparklineGroup>
        <x14:sparklineGroup displayEmptyCellsAs="gap" xr2:uid="{248E15A5-F960-924C-9C83-7B959CF3739D}">
          <x14:colorSeries theme="5"/>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'Sales Forecast'!H38:AQ38</xm:f>
              <xm:sqref>F35</xm:sqref>
            </x14:sparkline>
          </x14:sparklines>
        </x14:sparklineGroup>
        <x14:sparklineGroup displayEmptyCellsAs="gap" xr2:uid="{DF03DD88-25CF-D74B-82B1-7241DF077791}">
          <x14:colorSeries theme="8" tint="-0.249977111117893"/>
          <x14:colorNegative theme="9"/>
          <x14:colorAxis rgb="FF000000"/>
          <x14:colorMarkers theme="9" tint="-0.249977111117893"/>
          <x14:colorFirst theme="9" tint="-0.249977111117893"/>
          <x14:colorLast theme="9" tint="-0.249977111117893"/>
          <x14:colorHigh theme="9" tint="-0.249977111117893"/>
          <x14:colorLow theme="9" tint="-0.249977111117893"/>
          <x14:sparklines>
            <x14:sparkline>
              <xm:f>'Sales Forecast'!H59:AQ59</xm:f>
              <xm:sqref>F55</xm:sqref>
            </x14:sparkline>
          </x14:sparklines>
        </x14:sparklineGroup>
        <x14:sparklineGroup displayEmptyCellsAs="gap" xr2:uid="{634E56E0-FE50-F643-8C85-A8A63CCAE034}">
          <x14:colorSeries theme="8" tint="-0.249977111117893"/>
          <x14:colorNegative theme="9"/>
          <x14:colorAxis rgb="FF000000"/>
          <x14:colorMarkers theme="9" tint="-0.249977111117893"/>
          <x14:colorFirst theme="9" tint="-0.249977111117893"/>
          <x14:colorLast theme="9" tint="-0.249977111117893"/>
          <x14:colorHigh theme="9" tint="-0.249977111117893"/>
          <x14:colorLow theme="9" tint="-0.249977111117893"/>
          <x14:sparklines>
            <x14:sparkline>
              <xm:f>'Sales Forecast'!H65:AQ65</xm:f>
              <xm:sqref>F62</xm:sqref>
            </x14:sparkline>
          </x14:sparklines>
        </x14:sparklineGroup>
        <x14:sparklineGroup displayEmptyCellsAs="gap" xr2:uid="{6E5FB70D-60FF-AA4B-AA41-C914A7979F6F}">
          <x14:colorSeries theme="8" tint="-0.249977111117893"/>
          <x14:colorNegative theme="9"/>
          <x14:colorAxis rgb="FF000000"/>
          <x14:colorMarkers theme="9" tint="-0.249977111117893"/>
          <x14:colorFirst theme="9" tint="-0.249977111117893"/>
          <x14:colorLast theme="9" tint="-0.249977111117893"/>
          <x14:colorHigh theme="9" tint="-0.249977111117893"/>
          <x14:colorLow theme="9" tint="-0.249977111117893"/>
          <x14:sparklines>
            <x14:sparkline>
              <xm:f>'Sales Forecast'!H71:AQ71</xm:f>
              <xm:sqref>F68</xm:sqref>
            </x14:sparkline>
          </x14:sparklines>
        </x14:sparklineGroup>
        <x14:sparklineGroup displayEmptyCellsAs="gap" xr2:uid="{49C79FFD-DB46-2449-B233-129C6BB07D7C}">
          <x14:colorSeries rgb="FF00B050"/>
          <x14:colorNegative rgb="FFFF0000"/>
          <x14:colorAxis rgb="FF000000"/>
          <x14:colorMarkers rgb="FF0070C0"/>
          <x14:colorFirst rgb="FFFFC000"/>
          <x14:colorLast rgb="FFFFC000"/>
          <x14:colorHigh rgb="FF00B050"/>
          <x14:colorLow rgb="FFFF0000"/>
          <x14:sparklines>
            <x14:sparkline>
              <xm:f>'Sales Forecast'!H92:AQ92</xm:f>
              <xm:sqref>F88</xm:sqref>
            </x14:sparkline>
          </x14:sparklines>
        </x14:sparklineGroup>
        <x14:sparklineGroup displayEmptyCellsAs="gap" xr2:uid="{E6A8CC4C-3EA2-AE48-AACD-6A410CDC9CA3}">
          <x14:colorSeries rgb="FF00B050"/>
          <x14:colorNegative rgb="FFFF0000"/>
          <x14:colorAxis rgb="FF000000"/>
          <x14:colorMarkers rgb="FF0070C0"/>
          <x14:colorFirst rgb="FFFFC000"/>
          <x14:colorLast rgb="FFFFC000"/>
          <x14:colorHigh rgb="FF00B050"/>
          <x14:colorLow rgb="FFFF0000"/>
          <x14:sparklines>
            <x14:sparkline>
              <xm:f>'Sales Forecast'!H101:AQ101</xm:f>
              <xm:sqref>F97</xm:sqref>
            </x14:sparkline>
          </x14:sparklines>
        </x14:sparklineGroup>
        <x14:sparklineGroup displayEmptyCellsAs="gap" xr2:uid="{5E4FEC0E-EEE9-E942-BF37-CC6F7CFAA68E}">
          <x14:colorSeries rgb="FF00B050"/>
          <x14:colorNegative rgb="FFFF0000"/>
          <x14:colorAxis rgb="FF000000"/>
          <x14:colorMarkers rgb="FF0070C0"/>
          <x14:colorFirst rgb="FFFFC000"/>
          <x14:colorLast rgb="FFFFC000"/>
          <x14:colorHigh rgb="FF00B050"/>
          <x14:colorLow rgb="FFFF0000"/>
          <x14:sparklines>
            <x14:sparkline>
              <xm:f>'Sales Forecast'!P110:AQ110</xm:f>
              <xm:sqref>F107</xm:sqref>
            </x14:sparkline>
          </x14:sparklines>
        </x14:sparklineGroup>
        <x14:sparklineGroup displayEmptyCellsAs="gap" xr2:uid="{6F2A6EF9-7998-A245-9A2B-276AD1FDF826}">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'Sales Forecast'!H42:AQ42</xm:f>
              <xm:sqref>F41</xm:sqref>
            </x14:sparkline>
          </x14:sparklines>
        </x14:sparklineGroup>
        <x14:sparklineGroup displayEmptyCellsAs="gap" xr2:uid="{011E2E20-9664-3D4A-B854-D0D013487334}">
          <x14:colorSeries theme="7"/>
          <x14:colorNegative theme="8"/>
          <x14:colorAxis rgb="FF000000"/>
          <x14:colorMarkers theme="7" tint="-0.249977111117893"/>
          <x14:colorFirst theme="7" tint="-0.249977111117893"/>
          <x14:colorLast theme="7" tint="-0.249977111117893"/>
          <x14:colorHigh theme="7" tint="-0.249977111117893"/>
          <x14:colorLow theme="7" tint="-0.249977111117893"/>
          <x14:sparklines>
            <x14:sparkline>
              <xm:f>'Sales Forecast'!H75:AQ75</xm:f>
              <xm:sqref>F74</xm:sqref>
            </x14:sparkline>
          </x14:sparklines>
        </x14:sparklineGroup>
        <x14:sparklineGroup displayEmptyCellsAs="gap" xr2:uid="{C65CDD81-9B76-FB47-B078-8D104AE242E7}">
          <x14:colorSeries rgb="FF00B0F0"/>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'Sales Forecast'!H114:AQ114</xm:f>
              <xm:sqref>F113</xm:sqref>
            </x14:sparkline>
          </x14:sparklines>
        </x14:sparklineGroup>
        <x14:sparklineGroup displayEmptyCellsAs="gap" xr2:uid="{B28B2AB9-6593-284A-803A-83D1EDF9FA87}">
          <x14:colorSeries rgb="FFC61B6D"/>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'Sales Forecast'!H122:AQ122</xm:f>
              <xm:sqref>F121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tint="0.39997558519241921"/>
  </sheetPr>
  <dimension ref="A1:BR985"/>
  <sheetViews>
    <sheetView showGridLines="0" zoomScale="94" zoomScaleNormal="94" zoomScalePageLayoutView="120" workbookViewId="0">
      <pane xSplit="2" topLeftCell="C1" activePane="topRight" state="frozen"/>
      <selection activeCell="A47" sqref="A47"/>
      <selection pane="topRight" activeCell="B3" sqref="B3"/>
    </sheetView>
  </sheetViews>
  <sheetFormatPr baseColWidth="10" defaultColWidth="10" defaultRowHeight="16" outlineLevelRow="1"/>
  <cols>
    <col min="1" max="1" width="5.6640625" style="49" customWidth="1"/>
    <col min="2" max="2" width="37.5" style="382" customWidth="1"/>
    <col min="3" max="3" width="8.6640625" style="49" customWidth="1"/>
    <col min="4" max="11" width="11.33203125" style="49" customWidth="1"/>
    <col min="12" max="12" width="11.33203125" style="936" customWidth="1"/>
    <col min="13" max="14" width="11.33203125" style="49" customWidth="1"/>
    <col min="15" max="15" width="11.33203125" style="538" customWidth="1"/>
    <col min="16" max="23" width="11.33203125" style="49" customWidth="1"/>
    <col min="24" max="24" width="11.33203125" style="978" customWidth="1"/>
    <col min="25" max="26" width="11.33203125" style="49" customWidth="1"/>
    <col min="27" max="27" width="11.33203125" style="538" customWidth="1"/>
    <col min="28" max="39" width="11.33203125" style="49" customWidth="1"/>
    <col min="40" max="16384" width="10" style="49"/>
  </cols>
  <sheetData>
    <row r="1" spans="1:39" s="48" customFormat="1" ht="20" customHeight="1">
      <c r="B1" s="378" t="str">
        <f>"v"&amp;'COPYRIGHT PROTECTION'!C15&amp;"     "&amp;'COPYRIGHT PROTECTION'!C6</f>
        <v xml:space="preserve">v2025.1     © Simon Hulme and Chris Drew, 2011-2025     IF PART OF AN ACADEMIC ASSIGNMENT, PLEASE DO NOT DELETE THIS SINGLE LINE.  DELETING IT MAY INVALIDATE YOUR SUBMISSION. </v>
      </c>
      <c r="L1" s="935"/>
      <c r="O1" s="537"/>
      <c r="X1" s="977"/>
      <c r="AA1" s="537"/>
    </row>
    <row r="2" spans="1:39" s="48" customFormat="1" ht="20" customHeight="1">
      <c r="A2" s="378"/>
      <c r="L2" s="935"/>
      <c r="O2" s="537"/>
      <c r="X2" s="977"/>
      <c r="AA2" s="537"/>
    </row>
    <row r="3" spans="1:39" ht="28">
      <c r="B3" s="380" t="s">
        <v>479</v>
      </c>
    </row>
    <row r="4" spans="1:39" ht="16" customHeight="1"/>
    <row r="5" spans="1:39" ht="16" customHeight="1">
      <c r="B5" s="380"/>
    </row>
    <row r="6" spans="1:39" ht="16" customHeight="1"/>
    <row r="7" spans="1:39" ht="24" thickBot="1">
      <c r="B7" s="179" t="s">
        <v>62</v>
      </c>
      <c r="C7" s="383"/>
      <c r="D7" s="519"/>
      <c r="E7" s="518"/>
      <c r="F7" s="518"/>
      <c r="G7" s="518"/>
      <c r="H7" s="518"/>
      <c r="I7" s="180"/>
      <c r="J7" s="180"/>
      <c r="K7" s="180"/>
      <c r="L7" s="937"/>
      <c r="M7" s="180"/>
      <c r="N7" s="180"/>
      <c r="O7" s="539"/>
      <c r="P7" s="180"/>
      <c r="Q7" s="180"/>
      <c r="R7" s="180"/>
      <c r="S7" s="180"/>
      <c r="T7" s="180"/>
      <c r="U7" s="180"/>
      <c r="V7" s="180"/>
      <c r="W7" s="180"/>
      <c r="X7" s="979"/>
      <c r="Y7" s="180"/>
      <c r="Z7" s="180"/>
      <c r="AA7" s="539"/>
      <c r="AB7" s="180"/>
      <c r="AC7" s="180"/>
      <c r="AD7" s="180"/>
      <c r="AE7" s="180"/>
      <c r="AF7" s="180"/>
      <c r="AG7" s="180"/>
      <c r="AH7" s="180"/>
      <c r="AI7" s="180"/>
      <c r="AJ7" s="180"/>
      <c r="AK7" s="180"/>
      <c r="AL7" s="180"/>
      <c r="AM7" s="180"/>
    </row>
    <row r="8" spans="1:39" ht="16" customHeight="1"/>
    <row r="9" spans="1:39" ht="16" customHeight="1" thickBot="1">
      <c r="B9" s="384" t="s">
        <v>61</v>
      </c>
      <c r="C9" s="384"/>
      <c r="D9" s="383"/>
      <c r="E9" s="180"/>
      <c r="F9" s="180"/>
      <c r="G9" s="180"/>
      <c r="H9" s="180"/>
      <c r="I9" s="180"/>
      <c r="J9" s="180"/>
      <c r="K9" s="180"/>
    </row>
    <row r="10" spans="1:39" ht="16" customHeight="1">
      <c r="D10" s="497">
        <f>'Pricing Model'!$C$6</f>
        <v>2025</v>
      </c>
      <c r="E10" s="520">
        <v>2026</v>
      </c>
      <c r="F10" s="492">
        <f>D10+2</f>
        <v>2027</v>
      </c>
    </row>
    <row r="11" spans="1:39" s="386" customFormat="1">
      <c r="B11" s="499" t="s">
        <v>393</v>
      </c>
      <c r="C11" s="498"/>
      <c r="D11" s="525">
        <v>0</v>
      </c>
      <c r="E11" s="525">
        <f>'Pricing Model'!D14</f>
        <v>0.04</v>
      </c>
      <c r="F11" s="525">
        <f>(1+'Pricing Model'!E14)*(1+E11)-1</f>
        <v>8.4200000000000053E-2</v>
      </c>
      <c r="I11" s="49"/>
      <c r="J11" s="49"/>
      <c r="K11" s="49"/>
      <c r="L11" s="936"/>
      <c r="M11" s="49"/>
      <c r="N11" s="49"/>
      <c r="O11" s="538"/>
      <c r="R11" s="387"/>
      <c r="S11" s="388"/>
      <c r="T11" s="388"/>
      <c r="U11" s="388"/>
      <c r="V11" s="388"/>
      <c r="W11" s="388"/>
      <c r="X11" s="980"/>
      <c r="Y11" s="387"/>
      <c r="Z11" s="387"/>
      <c r="AA11" s="926"/>
      <c r="AB11" s="387"/>
      <c r="AC11" s="387"/>
      <c r="AD11" s="387"/>
      <c r="AE11" s="352"/>
    </row>
    <row r="12" spans="1:39" s="182" customFormat="1" ht="16" customHeight="1">
      <c r="B12" s="521"/>
      <c r="C12" s="522"/>
      <c r="D12" s="522"/>
      <c r="E12" s="523"/>
      <c r="F12" s="524"/>
      <c r="G12" s="524"/>
      <c r="H12" s="524"/>
      <c r="I12" s="49"/>
      <c r="J12" s="49"/>
      <c r="K12" s="49"/>
      <c r="L12" s="936"/>
      <c r="M12" s="49"/>
      <c r="N12" s="49"/>
      <c r="O12" s="538"/>
      <c r="R12" s="358"/>
      <c r="S12" s="390"/>
      <c r="T12" s="390"/>
      <c r="U12" s="390"/>
      <c r="V12" s="390"/>
      <c r="W12" s="390"/>
      <c r="X12" s="981"/>
      <c r="Y12" s="358"/>
      <c r="Z12" s="358"/>
      <c r="AA12" s="543"/>
      <c r="AB12" s="358"/>
      <c r="AC12" s="358"/>
      <c r="AD12" s="358"/>
      <c r="AE12" s="183"/>
    </row>
    <row r="13" spans="1:39" s="182" customFormat="1">
      <c r="B13" s="351" t="s">
        <v>361</v>
      </c>
      <c r="C13" s="346"/>
      <c r="D13" s="386"/>
      <c r="I13" s="492"/>
      <c r="J13" s="931"/>
      <c r="K13" s="522"/>
      <c r="L13" s="938"/>
      <c r="M13" s="932"/>
      <c r="N13" s="352"/>
      <c r="O13" s="540"/>
      <c r="R13" s="358"/>
      <c r="S13" s="390"/>
      <c r="T13" s="390"/>
      <c r="U13" s="390"/>
      <c r="V13" s="390"/>
      <c r="W13" s="390"/>
      <c r="X13" s="981"/>
      <c r="Y13" s="358"/>
      <c r="Z13" s="358"/>
      <c r="AA13" s="543"/>
      <c r="AB13" s="358"/>
      <c r="AC13" s="358"/>
      <c r="AD13" s="358"/>
      <c r="AE13" s="183"/>
    </row>
    <row r="14" spans="1:39" s="182" customFormat="1">
      <c r="B14" s="181"/>
      <c r="C14" s="352"/>
      <c r="D14" s="181"/>
      <c r="E14" s="573">
        <f>'Pricing Model'!$C$6</f>
        <v>2025</v>
      </c>
      <c r="F14" s="1121">
        <v>2026</v>
      </c>
      <c r="G14" s="1121"/>
      <c r="H14" s="574">
        <f>E14+2</f>
        <v>2027</v>
      </c>
      <c r="I14" s="181"/>
      <c r="J14" s="933"/>
      <c r="K14" s="522"/>
      <c r="L14" s="939"/>
      <c r="M14" s="934"/>
      <c r="N14" s="183"/>
      <c r="O14" s="541"/>
      <c r="R14" s="358"/>
      <c r="S14" s="390"/>
      <c r="T14" s="390"/>
      <c r="U14" s="390"/>
      <c r="V14" s="390"/>
      <c r="W14" s="390"/>
      <c r="X14" s="981"/>
      <c r="Y14" s="358"/>
      <c r="Z14" s="358"/>
      <c r="AA14" s="543"/>
      <c r="AB14" s="358"/>
      <c r="AC14" s="358"/>
      <c r="AD14" s="358"/>
      <c r="AE14" s="183"/>
    </row>
    <row r="15" spans="1:39" s="182" customFormat="1">
      <c r="A15" s="392"/>
      <c r="E15" s="181"/>
      <c r="F15" s="184" t="s">
        <v>382</v>
      </c>
      <c r="G15" s="184" t="s">
        <v>383</v>
      </c>
      <c r="H15" s="181"/>
      <c r="I15" s="181"/>
      <c r="J15" s="933"/>
      <c r="K15" s="522"/>
      <c r="L15" s="939"/>
      <c r="M15" s="934"/>
      <c r="N15" s="183"/>
      <c r="O15" s="541"/>
      <c r="R15" s="358"/>
      <c r="S15" s="390"/>
      <c r="T15" s="390"/>
      <c r="U15" s="390"/>
      <c r="V15" s="390"/>
      <c r="W15" s="390"/>
      <c r="X15" s="981"/>
      <c r="Y15" s="358"/>
      <c r="Z15" s="358"/>
      <c r="AA15" s="543"/>
      <c r="AB15" s="358"/>
      <c r="AC15" s="358"/>
      <c r="AD15" s="358"/>
      <c r="AE15" s="183"/>
    </row>
    <row r="16" spans="1:39" s="182" customFormat="1" outlineLevel="1">
      <c r="A16" s="392"/>
      <c r="B16" s="496" t="s">
        <v>362</v>
      </c>
      <c r="D16" s="508" t="s">
        <v>364</v>
      </c>
      <c r="E16" s="181"/>
      <c r="F16" s="374" t="s">
        <v>363</v>
      </c>
      <c r="G16" s="181"/>
      <c r="H16" s="181"/>
      <c r="I16" s="514"/>
      <c r="J16" s="933"/>
      <c r="K16" s="522"/>
      <c r="L16" s="939"/>
      <c r="M16" s="934"/>
      <c r="N16" s="183"/>
      <c r="O16" s="541"/>
      <c r="R16" s="358"/>
      <c r="S16" s="390"/>
      <c r="T16" s="390"/>
      <c r="U16" s="390"/>
      <c r="V16" s="390"/>
      <c r="W16" s="390"/>
      <c r="X16" s="981"/>
      <c r="Y16" s="358"/>
      <c r="Z16" s="358"/>
      <c r="AA16" s="543"/>
      <c r="AB16" s="358"/>
      <c r="AC16" s="358"/>
      <c r="AD16" s="358"/>
      <c r="AE16" s="183"/>
    </row>
    <row r="17" spans="1:31" s="182" customFormat="1" outlineLevel="1">
      <c r="A17" s="392"/>
      <c r="B17" s="354" t="s">
        <v>367</v>
      </c>
      <c r="C17" s="501"/>
      <c r="D17" s="502">
        <v>26000</v>
      </c>
      <c r="E17" s="500">
        <v>2.5</v>
      </c>
      <c r="F17" s="500">
        <v>3.5</v>
      </c>
      <c r="G17" s="500">
        <v>6</v>
      </c>
      <c r="H17" s="500">
        <v>7</v>
      </c>
      <c r="I17" s="514"/>
      <c r="J17" s="183"/>
      <c r="L17" s="940"/>
      <c r="M17" s="183"/>
      <c r="N17" s="183"/>
      <c r="O17" s="541"/>
      <c r="R17" s="358"/>
      <c r="S17" s="390"/>
      <c r="T17" s="390"/>
      <c r="U17" s="390"/>
      <c r="V17" s="390"/>
      <c r="W17" s="390"/>
      <c r="X17" s="981"/>
      <c r="Y17" s="358"/>
      <c r="Z17" s="358"/>
      <c r="AA17" s="543"/>
      <c r="AB17" s="358"/>
      <c r="AC17" s="358"/>
      <c r="AD17" s="358"/>
      <c r="AE17" s="183"/>
    </row>
    <row r="18" spans="1:31" s="182" customFormat="1" outlineLevel="1">
      <c r="A18" s="392"/>
      <c r="B18" s="354" t="s">
        <v>368</v>
      </c>
      <c r="C18" s="501"/>
      <c r="D18" s="502">
        <v>32000</v>
      </c>
      <c r="E18" s="500">
        <v>2</v>
      </c>
      <c r="F18" s="500">
        <v>3</v>
      </c>
      <c r="G18" s="500">
        <v>5</v>
      </c>
      <c r="H18" s="500">
        <v>5.5</v>
      </c>
      <c r="I18" s="514"/>
      <c r="J18" s="363" t="s">
        <v>218</v>
      </c>
      <c r="L18" s="940"/>
      <c r="M18" s="358"/>
      <c r="N18" s="183"/>
      <c r="O18" s="541"/>
      <c r="R18" s="358"/>
      <c r="S18" s="390"/>
      <c r="T18" s="390"/>
      <c r="U18" s="390"/>
      <c r="V18" s="390"/>
      <c r="W18" s="390"/>
      <c r="X18" s="981"/>
      <c r="Y18" s="358"/>
      <c r="Z18" s="358"/>
      <c r="AA18" s="543"/>
      <c r="AB18" s="358"/>
      <c r="AC18" s="358"/>
      <c r="AD18" s="358"/>
      <c r="AE18" s="183"/>
    </row>
    <row r="19" spans="1:31" s="182" customFormat="1" outlineLevel="1">
      <c r="A19" s="392"/>
      <c r="B19" s="354" t="s">
        <v>372</v>
      </c>
      <c r="C19" s="501"/>
      <c r="D19" s="502">
        <v>28000</v>
      </c>
      <c r="E19" s="500">
        <v>1</v>
      </c>
      <c r="F19" s="500">
        <v>1</v>
      </c>
      <c r="G19" s="500">
        <v>2</v>
      </c>
      <c r="H19" s="500">
        <v>2.5</v>
      </c>
      <c r="I19" s="514"/>
      <c r="J19" s="364" t="s">
        <v>397</v>
      </c>
      <c r="L19" s="940"/>
      <c r="M19" s="365">
        <v>1000</v>
      </c>
      <c r="N19" s="358"/>
      <c r="O19" s="541"/>
      <c r="R19" s="358"/>
      <c r="S19" s="390"/>
      <c r="T19" s="390"/>
      <c r="U19" s="390"/>
      <c r="V19" s="390"/>
      <c r="W19" s="390"/>
      <c r="X19" s="981"/>
      <c r="Y19" s="358"/>
      <c r="Z19" s="358"/>
      <c r="AA19" s="543"/>
      <c r="AB19" s="358"/>
      <c r="AC19" s="358"/>
      <c r="AD19" s="358"/>
      <c r="AE19" s="183"/>
    </row>
    <row r="20" spans="1:31" s="182" customFormat="1" outlineLevel="1">
      <c r="A20" s="392"/>
      <c r="B20" s="354" t="s">
        <v>370</v>
      </c>
      <c r="C20" s="501"/>
      <c r="D20" s="502">
        <v>22460</v>
      </c>
      <c r="E20" s="500">
        <v>1</v>
      </c>
      <c r="F20" s="500">
        <v>1.5</v>
      </c>
      <c r="G20" s="500">
        <v>2.5</v>
      </c>
      <c r="H20" s="500">
        <v>3</v>
      </c>
      <c r="I20" s="514"/>
      <c r="J20" s="183" t="s">
        <v>212</v>
      </c>
      <c r="L20" s="940"/>
      <c r="M20" s="366">
        <v>60</v>
      </c>
      <c r="N20" s="358"/>
      <c r="O20" s="541"/>
      <c r="R20" s="358"/>
      <c r="S20" s="390"/>
      <c r="T20" s="390"/>
      <c r="U20" s="390"/>
      <c r="V20" s="390"/>
      <c r="W20" s="390"/>
      <c r="X20" s="981"/>
      <c r="Y20" s="358"/>
      <c r="Z20" s="358"/>
      <c r="AA20" s="543"/>
      <c r="AB20" s="358"/>
      <c r="AC20" s="358"/>
      <c r="AD20" s="358"/>
      <c r="AE20" s="183"/>
    </row>
    <row r="21" spans="1:31" s="182" customFormat="1" outlineLevel="1">
      <c r="A21" s="392"/>
      <c r="B21" s="354" t="s">
        <v>371</v>
      </c>
      <c r="C21" s="501"/>
      <c r="D21" s="502">
        <v>6260</v>
      </c>
      <c r="E21" s="500">
        <v>1</v>
      </c>
      <c r="F21" s="500">
        <v>1</v>
      </c>
      <c r="G21" s="500">
        <v>2</v>
      </c>
      <c r="H21" s="500">
        <v>2.5</v>
      </c>
      <c r="I21" s="514"/>
      <c r="J21" s="364" t="s">
        <v>213</v>
      </c>
      <c r="L21" s="940"/>
      <c r="M21" s="367">
        <f>M19*M20</f>
        <v>60000</v>
      </c>
      <c r="N21" s="183"/>
      <c r="O21" s="541"/>
      <c r="R21" s="358"/>
      <c r="S21" s="390"/>
      <c r="T21" s="390"/>
      <c r="U21" s="390"/>
      <c r="V21" s="390"/>
      <c r="W21" s="390"/>
      <c r="X21" s="981"/>
      <c r="Y21" s="358"/>
      <c r="Z21" s="358"/>
      <c r="AA21" s="543"/>
      <c r="AB21" s="358"/>
      <c r="AC21" s="358"/>
      <c r="AD21" s="358"/>
      <c r="AE21" s="183"/>
    </row>
    <row r="22" spans="1:31" s="390" customFormat="1" ht="16" customHeight="1" outlineLevel="1">
      <c r="A22" s="393"/>
      <c r="B22" s="354" t="s">
        <v>373</v>
      </c>
      <c r="C22" s="501"/>
      <c r="D22" s="502">
        <v>26000</v>
      </c>
      <c r="E22" s="500">
        <v>1.5</v>
      </c>
      <c r="F22" s="500">
        <v>2</v>
      </c>
      <c r="G22" s="500">
        <v>3</v>
      </c>
      <c r="H22" s="500">
        <v>3.5</v>
      </c>
      <c r="I22" s="515"/>
      <c r="J22" s="364" t="s">
        <v>63</v>
      </c>
      <c r="L22" s="940"/>
      <c r="M22" s="368">
        <v>250000</v>
      </c>
      <c r="N22" s="183"/>
      <c r="O22" s="541"/>
      <c r="R22" s="358"/>
      <c r="X22" s="981"/>
      <c r="Y22" s="358"/>
      <c r="Z22" s="358"/>
      <c r="AA22" s="543"/>
      <c r="AB22" s="358"/>
      <c r="AC22" s="358"/>
      <c r="AD22" s="358"/>
      <c r="AE22" s="358"/>
    </row>
    <row r="23" spans="1:31" s="182" customFormat="1">
      <c r="A23" s="392"/>
      <c r="B23" s="529" t="s">
        <v>374</v>
      </c>
      <c r="C23" s="526"/>
      <c r="D23" s="526"/>
      <c r="E23" s="527">
        <f>SUMPRODUCT($D$17:$D$22,E17:E22)*(1+D11)</f>
        <v>224720</v>
      </c>
      <c r="F23" s="604">
        <f>SUMPRODUCT($D$17:$D$22,F17:F22)*(1+E11)*2/3</f>
        <v>212818.66666666666</v>
      </c>
      <c r="G23" s="604">
        <f>SUMPRODUCT($D$17:$D$22,G17:G22)*(1+E11)*1/3</f>
        <v>179805.6</v>
      </c>
      <c r="H23" s="526">
        <f>SUMPRODUCT($D$17:$D$22,H17:H22)*(1+F11)</f>
        <v>652720.92599999998</v>
      </c>
      <c r="J23" s="183"/>
      <c r="L23" s="940"/>
      <c r="M23" s="183"/>
      <c r="N23" s="183"/>
      <c r="O23" s="541"/>
      <c r="R23" s="358"/>
      <c r="S23" s="390"/>
      <c r="T23" s="390"/>
      <c r="U23" s="390"/>
      <c r="V23" s="390"/>
      <c r="W23" s="390"/>
      <c r="X23" s="981"/>
      <c r="Y23" s="358"/>
      <c r="Z23" s="358"/>
      <c r="AA23" s="543"/>
      <c r="AB23" s="358"/>
      <c r="AC23" s="358"/>
      <c r="AD23" s="358"/>
      <c r="AE23" s="183"/>
    </row>
    <row r="24" spans="1:31" s="395" customFormat="1" ht="16" customHeight="1">
      <c r="A24" s="394"/>
      <c r="I24" s="181"/>
      <c r="J24" s="369" t="s">
        <v>72</v>
      </c>
      <c r="L24" s="941"/>
      <c r="M24" s="370"/>
      <c r="N24" s="370"/>
      <c r="O24" s="542"/>
      <c r="R24" s="396"/>
      <c r="S24" s="397"/>
      <c r="T24" s="397"/>
      <c r="U24" s="397"/>
      <c r="V24" s="397"/>
      <c r="W24" s="397"/>
      <c r="X24" s="982"/>
      <c r="Y24" s="396"/>
      <c r="Z24" s="396"/>
      <c r="AA24" s="927"/>
      <c r="AB24" s="396"/>
      <c r="AC24" s="396"/>
      <c r="AD24" s="396"/>
      <c r="AE24" s="362"/>
    </row>
    <row r="25" spans="1:31" s="182" customFormat="1" ht="16" customHeight="1">
      <c r="E25" s="390"/>
      <c r="F25" s="497">
        <f>'Pricing Model'!$C$6</f>
        <v>2025</v>
      </c>
      <c r="G25" s="520">
        <v>2026</v>
      </c>
      <c r="H25" s="492">
        <f>F25+2</f>
        <v>2027</v>
      </c>
      <c r="I25" s="347"/>
      <c r="J25" s="364" t="s">
        <v>64</v>
      </c>
      <c r="L25" s="940"/>
      <c r="M25" s="356">
        <v>50000</v>
      </c>
      <c r="N25" s="358"/>
      <c r="O25" s="543"/>
      <c r="R25" s="358"/>
      <c r="S25" s="390"/>
      <c r="T25" s="390"/>
      <c r="U25" s="390"/>
      <c r="V25" s="390"/>
      <c r="W25" s="390"/>
      <c r="X25" s="981"/>
      <c r="Y25" s="358"/>
      <c r="Z25" s="358"/>
      <c r="AA25" s="543"/>
      <c r="AB25" s="358"/>
      <c r="AC25" s="358"/>
      <c r="AD25" s="358"/>
      <c r="AE25" s="183"/>
    </row>
    <row r="26" spans="1:31" s="390" customFormat="1">
      <c r="B26" s="496" t="s">
        <v>379</v>
      </c>
      <c r="C26" s="183"/>
      <c r="D26" s="503" t="s">
        <v>380</v>
      </c>
      <c r="E26" s="535" t="s">
        <v>434</v>
      </c>
      <c r="H26" s="374"/>
      <c r="I26" s="395"/>
      <c r="J26" s="139" t="s">
        <v>66</v>
      </c>
      <c r="L26" s="942"/>
      <c r="M26" s="371">
        <v>7.9000000000000001E-2</v>
      </c>
      <c r="N26" s="358"/>
      <c r="O26" s="543"/>
      <c r="R26" s="358"/>
      <c r="X26" s="981"/>
      <c r="Y26" s="358"/>
      <c r="Z26" s="358"/>
      <c r="AA26" s="543"/>
      <c r="AB26" s="358"/>
      <c r="AC26" s="358"/>
      <c r="AD26" s="358"/>
      <c r="AE26" s="358"/>
    </row>
    <row r="27" spans="1:31" s="390" customFormat="1">
      <c r="B27" s="395" t="s">
        <v>381</v>
      </c>
      <c r="C27" s="395"/>
      <c r="D27" s="572">
        <v>1390</v>
      </c>
      <c r="E27" s="583">
        <f>52000/D27/12</f>
        <v>3.1175059952038371</v>
      </c>
      <c r="F27" s="517">
        <f>$E27*$D27*12*(1+D$11)</f>
        <v>52000.000000000007</v>
      </c>
      <c r="G27" s="517">
        <f>$E27*$D27*12*(1+E$11)</f>
        <v>54080.000000000007</v>
      </c>
      <c r="H27" s="517">
        <f>$E27*$D27*12*(1+F$11)</f>
        <v>56378.400000000009</v>
      </c>
      <c r="I27" s="182"/>
      <c r="J27" s="348" t="s">
        <v>65</v>
      </c>
      <c r="L27" s="940"/>
      <c r="M27" s="372">
        <v>60</v>
      </c>
      <c r="N27" s="358"/>
      <c r="O27" s="543"/>
      <c r="Q27" s="358"/>
      <c r="X27" s="981"/>
      <c r="Y27" s="358"/>
      <c r="Z27" s="358"/>
      <c r="AA27" s="543"/>
      <c r="AB27" s="358"/>
      <c r="AC27" s="358"/>
      <c r="AD27" s="358"/>
      <c r="AE27" s="358"/>
    </row>
    <row r="28" spans="1:31" s="390" customFormat="1">
      <c r="B28" s="182" t="s">
        <v>384</v>
      </c>
      <c r="C28" s="182"/>
      <c r="D28" s="572">
        <v>1335</v>
      </c>
      <c r="E28" s="583">
        <f>55000/D28/12</f>
        <v>3.4332084893882651</v>
      </c>
      <c r="F28" s="517"/>
      <c r="G28" s="517">
        <f>$E28*$D28*12*(1+D$11)/3</f>
        <v>18333.333333333336</v>
      </c>
      <c r="H28" s="517">
        <f>$E28*$D28*12*(1+E$11)</f>
        <v>57200.000000000007</v>
      </c>
      <c r="J28" s="349"/>
      <c r="L28" s="941"/>
      <c r="M28" s="353">
        <f>'Pricing Model'!$C$6</f>
        <v>2025</v>
      </c>
      <c r="N28" s="353">
        <f>M28+1</f>
        <v>2026</v>
      </c>
      <c r="O28" s="544">
        <f>N28+1</f>
        <v>2027</v>
      </c>
      <c r="Q28" s="358"/>
      <c r="X28" s="981"/>
      <c r="Y28" s="358"/>
      <c r="Z28" s="358"/>
      <c r="AA28" s="543"/>
      <c r="AB28" s="358"/>
      <c r="AC28" s="358"/>
      <c r="AD28" s="358"/>
      <c r="AE28" s="358"/>
    </row>
    <row r="29" spans="1:31" s="390" customFormat="1">
      <c r="B29" s="529" t="s">
        <v>394</v>
      </c>
      <c r="C29" s="526"/>
      <c r="D29" s="526"/>
      <c r="E29" s="531"/>
      <c r="F29" s="532">
        <f>F27+F28</f>
        <v>52000.000000000007</v>
      </c>
      <c r="G29" s="532">
        <f>G27+G28</f>
        <v>72413.333333333343</v>
      </c>
      <c r="H29" s="533">
        <f>H27+H28</f>
        <v>113578.40000000002</v>
      </c>
      <c r="J29" s="348" t="s">
        <v>67</v>
      </c>
      <c r="L29" s="941"/>
      <c r="M29" s="373">
        <f>M30+M31</f>
        <v>12137.141821232946</v>
      </c>
      <c r="N29" s="373">
        <f>N30+N31</f>
        <v>12137.141821232944</v>
      </c>
      <c r="O29" s="545">
        <f>O30+O31</f>
        <v>12137.141821232944</v>
      </c>
      <c r="Q29" s="358"/>
      <c r="X29" s="981"/>
      <c r="Y29" s="358"/>
      <c r="Z29" s="358"/>
      <c r="AA29" s="543"/>
      <c r="AB29" s="358"/>
      <c r="AC29" s="358"/>
      <c r="AD29" s="358"/>
      <c r="AE29" s="358"/>
    </row>
    <row r="30" spans="1:31" s="390" customFormat="1" ht="16" customHeight="1">
      <c r="B30" s="382"/>
      <c r="C30" s="49"/>
      <c r="D30" s="49"/>
      <c r="E30" s="49"/>
      <c r="F30" s="49"/>
      <c r="G30" s="49"/>
      <c r="H30" s="49"/>
      <c r="J30" s="348" t="s">
        <v>68</v>
      </c>
      <c r="L30" s="941"/>
      <c r="M30" s="373">
        <f>-SUM(D105:O105)</f>
        <v>3646.9545860477247</v>
      </c>
      <c r="N30" s="373">
        <f>-SUM(P105:AA105)</f>
        <v>2951.4030507093416</v>
      </c>
      <c r="O30" s="545">
        <f>-SUM(AB105:AM105)</f>
        <v>2198.8690337235998</v>
      </c>
      <c r="P30" s="358"/>
      <c r="X30" s="981"/>
      <c r="Y30" s="358"/>
      <c r="Z30" s="358"/>
      <c r="AA30" s="543"/>
      <c r="AB30" s="358"/>
      <c r="AC30" s="358"/>
      <c r="AD30" s="358"/>
      <c r="AE30" s="358"/>
    </row>
    <row r="31" spans="1:31" s="390" customFormat="1" ht="16" customHeight="1">
      <c r="A31" s="398"/>
      <c r="B31" s="350" t="s">
        <v>396</v>
      </c>
      <c r="C31" s="348"/>
      <c r="D31" s="530" t="s">
        <v>387</v>
      </c>
      <c r="E31" s="530" t="s">
        <v>386</v>
      </c>
      <c r="F31" s="49"/>
      <c r="G31" s="49"/>
      <c r="H31" s="49"/>
      <c r="J31" s="348" t="s">
        <v>69</v>
      </c>
      <c r="L31" s="941"/>
      <c r="M31" s="373">
        <f>SUM('Cash Flow'!D140:O140)</f>
        <v>8490.1872351852217</v>
      </c>
      <c r="N31" s="373">
        <f>SUM('Cash Flow'!P140:AA140)</f>
        <v>9185.7387705236033</v>
      </c>
      <c r="O31" s="545">
        <f>SUM('Cash Flow'!AB140:AM140)</f>
        <v>9938.2727875093442</v>
      </c>
      <c r="Q31" s="358"/>
      <c r="X31" s="981"/>
      <c r="Y31" s="358"/>
      <c r="Z31" s="358"/>
      <c r="AA31" s="543"/>
      <c r="AB31" s="358"/>
      <c r="AC31" s="358"/>
      <c r="AD31" s="358"/>
      <c r="AE31" s="358"/>
    </row>
    <row r="32" spans="1:31" ht="16" customHeight="1">
      <c r="B32" s="390" t="s">
        <v>385</v>
      </c>
      <c r="C32" s="182"/>
      <c r="D32" s="580">
        <v>41250</v>
      </c>
      <c r="E32" s="582">
        <v>0.51900000000000002</v>
      </c>
      <c r="F32" s="517">
        <f>$D32*$E32</f>
        <v>21408.75</v>
      </c>
      <c r="G32" s="517">
        <f>$D32*$E32</f>
        <v>21408.75</v>
      </c>
      <c r="H32" s="517">
        <f>$D32*$E32</f>
        <v>21408.75</v>
      </c>
      <c r="I32" s="182"/>
      <c r="J32" s="182"/>
      <c r="K32" s="182"/>
      <c r="L32" s="940"/>
      <c r="M32" s="182"/>
      <c r="N32" s="182"/>
      <c r="O32" s="541"/>
      <c r="Y32" s="346"/>
      <c r="Z32" s="346"/>
      <c r="AB32" s="346"/>
      <c r="AC32" s="346"/>
      <c r="AD32" s="346"/>
      <c r="AE32" s="346"/>
    </row>
    <row r="33" spans="2:31" s="182" customFormat="1" ht="16" customHeight="1">
      <c r="B33" s="182" t="s">
        <v>388</v>
      </c>
      <c r="D33" s="580">
        <v>28250</v>
      </c>
      <c r="E33" s="582">
        <v>0.51900000000000002</v>
      </c>
      <c r="F33" s="581"/>
      <c r="G33" s="517">
        <f>$D33*$E33/3</f>
        <v>4887.25</v>
      </c>
      <c r="H33" s="517">
        <f>$D33*$E33</f>
        <v>14661.75</v>
      </c>
      <c r="L33" s="940"/>
      <c r="O33" s="543"/>
      <c r="P33" s="358"/>
      <c r="Q33" s="390"/>
      <c r="R33" s="390"/>
      <c r="S33" s="390"/>
      <c r="T33" s="390"/>
      <c r="U33" s="390"/>
      <c r="V33" s="390"/>
      <c r="W33" s="390"/>
      <c r="X33" s="981"/>
      <c r="Y33" s="358"/>
      <c r="Z33" s="358"/>
      <c r="AA33" s="543"/>
      <c r="AB33" s="358"/>
      <c r="AC33" s="183"/>
      <c r="AD33" s="183"/>
      <c r="AE33" s="183"/>
    </row>
    <row r="34" spans="2:31" s="182" customFormat="1" ht="16" customHeight="1">
      <c r="B34" s="529" t="s">
        <v>395</v>
      </c>
      <c r="C34" s="534"/>
      <c r="D34" s="532"/>
      <c r="E34" s="532"/>
      <c r="F34" s="576">
        <f>F33+F32</f>
        <v>21408.75</v>
      </c>
      <c r="G34" s="576">
        <f t="shared" ref="G34:H34" si="0">G33+G32</f>
        <v>26296</v>
      </c>
      <c r="H34" s="576">
        <f t="shared" si="0"/>
        <v>36070.5</v>
      </c>
      <c r="J34" s="609" t="s">
        <v>419</v>
      </c>
      <c r="K34" s="183"/>
      <c r="L34" s="940"/>
      <c r="M34" s="610">
        <v>0.3</v>
      </c>
      <c r="O34" s="543"/>
      <c r="P34" s="390"/>
      <c r="Q34" s="390"/>
      <c r="R34" s="390"/>
      <c r="S34" s="390"/>
      <c r="T34" s="390"/>
      <c r="U34" s="390"/>
      <c r="V34" s="390"/>
      <c r="W34" s="390"/>
      <c r="X34" s="981"/>
      <c r="Y34" s="358"/>
      <c r="Z34" s="358"/>
      <c r="AA34" s="543"/>
      <c r="AB34" s="183"/>
      <c r="AC34" s="183"/>
      <c r="AD34" s="183"/>
      <c r="AE34" s="183"/>
    </row>
    <row r="35" spans="2:31" s="182" customFormat="1" ht="16" customHeight="1">
      <c r="L35" s="940"/>
      <c r="O35" s="543"/>
      <c r="P35" s="390"/>
      <c r="Q35" s="390"/>
      <c r="R35" s="390"/>
      <c r="S35" s="390"/>
      <c r="T35" s="390"/>
      <c r="U35" s="390"/>
      <c r="V35" s="390"/>
      <c r="W35" s="390"/>
      <c r="X35" s="981"/>
      <c r="Y35" s="358"/>
      <c r="Z35" s="358"/>
      <c r="AA35" s="543"/>
      <c r="AB35" s="183"/>
      <c r="AC35" s="183"/>
      <c r="AD35" s="183"/>
      <c r="AE35" s="183"/>
    </row>
    <row r="36" spans="2:31" s="182" customFormat="1" ht="16" customHeight="1">
      <c r="B36" s="528" t="s">
        <v>390</v>
      </c>
      <c r="L36" s="940"/>
      <c r="O36" s="543"/>
      <c r="P36" s="390"/>
      <c r="Q36" s="390"/>
      <c r="R36" s="390"/>
      <c r="S36" s="390"/>
      <c r="T36" s="390"/>
      <c r="U36" s="390"/>
      <c r="V36" s="390"/>
      <c r="W36" s="390"/>
      <c r="X36" s="981"/>
      <c r="Y36" s="358"/>
      <c r="Z36" s="358"/>
      <c r="AA36" s="543"/>
      <c r="AB36" s="183"/>
      <c r="AC36" s="183"/>
      <c r="AD36" s="183"/>
      <c r="AE36" s="183"/>
    </row>
    <row r="37" spans="2:31" s="182" customFormat="1" ht="16" customHeight="1">
      <c r="B37" s="182" t="s">
        <v>392</v>
      </c>
      <c r="F37" s="575">
        <f>4200</f>
        <v>4200</v>
      </c>
      <c r="G37" s="575">
        <f>F37*4/3*(1+$E$11)</f>
        <v>5824</v>
      </c>
      <c r="H37" s="575">
        <f>F37*2*(1+$F$11)</f>
        <v>9107.2800000000007</v>
      </c>
      <c r="L37" s="940"/>
      <c r="O37" s="541"/>
      <c r="P37" s="390"/>
      <c r="Q37" s="390"/>
      <c r="R37" s="390"/>
      <c r="S37" s="390"/>
      <c r="T37" s="390"/>
      <c r="U37" s="390"/>
      <c r="V37" s="390"/>
      <c r="W37" s="390"/>
      <c r="X37" s="981"/>
      <c r="Y37" s="358"/>
      <c r="Z37" s="358"/>
      <c r="AA37" s="543"/>
      <c r="AB37" s="183"/>
      <c r="AC37" s="183"/>
      <c r="AD37" s="183"/>
      <c r="AE37" s="183"/>
    </row>
    <row r="38" spans="2:31" s="182" customFormat="1" ht="16" customHeight="1">
      <c r="B38" s="182" t="s">
        <v>389</v>
      </c>
      <c r="F38" s="575">
        <v>8000</v>
      </c>
      <c r="G38" s="575">
        <f>F38*4/3*(1+$E$11)</f>
        <v>11093.333333333334</v>
      </c>
      <c r="H38" s="575">
        <f>F38*2*(1+$F$11)</f>
        <v>17347.2</v>
      </c>
      <c r="L38" s="940"/>
      <c r="O38" s="541"/>
      <c r="P38" s="358"/>
      <c r="Q38" s="390"/>
      <c r="R38" s="390"/>
      <c r="S38" s="390"/>
      <c r="T38" s="390"/>
      <c r="U38" s="390"/>
      <c r="V38" s="390"/>
      <c r="W38" s="390"/>
      <c r="X38" s="981"/>
      <c r="Y38" s="358"/>
      <c r="Z38" s="358"/>
      <c r="AA38" s="543"/>
      <c r="AB38" s="358"/>
      <c r="AC38" s="183"/>
      <c r="AD38" s="183"/>
      <c r="AE38" s="183"/>
    </row>
    <row r="39" spans="2:31" s="182" customFormat="1" ht="16" customHeight="1">
      <c r="B39" s="182" t="s">
        <v>391</v>
      </c>
      <c r="C39" s="183"/>
      <c r="D39" s="390"/>
      <c r="F39" s="575">
        <v>4300</v>
      </c>
      <c r="G39" s="575">
        <f>F39*4/3*(1+$E$11)</f>
        <v>5962.666666666667</v>
      </c>
      <c r="H39" s="575">
        <f>F39*2*(1+$F$11)</f>
        <v>9324.1200000000008</v>
      </c>
      <c r="L39" s="940"/>
      <c r="O39" s="541"/>
      <c r="P39" s="358"/>
      <c r="Q39" s="390"/>
      <c r="R39" s="390"/>
      <c r="S39" s="390"/>
      <c r="T39" s="390"/>
      <c r="U39" s="390"/>
      <c r="V39" s="390"/>
      <c r="W39" s="390"/>
      <c r="X39" s="981"/>
      <c r="Y39" s="390"/>
      <c r="Z39" s="390"/>
      <c r="AA39" s="543"/>
      <c r="AB39" s="358"/>
    </row>
    <row r="40" spans="2:31" s="182" customFormat="1" ht="16" customHeight="1">
      <c r="B40" s="529" t="s">
        <v>4</v>
      </c>
      <c r="C40" s="536"/>
      <c r="D40" s="526"/>
      <c r="E40" s="526"/>
      <c r="F40" s="576">
        <f>SUM(F37:F39)</f>
        <v>16500</v>
      </c>
      <c r="G40" s="576">
        <f>SUM(G37:G39)</f>
        <v>22880.000000000004</v>
      </c>
      <c r="H40" s="576">
        <f>SUM(H37:H39)</f>
        <v>35778.600000000006</v>
      </c>
      <c r="L40" s="940"/>
      <c r="O40" s="541"/>
      <c r="P40" s="358"/>
      <c r="Q40" s="390"/>
      <c r="R40" s="390"/>
      <c r="S40" s="390"/>
      <c r="T40" s="390"/>
      <c r="U40" s="390"/>
      <c r="V40" s="390"/>
      <c r="W40" s="390"/>
      <c r="X40" s="981"/>
      <c r="Y40" s="390"/>
      <c r="Z40" s="390"/>
      <c r="AA40" s="543"/>
      <c r="AB40" s="358"/>
    </row>
    <row r="41" spans="2:31" s="182" customFormat="1" ht="16" customHeight="1">
      <c r="F41" s="577"/>
      <c r="G41" s="577"/>
      <c r="H41" s="577"/>
      <c r="L41" s="940"/>
      <c r="O41" s="541"/>
      <c r="P41" s="358"/>
      <c r="Q41" s="390"/>
      <c r="R41" s="390"/>
      <c r="S41" s="390"/>
      <c r="T41" s="390"/>
      <c r="U41" s="390"/>
      <c r="V41" s="390"/>
      <c r="W41" s="390"/>
      <c r="X41" s="981"/>
      <c r="Y41" s="390"/>
      <c r="Z41" s="390"/>
      <c r="AA41" s="543"/>
      <c r="AB41" s="358"/>
    </row>
    <row r="42" spans="2:31" s="182" customFormat="1" ht="16" customHeight="1">
      <c r="B42" s="183" t="s">
        <v>216</v>
      </c>
      <c r="C42" s="183"/>
      <c r="D42" s="49"/>
      <c r="F42" s="502">
        <v>0</v>
      </c>
      <c r="G42" s="502">
        <f>250*12</f>
        <v>3000</v>
      </c>
      <c r="H42" s="502">
        <f>G42*(1+E11)</f>
        <v>3120</v>
      </c>
      <c r="L42" s="940"/>
      <c r="O42" s="541"/>
      <c r="P42" s="358"/>
      <c r="Q42" s="390"/>
      <c r="R42" s="390"/>
      <c r="S42" s="390"/>
      <c r="T42" s="390"/>
      <c r="U42" s="390"/>
      <c r="V42" s="390"/>
      <c r="W42" s="390"/>
      <c r="X42" s="981"/>
      <c r="Y42" s="390"/>
      <c r="Z42" s="390"/>
      <c r="AA42" s="543"/>
      <c r="AB42" s="358"/>
    </row>
    <row r="43" spans="2:31" s="182" customFormat="1" ht="16" customHeight="1">
      <c r="B43" s="511" t="s">
        <v>401</v>
      </c>
      <c r="C43" s="183"/>
      <c r="F43" s="578">
        <v>1700</v>
      </c>
      <c r="G43" s="579">
        <f>F43*1.5</f>
        <v>2550</v>
      </c>
      <c r="H43" s="579">
        <f>G43*0.7</f>
        <v>1785</v>
      </c>
      <c r="L43" s="940"/>
      <c r="O43" s="541"/>
      <c r="P43" s="358"/>
      <c r="Q43" s="390"/>
      <c r="R43" s="390"/>
      <c r="S43" s="390"/>
      <c r="T43" s="390"/>
      <c r="U43" s="390"/>
      <c r="V43" s="390"/>
      <c r="W43" s="390"/>
      <c r="X43" s="981"/>
      <c r="Y43" s="390"/>
      <c r="Z43" s="390"/>
      <c r="AA43" s="543"/>
      <c r="AB43" s="358"/>
    </row>
    <row r="44" spans="2:31" s="182" customFormat="1" ht="16" customHeight="1">
      <c r="B44" s="511" t="s">
        <v>402</v>
      </c>
      <c r="C44" s="183"/>
      <c r="F44" s="579">
        <v>1500</v>
      </c>
      <c r="G44" s="579">
        <v>2000</v>
      </c>
      <c r="H44" s="579">
        <v>500</v>
      </c>
      <c r="L44" s="940"/>
      <c r="O44" s="541"/>
      <c r="P44" s="358"/>
      <c r="Q44" s="390"/>
      <c r="R44" s="390"/>
      <c r="S44" s="390"/>
      <c r="T44" s="390"/>
      <c r="U44" s="390"/>
      <c r="V44" s="390"/>
      <c r="W44" s="390"/>
      <c r="X44" s="981"/>
      <c r="Y44" s="390"/>
      <c r="Z44" s="390"/>
      <c r="AA44" s="543"/>
      <c r="AB44" s="358"/>
    </row>
    <row r="45" spans="2:31" s="182" customFormat="1" ht="16" customHeight="1">
      <c r="B45" s="355" t="s">
        <v>420</v>
      </c>
      <c r="C45" s="183"/>
      <c r="F45" s="502">
        <v>1000</v>
      </c>
      <c r="G45" s="502">
        <v>2500</v>
      </c>
      <c r="H45" s="502">
        <v>3500</v>
      </c>
      <c r="L45" s="940"/>
      <c r="O45" s="541"/>
      <c r="P45" s="358"/>
      <c r="Q45" s="390"/>
      <c r="R45" s="390"/>
      <c r="S45" s="390"/>
      <c r="T45" s="390"/>
      <c r="U45" s="390"/>
      <c r="V45" s="390"/>
      <c r="W45" s="390"/>
      <c r="X45" s="981"/>
      <c r="Y45" s="390"/>
      <c r="Z45" s="390"/>
      <c r="AA45" s="543"/>
      <c r="AB45" s="358"/>
    </row>
    <row r="46" spans="2:31" s="182" customFormat="1" ht="16" customHeight="1">
      <c r="L46" s="940"/>
      <c r="O46" s="541"/>
      <c r="P46" s="358"/>
      <c r="Q46" s="390"/>
      <c r="R46" s="390"/>
      <c r="S46" s="390"/>
      <c r="T46" s="390"/>
      <c r="U46" s="390"/>
      <c r="V46" s="390"/>
      <c r="W46" s="390"/>
      <c r="X46" s="981"/>
      <c r="Y46" s="390"/>
      <c r="Z46" s="390"/>
      <c r="AA46" s="543"/>
      <c r="AB46" s="358"/>
    </row>
    <row r="47" spans="2:31" s="182" customFormat="1" ht="16" customHeight="1">
      <c r="B47" s="357"/>
      <c r="C47" s="358"/>
      <c r="F47" s="358"/>
      <c r="G47" s="358"/>
      <c r="H47" s="358"/>
      <c r="L47" s="940"/>
      <c r="O47" s="541"/>
      <c r="P47" s="358"/>
      <c r="Q47" s="390"/>
      <c r="R47" s="390"/>
      <c r="S47" s="390"/>
      <c r="T47" s="390"/>
      <c r="U47" s="390"/>
      <c r="V47" s="390"/>
      <c r="W47" s="390"/>
      <c r="X47" s="981"/>
      <c r="Y47" s="390"/>
      <c r="Z47" s="390"/>
      <c r="AA47" s="543"/>
      <c r="AB47" s="358"/>
    </row>
    <row r="48" spans="2:31" s="182" customFormat="1" ht="16" customHeight="1">
      <c r="B48" s="357"/>
      <c r="C48" s="358"/>
      <c r="D48" s="1124" t="s">
        <v>385</v>
      </c>
      <c r="E48" s="1124"/>
      <c r="F48" s="1124"/>
      <c r="G48" s="1124"/>
      <c r="J48" s="1124" t="s">
        <v>423</v>
      </c>
      <c r="K48" s="1124"/>
      <c r="L48" s="1124"/>
      <c r="M48" s="1124"/>
      <c r="O48" s="541"/>
      <c r="P48" s="358"/>
      <c r="Q48" s="390"/>
      <c r="R48" s="390"/>
      <c r="S48" s="390"/>
      <c r="T48" s="390"/>
      <c r="U48" s="390"/>
      <c r="V48" s="390"/>
      <c r="W48" s="390"/>
      <c r="X48" s="981"/>
      <c r="Y48" s="390"/>
      <c r="Z48" s="390"/>
      <c r="AA48" s="543"/>
      <c r="AB48" s="358"/>
    </row>
    <row r="49" spans="2:28" s="182" customFormat="1" ht="16" customHeight="1">
      <c r="B49" s="350" t="s">
        <v>70</v>
      </c>
      <c r="C49" s="358"/>
      <c r="D49" s="1124"/>
      <c r="E49" s="1124"/>
      <c r="F49" s="1124"/>
      <c r="G49" s="1124"/>
      <c r="J49" s="1124"/>
      <c r="K49" s="1124"/>
      <c r="L49" s="1124"/>
      <c r="M49" s="1124"/>
      <c r="O49" s="541"/>
      <c r="P49" s="358"/>
      <c r="T49" s="390"/>
      <c r="U49" s="390"/>
      <c r="V49" s="390"/>
      <c r="W49" s="390"/>
      <c r="X49" s="981"/>
      <c r="Y49" s="390"/>
      <c r="Z49" s="390"/>
      <c r="AA49" s="543"/>
      <c r="AB49" s="358"/>
    </row>
    <row r="50" spans="2:28" s="182" customFormat="1" ht="16" customHeight="1">
      <c r="B50" s="183"/>
      <c r="C50" s="358"/>
      <c r="D50" s="359"/>
      <c r="F50" s="360"/>
      <c r="I50" s="359"/>
      <c r="K50" s="360"/>
      <c r="L50" s="940"/>
      <c r="O50" s="541"/>
      <c r="P50" s="358"/>
      <c r="T50" s="390"/>
      <c r="U50" s="390"/>
      <c r="V50" s="390"/>
      <c r="W50" s="390"/>
      <c r="X50" s="981"/>
      <c r="Y50" s="390"/>
      <c r="Z50" s="390"/>
      <c r="AA50" s="543"/>
      <c r="AB50" s="358"/>
    </row>
    <row r="51" spans="2:28" s="182" customFormat="1" ht="16" customHeight="1">
      <c r="B51" s="350" t="s">
        <v>398</v>
      </c>
      <c r="C51" s="183"/>
      <c r="D51" s="591" t="s">
        <v>259</v>
      </c>
      <c r="E51" s="590" t="s">
        <v>6</v>
      </c>
      <c r="F51" s="1125" t="s">
        <v>49</v>
      </c>
      <c r="G51" s="1125"/>
      <c r="I51" s="605"/>
      <c r="J51" s="591" t="s">
        <v>259</v>
      </c>
      <c r="K51" s="590" t="s">
        <v>6</v>
      </c>
      <c r="L51" s="1125" t="s">
        <v>49</v>
      </c>
      <c r="M51" s="1125"/>
      <c r="O51" s="541"/>
      <c r="P51" s="358"/>
      <c r="T51" s="390"/>
      <c r="U51" s="390"/>
      <c r="V51" s="390"/>
      <c r="W51" s="390"/>
      <c r="X51" s="981"/>
      <c r="Y51" s="390"/>
      <c r="Z51" s="390"/>
      <c r="AA51" s="543"/>
      <c r="AB51" s="358"/>
    </row>
    <row r="52" spans="2:28" s="182" customFormat="1" ht="16" customHeight="1">
      <c r="B52" s="182" t="s">
        <v>399</v>
      </c>
      <c r="C52" s="183"/>
      <c r="D52" s="579">
        <v>2500</v>
      </c>
      <c r="E52" s="598">
        <v>0.25</v>
      </c>
      <c r="F52" s="1122" t="s">
        <v>415</v>
      </c>
      <c r="G52" s="1122"/>
      <c r="J52" s="579">
        <f t="shared" ref="J52:J63" si="1">D52*(1+$E$11)</f>
        <v>2600</v>
      </c>
      <c r="K52" s="595">
        <f>E52</f>
        <v>0.25</v>
      </c>
      <c r="L52" s="1123" t="str">
        <f>F52</f>
        <v>Reducing Balance</v>
      </c>
      <c r="M52" s="1123"/>
      <c r="N52" s="585"/>
      <c r="O52" s="541"/>
      <c r="P52" s="358"/>
      <c r="T52" s="390"/>
      <c r="U52" s="390"/>
      <c r="V52" s="390"/>
      <c r="W52" s="390"/>
      <c r="X52" s="981"/>
      <c r="Y52" s="390"/>
      <c r="Z52" s="390"/>
      <c r="AA52" s="543"/>
      <c r="AB52" s="358"/>
    </row>
    <row r="53" spans="2:28" s="182" customFormat="1" ht="16" customHeight="1">
      <c r="B53" s="182" t="s">
        <v>400</v>
      </c>
      <c r="C53" s="183"/>
      <c r="D53" s="579">
        <v>2000</v>
      </c>
      <c r="E53" s="598">
        <v>0.25</v>
      </c>
      <c r="F53" s="1122" t="s">
        <v>415</v>
      </c>
      <c r="G53" s="1122"/>
      <c r="J53" s="579">
        <f t="shared" si="1"/>
        <v>2080</v>
      </c>
      <c r="K53" s="595">
        <f t="shared" ref="K53:K63" si="2">E53</f>
        <v>0.25</v>
      </c>
      <c r="L53" s="1123" t="str">
        <f t="shared" ref="L53:L63" si="3">F53</f>
        <v>Reducing Balance</v>
      </c>
      <c r="M53" s="1123"/>
      <c r="N53" s="585"/>
      <c r="O53" s="541"/>
      <c r="P53" s="358"/>
      <c r="T53" s="390"/>
      <c r="U53" s="390"/>
      <c r="V53" s="390"/>
      <c r="W53" s="390"/>
      <c r="X53" s="981"/>
      <c r="Y53" s="390"/>
      <c r="Z53" s="390"/>
      <c r="AA53" s="543"/>
      <c r="AB53" s="358"/>
    </row>
    <row r="54" spans="2:28" s="182" customFormat="1" ht="16" customHeight="1">
      <c r="B54" s="348" t="s">
        <v>404</v>
      </c>
      <c r="C54" s="183"/>
      <c r="D54" s="579">
        <v>2700</v>
      </c>
      <c r="E54" s="598">
        <v>0.25</v>
      </c>
      <c r="F54" s="1122" t="s">
        <v>415</v>
      </c>
      <c r="G54" s="1122"/>
      <c r="J54" s="579">
        <f t="shared" si="1"/>
        <v>2808</v>
      </c>
      <c r="K54" s="595">
        <f t="shared" si="2"/>
        <v>0.25</v>
      </c>
      <c r="L54" s="1123" t="str">
        <f t="shared" si="3"/>
        <v>Reducing Balance</v>
      </c>
      <c r="M54" s="1123"/>
      <c r="N54" s="585"/>
      <c r="O54" s="541"/>
      <c r="P54" s="358"/>
      <c r="T54" s="390"/>
      <c r="U54" s="390"/>
      <c r="V54" s="390"/>
      <c r="W54" s="390"/>
      <c r="X54" s="981"/>
      <c r="Y54" s="390"/>
      <c r="Z54" s="390"/>
      <c r="AA54" s="543"/>
      <c r="AB54" s="358"/>
    </row>
    <row r="55" spans="2:28" s="182" customFormat="1" ht="16" customHeight="1">
      <c r="B55" s="348" t="s">
        <v>406</v>
      </c>
      <c r="C55" s="183"/>
      <c r="D55" s="579">
        <v>1000</v>
      </c>
      <c r="E55" s="598">
        <v>0.25</v>
      </c>
      <c r="F55" s="1122" t="s">
        <v>415</v>
      </c>
      <c r="G55" s="1122"/>
      <c r="J55" s="579">
        <f t="shared" si="1"/>
        <v>1040</v>
      </c>
      <c r="K55" s="595">
        <f t="shared" si="2"/>
        <v>0.25</v>
      </c>
      <c r="L55" s="1123" t="str">
        <f t="shared" si="3"/>
        <v>Reducing Balance</v>
      </c>
      <c r="M55" s="1123"/>
      <c r="N55" s="585"/>
      <c r="O55" s="541"/>
      <c r="P55" s="358"/>
      <c r="T55" s="390"/>
      <c r="U55" s="390"/>
      <c r="V55" s="390"/>
      <c r="W55" s="390"/>
      <c r="X55" s="981"/>
      <c r="Y55" s="390"/>
      <c r="Z55" s="390"/>
      <c r="AA55" s="543"/>
      <c r="AB55" s="358"/>
    </row>
    <row r="56" spans="2:28" s="182" customFormat="1" ht="16" customHeight="1">
      <c r="B56" s="348" t="s">
        <v>369</v>
      </c>
      <c r="C56" s="183"/>
      <c r="D56" s="579">
        <v>1800</v>
      </c>
      <c r="E56" s="598">
        <v>0.25</v>
      </c>
      <c r="F56" s="1122" t="s">
        <v>415</v>
      </c>
      <c r="G56" s="1122"/>
      <c r="J56" s="579">
        <f t="shared" si="1"/>
        <v>1872</v>
      </c>
      <c r="K56" s="595">
        <f t="shared" si="2"/>
        <v>0.25</v>
      </c>
      <c r="L56" s="1123" t="str">
        <f t="shared" si="3"/>
        <v>Reducing Balance</v>
      </c>
      <c r="M56" s="1123"/>
      <c r="N56" s="585"/>
      <c r="O56" s="541"/>
      <c r="P56" s="358"/>
      <c r="T56" s="390"/>
      <c r="U56" s="390"/>
      <c r="V56" s="390"/>
      <c r="W56" s="390"/>
      <c r="X56" s="981"/>
      <c r="Y56" s="390"/>
      <c r="Z56" s="390"/>
      <c r="AA56" s="543"/>
      <c r="AB56" s="358"/>
    </row>
    <row r="57" spans="2:28" s="182" customFormat="1" ht="16" customHeight="1">
      <c r="B57" s="182" t="s">
        <v>403</v>
      </c>
      <c r="C57" s="183"/>
      <c r="D57" s="579">
        <v>300</v>
      </c>
      <c r="E57" s="598">
        <v>0.3</v>
      </c>
      <c r="F57" s="1122" t="s">
        <v>415</v>
      </c>
      <c r="G57" s="1122"/>
      <c r="J57" s="579">
        <f t="shared" si="1"/>
        <v>312</v>
      </c>
      <c r="K57" s="595">
        <f t="shared" si="2"/>
        <v>0.3</v>
      </c>
      <c r="L57" s="1123" t="str">
        <f t="shared" si="3"/>
        <v>Reducing Balance</v>
      </c>
      <c r="M57" s="1123"/>
      <c r="N57" s="585"/>
      <c r="O57" s="541"/>
      <c r="P57" s="358"/>
      <c r="T57" s="390"/>
      <c r="U57" s="390"/>
      <c r="V57" s="390"/>
      <c r="W57" s="390"/>
      <c r="X57" s="981"/>
      <c r="Y57" s="390"/>
      <c r="Z57" s="390"/>
      <c r="AA57" s="543"/>
      <c r="AB57" s="358"/>
    </row>
    <row r="58" spans="2:28" s="522" customFormat="1" ht="16" customHeight="1">
      <c r="B58" s="522" t="s">
        <v>418</v>
      </c>
      <c r="C58" s="509"/>
      <c r="D58" s="579">
        <v>80</v>
      </c>
      <c r="E58" s="599">
        <v>3</v>
      </c>
      <c r="F58" s="1122" t="s">
        <v>50</v>
      </c>
      <c r="G58" s="1122"/>
      <c r="J58" s="579">
        <f t="shared" si="1"/>
        <v>83.2</v>
      </c>
      <c r="K58" s="596">
        <f t="shared" si="2"/>
        <v>3</v>
      </c>
      <c r="L58" s="1123" t="str">
        <f t="shared" si="3"/>
        <v>Straight Line</v>
      </c>
      <c r="M58" s="1123"/>
      <c r="N58" s="390"/>
      <c r="O58" s="588"/>
      <c r="P58" s="509"/>
      <c r="X58" s="983"/>
      <c r="AA58" s="588"/>
      <c r="AB58" s="509"/>
    </row>
    <row r="59" spans="2:28" s="182" customFormat="1" ht="16" customHeight="1">
      <c r="B59" s="348" t="s">
        <v>405</v>
      </c>
      <c r="C59" s="183"/>
      <c r="D59" s="579">
        <v>1200</v>
      </c>
      <c r="E59" s="599">
        <v>5</v>
      </c>
      <c r="F59" s="1122" t="s">
        <v>50</v>
      </c>
      <c r="G59" s="1122"/>
      <c r="J59" s="579">
        <f t="shared" si="1"/>
        <v>1248</v>
      </c>
      <c r="K59" s="596">
        <f t="shared" si="2"/>
        <v>5</v>
      </c>
      <c r="L59" s="1123" t="str">
        <f t="shared" si="3"/>
        <v>Straight Line</v>
      </c>
      <c r="M59" s="1123"/>
      <c r="N59" s="585"/>
      <c r="O59" s="541"/>
      <c r="P59" s="358"/>
      <c r="T59" s="390"/>
      <c r="U59" s="390"/>
      <c r="V59" s="390"/>
      <c r="W59" s="390"/>
      <c r="X59" s="981"/>
      <c r="Y59" s="390"/>
      <c r="Z59" s="390"/>
      <c r="AA59" s="543"/>
      <c r="AB59" s="358"/>
    </row>
    <row r="60" spans="2:28" s="182" customFormat="1" ht="16" customHeight="1">
      <c r="B60" s="348" t="s">
        <v>417</v>
      </c>
      <c r="C60" s="183"/>
      <c r="D60" s="579">
        <v>350</v>
      </c>
      <c r="E60" s="599">
        <v>5</v>
      </c>
      <c r="F60" s="1122" t="s">
        <v>50</v>
      </c>
      <c r="G60" s="1122"/>
      <c r="J60" s="579">
        <f t="shared" si="1"/>
        <v>364</v>
      </c>
      <c r="K60" s="596">
        <f t="shared" si="2"/>
        <v>5</v>
      </c>
      <c r="L60" s="1123" t="str">
        <f t="shared" si="3"/>
        <v>Straight Line</v>
      </c>
      <c r="M60" s="1123"/>
      <c r="N60" s="390"/>
      <c r="O60" s="541"/>
      <c r="P60" s="358"/>
      <c r="T60" s="390"/>
      <c r="U60" s="390"/>
      <c r="V60" s="390"/>
      <c r="W60" s="390"/>
      <c r="X60" s="981"/>
      <c r="Y60" s="390"/>
      <c r="Z60" s="390"/>
      <c r="AA60" s="543"/>
      <c r="AB60" s="358"/>
    </row>
    <row r="61" spans="2:28" s="522" customFormat="1" ht="16" customHeight="1">
      <c r="B61" s="522" t="s">
        <v>416</v>
      </c>
      <c r="C61" s="509"/>
      <c r="D61" s="579">
        <v>500</v>
      </c>
      <c r="E61" s="599">
        <v>5</v>
      </c>
      <c r="F61" s="1122" t="s">
        <v>50</v>
      </c>
      <c r="G61" s="1122"/>
      <c r="J61" s="579">
        <f t="shared" si="1"/>
        <v>520</v>
      </c>
      <c r="K61" s="596">
        <f t="shared" si="2"/>
        <v>5</v>
      </c>
      <c r="L61" s="1123" t="str">
        <f t="shared" si="3"/>
        <v>Straight Line</v>
      </c>
      <c r="M61" s="1123"/>
      <c r="N61" s="390"/>
      <c r="O61" s="588"/>
      <c r="P61" s="509"/>
      <c r="X61" s="983"/>
      <c r="AA61" s="588"/>
      <c r="AB61" s="509"/>
    </row>
    <row r="62" spans="2:28" s="182" customFormat="1" ht="16" customHeight="1">
      <c r="B62" s="348" t="s">
        <v>407</v>
      </c>
      <c r="C62" s="183"/>
      <c r="D62" s="579">
        <v>2000</v>
      </c>
      <c r="E62" s="599">
        <v>10</v>
      </c>
      <c r="F62" s="1122" t="s">
        <v>50</v>
      </c>
      <c r="G62" s="1122"/>
      <c r="J62" s="579">
        <f t="shared" si="1"/>
        <v>2080</v>
      </c>
      <c r="K62" s="596">
        <f t="shared" si="2"/>
        <v>10</v>
      </c>
      <c r="L62" s="1123" t="str">
        <f t="shared" si="3"/>
        <v>Straight Line</v>
      </c>
      <c r="M62" s="1123"/>
      <c r="N62" s="585"/>
      <c r="O62" s="541"/>
      <c r="P62" s="358"/>
      <c r="T62" s="390"/>
      <c r="U62" s="390"/>
      <c r="V62" s="390"/>
      <c r="W62" s="390"/>
      <c r="X62" s="981"/>
      <c r="Y62" s="390"/>
      <c r="Z62" s="390"/>
      <c r="AA62" s="543"/>
      <c r="AB62" s="358"/>
    </row>
    <row r="63" spans="2:28" s="522" customFormat="1" ht="16" customHeight="1">
      <c r="B63" s="601" t="s">
        <v>422</v>
      </c>
      <c r="C63" s="620">
        <f>SUM(D52:D63)</f>
        <v>14730</v>
      </c>
      <c r="D63" s="579">
        <v>300</v>
      </c>
      <c r="E63" s="599">
        <v>5</v>
      </c>
      <c r="F63" s="1122" t="s">
        <v>50</v>
      </c>
      <c r="G63" s="1122"/>
      <c r="I63" s="620">
        <f>SUM(J52:J63)</f>
        <v>15319.2</v>
      </c>
      <c r="J63" s="579">
        <f t="shared" si="1"/>
        <v>312</v>
      </c>
      <c r="K63" s="596">
        <f t="shared" si="2"/>
        <v>5</v>
      </c>
      <c r="L63" s="1123" t="str">
        <f t="shared" si="3"/>
        <v>Straight Line</v>
      </c>
      <c r="M63" s="1123"/>
      <c r="O63" s="588"/>
      <c r="P63" s="509"/>
      <c r="X63" s="983"/>
      <c r="AA63" s="588"/>
      <c r="AB63" s="509"/>
    </row>
    <row r="64" spans="2:28" s="522" customFormat="1" ht="16" customHeight="1">
      <c r="B64" s="390"/>
      <c r="C64" s="622"/>
      <c r="D64" s="584"/>
      <c r="E64" s="617"/>
      <c r="F64" s="621"/>
      <c r="G64" s="621"/>
      <c r="I64" s="622"/>
      <c r="J64" s="584"/>
      <c r="K64" s="623"/>
      <c r="L64" s="943"/>
      <c r="M64" s="624"/>
      <c r="O64" s="588"/>
      <c r="P64" s="509"/>
      <c r="X64" s="983"/>
      <c r="AA64" s="588"/>
      <c r="AB64" s="509"/>
    </row>
    <row r="65" spans="2:39" s="522" customFormat="1" ht="16" customHeight="1">
      <c r="B65" s="512" t="s">
        <v>411</v>
      </c>
      <c r="C65" s="509"/>
      <c r="D65" s="587"/>
      <c r="E65" s="600"/>
      <c r="F65" s="513"/>
      <c r="J65" s="587"/>
      <c r="K65" s="597"/>
      <c r="L65" s="944"/>
      <c r="M65" s="589"/>
      <c r="O65" s="588"/>
      <c r="P65" s="509"/>
      <c r="X65" s="983"/>
      <c r="AA65" s="588"/>
      <c r="AB65" s="509"/>
    </row>
    <row r="66" spans="2:39" s="182" customFormat="1">
      <c r="B66" s="348" t="s">
        <v>408</v>
      </c>
      <c r="C66" s="183"/>
      <c r="D66" s="579">
        <v>1600</v>
      </c>
      <c r="E66" s="598">
        <v>0.3</v>
      </c>
      <c r="F66" s="1122" t="s">
        <v>415</v>
      </c>
      <c r="G66" s="1122"/>
      <c r="J66" s="579">
        <f>D66*(1+$E$11)</f>
        <v>1664</v>
      </c>
      <c r="K66" s="595">
        <f>E66</f>
        <v>0.3</v>
      </c>
      <c r="L66" s="1123" t="str">
        <f t="shared" ref="L66:L68" si="4">F66</f>
        <v>Reducing Balance</v>
      </c>
      <c r="M66" s="1123"/>
      <c r="O66" s="541"/>
      <c r="P66" s="358"/>
      <c r="T66" s="390"/>
      <c r="U66" s="390"/>
      <c r="V66" s="390"/>
      <c r="W66" s="390"/>
      <c r="X66" s="981"/>
      <c r="Y66" s="390"/>
      <c r="Z66" s="390"/>
      <c r="AA66" s="543"/>
      <c r="AB66" s="358"/>
    </row>
    <row r="67" spans="2:39" s="182" customFormat="1">
      <c r="B67" s="348" t="s">
        <v>409</v>
      </c>
      <c r="C67" s="183"/>
      <c r="D67" s="579">
        <v>1200</v>
      </c>
      <c r="E67" s="599">
        <v>5</v>
      </c>
      <c r="F67" s="1122" t="s">
        <v>50</v>
      </c>
      <c r="G67" s="1122"/>
      <c r="J67" s="579">
        <f>D67*(1+$E$11)</f>
        <v>1248</v>
      </c>
      <c r="K67" s="596">
        <f>E67</f>
        <v>5</v>
      </c>
      <c r="L67" s="1123" t="str">
        <f t="shared" si="4"/>
        <v>Straight Line</v>
      </c>
      <c r="M67" s="1123"/>
      <c r="O67" s="541"/>
      <c r="P67" s="358"/>
      <c r="T67" s="390"/>
      <c r="U67" s="390"/>
      <c r="V67" s="390"/>
      <c r="W67" s="390"/>
      <c r="X67" s="981"/>
      <c r="Y67" s="390"/>
      <c r="Z67" s="390"/>
      <c r="AA67" s="543"/>
      <c r="AB67" s="358"/>
    </row>
    <row r="68" spans="2:39" s="182" customFormat="1">
      <c r="B68" s="348" t="s">
        <v>410</v>
      </c>
      <c r="C68" s="620">
        <f>SUM(D66:D68)</f>
        <v>4600</v>
      </c>
      <c r="D68" s="579">
        <v>1800</v>
      </c>
      <c r="E68" s="599">
        <v>5</v>
      </c>
      <c r="F68" s="1122" t="s">
        <v>50</v>
      </c>
      <c r="G68" s="1122"/>
      <c r="I68" s="620">
        <f>SUM(J66:J68)</f>
        <v>4784</v>
      </c>
      <c r="J68" s="579">
        <f>D68*(1+$E$11)</f>
        <v>1872</v>
      </c>
      <c r="K68" s="596">
        <f>E68</f>
        <v>5</v>
      </c>
      <c r="L68" s="1123" t="str">
        <f t="shared" si="4"/>
        <v>Straight Line</v>
      </c>
      <c r="M68" s="1123"/>
      <c r="O68" s="541"/>
      <c r="P68" s="358"/>
      <c r="T68" s="390"/>
      <c r="U68" s="390"/>
      <c r="V68" s="390"/>
      <c r="W68" s="390"/>
      <c r="X68" s="981"/>
      <c r="Y68" s="390"/>
      <c r="Z68" s="390"/>
      <c r="AA68" s="543"/>
      <c r="AB68" s="358"/>
    </row>
    <row r="69" spans="2:39" s="390" customFormat="1">
      <c r="B69" s="409"/>
      <c r="C69" s="358"/>
      <c r="D69" s="584"/>
      <c r="E69" s="617"/>
      <c r="F69" s="586"/>
      <c r="J69" s="584"/>
      <c r="K69" s="618"/>
      <c r="L69" s="945"/>
      <c r="M69" s="619"/>
      <c r="O69" s="543"/>
      <c r="P69" s="358"/>
      <c r="X69" s="981"/>
      <c r="AA69" s="543"/>
      <c r="AB69" s="358"/>
    </row>
    <row r="70" spans="2:39" s="390" customFormat="1">
      <c r="B70" s="409" t="s">
        <v>435</v>
      </c>
      <c r="C70" s="358"/>
      <c r="D70" s="584"/>
      <c r="E70" s="617"/>
      <c r="F70" s="586"/>
      <c r="J70" s="584"/>
      <c r="K70" s="618"/>
      <c r="L70" s="945"/>
      <c r="M70" s="619"/>
      <c r="O70" s="543"/>
      <c r="P70" s="358"/>
      <c r="X70" s="981"/>
      <c r="AA70" s="543"/>
      <c r="AB70" s="358"/>
    </row>
    <row r="71" spans="2:39" s="182" customFormat="1" ht="16" customHeight="1">
      <c r="B71" s="348" t="s">
        <v>412</v>
      </c>
      <c r="C71" s="183"/>
      <c r="D71" s="579">
        <v>500</v>
      </c>
      <c r="E71" s="598">
        <v>0.3</v>
      </c>
      <c r="F71" s="1122" t="s">
        <v>415</v>
      </c>
      <c r="G71" s="1122"/>
      <c r="J71" s="579">
        <f>D71*(1+$E$11)</f>
        <v>520</v>
      </c>
      <c r="K71" s="595">
        <f>E71</f>
        <v>0.3</v>
      </c>
      <c r="L71" s="1123" t="str">
        <f t="shared" ref="L71:L73" si="5">F71</f>
        <v>Reducing Balance</v>
      </c>
      <c r="M71" s="1123"/>
      <c r="O71" s="541"/>
      <c r="P71" s="358"/>
      <c r="T71" s="390"/>
      <c r="U71" s="390"/>
      <c r="V71" s="390"/>
      <c r="W71" s="390"/>
      <c r="X71" s="981"/>
      <c r="Y71" s="390"/>
      <c r="Z71" s="390"/>
      <c r="AA71" s="543"/>
      <c r="AB71" s="358"/>
    </row>
    <row r="72" spans="2:39" s="182" customFormat="1" ht="16" customHeight="1">
      <c r="B72" s="348" t="s">
        <v>414</v>
      </c>
      <c r="C72" s="183"/>
      <c r="D72" s="579">
        <v>200</v>
      </c>
      <c r="E72" s="599">
        <v>5</v>
      </c>
      <c r="F72" s="1122" t="s">
        <v>50</v>
      </c>
      <c r="G72" s="1122"/>
      <c r="J72" s="579">
        <f>D72*(1+$E$11)</f>
        <v>208</v>
      </c>
      <c r="K72" s="596">
        <f>E72</f>
        <v>5</v>
      </c>
      <c r="L72" s="1123" t="str">
        <f t="shared" si="5"/>
        <v>Straight Line</v>
      </c>
      <c r="M72" s="1123"/>
      <c r="O72" s="541"/>
      <c r="P72" s="358"/>
      <c r="T72" s="390"/>
      <c r="U72" s="390"/>
      <c r="V72" s="390"/>
      <c r="W72" s="390"/>
      <c r="X72" s="981"/>
      <c r="Y72" s="390"/>
      <c r="Z72" s="390"/>
      <c r="AA72" s="543"/>
      <c r="AB72" s="358"/>
    </row>
    <row r="73" spans="2:39" s="182" customFormat="1" ht="16" customHeight="1">
      <c r="B73" s="348" t="s">
        <v>413</v>
      </c>
      <c r="C73" s="620">
        <f>SUM(D71:D73)</f>
        <v>2200</v>
      </c>
      <c r="D73" s="579">
        <v>1500</v>
      </c>
      <c r="E73" s="599">
        <v>10</v>
      </c>
      <c r="F73" s="1122" t="s">
        <v>50</v>
      </c>
      <c r="G73" s="1122"/>
      <c r="I73" s="620">
        <f>SUM(J71:J73)</f>
        <v>2288</v>
      </c>
      <c r="J73" s="579">
        <f>D73*(1+$E$11)</f>
        <v>1560</v>
      </c>
      <c r="K73" s="596">
        <f>E73</f>
        <v>10</v>
      </c>
      <c r="L73" s="1123" t="str">
        <f t="shared" si="5"/>
        <v>Straight Line</v>
      </c>
      <c r="M73" s="1123"/>
      <c r="O73" s="541"/>
      <c r="P73" s="358"/>
      <c r="T73" s="390"/>
      <c r="U73" s="390"/>
      <c r="V73" s="390"/>
      <c r="W73" s="390"/>
      <c r="X73" s="981"/>
      <c r="Y73" s="390"/>
      <c r="Z73" s="390"/>
      <c r="AA73" s="543"/>
      <c r="AB73" s="358"/>
    </row>
    <row r="74" spans="2:39" s="390" customFormat="1" ht="16" customHeight="1">
      <c r="B74" s="409"/>
      <c r="C74" s="620">
        <f>C63+C68+C73</f>
        <v>21530</v>
      </c>
      <c r="D74" s="584"/>
      <c r="E74" s="617"/>
      <c r="F74" s="586"/>
      <c r="I74" s="584"/>
      <c r="J74" s="618"/>
      <c r="K74" s="619"/>
      <c r="L74" s="945"/>
      <c r="O74" s="543"/>
      <c r="P74" s="358"/>
      <c r="X74" s="981"/>
      <c r="AA74" s="543"/>
      <c r="AB74" s="358"/>
    </row>
    <row r="75" spans="2:39" s="182" customFormat="1" ht="16" customHeight="1">
      <c r="B75" s="348" t="s">
        <v>428</v>
      </c>
      <c r="C75" s="183"/>
      <c r="D75" s="358"/>
      <c r="E75" s="585"/>
      <c r="F75" s="586"/>
      <c r="G75" s="390"/>
      <c r="H75" s="358"/>
      <c r="I75" s="585"/>
      <c r="J75" s="361"/>
      <c r="L75" s="940"/>
      <c r="O75" s="541"/>
      <c r="P75" s="358"/>
      <c r="Q75" s="390"/>
      <c r="R75" s="390"/>
      <c r="S75" s="390"/>
      <c r="T75" s="390"/>
      <c r="U75" s="390"/>
      <c r="V75" s="390"/>
      <c r="W75" s="390"/>
      <c r="X75" s="981"/>
      <c r="Y75" s="390"/>
      <c r="Z75" s="390"/>
      <c r="AA75" s="543"/>
      <c r="AB75" s="358"/>
    </row>
    <row r="76" spans="2:39" s="182" customFormat="1" ht="16" customHeight="1">
      <c r="B76" s="348"/>
      <c r="C76" s="183"/>
      <c r="F76" s="509"/>
      <c r="G76" s="510"/>
      <c r="H76" s="361"/>
      <c r="L76" s="940"/>
      <c r="O76" s="541"/>
      <c r="P76" s="358"/>
      <c r="Q76" s="390"/>
      <c r="R76" s="390"/>
      <c r="S76" s="390"/>
      <c r="T76" s="390"/>
      <c r="U76" s="390"/>
      <c r="V76" s="390"/>
      <c r="W76" s="390"/>
      <c r="X76" s="981"/>
      <c r="Y76" s="390"/>
      <c r="Z76" s="390"/>
      <c r="AA76" s="543"/>
      <c r="AB76" s="358"/>
    </row>
    <row r="77" spans="2:39" s="58" customFormat="1" ht="24" thickBot="1">
      <c r="B77" s="179" t="s">
        <v>71</v>
      </c>
      <c r="C77" s="400" t="s">
        <v>7</v>
      </c>
      <c r="D77" s="401">
        <f>DATE(YEAR('Pricing Model'!$C$5),MONTH('Pricing Model'!$C$5),DAY(EOMONTH('Pricing Model'!$C$5,0)))</f>
        <v>45688</v>
      </c>
      <c r="E77" s="401">
        <f t="shared" ref="E77:AL77" si="6">DATE(YEAR(D77),MONTH(D77),DAY(EOMONTH(D77,0)))+1</f>
        <v>45689</v>
      </c>
      <c r="F77" s="401">
        <f>DATE(YEAR(E77),MONTH(E77),DAY(EOMONTH(E77,0)))+1</f>
        <v>45717</v>
      </c>
      <c r="G77" s="401">
        <f>DATE(YEAR(F77),MONTH(F77),DAY(EOMONTH(F77,0)))+1</f>
        <v>45748</v>
      </c>
      <c r="H77" s="401">
        <f>DATE(YEAR(G77),MONTH(G77),DAY(EOMONTH(G77,0)))+1</f>
        <v>45778</v>
      </c>
      <c r="I77" s="401">
        <f>DATE(YEAR(H77),MONTH(H77),DAY(EOMONTH(H77,0)))+1</f>
        <v>45809</v>
      </c>
      <c r="J77" s="401">
        <f>DATE(YEAR(I77),MONTH(I77),DAY(EOMONTH(I77,0)))+1</f>
        <v>45839</v>
      </c>
      <c r="K77" s="401">
        <f t="shared" si="6"/>
        <v>45870</v>
      </c>
      <c r="L77" s="946">
        <f t="shared" si="6"/>
        <v>45901</v>
      </c>
      <c r="M77" s="401">
        <f t="shared" si="6"/>
        <v>45931</v>
      </c>
      <c r="N77" s="401">
        <f t="shared" si="6"/>
        <v>45962</v>
      </c>
      <c r="O77" s="546">
        <f t="shared" si="6"/>
        <v>45992</v>
      </c>
      <c r="P77" s="401">
        <f>DATE(YEAR(O77),MONTH(O77),DAY(EOMONTH(O77,0)))+1</f>
        <v>46023</v>
      </c>
      <c r="Q77" s="401">
        <f t="shared" si="6"/>
        <v>46054</v>
      </c>
      <c r="R77" s="401">
        <f t="shared" si="6"/>
        <v>46082</v>
      </c>
      <c r="S77" s="401">
        <f t="shared" si="6"/>
        <v>46113</v>
      </c>
      <c r="T77" s="401">
        <f t="shared" si="6"/>
        <v>46143</v>
      </c>
      <c r="U77" s="401">
        <f t="shared" si="6"/>
        <v>46174</v>
      </c>
      <c r="V77" s="401">
        <f t="shared" si="6"/>
        <v>46204</v>
      </c>
      <c r="W77" s="401">
        <f t="shared" si="6"/>
        <v>46235</v>
      </c>
      <c r="X77" s="984">
        <f t="shared" si="6"/>
        <v>46266</v>
      </c>
      <c r="Y77" s="401">
        <f t="shared" si="6"/>
        <v>46296</v>
      </c>
      <c r="Z77" s="401">
        <f t="shared" si="6"/>
        <v>46327</v>
      </c>
      <c r="AA77" s="546">
        <f t="shared" si="6"/>
        <v>46357</v>
      </c>
      <c r="AB77" s="401">
        <f t="shared" si="6"/>
        <v>46388</v>
      </c>
      <c r="AC77" s="401">
        <f t="shared" si="6"/>
        <v>46419</v>
      </c>
      <c r="AD77" s="401">
        <f t="shared" si="6"/>
        <v>46447</v>
      </c>
      <c r="AE77" s="401">
        <f t="shared" si="6"/>
        <v>46478</v>
      </c>
      <c r="AF77" s="401">
        <f t="shared" si="6"/>
        <v>46508</v>
      </c>
      <c r="AG77" s="401">
        <f t="shared" si="6"/>
        <v>46539</v>
      </c>
      <c r="AH77" s="401">
        <f t="shared" si="6"/>
        <v>46569</v>
      </c>
      <c r="AI77" s="401">
        <f t="shared" si="6"/>
        <v>46600</v>
      </c>
      <c r="AJ77" s="401">
        <f t="shared" si="6"/>
        <v>46631</v>
      </c>
      <c r="AK77" s="401">
        <f t="shared" si="6"/>
        <v>46661</v>
      </c>
      <c r="AL77" s="401">
        <f t="shared" si="6"/>
        <v>46692</v>
      </c>
      <c r="AM77" s="401">
        <f>DATE(YEAR(AL77),MONTH(AL77),DAY(EOMONTH(AL77,0)))+1+2025.1-2025.1</f>
        <v>46722</v>
      </c>
    </row>
    <row r="78" spans="2:39" s="404" customFormat="1" outlineLevel="1">
      <c r="B78" s="403" t="s">
        <v>12</v>
      </c>
      <c r="D78" s="405">
        <v>1</v>
      </c>
      <c r="E78" s="405">
        <v>2</v>
      </c>
      <c r="F78" s="405">
        <v>3</v>
      </c>
      <c r="G78" s="405">
        <v>4</v>
      </c>
      <c r="H78" s="405">
        <v>5</v>
      </c>
      <c r="I78" s="405">
        <v>6</v>
      </c>
      <c r="J78" s="405">
        <v>7</v>
      </c>
      <c r="K78" s="405">
        <v>8</v>
      </c>
      <c r="L78" s="947">
        <v>9</v>
      </c>
      <c r="M78" s="405">
        <v>10</v>
      </c>
      <c r="N78" s="405">
        <v>11</v>
      </c>
      <c r="O78" s="547">
        <v>12</v>
      </c>
      <c r="P78" s="405">
        <v>13</v>
      </c>
      <c r="Q78" s="405">
        <v>14</v>
      </c>
      <c r="R78" s="405">
        <v>15</v>
      </c>
      <c r="S78" s="405">
        <v>16</v>
      </c>
      <c r="T78" s="405">
        <v>17</v>
      </c>
      <c r="U78" s="405">
        <v>18</v>
      </c>
      <c r="V78" s="405">
        <v>19</v>
      </c>
      <c r="W78" s="405">
        <v>20</v>
      </c>
      <c r="X78" s="985">
        <v>21</v>
      </c>
      <c r="Y78" s="405">
        <v>22</v>
      </c>
      <c r="Z78" s="405">
        <v>23</v>
      </c>
      <c r="AA78" s="547">
        <v>24</v>
      </c>
      <c r="AB78" s="405">
        <v>25</v>
      </c>
      <c r="AC78" s="405">
        <v>26</v>
      </c>
      <c r="AD78" s="405">
        <v>27</v>
      </c>
      <c r="AE78" s="405">
        <v>28</v>
      </c>
      <c r="AF78" s="405">
        <v>29</v>
      </c>
      <c r="AG78" s="405">
        <v>30</v>
      </c>
      <c r="AH78" s="405">
        <v>31</v>
      </c>
      <c r="AI78" s="405">
        <v>32</v>
      </c>
      <c r="AJ78" s="405">
        <v>33</v>
      </c>
      <c r="AK78" s="405">
        <v>34</v>
      </c>
      <c r="AL78" s="405">
        <v>35</v>
      </c>
      <c r="AM78" s="405">
        <v>36</v>
      </c>
    </row>
    <row r="79" spans="2:39" s="404" customFormat="1" outlineLevel="1">
      <c r="B79" s="403"/>
      <c r="C79" s="516" t="s">
        <v>24</v>
      </c>
      <c r="D79" s="406">
        <f>YEAR(D77)</f>
        <v>2025</v>
      </c>
      <c r="E79" s="406">
        <f t="shared" ref="E79:AM79" si="7">YEAR(E77)</f>
        <v>2025</v>
      </c>
      <c r="F79" s="406">
        <f t="shared" si="7"/>
        <v>2025</v>
      </c>
      <c r="G79" s="406">
        <f t="shared" si="7"/>
        <v>2025</v>
      </c>
      <c r="H79" s="406">
        <f t="shared" si="7"/>
        <v>2025</v>
      </c>
      <c r="I79" s="406">
        <f t="shared" si="7"/>
        <v>2025</v>
      </c>
      <c r="J79" s="406">
        <f t="shared" si="7"/>
        <v>2025</v>
      </c>
      <c r="K79" s="406">
        <f t="shared" si="7"/>
        <v>2025</v>
      </c>
      <c r="L79" s="948">
        <f t="shared" si="7"/>
        <v>2025</v>
      </c>
      <c r="M79" s="406">
        <f t="shared" si="7"/>
        <v>2025</v>
      </c>
      <c r="N79" s="406">
        <f t="shared" si="7"/>
        <v>2025</v>
      </c>
      <c r="O79" s="548">
        <f t="shared" si="7"/>
        <v>2025</v>
      </c>
      <c r="P79" s="406">
        <f t="shared" si="7"/>
        <v>2026</v>
      </c>
      <c r="Q79" s="406">
        <f t="shared" si="7"/>
        <v>2026</v>
      </c>
      <c r="R79" s="406">
        <f t="shared" si="7"/>
        <v>2026</v>
      </c>
      <c r="S79" s="406">
        <f t="shared" si="7"/>
        <v>2026</v>
      </c>
      <c r="T79" s="406">
        <f t="shared" si="7"/>
        <v>2026</v>
      </c>
      <c r="U79" s="406">
        <f t="shared" si="7"/>
        <v>2026</v>
      </c>
      <c r="V79" s="406">
        <f t="shared" si="7"/>
        <v>2026</v>
      </c>
      <c r="W79" s="406">
        <f t="shared" si="7"/>
        <v>2026</v>
      </c>
      <c r="X79" s="986">
        <f t="shared" si="7"/>
        <v>2026</v>
      </c>
      <c r="Y79" s="406">
        <f t="shared" si="7"/>
        <v>2026</v>
      </c>
      <c r="Z79" s="406">
        <f t="shared" si="7"/>
        <v>2026</v>
      </c>
      <c r="AA79" s="548">
        <f t="shared" si="7"/>
        <v>2026</v>
      </c>
      <c r="AB79" s="406">
        <f t="shared" si="7"/>
        <v>2027</v>
      </c>
      <c r="AC79" s="406">
        <f t="shared" si="7"/>
        <v>2027</v>
      </c>
      <c r="AD79" s="406">
        <f t="shared" si="7"/>
        <v>2027</v>
      </c>
      <c r="AE79" s="406">
        <f t="shared" si="7"/>
        <v>2027</v>
      </c>
      <c r="AF79" s="406">
        <f t="shared" si="7"/>
        <v>2027</v>
      </c>
      <c r="AG79" s="406">
        <f t="shared" si="7"/>
        <v>2027</v>
      </c>
      <c r="AH79" s="406">
        <f t="shared" si="7"/>
        <v>2027</v>
      </c>
      <c r="AI79" s="406">
        <f t="shared" si="7"/>
        <v>2027</v>
      </c>
      <c r="AJ79" s="406">
        <f t="shared" si="7"/>
        <v>2027</v>
      </c>
      <c r="AK79" s="406">
        <f t="shared" si="7"/>
        <v>2027</v>
      </c>
      <c r="AL79" s="406">
        <f t="shared" si="7"/>
        <v>2027</v>
      </c>
      <c r="AM79" s="406">
        <f t="shared" si="7"/>
        <v>2027</v>
      </c>
    </row>
    <row r="80" spans="2:39" s="404" customFormat="1">
      <c r="B80" s="403"/>
      <c r="D80" s="407"/>
      <c r="E80" s="407"/>
      <c r="F80" s="407"/>
      <c r="G80" s="407"/>
      <c r="H80" s="407"/>
      <c r="I80" s="407"/>
      <c r="J80" s="407"/>
      <c r="K80" s="407"/>
      <c r="L80" s="949"/>
      <c r="M80" s="407"/>
      <c r="N80" s="407"/>
      <c r="O80" s="549"/>
      <c r="P80" s="407"/>
      <c r="Q80" s="407"/>
      <c r="R80" s="407"/>
      <c r="S80" s="407"/>
      <c r="T80" s="407"/>
      <c r="U80" s="407"/>
      <c r="V80" s="407"/>
      <c r="W80" s="407"/>
      <c r="X80" s="987"/>
      <c r="Y80" s="407"/>
      <c r="Z80" s="407"/>
      <c r="AA80" s="549"/>
      <c r="AB80" s="407"/>
      <c r="AC80" s="407"/>
      <c r="AD80" s="407"/>
      <c r="AE80" s="407"/>
      <c r="AF80" s="407"/>
      <c r="AG80" s="407"/>
      <c r="AH80" s="407"/>
      <c r="AI80" s="407"/>
      <c r="AJ80" s="407"/>
      <c r="AK80" s="407"/>
      <c r="AL80" s="407"/>
      <c r="AM80" s="407"/>
    </row>
    <row r="81" spans="2:40" s="409" customFormat="1">
      <c r="B81" s="408" t="s">
        <v>25</v>
      </c>
      <c r="D81" s="410">
        <f>'Sales Forecast'!H120</f>
        <v>19997.616666666665</v>
      </c>
      <c r="E81" s="410">
        <f>'Sales Forecast'!I120</f>
        <v>21513.997333333333</v>
      </c>
      <c r="F81" s="410">
        <f>'Sales Forecast'!J120</f>
        <v>23500.265000000003</v>
      </c>
      <c r="G81" s="410">
        <f>'Sales Forecast'!K120</f>
        <v>24950.074333333334</v>
      </c>
      <c r="H81" s="410">
        <f>'Sales Forecast'!L120</f>
        <v>26584.258666666665</v>
      </c>
      <c r="I81" s="410">
        <f>'Sales Forecast'!M120</f>
        <v>28400.544000000002</v>
      </c>
      <c r="J81" s="410">
        <f>'Sales Forecast'!N120</f>
        <v>30240.031999999999</v>
      </c>
      <c r="K81" s="410">
        <f>'Sales Forecast'!O120</f>
        <v>31202.245999999999</v>
      </c>
      <c r="L81" s="950">
        <f>'Sales Forecast'!P120</f>
        <v>33188.704333333328</v>
      </c>
      <c r="M81" s="410">
        <f>'Sales Forecast'!Q120</f>
        <v>35019.251666666663</v>
      </c>
      <c r="N81" s="410">
        <f>'Sales Forecast'!R120</f>
        <v>37142.906333333332</v>
      </c>
      <c r="O81" s="550">
        <f>'Sales Forecast'!S120</f>
        <v>38674.894333333337</v>
      </c>
      <c r="P81" s="410">
        <f>'Sales Forecast'!T120</f>
        <v>42172.891813333335</v>
      </c>
      <c r="Q81" s="410">
        <f>'Sales Forecast'!U120</f>
        <v>44713.578560000002</v>
      </c>
      <c r="R81" s="410">
        <f>'Sales Forecast'!V120</f>
        <v>50665.301200000009</v>
      </c>
      <c r="S81" s="410">
        <f>'Sales Forecast'!W120</f>
        <v>54518.967866666673</v>
      </c>
      <c r="T81" s="410">
        <f>'Sales Forecast'!X120</f>
        <v>55816.472133333329</v>
      </c>
      <c r="U81" s="410">
        <f>'Sales Forecast'!Y120</f>
        <v>58194.523839999994</v>
      </c>
      <c r="V81" s="410">
        <f>'Sales Forecast'!Z120</f>
        <v>60714.343493333334</v>
      </c>
      <c r="W81" s="410">
        <f>'Sales Forecast'!AA120</f>
        <v>62871.629386666667</v>
      </c>
      <c r="X81" s="988">
        <f>'Sales Forecast'!AB120</f>
        <v>79517.954714074091</v>
      </c>
      <c r="Y81" s="410">
        <f>'Sales Forecast'!AC120</f>
        <v>80668.59901333334</v>
      </c>
      <c r="Z81" s="410">
        <f>'Sales Forecast'!AD120</f>
        <v>83866.616959999999</v>
      </c>
      <c r="AA81" s="550">
        <f>'Sales Forecast'!AE120</f>
        <v>86715.085333333336</v>
      </c>
      <c r="AB81" s="410">
        <f>'Sales Forecast'!AF120</f>
        <v>92718.817239199998</v>
      </c>
      <c r="AC81" s="410">
        <f>'Sales Forecast'!AG120</f>
        <v>95110.3071986</v>
      </c>
      <c r="AD81" s="410">
        <f>'Sales Forecast'!AH120</f>
        <v>97854.377144466664</v>
      </c>
      <c r="AE81" s="410">
        <f>'Sales Forecast'!AI120</f>
        <v>101539.61710386667</v>
      </c>
      <c r="AF81" s="410">
        <f>'Sales Forecast'!AJ120</f>
        <v>104599.93704973333</v>
      </c>
      <c r="AG81" s="410">
        <f>'Sales Forecast'!AK120</f>
        <v>107405.59367579999</v>
      </c>
      <c r="AH81" s="410">
        <f>'Sales Forecast'!AL120</f>
        <v>110096.74695500001</v>
      </c>
      <c r="AI81" s="410">
        <f>'Sales Forecast'!AM120</f>
        <v>112467.82024773333</v>
      </c>
      <c r="AJ81" s="410">
        <f>'Sales Forecast'!AN120</f>
        <v>114865.22352693333</v>
      </c>
      <c r="AK81" s="410">
        <f>'Sales Forecast'!AO120</f>
        <v>116405.04681966666</v>
      </c>
      <c r="AL81" s="410">
        <f>'Sales Forecast'!AP120</f>
        <v>119974.95009886667</v>
      </c>
      <c r="AM81" s="410">
        <f>'Sales Forecast'!AQ120</f>
        <v>123533.5233916</v>
      </c>
    </row>
    <row r="82" spans="2:40" s="409" customFormat="1" ht="16" customHeight="1">
      <c r="B82" s="408"/>
      <c r="D82" s="410"/>
      <c r="E82" s="410"/>
      <c r="F82" s="410"/>
      <c r="G82" s="410"/>
      <c r="H82" s="410"/>
      <c r="I82" s="410"/>
      <c r="J82" s="410"/>
      <c r="K82" s="410"/>
      <c r="L82" s="950"/>
      <c r="M82" s="410"/>
      <c r="N82" s="410"/>
      <c r="O82" s="550"/>
      <c r="P82" s="410"/>
      <c r="Q82" s="410"/>
      <c r="R82" s="410"/>
      <c r="S82" s="410"/>
      <c r="T82" s="410"/>
      <c r="U82" s="410"/>
      <c r="V82" s="410"/>
      <c r="W82" s="410"/>
      <c r="X82" s="988"/>
      <c r="Y82" s="410"/>
      <c r="Z82" s="410"/>
      <c r="AA82" s="550"/>
      <c r="AB82" s="410"/>
      <c r="AC82" s="410"/>
      <c r="AD82" s="410"/>
      <c r="AE82" s="410"/>
      <c r="AF82" s="410"/>
      <c r="AG82" s="410"/>
      <c r="AH82" s="410"/>
      <c r="AI82" s="410"/>
      <c r="AJ82" s="410"/>
      <c r="AK82" s="410"/>
      <c r="AL82" s="410"/>
      <c r="AM82" s="410"/>
    </row>
    <row r="83" spans="2:40" s="182" customFormat="1">
      <c r="B83" s="412" t="s">
        <v>193</v>
      </c>
      <c r="C83" s="413"/>
      <c r="D83" s="414">
        <f t="shared" ref="D83:AM83" si="8">-(D81-D84)</f>
        <v>-2591.8528342380923</v>
      </c>
      <c r="E83" s="414">
        <f t="shared" si="8"/>
        <v>-2772.9350141561881</v>
      </c>
      <c r="F83" s="414">
        <f t="shared" si="8"/>
        <v>-3038.2399046571445</v>
      </c>
      <c r="G83" s="414">
        <f t="shared" si="8"/>
        <v>-3232.8755568247652</v>
      </c>
      <c r="H83" s="414">
        <f t="shared" si="8"/>
        <v>-3446.2144739923824</v>
      </c>
      <c r="I83" s="414">
        <f t="shared" si="8"/>
        <v>-3672.5818221371446</v>
      </c>
      <c r="J83" s="414">
        <f t="shared" si="8"/>
        <v>-3924.9955565542878</v>
      </c>
      <c r="K83" s="414">
        <f t="shared" si="8"/>
        <v>-4033.876309805717</v>
      </c>
      <c r="L83" s="951">
        <f t="shared" si="8"/>
        <v>-4502.2294281390423</v>
      </c>
      <c r="M83" s="414">
        <f t="shared" si="8"/>
        <v>-4737.693930438094</v>
      </c>
      <c r="N83" s="414">
        <f t="shared" si="8"/>
        <v>-5055.5926058076147</v>
      </c>
      <c r="O83" s="551">
        <f t="shared" si="8"/>
        <v>-5273.9584373676189</v>
      </c>
      <c r="P83" s="414">
        <f t="shared" si="8"/>
        <v>-5810.007041474244</v>
      </c>
      <c r="Q83" s="414">
        <f t="shared" si="8"/>
        <v>-6158.4274076054717</v>
      </c>
      <c r="R83" s="414">
        <f t="shared" si="8"/>
        <v>-7019.0459016827517</v>
      </c>
      <c r="S83" s="414">
        <f t="shared" si="8"/>
        <v>-7568.908543663696</v>
      </c>
      <c r="T83" s="414">
        <f t="shared" si="8"/>
        <v>-7450.4525476753406</v>
      </c>
      <c r="U83" s="414">
        <f t="shared" si="8"/>
        <v>-7794.9029692457261</v>
      </c>
      <c r="V83" s="414">
        <f t="shared" si="8"/>
        <v>-8159.6982764653148</v>
      </c>
      <c r="W83" s="414">
        <f t="shared" si="8"/>
        <v>-8438.1277175732539</v>
      </c>
      <c r="X83" s="989">
        <f t="shared" si="8"/>
        <v>-12210.202621208271</v>
      </c>
      <c r="Y83" s="414">
        <f t="shared" si="8"/>
        <v>-11177.070452594504</v>
      </c>
      <c r="Z83" s="414">
        <f t="shared" si="8"/>
        <v>-11607.193518910382</v>
      </c>
      <c r="AA83" s="551">
        <f t="shared" si="8"/>
        <v>-11989.118000004572</v>
      </c>
      <c r="AB83" s="414">
        <f t="shared" si="8"/>
        <v>-13019.377756401867</v>
      </c>
      <c r="AC83" s="414">
        <f t="shared" si="8"/>
        <v>-13397.140762067036</v>
      </c>
      <c r="AD83" s="414">
        <f t="shared" si="8"/>
        <v>-13807.706663316974</v>
      </c>
      <c r="AE83" s="414">
        <f t="shared" si="8"/>
        <v>-14324.050178494697</v>
      </c>
      <c r="AF83" s="414">
        <f t="shared" si="8"/>
        <v>-14751.510129138915</v>
      </c>
      <c r="AG83" s="414">
        <f t="shared" si="8"/>
        <v>-15165.243996097575</v>
      </c>
      <c r="AH83" s="414">
        <f t="shared" si="8"/>
        <v>-15547.146711382302</v>
      </c>
      <c r="AI83" s="414">
        <f t="shared" si="8"/>
        <v>-15900.163238154782</v>
      </c>
      <c r="AJ83" s="414">
        <f t="shared" si="8"/>
        <v>-16235.988833380907</v>
      </c>
      <c r="AK83" s="414">
        <f t="shared" si="8"/>
        <v>-16471.188907709118</v>
      </c>
      <c r="AL83" s="414">
        <f t="shared" si="8"/>
        <v>-16911.630707892386</v>
      </c>
      <c r="AM83" s="414">
        <f t="shared" si="8"/>
        <v>-17363.508188497741</v>
      </c>
    </row>
    <row r="84" spans="2:40" s="409" customFormat="1">
      <c r="B84" s="408" t="s">
        <v>163</v>
      </c>
      <c r="D84" s="410">
        <f>'Sales Forecast'!H122</f>
        <v>17405.763832428573</v>
      </c>
      <c r="E84" s="410">
        <f>'Sales Forecast'!I122</f>
        <v>18741.062319177145</v>
      </c>
      <c r="F84" s="410">
        <f>'Sales Forecast'!J122</f>
        <v>20462.025095342859</v>
      </c>
      <c r="G84" s="410">
        <f>'Sales Forecast'!K122</f>
        <v>21717.198776508569</v>
      </c>
      <c r="H84" s="410">
        <f>'Sales Forecast'!L122</f>
        <v>23138.044192674282</v>
      </c>
      <c r="I84" s="410">
        <f>'Sales Forecast'!M122</f>
        <v>24727.962177862857</v>
      </c>
      <c r="J84" s="410">
        <f>'Sales Forecast'!N122</f>
        <v>26315.036443445711</v>
      </c>
      <c r="K84" s="410">
        <f>'Sales Forecast'!O122</f>
        <v>27168.369690194282</v>
      </c>
      <c r="L84" s="950">
        <f>'Sales Forecast'!P122</f>
        <v>28686.474905194285</v>
      </c>
      <c r="M84" s="410">
        <f>'Sales Forecast'!Q122</f>
        <v>30281.557736228569</v>
      </c>
      <c r="N84" s="410">
        <f>'Sales Forecast'!R122</f>
        <v>32087.313727525718</v>
      </c>
      <c r="O84" s="550">
        <f>'Sales Forecast'!S122</f>
        <v>33400.935895965718</v>
      </c>
      <c r="P84" s="410">
        <f>'Sales Forecast'!T122</f>
        <v>36362.884771859091</v>
      </c>
      <c r="Q84" s="410">
        <f>'Sales Forecast'!U122</f>
        <v>38555.15115239453</v>
      </c>
      <c r="R84" s="410">
        <f>'Sales Forecast'!V122</f>
        <v>43646.255298317257</v>
      </c>
      <c r="S84" s="410">
        <f>'Sales Forecast'!W122</f>
        <v>46950.059323002977</v>
      </c>
      <c r="T84" s="410">
        <f>'Sales Forecast'!X122</f>
        <v>48366.019585657989</v>
      </c>
      <c r="U84" s="410">
        <f>'Sales Forecast'!Y122</f>
        <v>50399.620870754268</v>
      </c>
      <c r="V84" s="410">
        <f>'Sales Forecast'!Z122</f>
        <v>52554.645216868019</v>
      </c>
      <c r="W84" s="410">
        <f>'Sales Forecast'!AA122</f>
        <v>54433.501669093414</v>
      </c>
      <c r="X84" s="988">
        <f>'Sales Forecast'!AB122</f>
        <v>67307.75209286582</v>
      </c>
      <c r="Y84" s="410">
        <f>'Sales Forecast'!AC122</f>
        <v>69491.528560738836</v>
      </c>
      <c r="Z84" s="410">
        <f>'Sales Forecast'!AD122</f>
        <v>72259.423441089617</v>
      </c>
      <c r="AA84" s="550">
        <f>'Sales Forecast'!AE122</f>
        <v>74725.967333328765</v>
      </c>
      <c r="AB84" s="410">
        <f>'Sales Forecast'!AF122</f>
        <v>79699.43948279813</v>
      </c>
      <c r="AC84" s="410">
        <f>'Sales Forecast'!AG122</f>
        <v>81713.166436532963</v>
      </c>
      <c r="AD84" s="410">
        <f>'Sales Forecast'!AH122</f>
        <v>84046.670481149689</v>
      </c>
      <c r="AE84" s="410">
        <f>'Sales Forecast'!AI122</f>
        <v>87215.566925371968</v>
      </c>
      <c r="AF84" s="410">
        <f>'Sales Forecast'!AJ122</f>
        <v>89848.426920594415</v>
      </c>
      <c r="AG84" s="410">
        <f>'Sales Forecast'!AK122</f>
        <v>92240.349679702413</v>
      </c>
      <c r="AH84" s="410">
        <f>'Sales Forecast'!AL122</f>
        <v>94549.600243617708</v>
      </c>
      <c r="AI84" s="410">
        <f>'Sales Forecast'!AM122</f>
        <v>96567.657009578543</v>
      </c>
      <c r="AJ84" s="410">
        <f>'Sales Forecast'!AN122</f>
        <v>98629.234693552426</v>
      </c>
      <c r="AK84" s="410">
        <f>'Sales Forecast'!AO122</f>
        <v>99933.857911957544</v>
      </c>
      <c r="AL84" s="410">
        <f>'Sales Forecast'!AP122</f>
        <v>103063.31939097428</v>
      </c>
      <c r="AM84" s="410">
        <f>'Sales Forecast'!AQ122</f>
        <v>106170.01520310226</v>
      </c>
      <c r="AN84" s="410"/>
    </row>
    <row r="85" spans="2:40" s="418" customFormat="1">
      <c r="B85" s="416"/>
      <c r="C85" s="417"/>
      <c r="D85" s="418">
        <f t="shared" ref="D85:AM85" si="9">D84/D81</f>
        <v>0.87039191332443322</v>
      </c>
      <c r="E85" s="418">
        <f t="shared" si="9"/>
        <v>0.87111019067294104</v>
      </c>
      <c r="F85" s="418">
        <f t="shared" si="9"/>
        <v>0.87071465344509336</v>
      </c>
      <c r="G85" s="418">
        <f t="shared" si="9"/>
        <v>0.87042621542390997</v>
      </c>
      <c r="H85" s="418">
        <f t="shared" si="9"/>
        <v>0.8703663503577963</v>
      </c>
      <c r="I85" s="418">
        <f t="shared" si="9"/>
        <v>0.8706862156535754</v>
      </c>
      <c r="J85" s="418">
        <f t="shared" si="9"/>
        <v>0.87020531074324636</v>
      </c>
      <c r="K85" s="418">
        <f t="shared" si="9"/>
        <v>0.8707183992522296</v>
      </c>
      <c r="L85" s="952">
        <f t="shared" si="9"/>
        <v>0.86434452568800058</v>
      </c>
      <c r="M85" s="418">
        <f t="shared" si="9"/>
        <v>0.86471173126330103</v>
      </c>
      <c r="N85" s="418">
        <f t="shared" si="9"/>
        <v>0.86388807164315651</v>
      </c>
      <c r="O85" s="552">
        <f t="shared" si="9"/>
        <v>0.86363353983821822</v>
      </c>
      <c r="P85" s="418">
        <f t="shared" si="9"/>
        <v>0.8622336104626015</v>
      </c>
      <c r="Q85" s="418">
        <f t="shared" si="9"/>
        <v>0.8622694133205725</v>
      </c>
      <c r="R85" s="418">
        <f t="shared" si="9"/>
        <v>0.86146246572234431</v>
      </c>
      <c r="S85" s="418">
        <f t="shared" si="9"/>
        <v>0.86116926200484101</v>
      </c>
      <c r="T85" s="418">
        <f t="shared" si="9"/>
        <v>0.86651874862535483</v>
      </c>
      <c r="U85" s="418">
        <f t="shared" si="9"/>
        <v>0.86605435606489312</v>
      </c>
      <c r="V85" s="418">
        <f t="shared" si="9"/>
        <v>0.86560509746166847</v>
      </c>
      <c r="W85" s="418">
        <f t="shared" si="9"/>
        <v>0.86578799054692945</v>
      </c>
      <c r="X85" s="990">
        <f t="shared" si="9"/>
        <v>0.8464472248423266</v>
      </c>
      <c r="Y85" s="418">
        <f t="shared" si="9"/>
        <v>0.86144459443572219</v>
      </c>
      <c r="Z85" s="418">
        <f t="shared" si="9"/>
        <v>0.86159935932021192</v>
      </c>
      <c r="AA85" s="552">
        <f t="shared" si="9"/>
        <v>0.8617412650415055</v>
      </c>
      <c r="AB85" s="418">
        <f t="shared" si="9"/>
        <v>0.85958214153213452</v>
      </c>
      <c r="AC85" s="418">
        <f t="shared" si="9"/>
        <v>0.85914102102422563</v>
      </c>
      <c r="AD85" s="418">
        <f t="shared" si="9"/>
        <v>0.85889535995991206</v>
      </c>
      <c r="AE85" s="418">
        <f t="shared" si="9"/>
        <v>0.85893141428884479</v>
      </c>
      <c r="AF85" s="418">
        <f t="shared" si="9"/>
        <v>0.85897209362444327</v>
      </c>
      <c r="AG85" s="418">
        <f t="shared" si="9"/>
        <v>0.85880396469970333</v>
      </c>
      <c r="AH85" s="418">
        <f t="shared" si="9"/>
        <v>0.85878650240468135</v>
      </c>
      <c r="AI85" s="418">
        <f t="shared" si="9"/>
        <v>0.85862477637486501</v>
      </c>
      <c r="AJ85" s="418">
        <f t="shared" si="9"/>
        <v>0.85865183268829903</v>
      </c>
      <c r="AK85" s="418">
        <f t="shared" si="9"/>
        <v>0.85850107570313428</v>
      </c>
      <c r="AL85" s="418">
        <f t="shared" si="9"/>
        <v>0.85904031888359889</v>
      </c>
      <c r="AM85" s="418">
        <f t="shared" si="9"/>
        <v>0.85944294543064559</v>
      </c>
    </row>
    <row r="86" spans="2:40" s="182" customFormat="1" hidden="1">
      <c r="B86" s="408" t="s">
        <v>48</v>
      </c>
      <c r="D86" s="419"/>
      <c r="E86" s="419"/>
      <c r="F86" s="419"/>
      <c r="G86" s="419"/>
      <c r="H86" s="419"/>
      <c r="I86" s="419"/>
      <c r="J86" s="419"/>
      <c r="K86" s="419"/>
      <c r="L86" s="953"/>
      <c r="M86" s="419"/>
      <c r="N86" s="419"/>
      <c r="O86" s="553"/>
      <c r="P86" s="421"/>
      <c r="Q86" s="422"/>
      <c r="R86" s="422"/>
      <c r="S86" s="422"/>
      <c r="T86" s="422"/>
      <c r="U86" s="422"/>
      <c r="V86" s="422"/>
      <c r="W86" s="422"/>
      <c r="X86" s="991"/>
      <c r="Y86" s="422"/>
      <c r="Z86" s="422"/>
      <c r="AA86" s="928"/>
      <c r="AB86" s="421"/>
      <c r="AC86" s="419"/>
      <c r="AD86" s="419"/>
      <c r="AE86" s="419"/>
      <c r="AF86" s="419"/>
      <c r="AG86" s="419"/>
      <c r="AH86" s="419"/>
      <c r="AI86" s="419"/>
      <c r="AJ86" s="419"/>
      <c r="AK86" s="419"/>
      <c r="AL86" s="419"/>
      <c r="AM86" s="419"/>
    </row>
    <row r="87" spans="2:40" s="182" customFormat="1">
      <c r="B87" s="408" t="s">
        <v>156</v>
      </c>
      <c r="D87" s="419"/>
      <c r="E87" s="419"/>
      <c r="F87" s="419"/>
      <c r="G87" s="419"/>
      <c r="H87" s="419"/>
      <c r="I87" s="419"/>
      <c r="J87" s="419"/>
      <c r="K87" s="419"/>
      <c r="L87" s="953"/>
      <c r="M87" s="419"/>
      <c r="N87" s="419"/>
      <c r="O87" s="553"/>
      <c r="P87" s="421"/>
      <c r="Q87" s="422"/>
      <c r="R87" s="422"/>
      <c r="S87" s="422"/>
      <c r="T87" s="422"/>
      <c r="U87" s="422"/>
      <c r="V87" s="422"/>
      <c r="W87" s="422"/>
      <c r="X87" s="991"/>
      <c r="Y87" s="422"/>
      <c r="Z87" s="422"/>
      <c r="AA87" s="928"/>
      <c r="AB87" s="421"/>
      <c r="AC87" s="419"/>
      <c r="AD87" s="419"/>
      <c r="AE87" s="419"/>
      <c r="AF87" s="419"/>
      <c r="AG87" s="419"/>
      <c r="AH87" s="419"/>
      <c r="AI87" s="419"/>
      <c r="AJ87" s="419"/>
      <c r="AK87" s="419"/>
      <c r="AL87" s="419"/>
      <c r="AM87" s="419"/>
    </row>
    <row r="88" spans="2:40" s="182" customFormat="1">
      <c r="B88" s="507" t="str">
        <f>B23</f>
        <v>Employee Wages</v>
      </c>
      <c r="D88" s="419">
        <f t="shared" ref="D88:O88" si="10">-$E$23/12</f>
        <v>-18726.666666666668</v>
      </c>
      <c r="E88" s="419">
        <f t="shared" si="10"/>
        <v>-18726.666666666668</v>
      </c>
      <c r="F88" s="419">
        <f t="shared" si="10"/>
        <v>-18726.666666666668</v>
      </c>
      <c r="G88" s="419">
        <f t="shared" si="10"/>
        <v>-18726.666666666668</v>
      </c>
      <c r="H88" s="419">
        <f t="shared" si="10"/>
        <v>-18726.666666666668</v>
      </c>
      <c r="I88" s="419">
        <f t="shared" si="10"/>
        <v>-18726.666666666668</v>
      </c>
      <c r="J88" s="419">
        <f t="shared" si="10"/>
        <v>-18726.666666666668</v>
      </c>
      <c r="K88" s="419">
        <f t="shared" si="10"/>
        <v>-18726.666666666668</v>
      </c>
      <c r="L88" s="953">
        <f t="shared" si="10"/>
        <v>-18726.666666666668</v>
      </c>
      <c r="M88" s="419">
        <f t="shared" si="10"/>
        <v>-18726.666666666668</v>
      </c>
      <c r="N88" s="419">
        <f t="shared" si="10"/>
        <v>-18726.666666666668</v>
      </c>
      <c r="O88" s="553">
        <f t="shared" si="10"/>
        <v>-18726.666666666668</v>
      </c>
      <c r="P88" s="419">
        <f t="shared" ref="P88:W88" si="11">-$F$23/8</f>
        <v>-26602.333333333332</v>
      </c>
      <c r="Q88" s="419">
        <f t="shared" si="11"/>
        <v>-26602.333333333332</v>
      </c>
      <c r="R88" s="419">
        <f t="shared" si="11"/>
        <v>-26602.333333333332</v>
      </c>
      <c r="S88" s="419">
        <f t="shared" si="11"/>
        <v>-26602.333333333332</v>
      </c>
      <c r="T88" s="419">
        <f t="shared" si="11"/>
        <v>-26602.333333333332</v>
      </c>
      <c r="U88" s="419">
        <f t="shared" si="11"/>
        <v>-26602.333333333332</v>
      </c>
      <c r="V88" s="419">
        <f t="shared" si="11"/>
        <v>-26602.333333333332</v>
      </c>
      <c r="W88" s="419">
        <f t="shared" si="11"/>
        <v>-26602.333333333332</v>
      </c>
      <c r="X88" s="992">
        <f>-$G$23/4</f>
        <v>-44951.4</v>
      </c>
      <c r="Y88" s="419">
        <f t="shared" ref="Y88:AA88" si="12">-$G$23/4</f>
        <v>-44951.4</v>
      </c>
      <c r="Z88" s="419">
        <f t="shared" si="12"/>
        <v>-44951.4</v>
      </c>
      <c r="AA88" s="553">
        <f t="shared" si="12"/>
        <v>-44951.4</v>
      </c>
      <c r="AB88" s="419">
        <f t="shared" ref="AB88:AM88" si="13">-$H$23/12</f>
        <v>-54393.410499999998</v>
      </c>
      <c r="AC88" s="419">
        <f t="shared" si="13"/>
        <v>-54393.410499999998</v>
      </c>
      <c r="AD88" s="419">
        <f t="shared" si="13"/>
        <v>-54393.410499999998</v>
      </c>
      <c r="AE88" s="419">
        <f t="shared" si="13"/>
        <v>-54393.410499999998</v>
      </c>
      <c r="AF88" s="419">
        <f t="shared" si="13"/>
        <v>-54393.410499999998</v>
      </c>
      <c r="AG88" s="419">
        <f t="shared" si="13"/>
        <v>-54393.410499999998</v>
      </c>
      <c r="AH88" s="419">
        <f t="shared" si="13"/>
        <v>-54393.410499999998</v>
      </c>
      <c r="AI88" s="419">
        <f t="shared" si="13"/>
        <v>-54393.410499999998</v>
      </c>
      <c r="AJ88" s="419">
        <f t="shared" si="13"/>
        <v>-54393.410499999998</v>
      </c>
      <c r="AK88" s="419">
        <f t="shared" si="13"/>
        <v>-54393.410499999998</v>
      </c>
      <c r="AL88" s="419">
        <f t="shared" si="13"/>
        <v>-54393.410499999998</v>
      </c>
      <c r="AM88" s="419">
        <f t="shared" si="13"/>
        <v>-54393.410499999998</v>
      </c>
    </row>
    <row r="89" spans="2:40" s="182" customFormat="1">
      <c r="B89" s="507" t="s">
        <v>419</v>
      </c>
      <c r="D89" s="419">
        <f>-'Sales Forecast'!H121*$M$34</f>
        <v>-749.91062499999987</v>
      </c>
      <c r="E89" s="419">
        <f>-'Sales Forecast'!I121*$M$34</f>
        <v>-806.7749</v>
      </c>
      <c r="F89" s="419">
        <f>-'Sales Forecast'!J121*$M$34</f>
        <v>-881.25993750000009</v>
      </c>
      <c r="G89" s="419">
        <f>-'Sales Forecast'!K121*$M$34</f>
        <v>-935.62778749999995</v>
      </c>
      <c r="H89" s="419">
        <f>-'Sales Forecast'!L121*$M$34</f>
        <v>-996.90969999999993</v>
      </c>
      <c r="I89" s="419">
        <f>-'Sales Forecast'!M121*$M$34</f>
        <v>-1065.0204000000001</v>
      </c>
      <c r="J89" s="419">
        <f>-'Sales Forecast'!N121*$M$34</f>
        <v>-1134.0011999999999</v>
      </c>
      <c r="K89" s="419">
        <f>-'Sales Forecast'!O121*$M$34</f>
        <v>-1170.0842249999998</v>
      </c>
      <c r="L89" s="953">
        <f>-'Sales Forecast'!P121*$M$34</f>
        <v>-1244.5764124999998</v>
      </c>
      <c r="M89" s="419">
        <f>-'Sales Forecast'!Q121*$M$34</f>
        <v>-1313.2219374999997</v>
      </c>
      <c r="N89" s="419">
        <f>-'Sales Forecast'!R121*$M$34</f>
        <v>-1392.8589875</v>
      </c>
      <c r="O89" s="553">
        <f>-'Sales Forecast'!S121*$M$34</f>
        <v>-1450.3085375000001</v>
      </c>
      <c r="P89" s="419">
        <f>-'Sales Forecast'!T121*$M$34</f>
        <v>-1581.4834430000001</v>
      </c>
      <c r="Q89" s="419">
        <f>-'Sales Forecast'!U121*$M$34</f>
        <v>-1676.759196</v>
      </c>
      <c r="R89" s="419">
        <f>-'Sales Forecast'!V121*$M$34</f>
        <v>-1899.9487950000002</v>
      </c>
      <c r="S89" s="419">
        <f>-'Sales Forecast'!W121*$M$34</f>
        <v>-2044.4612950000001</v>
      </c>
      <c r="T89" s="419">
        <f>-'Sales Forecast'!X121*$M$34</f>
        <v>-2093.1177049999997</v>
      </c>
      <c r="U89" s="419">
        <f>-'Sales Forecast'!Y121*$M$34</f>
        <v>-2182.2946439999996</v>
      </c>
      <c r="V89" s="419">
        <f>-'Sales Forecast'!Z121*$M$34</f>
        <v>-2276.7878809999997</v>
      </c>
      <c r="W89" s="419">
        <f>-'Sales Forecast'!AA121*$M$34</f>
        <v>-2357.6861020000001</v>
      </c>
      <c r="X89" s="992">
        <f>-'Sales Forecast'!AB121*$M$34</f>
        <v>-2981.9233017777783</v>
      </c>
      <c r="Y89" s="419">
        <f>-'Sales Forecast'!AC121*$M$34</f>
        <v>-3025.072463</v>
      </c>
      <c r="Z89" s="419">
        <f>-'Sales Forecast'!AD121*$M$34</f>
        <v>-3144.9981359999997</v>
      </c>
      <c r="AA89" s="553">
        <f>-'Sales Forecast'!AE121*$M$34</f>
        <v>-3251.8157000000001</v>
      </c>
      <c r="AB89" s="419">
        <f>-'Sales Forecast'!AF121*$M$34</f>
        <v>-3476.9556464699999</v>
      </c>
      <c r="AC89" s="419">
        <f>-'Sales Forecast'!AG121*$M$34</f>
        <v>-3566.6365199474999</v>
      </c>
      <c r="AD89" s="419">
        <f>-'Sales Forecast'!AH121*$M$34</f>
        <v>-3669.5391429174997</v>
      </c>
      <c r="AE89" s="419">
        <f>-'Sales Forecast'!AI121*$M$34</f>
        <v>-3807.7356413949997</v>
      </c>
      <c r="AF89" s="419">
        <f>-'Sales Forecast'!AJ121*$M$34</f>
        <v>-3922.4976393649995</v>
      </c>
      <c r="AG89" s="419">
        <f>-'Sales Forecast'!AK121*$M$34</f>
        <v>-4027.7097628424995</v>
      </c>
      <c r="AH89" s="419">
        <f>-'Sales Forecast'!AL121*$M$34</f>
        <v>-4128.6280108125002</v>
      </c>
      <c r="AI89" s="419">
        <f>-'Sales Forecast'!AM121*$M$34</f>
        <v>-4217.5432592899997</v>
      </c>
      <c r="AJ89" s="419">
        <f>-'Sales Forecast'!AN121*$M$34</f>
        <v>-4307.44588226</v>
      </c>
      <c r="AK89" s="419">
        <f>-'Sales Forecast'!AO121*$M$34</f>
        <v>-4365.1892557374995</v>
      </c>
      <c r="AL89" s="419">
        <f>-'Sales Forecast'!AP121*$M$34</f>
        <v>-4499.0606287074997</v>
      </c>
      <c r="AM89" s="419">
        <f>-'Sales Forecast'!AQ121*$M$34</f>
        <v>-4632.5071271850002</v>
      </c>
    </row>
    <row r="90" spans="2:40" s="182" customFormat="1">
      <c r="B90" s="424" t="str">
        <f>B26</f>
        <v>Property Rent</v>
      </c>
      <c r="D90" s="419">
        <f t="shared" ref="D90:O90" si="14">-$F29/12</f>
        <v>-4333.3333333333339</v>
      </c>
      <c r="E90" s="419">
        <f t="shared" si="14"/>
        <v>-4333.3333333333339</v>
      </c>
      <c r="F90" s="419">
        <f t="shared" si="14"/>
        <v>-4333.3333333333339</v>
      </c>
      <c r="G90" s="419">
        <f t="shared" si="14"/>
        <v>-4333.3333333333339</v>
      </c>
      <c r="H90" s="419">
        <f t="shared" si="14"/>
        <v>-4333.3333333333339</v>
      </c>
      <c r="I90" s="419">
        <f t="shared" si="14"/>
        <v>-4333.3333333333339</v>
      </c>
      <c r="J90" s="419">
        <f t="shared" si="14"/>
        <v>-4333.3333333333339</v>
      </c>
      <c r="K90" s="419">
        <f t="shared" si="14"/>
        <v>-4333.3333333333339</v>
      </c>
      <c r="L90" s="953">
        <f t="shared" si="14"/>
        <v>-4333.3333333333339</v>
      </c>
      <c r="M90" s="419">
        <f t="shared" si="14"/>
        <v>-4333.3333333333339</v>
      </c>
      <c r="N90" s="419">
        <f t="shared" si="14"/>
        <v>-4333.3333333333339</v>
      </c>
      <c r="O90" s="553">
        <f t="shared" si="14"/>
        <v>-4333.3333333333339</v>
      </c>
      <c r="P90" s="419">
        <f t="shared" ref="P90:AA90" si="15">-$G29/12</f>
        <v>-6034.4444444444453</v>
      </c>
      <c r="Q90" s="419">
        <f t="shared" si="15"/>
        <v>-6034.4444444444453</v>
      </c>
      <c r="R90" s="419">
        <f t="shared" si="15"/>
        <v>-6034.4444444444453</v>
      </c>
      <c r="S90" s="419">
        <f t="shared" si="15"/>
        <v>-6034.4444444444453</v>
      </c>
      <c r="T90" s="419">
        <f t="shared" si="15"/>
        <v>-6034.4444444444453</v>
      </c>
      <c r="U90" s="419">
        <f t="shared" si="15"/>
        <v>-6034.4444444444453</v>
      </c>
      <c r="V90" s="419">
        <f t="shared" si="15"/>
        <v>-6034.4444444444453</v>
      </c>
      <c r="W90" s="419">
        <f t="shared" si="15"/>
        <v>-6034.4444444444453</v>
      </c>
      <c r="X90" s="992">
        <f t="shared" si="15"/>
        <v>-6034.4444444444453</v>
      </c>
      <c r="Y90" s="419">
        <f t="shared" si="15"/>
        <v>-6034.4444444444453</v>
      </c>
      <c r="Z90" s="419">
        <f t="shared" si="15"/>
        <v>-6034.4444444444453</v>
      </c>
      <c r="AA90" s="553">
        <f t="shared" si="15"/>
        <v>-6034.4444444444453</v>
      </c>
      <c r="AB90" s="419">
        <f t="shared" ref="AB90:AM90" si="16">-$H29/12</f>
        <v>-9464.8666666666686</v>
      </c>
      <c r="AC90" s="419">
        <f t="shared" si="16"/>
        <v>-9464.8666666666686</v>
      </c>
      <c r="AD90" s="419">
        <f t="shared" si="16"/>
        <v>-9464.8666666666686</v>
      </c>
      <c r="AE90" s="419">
        <f t="shared" si="16"/>
        <v>-9464.8666666666686</v>
      </c>
      <c r="AF90" s="419">
        <f t="shared" si="16"/>
        <v>-9464.8666666666686</v>
      </c>
      <c r="AG90" s="419">
        <f t="shared" si="16"/>
        <v>-9464.8666666666686</v>
      </c>
      <c r="AH90" s="419">
        <f t="shared" si="16"/>
        <v>-9464.8666666666686</v>
      </c>
      <c r="AI90" s="419">
        <f t="shared" si="16"/>
        <v>-9464.8666666666686</v>
      </c>
      <c r="AJ90" s="419">
        <f t="shared" si="16"/>
        <v>-9464.8666666666686</v>
      </c>
      <c r="AK90" s="419">
        <f t="shared" si="16"/>
        <v>-9464.8666666666686</v>
      </c>
      <c r="AL90" s="419">
        <f t="shared" si="16"/>
        <v>-9464.8666666666686</v>
      </c>
      <c r="AM90" s="419">
        <f t="shared" si="16"/>
        <v>-9464.8666666666686</v>
      </c>
    </row>
    <row r="91" spans="2:40" s="182" customFormat="1">
      <c r="B91" s="507" t="str">
        <f>B31</f>
        <v>Business Rates</v>
      </c>
      <c r="D91" s="419">
        <f t="shared" ref="D91:O91" si="17">-$F34/12</f>
        <v>-1784.0625</v>
      </c>
      <c r="E91" s="419">
        <f t="shared" si="17"/>
        <v>-1784.0625</v>
      </c>
      <c r="F91" s="419">
        <f t="shared" si="17"/>
        <v>-1784.0625</v>
      </c>
      <c r="G91" s="419">
        <f t="shared" si="17"/>
        <v>-1784.0625</v>
      </c>
      <c r="H91" s="419">
        <f t="shared" si="17"/>
        <v>-1784.0625</v>
      </c>
      <c r="I91" s="419">
        <f t="shared" si="17"/>
        <v>-1784.0625</v>
      </c>
      <c r="J91" s="419">
        <f t="shared" si="17"/>
        <v>-1784.0625</v>
      </c>
      <c r="K91" s="419">
        <f t="shared" si="17"/>
        <v>-1784.0625</v>
      </c>
      <c r="L91" s="953">
        <f t="shared" si="17"/>
        <v>-1784.0625</v>
      </c>
      <c r="M91" s="419">
        <f t="shared" si="17"/>
        <v>-1784.0625</v>
      </c>
      <c r="N91" s="419">
        <f t="shared" si="17"/>
        <v>-1784.0625</v>
      </c>
      <c r="O91" s="553">
        <f t="shared" si="17"/>
        <v>-1784.0625</v>
      </c>
      <c r="P91" s="419">
        <f t="shared" ref="P91:AA91" si="18">-$G34/12</f>
        <v>-2191.3333333333335</v>
      </c>
      <c r="Q91" s="419">
        <f t="shared" si="18"/>
        <v>-2191.3333333333335</v>
      </c>
      <c r="R91" s="419">
        <f t="shared" si="18"/>
        <v>-2191.3333333333335</v>
      </c>
      <c r="S91" s="419">
        <f t="shared" si="18"/>
        <v>-2191.3333333333335</v>
      </c>
      <c r="T91" s="419">
        <f t="shared" si="18"/>
        <v>-2191.3333333333335</v>
      </c>
      <c r="U91" s="419">
        <f t="shared" si="18"/>
        <v>-2191.3333333333335</v>
      </c>
      <c r="V91" s="419">
        <f t="shared" si="18"/>
        <v>-2191.3333333333335</v>
      </c>
      <c r="W91" s="419">
        <f t="shared" si="18"/>
        <v>-2191.3333333333335</v>
      </c>
      <c r="X91" s="992">
        <f t="shared" si="18"/>
        <v>-2191.3333333333335</v>
      </c>
      <c r="Y91" s="419">
        <f t="shared" si="18"/>
        <v>-2191.3333333333335</v>
      </c>
      <c r="Z91" s="419">
        <f t="shared" si="18"/>
        <v>-2191.3333333333335</v>
      </c>
      <c r="AA91" s="553">
        <f t="shared" si="18"/>
        <v>-2191.3333333333335</v>
      </c>
      <c r="AB91" s="419">
        <f t="shared" ref="AB91:AM91" si="19">-$H34/12</f>
        <v>-3005.875</v>
      </c>
      <c r="AC91" s="419">
        <f t="shared" si="19"/>
        <v>-3005.875</v>
      </c>
      <c r="AD91" s="419">
        <f t="shared" si="19"/>
        <v>-3005.875</v>
      </c>
      <c r="AE91" s="419">
        <f t="shared" si="19"/>
        <v>-3005.875</v>
      </c>
      <c r="AF91" s="419">
        <f t="shared" si="19"/>
        <v>-3005.875</v>
      </c>
      <c r="AG91" s="419">
        <f t="shared" si="19"/>
        <v>-3005.875</v>
      </c>
      <c r="AH91" s="419">
        <f t="shared" si="19"/>
        <v>-3005.875</v>
      </c>
      <c r="AI91" s="419">
        <f t="shared" si="19"/>
        <v>-3005.875</v>
      </c>
      <c r="AJ91" s="419">
        <f t="shared" si="19"/>
        <v>-3005.875</v>
      </c>
      <c r="AK91" s="419">
        <f t="shared" si="19"/>
        <v>-3005.875</v>
      </c>
      <c r="AL91" s="419">
        <f t="shared" si="19"/>
        <v>-3005.875</v>
      </c>
      <c r="AM91" s="419">
        <f t="shared" si="19"/>
        <v>-3005.875</v>
      </c>
    </row>
    <row r="92" spans="2:40" s="182" customFormat="1">
      <c r="B92" s="424" t="str">
        <f>B36</f>
        <v>Utilities</v>
      </c>
      <c r="C92" s="425"/>
      <c r="D92" s="419">
        <f t="shared" ref="D92:O92" si="20">-$F40/12</f>
        <v>-1375</v>
      </c>
      <c r="E92" s="419">
        <f t="shared" si="20"/>
        <v>-1375</v>
      </c>
      <c r="F92" s="419">
        <f t="shared" si="20"/>
        <v>-1375</v>
      </c>
      <c r="G92" s="419">
        <f t="shared" si="20"/>
        <v>-1375</v>
      </c>
      <c r="H92" s="419">
        <f t="shared" si="20"/>
        <v>-1375</v>
      </c>
      <c r="I92" s="419">
        <f t="shared" si="20"/>
        <v>-1375</v>
      </c>
      <c r="J92" s="419">
        <f t="shared" si="20"/>
        <v>-1375</v>
      </c>
      <c r="K92" s="419">
        <f t="shared" si="20"/>
        <v>-1375</v>
      </c>
      <c r="L92" s="953">
        <f t="shared" si="20"/>
        <v>-1375</v>
      </c>
      <c r="M92" s="419">
        <f t="shared" si="20"/>
        <v>-1375</v>
      </c>
      <c r="N92" s="419">
        <f t="shared" si="20"/>
        <v>-1375</v>
      </c>
      <c r="O92" s="553">
        <f t="shared" si="20"/>
        <v>-1375</v>
      </c>
      <c r="P92" s="419">
        <f t="shared" ref="P92:AA92" si="21">-$G40/12</f>
        <v>-1906.666666666667</v>
      </c>
      <c r="Q92" s="419">
        <f t="shared" si="21"/>
        <v>-1906.666666666667</v>
      </c>
      <c r="R92" s="419">
        <f t="shared" si="21"/>
        <v>-1906.666666666667</v>
      </c>
      <c r="S92" s="419">
        <f t="shared" si="21"/>
        <v>-1906.666666666667</v>
      </c>
      <c r="T92" s="419">
        <f t="shared" si="21"/>
        <v>-1906.666666666667</v>
      </c>
      <c r="U92" s="419">
        <f t="shared" si="21"/>
        <v>-1906.666666666667</v>
      </c>
      <c r="V92" s="419">
        <f t="shared" si="21"/>
        <v>-1906.666666666667</v>
      </c>
      <c r="W92" s="419">
        <f t="shared" si="21"/>
        <v>-1906.666666666667</v>
      </c>
      <c r="X92" s="992">
        <f t="shared" si="21"/>
        <v>-1906.666666666667</v>
      </c>
      <c r="Y92" s="419">
        <f t="shared" si="21"/>
        <v>-1906.666666666667</v>
      </c>
      <c r="Z92" s="419">
        <f t="shared" si="21"/>
        <v>-1906.666666666667</v>
      </c>
      <c r="AA92" s="553">
        <f t="shared" si="21"/>
        <v>-1906.666666666667</v>
      </c>
      <c r="AB92" s="419">
        <f t="shared" ref="AB92:AM92" si="22">-$H40/12</f>
        <v>-2981.5500000000006</v>
      </c>
      <c r="AC92" s="419">
        <f t="shared" si="22"/>
        <v>-2981.5500000000006</v>
      </c>
      <c r="AD92" s="419">
        <f t="shared" si="22"/>
        <v>-2981.5500000000006</v>
      </c>
      <c r="AE92" s="419">
        <f t="shared" si="22"/>
        <v>-2981.5500000000006</v>
      </c>
      <c r="AF92" s="419">
        <f t="shared" si="22"/>
        <v>-2981.5500000000006</v>
      </c>
      <c r="AG92" s="419">
        <f t="shared" si="22"/>
        <v>-2981.5500000000006</v>
      </c>
      <c r="AH92" s="419">
        <f t="shared" si="22"/>
        <v>-2981.5500000000006</v>
      </c>
      <c r="AI92" s="419">
        <f t="shared" si="22"/>
        <v>-2981.5500000000006</v>
      </c>
      <c r="AJ92" s="419">
        <f t="shared" si="22"/>
        <v>-2981.5500000000006</v>
      </c>
      <c r="AK92" s="419">
        <f t="shared" si="22"/>
        <v>-2981.5500000000006</v>
      </c>
      <c r="AL92" s="419">
        <f t="shared" si="22"/>
        <v>-2981.5500000000006</v>
      </c>
      <c r="AM92" s="419">
        <f t="shared" si="22"/>
        <v>-2981.5500000000006</v>
      </c>
    </row>
    <row r="93" spans="2:40" s="182" customFormat="1">
      <c r="B93" s="424" t="str">
        <f>B42</f>
        <v>Accounting services</v>
      </c>
      <c r="D93" s="419">
        <f t="shared" ref="D93:O93" si="23">-$F42/12</f>
        <v>0</v>
      </c>
      <c r="E93" s="419">
        <f t="shared" si="23"/>
        <v>0</v>
      </c>
      <c r="F93" s="419">
        <f t="shared" si="23"/>
        <v>0</v>
      </c>
      <c r="G93" s="419">
        <f t="shared" si="23"/>
        <v>0</v>
      </c>
      <c r="H93" s="419">
        <f t="shared" si="23"/>
        <v>0</v>
      </c>
      <c r="I93" s="419">
        <f t="shared" si="23"/>
        <v>0</v>
      </c>
      <c r="J93" s="419">
        <f t="shared" si="23"/>
        <v>0</v>
      </c>
      <c r="K93" s="419">
        <f t="shared" si="23"/>
        <v>0</v>
      </c>
      <c r="L93" s="953">
        <f t="shared" si="23"/>
        <v>0</v>
      </c>
      <c r="M93" s="419">
        <f t="shared" si="23"/>
        <v>0</v>
      </c>
      <c r="N93" s="419">
        <f t="shared" si="23"/>
        <v>0</v>
      </c>
      <c r="O93" s="553">
        <f t="shared" si="23"/>
        <v>0</v>
      </c>
      <c r="P93" s="419">
        <f t="shared" ref="P93:AA93" si="24">-$G42/12</f>
        <v>-250</v>
      </c>
      <c r="Q93" s="419">
        <f t="shared" si="24"/>
        <v>-250</v>
      </c>
      <c r="R93" s="419">
        <f t="shared" si="24"/>
        <v>-250</v>
      </c>
      <c r="S93" s="419">
        <f t="shared" si="24"/>
        <v>-250</v>
      </c>
      <c r="T93" s="419">
        <f t="shared" si="24"/>
        <v>-250</v>
      </c>
      <c r="U93" s="419">
        <f t="shared" si="24"/>
        <v>-250</v>
      </c>
      <c r="V93" s="419">
        <f t="shared" si="24"/>
        <v>-250</v>
      </c>
      <c r="W93" s="419">
        <f t="shared" si="24"/>
        <v>-250</v>
      </c>
      <c r="X93" s="992">
        <f t="shared" si="24"/>
        <v>-250</v>
      </c>
      <c r="Y93" s="419">
        <f t="shared" si="24"/>
        <v>-250</v>
      </c>
      <c r="Z93" s="419">
        <f t="shared" si="24"/>
        <v>-250</v>
      </c>
      <c r="AA93" s="553">
        <f t="shared" si="24"/>
        <v>-250</v>
      </c>
      <c r="AB93" s="419">
        <f t="shared" ref="AB93:AM93" si="25">-$H42/12</f>
        <v>-260</v>
      </c>
      <c r="AC93" s="419">
        <f t="shared" si="25"/>
        <v>-260</v>
      </c>
      <c r="AD93" s="419">
        <f t="shared" si="25"/>
        <v>-260</v>
      </c>
      <c r="AE93" s="419">
        <f t="shared" si="25"/>
        <v>-260</v>
      </c>
      <c r="AF93" s="419">
        <f t="shared" si="25"/>
        <v>-260</v>
      </c>
      <c r="AG93" s="419">
        <f t="shared" si="25"/>
        <v>-260</v>
      </c>
      <c r="AH93" s="419">
        <f t="shared" si="25"/>
        <v>-260</v>
      </c>
      <c r="AI93" s="419">
        <f t="shared" si="25"/>
        <v>-260</v>
      </c>
      <c r="AJ93" s="419">
        <f t="shared" si="25"/>
        <v>-260</v>
      </c>
      <c r="AK93" s="419">
        <f t="shared" si="25"/>
        <v>-260</v>
      </c>
      <c r="AL93" s="419">
        <f t="shared" si="25"/>
        <v>-260</v>
      </c>
      <c r="AM93" s="419">
        <f t="shared" si="25"/>
        <v>-260</v>
      </c>
    </row>
    <row r="94" spans="2:40" s="182" customFormat="1">
      <c r="B94" s="424" t="str">
        <f>B43</f>
        <v>Dinnerware</v>
      </c>
      <c r="D94" s="419">
        <f t="shared" ref="D94:O94" si="26">-$F43/12</f>
        <v>-141.66666666666666</v>
      </c>
      <c r="E94" s="419">
        <f t="shared" si="26"/>
        <v>-141.66666666666666</v>
      </c>
      <c r="F94" s="419">
        <f t="shared" si="26"/>
        <v>-141.66666666666666</v>
      </c>
      <c r="G94" s="419">
        <f t="shared" si="26"/>
        <v>-141.66666666666666</v>
      </c>
      <c r="H94" s="419">
        <f t="shared" si="26"/>
        <v>-141.66666666666666</v>
      </c>
      <c r="I94" s="419">
        <f t="shared" si="26"/>
        <v>-141.66666666666666</v>
      </c>
      <c r="J94" s="419">
        <f t="shared" si="26"/>
        <v>-141.66666666666666</v>
      </c>
      <c r="K94" s="419">
        <f t="shared" si="26"/>
        <v>-141.66666666666666</v>
      </c>
      <c r="L94" s="953">
        <f t="shared" si="26"/>
        <v>-141.66666666666666</v>
      </c>
      <c r="M94" s="419">
        <f t="shared" si="26"/>
        <v>-141.66666666666666</v>
      </c>
      <c r="N94" s="419">
        <f t="shared" si="26"/>
        <v>-141.66666666666666</v>
      </c>
      <c r="O94" s="553">
        <f t="shared" si="26"/>
        <v>-141.66666666666666</v>
      </c>
      <c r="P94" s="419">
        <f>-'Profit &amp; Loss'!$G43/12</f>
        <v>-212.5</v>
      </c>
      <c r="Q94" s="419">
        <f>-'Profit &amp; Loss'!$G43/12</f>
        <v>-212.5</v>
      </c>
      <c r="R94" s="419">
        <f>-'Profit &amp; Loss'!$G43/12</f>
        <v>-212.5</v>
      </c>
      <c r="S94" s="419">
        <f>-'Profit &amp; Loss'!$G43/12</f>
        <v>-212.5</v>
      </c>
      <c r="T94" s="419">
        <f>-'Profit &amp; Loss'!$G43/12</f>
        <v>-212.5</v>
      </c>
      <c r="U94" s="419">
        <f>-'Profit &amp; Loss'!$G43/12</f>
        <v>-212.5</v>
      </c>
      <c r="V94" s="419">
        <f>-'Profit &amp; Loss'!$G43/12</f>
        <v>-212.5</v>
      </c>
      <c r="W94" s="419">
        <f>-'Profit &amp; Loss'!$G43/12</f>
        <v>-212.5</v>
      </c>
      <c r="X94" s="992">
        <f>-'Profit &amp; Loss'!$G43/12</f>
        <v>-212.5</v>
      </c>
      <c r="Y94" s="419">
        <f>-'Profit &amp; Loss'!$G43/12</f>
        <v>-212.5</v>
      </c>
      <c r="Z94" s="419">
        <f>-'Profit &amp; Loss'!$G43/12</f>
        <v>-212.5</v>
      </c>
      <c r="AA94" s="553">
        <f>-'Profit &amp; Loss'!$G43/12</f>
        <v>-212.5</v>
      </c>
      <c r="AB94" s="419">
        <f>-'Profit &amp; Loss'!$H43/12</f>
        <v>-148.75</v>
      </c>
      <c r="AC94" s="419">
        <f>-'Profit &amp; Loss'!$H43/12</f>
        <v>-148.75</v>
      </c>
      <c r="AD94" s="419">
        <f>-'Profit &amp; Loss'!$H43/12</f>
        <v>-148.75</v>
      </c>
      <c r="AE94" s="419">
        <f>-'Profit &amp; Loss'!$H43/12</f>
        <v>-148.75</v>
      </c>
      <c r="AF94" s="419">
        <f>-'Profit &amp; Loss'!$H43/12</f>
        <v>-148.75</v>
      </c>
      <c r="AG94" s="419">
        <f>-'Profit &amp; Loss'!$H43/12</f>
        <v>-148.75</v>
      </c>
      <c r="AH94" s="419">
        <f>-'Profit &amp; Loss'!$H43/12</f>
        <v>-148.75</v>
      </c>
      <c r="AI94" s="419">
        <f>-'Profit &amp; Loss'!$H43/12</f>
        <v>-148.75</v>
      </c>
      <c r="AJ94" s="419">
        <f>-'Profit &amp; Loss'!$H43/12</f>
        <v>-148.75</v>
      </c>
      <c r="AK94" s="419">
        <f>-'Profit &amp; Loss'!$H43/12</f>
        <v>-148.75</v>
      </c>
      <c r="AL94" s="419">
        <f>-'Profit &amp; Loss'!$H43/12</f>
        <v>-148.75</v>
      </c>
      <c r="AM94" s="419">
        <f>-'Profit &amp; Loss'!$H43/12</f>
        <v>-148.75</v>
      </c>
    </row>
    <row r="95" spans="2:40" s="182" customFormat="1">
      <c r="B95" s="424" t="str">
        <f>B44</f>
        <v>Cookware</v>
      </c>
      <c r="D95" s="419">
        <f t="shared" ref="D95:O95" si="27">-$F44/12</f>
        <v>-125</v>
      </c>
      <c r="E95" s="419">
        <f t="shared" si="27"/>
        <v>-125</v>
      </c>
      <c r="F95" s="419">
        <f t="shared" si="27"/>
        <v>-125</v>
      </c>
      <c r="G95" s="419">
        <f t="shared" si="27"/>
        <v>-125</v>
      </c>
      <c r="H95" s="419">
        <f t="shared" si="27"/>
        <v>-125</v>
      </c>
      <c r="I95" s="419">
        <f t="shared" si="27"/>
        <v>-125</v>
      </c>
      <c r="J95" s="419">
        <f t="shared" si="27"/>
        <v>-125</v>
      </c>
      <c r="K95" s="419">
        <f t="shared" si="27"/>
        <v>-125</v>
      </c>
      <c r="L95" s="953">
        <f t="shared" si="27"/>
        <v>-125</v>
      </c>
      <c r="M95" s="419">
        <f t="shared" si="27"/>
        <v>-125</v>
      </c>
      <c r="N95" s="419">
        <f t="shared" si="27"/>
        <v>-125</v>
      </c>
      <c r="O95" s="553">
        <f t="shared" si="27"/>
        <v>-125</v>
      </c>
      <c r="P95" s="419">
        <f>-'Profit &amp; Loss'!$G44/12</f>
        <v>-166.66666666666666</v>
      </c>
      <c r="Q95" s="419">
        <f>-'Profit &amp; Loss'!$G44/12</f>
        <v>-166.66666666666666</v>
      </c>
      <c r="R95" s="419">
        <f>-'Profit &amp; Loss'!$G44/12</f>
        <v>-166.66666666666666</v>
      </c>
      <c r="S95" s="419">
        <f>-'Profit &amp; Loss'!$G44/12</f>
        <v>-166.66666666666666</v>
      </c>
      <c r="T95" s="419">
        <f>-'Profit &amp; Loss'!$G44/12</f>
        <v>-166.66666666666666</v>
      </c>
      <c r="U95" s="419">
        <f>-'Profit &amp; Loss'!$G44/12</f>
        <v>-166.66666666666666</v>
      </c>
      <c r="V95" s="419">
        <f>-'Profit &amp; Loss'!$G44/12</f>
        <v>-166.66666666666666</v>
      </c>
      <c r="W95" s="419">
        <f>-'Profit &amp; Loss'!$G44/12</f>
        <v>-166.66666666666666</v>
      </c>
      <c r="X95" s="992">
        <f>-'Profit &amp; Loss'!$G44/12</f>
        <v>-166.66666666666666</v>
      </c>
      <c r="Y95" s="419">
        <f>-'Profit &amp; Loss'!$G44/12</f>
        <v>-166.66666666666666</v>
      </c>
      <c r="Z95" s="419">
        <f>-'Profit &amp; Loss'!$G44/12</f>
        <v>-166.66666666666666</v>
      </c>
      <c r="AA95" s="553">
        <f>-'Profit &amp; Loss'!$G44/12</f>
        <v>-166.66666666666666</v>
      </c>
      <c r="AB95" s="419">
        <f>-'Profit &amp; Loss'!$H44/12</f>
        <v>-41.666666666666664</v>
      </c>
      <c r="AC95" s="419">
        <f>-'Profit &amp; Loss'!$H44/12</f>
        <v>-41.666666666666664</v>
      </c>
      <c r="AD95" s="419">
        <f>-'Profit &amp; Loss'!$H44/12</f>
        <v>-41.666666666666664</v>
      </c>
      <c r="AE95" s="419">
        <f>-'Profit &amp; Loss'!$H44/12</f>
        <v>-41.666666666666664</v>
      </c>
      <c r="AF95" s="419">
        <f>-'Profit &amp; Loss'!$H44/12</f>
        <v>-41.666666666666664</v>
      </c>
      <c r="AG95" s="419">
        <f>-'Profit &amp; Loss'!$H44/12</f>
        <v>-41.666666666666664</v>
      </c>
      <c r="AH95" s="419">
        <f>-'Profit &amp; Loss'!$H44/12</f>
        <v>-41.666666666666664</v>
      </c>
      <c r="AI95" s="419">
        <f>-'Profit &amp; Loss'!$H44/12</f>
        <v>-41.666666666666664</v>
      </c>
      <c r="AJ95" s="419">
        <f>-'Profit &amp; Loss'!$H44/12</f>
        <v>-41.666666666666664</v>
      </c>
      <c r="AK95" s="419">
        <f>-'Profit &amp; Loss'!$H44/12</f>
        <v>-41.666666666666664</v>
      </c>
      <c r="AL95" s="419">
        <f>-'Profit &amp; Loss'!$H44/12</f>
        <v>-41.666666666666664</v>
      </c>
      <c r="AM95" s="419">
        <f>-'Profit &amp; Loss'!$H44/12</f>
        <v>-41.666666666666664</v>
      </c>
    </row>
    <row r="96" spans="2:40" s="182" customFormat="1">
      <c r="B96" s="424" t="str">
        <f>B45</f>
        <v>Other misc. costs (stationery, menu)</v>
      </c>
      <c r="D96" s="419">
        <f t="shared" ref="D96:O96" si="28">-$F45/12</f>
        <v>-83.333333333333329</v>
      </c>
      <c r="E96" s="419">
        <f t="shared" si="28"/>
        <v>-83.333333333333329</v>
      </c>
      <c r="F96" s="419">
        <f t="shared" si="28"/>
        <v>-83.333333333333329</v>
      </c>
      <c r="G96" s="419">
        <f t="shared" si="28"/>
        <v>-83.333333333333329</v>
      </c>
      <c r="H96" s="419">
        <f t="shared" si="28"/>
        <v>-83.333333333333329</v>
      </c>
      <c r="I96" s="419">
        <f t="shared" si="28"/>
        <v>-83.333333333333329</v>
      </c>
      <c r="J96" s="419">
        <f t="shared" si="28"/>
        <v>-83.333333333333329</v>
      </c>
      <c r="K96" s="419">
        <f t="shared" si="28"/>
        <v>-83.333333333333329</v>
      </c>
      <c r="L96" s="953">
        <f t="shared" si="28"/>
        <v>-83.333333333333329</v>
      </c>
      <c r="M96" s="419">
        <f t="shared" si="28"/>
        <v>-83.333333333333329</v>
      </c>
      <c r="N96" s="419">
        <f t="shared" si="28"/>
        <v>-83.333333333333329</v>
      </c>
      <c r="O96" s="553">
        <f t="shared" si="28"/>
        <v>-83.333333333333329</v>
      </c>
      <c r="P96" s="419">
        <f t="shared" ref="P96:AA96" si="29">-$G45/12</f>
        <v>-208.33333333333334</v>
      </c>
      <c r="Q96" s="419">
        <f t="shared" si="29"/>
        <v>-208.33333333333334</v>
      </c>
      <c r="R96" s="419">
        <f t="shared" si="29"/>
        <v>-208.33333333333334</v>
      </c>
      <c r="S96" s="419">
        <f t="shared" si="29"/>
        <v>-208.33333333333334</v>
      </c>
      <c r="T96" s="419">
        <f t="shared" si="29"/>
        <v>-208.33333333333334</v>
      </c>
      <c r="U96" s="419">
        <f t="shared" si="29"/>
        <v>-208.33333333333334</v>
      </c>
      <c r="V96" s="419">
        <f t="shared" si="29"/>
        <v>-208.33333333333334</v>
      </c>
      <c r="W96" s="419">
        <f t="shared" si="29"/>
        <v>-208.33333333333334</v>
      </c>
      <c r="X96" s="992">
        <f t="shared" si="29"/>
        <v>-208.33333333333334</v>
      </c>
      <c r="Y96" s="419">
        <f t="shared" si="29"/>
        <v>-208.33333333333334</v>
      </c>
      <c r="Z96" s="419">
        <f t="shared" si="29"/>
        <v>-208.33333333333334</v>
      </c>
      <c r="AA96" s="553">
        <f t="shared" si="29"/>
        <v>-208.33333333333334</v>
      </c>
      <c r="AB96" s="419">
        <f t="shared" ref="AB96:AM96" si="30">-$H45/12</f>
        <v>-291.66666666666669</v>
      </c>
      <c r="AC96" s="419">
        <f t="shared" si="30"/>
        <v>-291.66666666666669</v>
      </c>
      <c r="AD96" s="419">
        <f t="shared" si="30"/>
        <v>-291.66666666666669</v>
      </c>
      <c r="AE96" s="419">
        <f t="shared" si="30"/>
        <v>-291.66666666666669</v>
      </c>
      <c r="AF96" s="419">
        <f t="shared" si="30"/>
        <v>-291.66666666666669</v>
      </c>
      <c r="AG96" s="419">
        <f t="shared" si="30"/>
        <v>-291.66666666666669</v>
      </c>
      <c r="AH96" s="419">
        <f t="shared" si="30"/>
        <v>-291.66666666666669</v>
      </c>
      <c r="AI96" s="419">
        <f t="shared" si="30"/>
        <v>-291.66666666666669</v>
      </c>
      <c r="AJ96" s="419">
        <f t="shared" si="30"/>
        <v>-291.66666666666669</v>
      </c>
      <c r="AK96" s="419">
        <f t="shared" si="30"/>
        <v>-291.66666666666669</v>
      </c>
      <c r="AL96" s="419">
        <f t="shared" si="30"/>
        <v>-291.66666666666669</v>
      </c>
      <c r="AM96" s="419">
        <f t="shared" si="30"/>
        <v>-291.66666666666669</v>
      </c>
    </row>
    <row r="97" spans="1:39" s="182" customFormat="1">
      <c r="A97" s="399"/>
      <c r="B97" s="426" t="s">
        <v>28</v>
      </c>
      <c r="C97" s="427"/>
      <c r="D97" s="428">
        <v>-800</v>
      </c>
      <c r="E97" s="428">
        <v>-800</v>
      </c>
      <c r="F97" s="428">
        <v>-400</v>
      </c>
      <c r="G97" s="428">
        <v>0</v>
      </c>
      <c r="H97" s="428">
        <v>0</v>
      </c>
      <c r="I97" s="428">
        <v>-100</v>
      </c>
      <c r="J97" s="428">
        <v>-100</v>
      </c>
      <c r="K97" s="428">
        <v>-40</v>
      </c>
      <c r="L97" s="954">
        <v>-40</v>
      </c>
      <c r="M97" s="428">
        <v>-40</v>
      </c>
      <c r="N97" s="428">
        <v>-40</v>
      </c>
      <c r="O97" s="554">
        <v>-40</v>
      </c>
      <c r="P97" s="428">
        <v>0</v>
      </c>
      <c r="Q97" s="428">
        <v>0</v>
      </c>
      <c r="R97" s="428">
        <v>0</v>
      </c>
      <c r="S97" s="428">
        <v>0</v>
      </c>
      <c r="T97" s="428">
        <v>-40</v>
      </c>
      <c r="U97" s="428">
        <v>-40</v>
      </c>
      <c r="V97" s="428">
        <v>-500</v>
      </c>
      <c r="W97" s="428">
        <v>-800</v>
      </c>
      <c r="X97" s="993">
        <v>-800</v>
      </c>
      <c r="Y97" s="428">
        <v>-300</v>
      </c>
      <c r="Z97" s="428">
        <v>-40</v>
      </c>
      <c r="AA97" s="554">
        <v>-40</v>
      </c>
      <c r="AB97" s="428">
        <v>0</v>
      </c>
      <c r="AC97" s="428">
        <v>0</v>
      </c>
      <c r="AD97" s="428">
        <v>0</v>
      </c>
      <c r="AE97" s="428">
        <v>-120</v>
      </c>
      <c r="AF97" s="428">
        <v>-120</v>
      </c>
      <c r="AG97" s="428">
        <v>-120</v>
      </c>
      <c r="AH97" s="428">
        <v>-120</v>
      </c>
      <c r="AI97" s="428">
        <v>-120</v>
      </c>
      <c r="AJ97" s="428">
        <v>-80</v>
      </c>
      <c r="AK97" s="428">
        <v>-80</v>
      </c>
      <c r="AL97" s="428">
        <v>-40</v>
      </c>
      <c r="AM97" s="428">
        <v>-40</v>
      </c>
    </row>
    <row r="98" spans="1:39" s="404" customFormat="1">
      <c r="A98" s="399"/>
      <c r="B98" s="592" t="s">
        <v>156</v>
      </c>
      <c r="C98" s="593"/>
      <c r="D98" s="594">
        <f t="shared" ref="D98:AM98" si="31">SUM(D88:D97)</f>
        <v>-28118.973125000004</v>
      </c>
      <c r="E98" s="594">
        <f t="shared" si="31"/>
        <v>-28175.837400000004</v>
      </c>
      <c r="F98" s="594">
        <f t="shared" si="31"/>
        <v>-27850.322437499999</v>
      </c>
      <c r="G98" s="594">
        <f t="shared" si="31"/>
        <v>-27504.690287500001</v>
      </c>
      <c r="H98" s="594">
        <f t="shared" si="31"/>
        <v>-27565.972200000004</v>
      </c>
      <c r="I98" s="594">
        <f t="shared" si="31"/>
        <v>-27734.082900000001</v>
      </c>
      <c r="J98" s="594">
        <f t="shared" si="31"/>
        <v>-27803.063699999999</v>
      </c>
      <c r="K98" s="594">
        <f t="shared" si="31"/>
        <v>-27779.146724999999</v>
      </c>
      <c r="L98" s="955">
        <f t="shared" si="31"/>
        <v>-27853.638912499999</v>
      </c>
      <c r="M98" s="594">
        <f t="shared" si="31"/>
        <v>-27922.284437499999</v>
      </c>
      <c r="N98" s="594">
        <f t="shared" si="31"/>
        <v>-28001.921487500003</v>
      </c>
      <c r="O98" s="627">
        <f t="shared" si="31"/>
        <v>-28059.371037500001</v>
      </c>
      <c r="P98" s="594">
        <f t="shared" si="31"/>
        <v>-39153.761220777778</v>
      </c>
      <c r="Q98" s="594">
        <f t="shared" si="31"/>
        <v>-39249.03697377778</v>
      </c>
      <c r="R98" s="594">
        <f t="shared" si="31"/>
        <v>-39472.226572777778</v>
      </c>
      <c r="S98" s="594">
        <f t="shared" si="31"/>
        <v>-39616.739072777782</v>
      </c>
      <c r="T98" s="594">
        <f t="shared" si="31"/>
        <v>-39705.395482777778</v>
      </c>
      <c r="U98" s="594">
        <f t="shared" si="31"/>
        <v>-39794.572421777775</v>
      </c>
      <c r="V98" s="594">
        <f t="shared" si="31"/>
        <v>-40349.065658777778</v>
      </c>
      <c r="W98" s="594">
        <f t="shared" si="31"/>
        <v>-40729.963879777773</v>
      </c>
      <c r="X98" s="994">
        <f t="shared" si="31"/>
        <v>-59703.267746222227</v>
      </c>
      <c r="Y98" s="594">
        <f t="shared" si="31"/>
        <v>-59246.416907444443</v>
      </c>
      <c r="Z98" s="594">
        <f t="shared" si="31"/>
        <v>-59106.342580444449</v>
      </c>
      <c r="AA98" s="627">
        <f t="shared" si="31"/>
        <v>-59213.160144444446</v>
      </c>
      <c r="AB98" s="594">
        <f t="shared" si="31"/>
        <v>-74064.741146470013</v>
      </c>
      <c r="AC98" s="594">
        <f t="shared" si="31"/>
        <v>-74154.422019947509</v>
      </c>
      <c r="AD98" s="594">
        <f t="shared" si="31"/>
        <v>-74257.324642917505</v>
      </c>
      <c r="AE98" s="594">
        <f t="shared" si="31"/>
        <v>-74515.521141395016</v>
      </c>
      <c r="AF98" s="594">
        <f t="shared" si="31"/>
        <v>-74630.283139365012</v>
      </c>
      <c r="AG98" s="594">
        <f t="shared" si="31"/>
        <v>-74735.495262842509</v>
      </c>
      <c r="AH98" s="594">
        <f t="shared" si="31"/>
        <v>-74836.413510812519</v>
      </c>
      <c r="AI98" s="594">
        <f t="shared" si="31"/>
        <v>-74925.328759290016</v>
      </c>
      <c r="AJ98" s="594">
        <f t="shared" si="31"/>
        <v>-74975.231382260012</v>
      </c>
      <c r="AK98" s="594">
        <f t="shared" si="31"/>
        <v>-75032.974755737509</v>
      </c>
      <c r="AL98" s="594">
        <f t="shared" si="31"/>
        <v>-75126.846128707504</v>
      </c>
      <c r="AM98" s="594">
        <f t="shared" si="31"/>
        <v>-75260.292627185016</v>
      </c>
    </row>
    <row r="99" spans="1:39" s="182" customFormat="1">
      <c r="B99" s="412"/>
      <c r="C99" s="413"/>
      <c r="D99" s="414"/>
      <c r="E99" s="414"/>
      <c r="F99" s="414"/>
      <c r="G99" s="414"/>
      <c r="H99" s="414"/>
      <c r="I99" s="414"/>
      <c r="J99" s="414"/>
      <c r="K99" s="414"/>
      <c r="L99" s="951"/>
      <c r="M99" s="414"/>
      <c r="N99" s="414"/>
      <c r="O99" s="551"/>
      <c r="P99" s="430"/>
      <c r="Q99" s="430"/>
      <c r="R99" s="430"/>
      <c r="S99" s="430"/>
      <c r="T99" s="430"/>
      <c r="U99" s="430"/>
      <c r="V99" s="430"/>
      <c r="W99" s="430"/>
      <c r="X99" s="995"/>
      <c r="Y99" s="430"/>
      <c r="Z99" s="430"/>
      <c r="AA99" s="929"/>
      <c r="AB99" s="430"/>
      <c r="AC99" s="414"/>
      <c r="AD99" s="414"/>
      <c r="AE99" s="414"/>
      <c r="AF99" s="414"/>
      <c r="AG99" s="414"/>
      <c r="AH99" s="414"/>
      <c r="AI99" s="414"/>
      <c r="AJ99" s="414"/>
      <c r="AK99" s="414"/>
      <c r="AL99" s="414"/>
      <c r="AM99" s="414"/>
    </row>
    <row r="100" spans="1:39" s="409" customFormat="1">
      <c r="B100" s="408" t="s">
        <v>15</v>
      </c>
      <c r="C100" s="432"/>
      <c r="D100" s="433">
        <f t="shared" ref="D100:AM100" si="32">D84+D98</f>
        <v>-10713.209292571431</v>
      </c>
      <c r="E100" s="433">
        <f t="shared" si="32"/>
        <v>-9434.7750808228593</v>
      </c>
      <c r="F100" s="433">
        <f t="shared" si="32"/>
        <v>-7388.2973421571405</v>
      </c>
      <c r="G100" s="433">
        <f t="shared" si="32"/>
        <v>-5787.4915109914327</v>
      </c>
      <c r="H100" s="433">
        <f t="shared" si="32"/>
        <v>-4427.9280073257214</v>
      </c>
      <c r="I100" s="433">
        <f t="shared" si="32"/>
        <v>-3006.1207221371442</v>
      </c>
      <c r="J100" s="433">
        <f t="shared" si="32"/>
        <v>-1488.0272565542873</v>
      </c>
      <c r="K100" s="433">
        <f t="shared" si="32"/>
        <v>-610.77703480571654</v>
      </c>
      <c r="L100" s="950">
        <f t="shared" si="32"/>
        <v>832.83599269428669</v>
      </c>
      <c r="M100" s="433">
        <f t="shared" si="32"/>
        <v>2359.2732987285708</v>
      </c>
      <c r="N100" s="433">
        <f t="shared" si="32"/>
        <v>4085.3922400257143</v>
      </c>
      <c r="O100" s="550">
        <f t="shared" si="32"/>
        <v>5341.5648584657174</v>
      </c>
      <c r="P100" s="433">
        <f t="shared" si="32"/>
        <v>-2790.8764489186869</v>
      </c>
      <c r="Q100" s="433">
        <f t="shared" si="32"/>
        <v>-693.88582138325</v>
      </c>
      <c r="R100" s="433">
        <f t="shared" si="32"/>
        <v>4174.0287255394796</v>
      </c>
      <c r="S100" s="433">
        <f t="shared" si="32"/>
        <v>7333.3202502251952</v>
      </c>
      <c r="T100" s="433">
        <f t="shared" si="32"/>
        <v>8660.6241028802106</v>
      </c>
      <c r="U100" s="433">
        <f t="shared" si="32"/>
        <v>10605.048448976493</v>
      </c>
      <c r="V100" s="433">
        <f t="shared" si="32"/>
        <v>12205.579558090241</v>
      </c>
      <c r="W100" s="433">
        <f t="shared" si="32"/>
        <v>13703.53778931564</v>
      </c>
      <c r="X100" s="988">
        <f t="shared" si="32"/>
        <v>7604.4843466435923</v>
      </c>
      <c r="Y100" s="433">
        <f t="shared" si="32"/>
        <v>10245.111653294392</v>
      </c>
      <c r="Z100" s="433">
        <f t="shared" si="32"/>
        <v>13153.080860645168</v>
      </c>
      <c r="AA100" s="550">
        <f t="shared" si="32"/>
        <v>15512.807188884319</v>
      </c>
      <c r="AB100" s="433">
        <f t="shared" si="32"/>
        <v>5634.6983363281179</v>
      </c>
      <c r="AC100" s="433">
        <f t="shared" si="32"/>
        <v>7558.744416585454</v>
      </c>
      <c r="AD100" s="433">
        <f t="shared" si="32"/>
        <v>9789.3458382321842</v>
      </c>
      <c r="AE100" s="433">
        <f t="shared" si="32"/>
        <v>12700.045783976951</v>
      </c>
      <c r="AF100" s="433">
        <f t="shared" si="32"/>
        <v>15218.143781229403</v>
      </c>
      <c r="AG100" s="433">
        <f t="shared" si="32"/>
        <v>17504.854416859904</v>
      </c>
      <c r="AH100" s="433">
        <f t="shared" si="32"/>
        <v>19713.186732805189</v>
      </c>
      <c r="AI100" s="433">
        <f t="shared" si="32"/>
        <v>21642.328250288527</v>
      </c>
      <c r="AJ100" s="433">
        <f t="shared" si="32"/>
        <v>23654.003311292414</v>
      </c>
      <c r="AK100" s="433">
        <f t="shared" si="32"/>
        <v>24900.883156220036</v>
      </c>
      <c r="AL100" s="433">
        <f t="shared" si="32"/>
        <v>27936.47326226678</v>
      </c>
      <c r="AM100" s="433">
        <f t="shared" si="32"/>
        <v>30909.722575917243</v>
      </c>
    </row>
    <row r="101" spans="1:39" s="182" customFormat="1">
      <c r="B101" s="429"/>
      <c r="D101" s="419"/>
      <c r="E101" s="419"/>
      <c r="F101" s="419"/>
      <c r="G101" s="419"/>
      <c r="H101" s="419"/>
      <c r="I101" s="419"/>
      <c r="J101" s="419"/>
      <c r="K101" s="419"/>
      <c r="L101" s="953"/>
      <c r="M101" s="419"/>
      <c r="N101" s="419"/>
      <c r="O101" s="553"/>
      <c r="P101" s="421"/>
      <c r="Q101" s="422"/>
      <c r="R101" s="422"/>
      <c r="S101" s="422"/>
      <c r="T101" s="422"/>
      <c r="U101" s="422"/>
      <c r="V101" s="422"/>
      <c r="W101" s="422"/>
      <c r="X101" s="991"/>
      <c r="Y101" s="422"/>
      <c r="Z101" s="422"/>
      <c r="AA101" s="928"/>
      <c r="AB101" s="421"/>
      <c r="AC101" s="419"/>
      <c r="AD101" s="419"/>
      <c r="AE101" s="419"/>
      <c r="AF101" s="419"/>
      <c r="AG101" s="419"/>
      <c r="AH101" s="419"/>
      <c r="AI101" s="419"/>
      <c r="AJ101" s="419"/>
      <c r="AK101" s="419"/>
      <c r="AL101" s="419"/>
      <c r="AM101" s="419"/>
    </row>
    <row r="102" spans="1:39" s="182" customFormat="1">
      <c r="B102" s="412" t="s">
        <v>6</v>
      </c>
      <c r="C102" s="413"/>
      <c r="D102" s="414">
        <f>D162</f>
        <v>-387.22222222222229</v>
      </c>
      <c r="E102" s="414">
        <f t="shared" ref="E102:AM102" si="33">E162</f>
        <v>-387.22222222222229</v>
      </c>
      <c r="F102" s="414">
        <f t="shared" si="33"/>
        <v>-387.22222222222229</v>
      </c>
      <c r="G102" s="414">
        <f t="shared" si="33"/>
        <v>-387.22222222222229</v>
      </c>
      <c r="H102" s="414">
        <f t="shared" si="33"/>
        <v>-387.22222222222229</v>
      </c>
      <c r="I102" s="414">
        <f t="shared" si="33"/>
        <v>-387.22222222222229</v>
      </c>
      <c r="J102" s="414">
        <f t="shared" si="33"/>
        <v>-387.22222222222229</v>
      </c>
      <c r="K102" s="414">
        <f t="shared" si="33"/>
        <v>-387.22222222222229</v>
      </c>
      <c r="L102" s="951">
        <f t="shared" si="33"/>
        <v>-380.5555555555556</v>
      </c>
      <c r="M102" s="414">
        <f t="shared" si="33"/>
        <v>-380.5555555555556</v>
      </c>
      <c r="N102" s="414">
        <f t="shared" si="33"/>
        <v>-380.5555555555556</v>
      </c>
      <c r="O102" s="551">
        <f t="shared" si="33"/>
        <v>-380.5555555555556</v>
      </c>
      <c r="P102" s="414">
        <f t="shared" si="33"/>
        <v>-341.72222222222211</v>
      </c>
      <c r="Q102" s="414">
        <f t="shared" si="33"/>
        <v>-341.72222222222211</v>
      </c>
      <c r="R102" s="414">
        <f t="shared" si="33"/>
        <v>-341.72222222222211</v>
      </c>
      <c r="S102" s="414">
        <f t="shared" si="33"/>
        <v>-341.72222222222211</v>
      </c>
      <c r="T102" s="414">
        <f t="shared" si="33"/>
        <v>-341.72222222222211</v>
      </c>
      <c r="U102" s="414">
        <f t="shared" si="33"/>
        <v>-341.72222222222211</v>
      </c>
      <c r="V102" s="414">
        <f t="shared" si="33"/>
        <v>-341.72222222222211</v>
      </c>
      <c r="W102" s="414">
        <f t="shared" si="33"/>
        <v>-341.72222222222211</v>
      </c>
      <c r="X102" s="989">
        <f t="shared" si="33"/>
        <v>-770.70432098765423</v>
      </c>
      <c r="Y102" s="414">
        <f t="shared" si="33"/>
        <v>-770.70432098765423</v>
      </c>
      <c r="Z102" s="414">
        <f t="shared" si="33"/>
        <v>-770.70432098765423</v>
      </c>
      <c r="AA102" s="551">
        <f t="shared" si="33"/>
        <v>-770.70432098765423</v>
      </c>
      <c r="AB102" s="414">
        <f t="shared" si="33"/>
        <v>-669.61432098765431</v>
      </c>
      <c r="AC102" s="414">
        <f t="shared" si="33"/>
        <v>-669.61432098765431</v>
      </c>
      <c r="AD102" s="414">
        <f t="shared" si="33"/>
        <v>-669.61432098765431</v>
      </c>
      <c r="AE102" s="414">
        <f t="shared" si="33"/>
        <v>-669.61432098765431</v>
      </c>
      <c r="AF102" s="414">
        <f t="shared" si="33"/>
        <v>-669.61432098765431</v>
      </c>
      <c r="AG102" s="414">
        <f t="shared" si="33"/>
        <v>-669.61432098765431</v>
      </c>
      <c r="AH102" s="414">
        <f t="shared" si="33"/>
        <v>-669.61432098765431</v>
      </c>
      <c r="AI102" s="414">
        <f t="shared" si="33"/>
        <v>-669.61432098765431</v>
      </c>
      <c r="AJ102" s="414">
        <f t="shared" si="33"/>
        <v>-669.61432098765431</v>
      </c>
      <c r="AK102" s="414">
        <f t="shared" si="33"/>
        <v>-669.61432098765431</v>
      </c>
      <c r="AL102" s="414">
        <f t="shared" si="33"/>
        <v>-669.61432098765431</v>
      </c>
      <c r="AM102" s="414">
        <f t="shared" si="33"/>
        <v>-669.61432098765431</v>
      </c>
    </row>
    <row r="103" spans="1:39" s="409" customFormat="1">
      <c r="B103" s="408" t="s">
        <v>162</v>
      </c>
      <c r="C103" s="432"/>
      <c r="D103" s="433">
        <f t="shared" ref="D103:AM103" si="34">D102+D100</f>
        <v>-11100.431514793654</v>
      </c>
      <c r="E103" s="433">
        <f t="shared" si="34"/>
        <v>-9821.9973030450819</v>
      </c>
      <c r="F103" s="433">
        <f t="shared" si="34"/>
        <v>-7775.5195643793631</v>
      </c>
      <c r="G103" s="433">
        <f t="shared" si="34"/>
        <v>-6174.7137332136554</v>
      </c>
      <c r="H103" s="433">
        <f t="shared" si="34"/>
        <v>-4815.150229547944</v>
      </c>
      <c r="I103" s="433">
        <f t="shared" si="34"/>
        <v>-3393.3429443593664</v>
      </c>
      <c r="J103" s="433">
        <f t="shared" si="34"/>
        <v>-1875.2494787765095</v>
      </c>
      <c r="K103" s="433">
        <f t="shared" si="34"/>
        <v>-997.99925702793882</v>
      </c>
      <c r="L103" s="950">
        <f t="shared" si="34"/>
        <v>452.28043713873109</v>
      </c>
      <c r="M103" s="433">
        <f t="shared" si="34"/>
        <v>1978.7177431730152</v>
      </c>
      <c r="N103" s="433">
        <f t="shared" si="34"/>
        <v>3704.8366844701586</v>
      </c>
      <c r="O103" s="550">
        <f t="shared" si="34"/>
        <v>4961.0093029101618</v>
      </c>
      <c r="P103" s="433">
        <f t="shared" si="34"/>
        <v>-3132.5986711409091</v>
      </c>
      <c r="Q103" s="433">
        <f t="shared" si="34"/>
        <v>-1035.6080436054722</v>
      </c>
      <c r="R103" s="433">
        <f t="shared" si="34"/>
        <v>3832.3065033172575</v>
      </c>
      <c r="S103" s="433">
        <f t="shared" si="34"/>
        <v>6991.5980280029735</v>
      </c>
      <c r="T103" s="433">
        <f t="shared" si="34"/>
        <v>8318.9018806579879</v>
      </c>
      <c r="U103" s="433">
        <f t="shared" si="34"/>
        <v>10263.32622675427</v>
      </c>
      <c r="V103" s="433">
        <f t="shared" si="34"/>
        <v>11863.857335868019</v>
      </c>
      <c r="W103" s="433">
        <f t="shared" si="34"/>
        <v>13361.815567093417</v>
      </c>
      <c r="X103" s="988">
        <f t="shared" si="34"/>
        <v>6833.7800256559385</v>
      </c>
      <c r="Y103" s="433">
        <f t="shared" si="34"/>
        <v>9474.4073323067387</v>
      </c>
      <c r="Z103" s="433">
        <f t="shared" si="34"/>
        <v>12382.376539657515</v>
      </c>
      <c r="AA103" s="550">
        <f t="shared" si="34"/>
        <v>14742.102867896665</v>
      </c>
      <c r="AB103" s="433">
        <f t="shared" si="34"/>
        <v>4965.0840153404633</v>
      </c>
      <c r="AC103" s="433">
        <f t="shared" si="34"/>
        <v>6889.1300955977995</v>
      </c>
      <c r="AD103" s="433">
        <f t="shared" si="34"/>
        <v>9119.7315172445306</v>
      </c>
      <c r="AE103" s="433">
        <f t="shared" si="34"/>
        <v>12030.431462989298</v>
      </c>
      <c r="AF103" s="433">
        <f t="shared" si="34"/>
        <v>14548.529460241749</v>
      </c>
      <c r="AG103" s="433">
        <f t="shared" si="34"/>
        <v>16835.24009587225</v>
      </c>
      <c r="AH103" s="433">
        <f t="shared" si="34"/>
        <v>19043.572411817535</v>
      </c>
      <c r="AI103" s="433">
        <f t="shared" si="34"/>
        <v>20972.713929300873</v>
      </c>
      <c r="AJ103" s="433">
        <f t="shared" si="34"/>
        <v>22984.38899030476</v>
      </c>
      <c r="AK103" s="433">
        <f t="shared" si="34"/>
        <v>24231.268835232382</v>
      </c>
      <c r="AL103" s="433">
        <f t="shared" si="34"/>
        <v>27266.858941279126</v>
      </c>
      <c r="AM103" s="433">
        <f t="shared" si="34"/>
        <v>30240.10825492959</v>
      </c>
    </row>
    <row r="104" spans="1:39" s="182" customFormat="1">
      <c r="B104" s="429"/>
      <c r="D104" s="419"/>
      <c r="E104" s="419"/>
      <c r="F104" s="419"/>
      <c r="G104" s="419"/>
      <c r="H104" s="419"/>
      <c r="I104" s="419"/>
      <c r="J104" s="419"/>
      <c r="K104" s="419"/>
      <c r="L104" s="953"/>
      <c r="M104" s="419"/>
      <c r="N104" s="419"/>
      <c r="O104" s="553"/>
      <c r="P104" s="421"/>
      <c r="Q104" s="421"/>
      <c r="R104" s="421"/>
      <c r="S104" s="421"/>
      <c r="T104" s="421"/>
      <c r="U104" s="421"/>
      <c r="V104" s="421"/>
      <c r="W104" s="421"/>
      <c r="X104" s="991"/>
      <c r="Y104" s="421"/>
      <c r="Z104" s="421"/>
      <c r="AA104" s="928"/>
      <c r="AB104" s="421"/>
      <c r="AC104" s="421"/>
      <c r="AD104" s="421"/>
      <c r="AE104" s="421"/>
      <c r="AF104" s="421"/>
      <c r="AG104" s="421"/>
      <c r="AH104" s="421"/>
      <c r="AI104" s="421"/>
      <c r="AJ104" s="421"/>
      <c r="AK104" s="421"/>
      <c r="AL104" s="421"/>
      <c r="AM104" s="421"/>
    </row>
    <row r="105" spans="1:39" s="182" customFormat="1">
      <c r="B105" s="412" t="s">
        <v>79</v>
      </c>
      <c r="C105" s="413"/>
      <c r="D105" s="434">
        <f>-IF(D78&gt;'Profit &amp; Loss'!$M27,0,IPMT('Profit &amp; Loss'!$M26/12,D78,'Profit &amp; Loss'!$M27,-'Profit &amp; Loss'!$M25))</f>
        <v>-329.16666666666669</v>
      </c>
      <c r="E105" s="434">
        <f>-IF(E78&gt;'Profit &amp; Loss'!$M27,0,IPMT('Profit &amp; Loss'!$M26/12,E78,'Profit &amp; Loss'!$M27,-'Profit &amp; Loss'!$M25))</f>
        <v>-324.67510969529582</v>
      </c>
      <c r="F105" s="434">
        <f>-IF(F78&gt;'Profit &amp; Loss'!$M27,0,IPMT('Profit &amp; Loss'!$M26/12,F78,'Profit &amp; Loss'!$M27,-'Profit &amp; Loss'!$M25))</f>
        <v>-320.15398330719682</v>
      </c>
      <c r="G105" s="434">
        <f>-IF(G78&gt;'Profit &amp; Loss'!$M27,0,IPMT('Profit &amp; Loss'!$M26/12,G78,'Profit &amp; Loss'!$M27,-'Profit &amp; Loss'!$M25))</f>
        <v>-315.60309283704282</v>
      </c>
      <c r="H105" s="434">
        <f>-IF(H78&gt;'Profit &amp; Loss'!$M27,0,IPMT('Profit &amp; Loss'!$M26/12,H78,'Profit &amp; Loss'!$M27,-'Profit &amp; Loss'!$M25))</f>
        <v>-311.02224233796028</v>
      </c>
      <c r="I105" s="434">
        <f>-IF(I78&gt;'Profit &amp; Loss'!$M27,0,IPMT('Profit &amp; Loss'!$M26/12,I78,'Profit &amp; Loss'!$M27,-'Profit &amp; Loss'!$M25))</f>
        <v>-306.41123457309209</v>
      </c>
      <c r="J105" s="434">
        <f>-IF(J78&gt;'Profit &amp; Loss'!$M27,0,IPMT('Profit &amp; Loss'!$M26/12,J78,'Profit &amp; Loss'!$M27,-'Profit &amp; Loss'!$M25))</f>
        <v>-301.76987100710517</v>
      </c>
      <c r="K105" s="434">
        <f>-IF(K78&gt;'Profit &amp; Loss'!$M27,0,IPMT('Profit &amp; Loss'!$M26/12,K78,'Profit &amp; Loss'!$M27,-'Profit &amp; Loss'!$M25))</f>
        <v>-297.09795179764217</v>
      </c>
      <c r="L105" s="956">
        <f>-IF(L78&gt;'Profit &amp; Loss'!$M27,0,IPMT('Profit &amp; Loss'!$M26/12,L78,'Profit &amp; Loss'!$M27,-'Profit &amp; Loss'!$M25))</f>
        <v>-292.39527578671698</v>
      </c>
      <c r="M105" s="434">
        <f>-IF(M78&gt;'Profit &amp; Loss'!$M27,0,IPMT('Profit &amp; Loss'!$M26/12,M78,'Profit &amp; Loss'!$M27,-'Profit &amp; Loss'!$M25))</f>
        <v>-287.66164049205315</v>
      </c>
      <c r="N105" s="434">
        <f>-IF(N78&gt;'Profit &amp; Loss'!$M27,0,IPMT('Profit &amp; Loss'!$M26/12,N78,'Profit &amp; Loss'!$M27,-'Profit &amp; Loss'!$M25))</f>
        <v>-282.89684209836611</v>
      </c>
      <c r="O105" s="555">
        <f>-IF(O78&gt;'Profit &amp; Loss'!$M27,0,IPMT('Profit &amp; Loss'!$M26/12,O78,'Profit &amp; Loss'!$M27,-'Profit &amp; Loss'!$M25))</f>
        <v>-278.1006754485872</v>
      </c>
      <c r="P105" s="434">
        <f>-IF(P78&gt;'Profit &amp; Loss'!$M27,0,IPMT('Profit &amp; Loss'!$M26/12,P78,'Profit &amp; Loss'!$M27,-'Profit &amp; Loss'!$M25))</f>
        <v>-273.27293403503063</v>
      </c>
      <c r="Q105" s="434">
        <f>-IF(Q78&gt;'Profit &amp; Loss'!$M27,0,IPMT('Profit &amp; Loss'!$M26/12,Q78,'Profit &amp; Loss'!$M27,-'Profit &amp; Loss'!$M25))</f>
        <v>-268.41340999050158</v>
      </c>
      <c r="R105" s="434">
        <f>-IF(R78&gt;'Profit &amp; Loss'!$M27,0,IPMT('Profit &amp; Loss'!$M26/12,R78,'Profit &amp; Loss'!$M27,-'Profit &amp; Loss'!$M25))</f>
        <v>-263.52189407934594</v>
      </c>
      <c r="S105" s="434">
        <f>-IF(S78&gt;'Profit &amp; Loss'!$M27,0,IPMT('Profit &amp; Loss'!$M26/12,S78,'Profit &amp; Loss'!$M27,-'Profit &amp; Loss'!$M25))</f>
        <v>-258.59817568844187</v>
      </c>
      <c r="T105" s="434">
        <f>-IF(T78&gt;'Profit &amp; Loss'!$M27,0,IPMT('Profit &amp; Loss'!$M26/12,T78,'Profit &amp; Loss'!$M27,-'Profit &amp; Loss'!$M25))</f>
        <v>-253.64204281813105</v>
      </c>
      <c r="U105" s="434">
        <f>-IF(U78&gt;'Profit &amp; Loss'!$M27,0,IPMT('Profit &amp; Loss'!$M26/12,U78,'Profit &amp; Loss'!$M27,-'Profit &amp; Loss'!$M25))</f>
        <v>-248.65328207309068</v>
      </c>
      <c r="V105" s="434">
        <f>-IF(V78&gt;'Profit &amp; Loss'!$M27,0,IPMT('Profit &amp; Loss'!$M26/12,V78,'Profit &amp; Loss'!$M27,-'Profit &amp; Loss'!$M25))</f>
        <v>-243.63167865314543</v>
      </c>
      <c r="W105" s="434">
        <f>-IF(W78&gt;'Profit &amp; Loss'!$M27,0,IPMT('Profit &amp; Loss'!$M26/12,W78,'Profit &amp; Loss'!$M27,-'Profit &amp; Loss'!$M25))</f>
        <v>-238.57701634401892</v>
      </c>
      <c r="X105" s="996">
        <f>-IF(X78&gt;'Profit &amp; Loss'!$M27,0,IPMT('Profit &amp; Loss'!$M26/12,X78,'Profit &amp; Loss'!$M27,-'Profit &amp; Loss'!$M25))</f>
        <v>-233.48907750802394</v>
      </c>
      <c r="Y105" s="434">
        <f>-IF(Y78&gt;'Profit &amp; Loss'!$M27,0,IPMT('Profit &amp; Loss'!$M26/12,Y78,'Profit &amp; Loss'!$M27,-'Profit &amp; Loss'!$M25))</f>
        <v>-228.3676430746921</v>
      </c>
      <c r="Z105" s="434">
        <f>-IF(Z78&gt;'Profit &amp; Loss'!$M27,0,IPMT('Profit &amp; Loss'!$M26/12,Z78,'Profit &amp; Loss'!$M27,-'Profit &amp; Loss'!$M25))</f>
        <v>-223.21249253134073</v>
      </c>
      <c r="AA105" s="555">
        <f>-IF(AA78&gt;'Profit &amp; Loss'!$M27,0,IPMT('Profit &amp; Loss'!$M26/12,AA78,'Profit &amp; Loss'!$M27,-'Profit &amp; Loss'!$M25))</f>
        <v>-218.02340391357896</v>
      </c>
      <c r="AB105" s="434">
        <f>-IF(AB78&gt;'Profit &amp; Loss'!$M27,0,IPMT('Profit &amp; Loss'!$M26/12,AB78,'Profit &amp; Loss'!$M27,-'Profit &amp; Loss'!$M25))</f>
        <v>-212.80015379575028</v>
      </c>
      <c r="AC105" s="434">
        <f>-IF(AC78&gt;'Profit &amp; Loss'!$M27,0,IPMT('Profit &amp; Loss'!$M26/12,AC78,'Profit &amp; Loss'!$M27,-'Profit &amp; Loss'!$M25))</f>
        <v>-207.54251728131257</v>
      </c>
      <c r="AD105" s="434">
        <f>-IF(AD78&gt;'Profit &amp; Loss'!$M27,0,IPMT('Profit &amp; Loss'!$M26/12,AD78,'Profit &amp; Loss'!$M27,-'Profit &amp; Loss'!$M25))</f>
        <v>-202.25026799315478</v>
      </c>
      <c r="AE105" s="434">
        <f>-IF(AE78&gt;'Profit &amp; Loss'!$M27,0,IPMT('Profit &amp; Loss'!$M26/12,AE78,'Profit &amp; Loss'!$M27,-'Profit &amp; Loss'!$M25))</f>
        <v>-196.92317806384997</v>
      </c>
      <c r="AF105" s="434">
        <f>-IF(AF78&gt;'Profit &amp; Loss'!$M27,0,IPMT('Profit &amp; Loss'!$M26/12,AF78,'Profit &amp; Loss'!$M27,-'Profit &amp; Loss'!$M25))</f>
        <v>-191.56101812584396</v>
      </c>
      <c r="AG105" s="434">
        <f>-IF(AG78&gt;'Profit &amp; Loss'!$M27,0,IPMT('Profit &amp; Loss'!$M26/12,AG78,'Profit &amp; Loss'!$M27,-'Profit &amp; Loss'!$M25))</f>
        <v>-186.16355730157932</v>
      </c>
      <c r="AH105" s="434">
        <f>-IF(AH78&gt;'Profit &amp; Loss'!$M27,0,IPMT('Profit &amp; Loss'!$M26/12,AH78,'Profit &amp; Loss'!$M27,-'Profit &amp; Loss'!$M25))</f>
        <v>-180.73056319355501</v>
      </c>
      <c r="AI105" s="434">
        <f>-IF(AI78&gt;'Profit &amp; Loss'!$M27,0,IPMT('Profit &amp; Loss'!$M26/12,AI78,'Profit &amp; Loss'!$M27,-'Profit &amp; Loss'!$M25))</f>
        <v>-175.2618018743195</v>
      </c>
      <c r="AJ105" s="434">
        <f>-IF(AJ78&gt;'Profit &amp; Loss'!$M27,0,IPMT('Profit &amp; Loss'!$M26/12,AJ78,'Profit &amp; Loss'!$M27,-'Profit &amp; Loss'!$M25))</f>
        <v>-169.75703787639904</v>
      </c>
      <c r="AK105" s="434">
        <f>-IF(AK78&gt;'Profit &amp; Loss'!$M27,0,IPMT('Profit &amp; Loss'!$M26/12,AK78,'Profit &amp; Loss'!$M27,-'Profit &amp; Loss'!$M25))</f>
        <v>-164.21603418215889</v>
      </c>
      <c r="AL105" s="434">
        <f>-IF(AL78&gt;'Profit &amp; Loss'!$M27,0,IPMT('Profit &amp; Loss'!$M26/12,AL78,'Profit &amp; Loss'!$M27,-'Profit &amp; Loss'!$M25))</f>
        <v>-158.63855221359836</v>
      </c>
      <c r="AM105" s="434">
        <f>-IF(AM78&gt;'Profit &amp; Loss'!$M27,0,IPMT('Profit &amp; Loss'!$M26/12,AM78,'Profit &amp; Loss'!$M27,-'Profit &amp; Loss'!$M25))</f>
        <v>-153.02435182207816</v>
      </c>
    </row>
    <row r="106" spans="1:39" s="409" customFormat="1">
      <c r="B106" s="408" t="s">
        <v>80</v>
      </c>
      <c r="C106" s="432"/>
      <c r="D106" s="433">
        <f t="shared" ref="D106:AM106" si="35">D103+D105</f>
        <v>-11429.59818146032</v>
      </c>
      <c r="E106" s="433">
        <f t="shared" si="35"/>
        <v>-10146.672412740378</v>
      </c>
      <c r="F106" s="433">
        <f t="shared" si="35"/>
        <v>-8095.6735476865597</v>
      </c>
      <c r="G106" s="433">
        <f t="shared" si="35"/>
        <v>-6490.3168260506982</v>
      </c>
      <c r="H106" s="433">
        <f t="shared" si="35"/>
        <v>-5126.1724718859041</v>
      </c>
      <c r="I106" s="433">
        <f t="shared" si="35"/>
        <v>-3699.7541789324587</v>
      </c>
      <c r="J106" s="433">
        <f t="shared" si="35"/>
        <v>-2177.0193497836144</v>
      </c>
      <c r="K106" s="433">
        <f t="shared" si="35"/>
        <v>-1295.097208825581</v>
      </c>
      <c r="L106" s="950">
        <f t="shared" si="35"/>
        <v>159.88516135201411</v>
      </c>
      <c r="M106" s="433">
        <f t="shared" si="35"/>
        <v>1691.0561026809619</v>
      </c>
      <c r="N106" s="433">
        <f t="shared" si="35"/>
        <v>3421.9398423717926</v>
      </c>
      <c r="O106" s="550">
        <f t="shared" si="35"/>
        <v>4682.9086274615747</v>
      </c>
      <c r="P106" s="433">
        <f t="shared" si="35"/>
        <v>-3405.8716051759397</v>
      </c>
      <c r="Q106" s="433">
        <f t="shared" si="35"/>
        <v>-1304.0214535959738</v>
      </c>
      <c r="R106" s="433">
        <f t="shared" si="35"/>
        <v>3568.7846092379114</v>
      </c>
      <c r="S106" s="433">
        <f t="shared" si="35"/>
        <v>6732.9998523145314</v>
      </c>
      <c r="T106" s="433">
        <f t="shared" si="35"/>
        <v>8065.259837839857</v>
      </c>
      <c r="U106" s="433">
        <f t="shared" si="35"/>
        <v>10014.672944681181</v>
      </c>
      <c r="V106" s="433">
        <f t="shared" si="35"/>
        <v>11620.225657214873</v>
      </c>
      <c r="W106" s="433">
        <f t="shared" si="35"/>
        <v>13123.238550749398</v>
      </c>
      <c r="X106" s="988">
        <f t="shared" si="35"/>
        <v>6600.2909481479146</v>
      </c>
      <c r="Y106" s="433">
        <f t="shared" si="35"/>
        <v>9246.0396892320459</v>
      </c>
      <c r="Z106" s="433">
        <f t="shared" si="35"/>
        <v>12159.164047126174</v>
      </c>
      <c r="AA106" s="550">
        <f t="shared" si="35"/>
        <v>14524.079463983086</v>
      </c>
      <c r="AB106" s="433">
        <f t="shared" si="35"/>
        <v>4752.2838615447126</v>
      </c>
      <c r="AC106" s="433">
        <f t="shared" si="35"/>
        <v>6681.5875783164865</v>
      </c>
      <c r="AD106" s="433">
        <f t="shared" si="35"/>
        <v>8917.4812492513756</v>
      </c>
      <c r="AE106" s="433">
        <f t="shared" si="35"/>
        <v>11833.508284925449</v>
      </c>
      <c r="AF106" s="433">
        <f t="shared" si="35"/>
        <v>14356.968442115905</v>
      </c>
      <c r="AG106" s="433">
        <f t="shared" si="35"/>
        <v>16649.076538570669</v>
      </c>
      <c r="AH106" s="433">
        <f t="shared" si="35"/>
        <v>18862.841848623979</v>
      </c>
      <c r="AI106" s="433">
        <f t="shared" si="35"/>
        <v>20797.452127426553</v>
      </c>
      <c r="AJ106" s="433">
        <f t="shared" si="35"/>
        <v>22814.631952428361</v>
      </c>
      <c r="AK106" s="433">
        <f t="shared" si="35"/>
        <v>24067.052801050224</v>
      </c>
      <c r="AL106" s="433">
        <f t="shared" si="35"/>
        <v>27108.220389065529</v>
      </c>
      <c r="AM106" s="433">
        <f t="shared" si="35"/>
        <v>30087.083903107512</v>
      </c>
    </row>
    <row r="107" spans="1:39" s="404" customFormat="1">
      <c r="B107" s="408"/>
      <c r="C107" s="435"/>
      <c r="D107" s="436"/>
      <c r="E107" s="436"/>
      <c r="F107" s="436"/>
      <c r="G107" s="436"/>
      <c r="H107" s="436"/>
      <c r="I107" s="436"/>
      <c r="J107" s="436"/>
      <c r="K107" s="436"/>
      <c r="L107" s="957"/>
      <c r="M107" s="436"/>
      <c r="N107" s="436"/>
      <c r="O107" s="556"/>
      <c r="P107" s="438"/>
      <c r="Q107" s="436"/>
      <c r="R107" s="436"/>
      <c r="S107" s="436"/>
      <c r="T107" s="436"/>
      <c r="U107" s="436"/>
      <c r="V107" s="436"/>
      <c r="W107" s="436"/>
      <c r="X107" s="997"/>
      <c r="Y107" s="436"/>
      <c r="Z107" s="436"/>
      <c r="AA107" s="556"/>
      <c r="AB107" s="438"/>
      <c r="AC107" s="436"/>
      <c r="AD107" s="436"/>
      <c r="AE107" s="436"/>
      <c r="AF107" s="436"/>
      <c r="AG107" s="436"/>
      <c r="AH107" s="436"/>
      <c r="AI107" s="436"/>
      <c r="AJ107" s="436"/>
      <c r="AK107" s="436"/>
      <c r="AL107" s="436"/>
      <c r="AM107" s="436"/>
    </row>
    <row r="108" spans="1:39" s="404" customFormat="1">
      <c r="B108" s="412" t="s">
        <v>81</v>
      </c>
      <c r="C108" s="439"/>
      <c r="D108" s="414">
        <f>-D176</f>
        <v>0</v>
      </c>
      <c r="E108" s="414">
        <f t="shared" ref="E108:AM108" si="36">-E176</f>
        <v>0</v>
      </c>
      <c r="F108" s="414">
        <f t="shared" si="36"/>
        <v>0</v>
      </c>
      <c r="G108" s="414">
        <f t="shared" si="36"/>
        <v>0</v>
      </c>
      <c r="H108" s="414">
        <f t="shared" si="36"/>
        <v>0</v>
      </c>
      <c r="I108" s="414">
        <f t="shared" si="36"/>
        <v>0</v>
      </c>
      <c r="J108" s="414">
        <f t="shared" si="36"/>
        <v>0</v>
      </c>
      <c r="K108" s="414">
        <f t="shared" si="36"/>
        <v>0</v>
      </c>
      <c r="L108" s="951">
        <f t="shared" si="36"/>
        <v>0</v>
      </c>
      <c r="M108" s="414">
        <f t="shared" si="36"/>
        <v>0</v>
      </c>
      <c r="N108" s="414">
        <f t="shared" si="36"/>
        <v>0</v>
      </c>
      <c r="O108" s="551">
        <f t="shared" si="36"/>
        <v>0</v>
      </c>
      <c r="P108" s="414">
        <f t="shared" si="36"/>
        <v>0</v>
      </c>
      <c r="Q108" s="414">
        <f t="shared" si="36"/>
        <v>0</v>
      </c>
      <c r="R108" s="414">
        <f t="shared" si="36"/>
        <v>0</v>
      </c>
      <c r="S108" s="414">
        <f t="shared" si="36"/>
        <v>0</v>
      </c>
      <c r="T108" s="414">
        <f t="shared" si="36"/>
        <v>0</v>
      </c>
      <c r="U108" s="414">
        <f t="shared" si="36"/>
        <v>0</v>
      </c>
      <c r="V108" s="414">
        <f t="shared" si="36"/>
        <v>0</v>
      </c>
      <c r="W108" s="414">
        <f t="shared" si="36"/>
        <v>0</v>
      </c>
      <c r="X108" s="989">
        <f t="shared" si="36"/>
        <v>0</v>
      </c>
      <c r="Y108" s="414">
        <f t="shared" si="36"/>
        <v>0</v>
      </c>
      <c r="Z108" s="414">
        <f t="shared" si="36"/>
        <v>-819.19905920310907</v>
      </c>
      <c r="AA108" s="551">
        <f t="shared" si="36"/>
        <v>-3422.4560296620634</v>
      </c>
      <c r="AB108" s="414">
        <f t="shared" si="36"/>
        <v>-1338.5461386048671</v>
      </c>
      <c r="AC108" s="414">
        <f t="shared" si="36"/>
        <v>-1814.8483400369685</v>
      </c>
      <c r="AD108" s="414">
        <f t="shared" si="36"/>
        <v>-2366.8407860041311</v>
      </c>
      <c r="AE108" s="414">
        <f t="shared" si="36"/>
        <v>-3086.7430411301893</v>
      </c>
      <c r="AF108" s="414">
        <f t="shared" si="36"/>
        <v>-3709.7292602762095</v>
      </c>
      <c r="AG108" s="414">
        <f t="shared" si="36"/>
        <v>-4275.59979832115</v>
      </c>
      <c r="AH108" s="414">
        <f t="shared" si="36"/>
        <v>-4822.1292438750779</v>
      </c>
      <c r="AI108" s="414">
        <f t="shared" si="36"/>
        <v>-5299.7415175137139</v>
      </c>
      <c r="AJ108" s="414">
        <f t="shared" si="36"/>
        <v>-5797.7383766813455</v>
      </c>
      <c r="AK108" s="414">
        <f t="shared" si="36"/>
        <v>-6106.9332443075818</v>
      </c>
      <c r="AL108" s="414">
        <f t="shared" si="36"/>
        <v>-6857.7299200737934</v>
      </c>
      <c r="AM108" s="414">
        <f t="shared" si="36"/>
        <v>-7593.1451049250663</v>
      </c>
    </row>
    <row r="109" spans="1:39" s="444" customFormat="1" ht="20" customHeight="1" thickBot="1">
      <c r="B109" s="440" t="s">
        <v>82</v>
      </c>
      <c r="C109" s="441"/>
      <c r="D109" s="442">
        <f t="shared" ref="D109:AM109" si="37">D106+D108</f>
        <v>-11429.59818146032</v>
      </c>
      <c r="E109" s="442">
        <f t="shared" si="37"/>
        <v>-10146.672412740378</v>
      </c>
      <c r="F109" s="442">
        <f t="shared" si="37"/>
        <v>-8095.6735476865597</v>
      </c>
      <c r="G109" s="442">
        <f t="shared" si="37"/>
        <v>-6490.3168260506982</v>
      </c>
      <c r="H109" s="442">
        <f t="shared" si="37"/>
        <v>-5126.1724718859041</v>
      </c>
      <c r="I109" s="442">
        <f t="shared" si="37"/>
        <v>-3699.7541789324587</v>
      </c>
      <c r="J109" s="442">
        <f t="shared" si="37"/>
        <v>-2177.0193497836144</v>
      </c>
      <c r="K109" s="442">
        <f t="shared" si="37"/>
        <v>-1295.097208825581</v>
      </c>
      <c r="L109" s="958">
        <f t="shared" si="37"/>
        <v>159.88516135201411</v>
      </c>
      <c r="M109" s="442">
        <f t="shared" si="37"/>
        <v>1691.0561026809619</v>
      </c>
      <c r="N109" s="442">
        <f t="shared" si="37"/>
        <v>3421.9398423717926</v>
      </c>
      <c r="O109" s="557">
        <f t="shared" si="37"/>
        <v>4682.9086274615747</v>
      </c>
      <c r="P109" s="442">
        <f t="shared" si="37"/>
        <v>-3405.8716051759397</v>
      </c>
      <c r="Q109" s="442">
        <f t="shared" si="37"/>
        <v>-1304.0214535959738</v>
      </c>
      <c r="R109" s="442">
        <f t="shared" si="37"/>
        <v>3568.7846092379114</v>
      </c>
      <c r="S109" s="442">
        <f t="shared" si="37"/>
        <v>6732.9998523145314</v>
      </c>
      <c r="T109" s="442">
        <f t="shared" si="37"/>
        <v>8065.259837839857</v>
      </c>
      <c r="U109" s="442">
        <f t="shared" si="37"/>
        <v>10014.672944681181</v>
      </c>
      <c r="V109" s="442">
        <f t="shared" si="37"/>
        <v>11620.225657214873</v>
      </c>
      <c r="W109" s="442">
        <f t="shared" si="37"/>
        <v>13123.238550749398</v>
      </c>
      <c r="X109" s="998">
        <f t="shared" si="37"/>
        <v>6600.2909481479146</v>
      </c>
      <c r="Y109" s="442">
        <f t="shared" si="37"/>
        <v>9246.0396892320459</v>
      </c>
      <c r="Z109" s="442">
        <f t="shared" si="37"/>
        <v>11339.964987923066</v>
      </c>
      <c r="AA109" s="557">
        <f t="shared" si="37"/>
        <v>11101.623434321022</v>
      </c>
      <c r="AB109" s="442">
        <f t="shared" si="37"/>
        <v>3413.7377229398453</v>
      </c>
      <c r="AC109" s="442">
        <f t="shared" si="37"/>
        <v>4866.7392382795178</v>
      </c>
      <c r="AD109" s="442">
        <f t="shared" si="37"/>
        <v>6550.640463247244</v>
      </c>
      <c r="AE109" s="442">
        <f t="shared" si="37"/>
        <v>8746.7652437952602</v>
      </c>
      <c r="AF109" s="442">
        <f t="shared" si="37"/>
        <v>10647.239181839695</v>
      </c>
      <c r="AG109" s="442">
        <f t="shared" si="37"/>
        <v>12373.47674024952</v>
      </c>
      <c r="AH109" s="442">
        <f t="shared" si="37"/>
        <v>14040.7126047489</v>
      </c>
      <c r="AI109" s="442">
        <f t="shared" si="37"/>
        <v>15497.71060991284</v>
      </c>
      <c r="AJ109" s="442">
        <f t="shared" si="37"/>
        <v>17016.893575747017</v>
      </c>
      <c r="AK109" s="442">
        <f t="shared" si="37"/>
        <v>17960.11955674264</v>
      </c>
      <c r="AL109" s="442">
        <f t="shared" si="37"/>
        <v>20250.490468991735</v>
      </c>
      <c r="AM109" s="442">
        <f t="shared" si="37"/>
        <v>22493.938798182447</v>
      </c>
    </row>
    <row r="110" spans="1:39" s="404" customFormat="1" ht="17" thickTop="1">
      <c r="B110" s="445"/>
      <c r="C110" s="446"/>
      <c r="D110" s="447"/>
      <c r="E110" s="447"/>
      <c r="F110" s="447"/>
      <c r="G110" s="447"/>
      <c r="H110" s="447"/>
      <c r="I110" s="447"/>
      <c r="J110" s="447"/>
      <c r="K110" s="447"/>
      <c r="L110" s="959"/>
      <c r="M110" s="447"/>
      <c r="N110" s="447"/>
      <c r="O110" s="558"/>
      <c r="P110" s="447"/>
      <c r="Q110" s="447"/>
      <c r="R110" s="447"/>
      <c r="S110" s="447"/>
      <c r="T110" s="447"/>
      <c r="U110" s="447"/>
      <c r="V110" s="447"/>
      <c r="W110" s="447"/>
      <c r="X110" s="999"/>
      <c r="Y110" s="447"/>
      <c r="Z110" s="447"/>
      <c r="AA110" s="558"/>
      <c r="AB110" s="447"/>
      <c r="AC110" s="447"/>
      <c r="AD110" s="447"/>
      <c r="AE110" s="447"/>
      <c r="AF110" s="447"/>
      <c r="AG110" s="447"/>
      <c r="AH110" s="447"/>
      <c r="AI110" s="447"/>
      <c r="AJ110" s="447"/>
      <c r="AK110" s="447"/>
      <c r="AL110" s="447"/>
      <c r="AM110" s="447"/>
    </row>
    <row r="111" spans="1:39" s="404" customFormat="1">
      <c r="B111" s="385"/>
      <c r="D111" s="436"/>
      <c r="E111" s="436"/>
      <c r="F111" s="436"/>
      <c r="G111" s="436"/>
      <c r="H111" s="436"/>
      <c r="I111" s="436"/>
      <c r="J111" s="436"/>
      <c r="K111" s="436"/>
      <c r="L111" s="957"/>
      <c r="M111" s="436"/>
      <c r="N111" s="436"/>
      <c r="O111" s="556"/>
      <c r="P111" s="438"/>
      <c r="Q111" s="436"/>
      <c r="R111" s="436"/>
      <c r="S111" s="436"/>
      <c r="T111" s="436"/>
      <c r="U111" s="436"/>
      <c r="V111" s="436"/>
      <c r="W111" s="436"/>
      <c r="X111" s="997"/>
      <c r="Y111" s="436"/>
      <c r="Z111" s="436"/>
      <c r="AA111" s="556"/>
      <c r="AB111" s="438"/>
      <c r="AC111" s="436"/>
      <c r="AD111" s="436"/>
      <c r="AE111" s="436"/>
      <c r="AF111" s="436"/>
      <c r="AG111" s="436"/>
      <c r="AH111" s="436"/>
      <c r="AI111" s="436"/>
      <c r="AJ111" s="436"/>
      <c r="AK111" s="436"/>
      <c r="AL111" s="436"/>
      <c r="AM111" s="436"/>
    </row>
    <row r="112" spans="1:39" s="390" customFormat="1" ht="17" thickBot="1">
      <c r="B112" s="448" t="s">
        <v>83</v>
      </c>
      <c r="C112" s="449"/>
      <c r="D112" s="450">
        <f t="shared" ref="D112:AM112" si="38">-(D98+D102+D105)/D85</f>
        <v>33129.170402966156</v>
      </c>
      <c r="E112" s="450">
        <f t="shared" si="38"/>
        <v>33161.975420814982</v>
      </c>
      <c r="F112" s="450">
        <f t="shared" si="38"/>
        <v>32797.999356088992</v>
      </c>
      <c r="G112" s="450">
        <f t="shared" si="38"/>
        <v>32406.555665171232</v>
      </c>
      <c r="H112" s="450">
        <f t="shared" si="38"/>
        <v>32473.930837217147</v>
      </c>
      <c r="I112" s="450">
        <f t="shared" si="38"/>
        <v>32649.783407282062</v>
      </c>
      <c r="J112" s="450">
        <f t="shared" si="38"/>
        <v>32741.762709876053</v>
      </c>
      <c r="K112" s="450">
        <f t="shared" si="38"/>
        <v>32689.635275267185</v>
      </c>
      <c r="L112" s="960">
        <f t="shared" si="38"/>
        <v>33003.725824648092</v>
      </c>
      <c r="M112" s="450">
        <f t="shared" si="38"/>
        <v>33063.621782693175</v>
      </c>
      <c r="N112" s="450">
        <f t="shared" si="38"/>
        <v>33181.814665678867</v>
      </c>
      <c r="O112" s="559">
        <f t="shared" si="38"/>
        <v>33252.561351292352</v>
      </c>
      <c r="P112" s="450">
        <f t="shared" si="38"/>
        <v>46122.948461378677</v>
      </c>
      <c r="Q112" s="450">
        <f t="shared" si="38"/>
        <v>46225.891803924802</v>
      </c>
      <c r="R112" s="450">
        <f t="shared" si="38"/>
        <v>46522.59649580207</v>
      </c>
      <c r="S112" s="450">
        <f t="shared" si="38"/>
        <v>46700.528276010817</v>
      </c>
      <c r="T112" s="450">
        <f t="shared" si="38"/>
        <v>46508.814508343006</v>
      </c>
      <c r="U112" s="450">
        <f t="shared" si="38"/>
        <v>46630.962182986885</v>
      </c>
      <c r="V112" s="450">
        <f t="shared" si="38"/>
        <v>47289.947436412644</v>
      </c>
      <c r="W112" s="450">
        <f t="shared" si="38"/>
        <v>47714.063453626542</v>
      </c>
      <c r="X112" s="1000">
        <f t="shared" si="38"/>
        <v>71720.314466181037</v>
      </c>
      <c r="Y112" s="450">
        <f t="shared" si="38"/>
        <v>69935.419248837236</v>
      </c>
      <c r="Z112" s="450">
        <f t="shared" si="38"/>
        <v>69754.299076291776</v>
      </c>
      <c r="AA112" s="559">
        <f t="shared" si="38"/>
        <v>69860.746272195829</v>
      </c>
      <c r="AB112" s="450">
        <f t="shared" si="38"/>
        <v>87190.219526508867</v>
      </c>
      <c r="AC112" s="450">
        <f t="shared" si="38"/>
        <v>87333.251494344353</v>
      </c>
      <c r="AD112" s="450">
        <f t="shared" si="38"/>
        <v>87471.876941336464</v>
      </c>
      <c r="AE112" s="450">
        <f t="shared" si="38"/>
        <v>87762.605239976416</v>
      </c>
      <c r="AF112" s="450">
        <f t="shared" si="38"/>
        <v>87885.810306061729</v>
      </c>
      <c r="AG112" s="450">
        <f t="shared" si="38"/>
        <v>88019.241000550843</v>
      </c>
      <c r="AH112" s="450">
        <f t="shared" si="38"/>
        <v>88132.217009773492</v>
      </c>
      <c r="AI112" s="450">
        <f t="shared" si="38"/>
        <v>88246.003338100345</v>
      </c>
      <c r="AJ112" s="450">
        <f t="shared" si="38"/>
        <v>88294.929160939297</v>
      </c>
      <c r="AK112" s="450">
        <f t="shared" si="38"/>
        <v>88371.240593694631</v>
      </c>
      <c r="AL112" s="450">
        <f t="shared" si="38"/>
        <v>88418.549551456832</v>
      </c>
      <c r="AM112" s="450">
        <f t="shared" si="38"/>
        <v>88525.866323646987</v>
      </c>
    </row>
    <row r="113" spans="2:60" s="404" customFormat="1">
      <c r="B113" s="385"/>
      <c r="L113" s="961"/>
      <c r="O113" s="560"/>
      <c r="P113" s="375"/>
      <c r="X113" s="1001"/>
      <c r="AA113" s="560"/>
      <c r="AB113" s="375"/>
    </row>
    <row r="114" spans="2:60" s="404" customFormat="1">
      <c r="B114" s="385"/>
      <c r="L114" s="961"/>
      <c r="O114" s="560"/>
      <c r="P114" s="375"/>
      <c r="X114" s="1001"/>
      <c r="AA114" s="560"/>
      <c r="AB114" s="375"/>
    </row>
    <row r="115" spans="2:60" s="404" customFormat="1">
      <c r="B115" s="385"/>
      <c r="L115" s="961"/>
      <c r="O115" s="560"/>
      <c r="P115" s="375"/>
      <c r="X115" s="1001"/>
      <c r="AA115" s="560"/>
      <c r="AB115" s="375"/>
    </row>
    <row r="116" spans="2:60" s="452" customFormat="1" ht="3" customHeight="1">
      <c r="B116" s="451"/>
      <c r="L116" s="962"/>
      <c r="O116" s="561"/>
      <c r="P116" s="453"/>
      <c r="X116" s="1002"/>
      <c r="AA116" s="561"/>
      <c r="AB116" s="453"/>
    </row>
    <row r="117" spans="2:60" s="182" customFormat="1">
      <c r="B117" s="382"/>
      <c r="L117" s="940"/>
      <c r="O117" s="541"/>
      <c r="P117" s="358"/>
      <c r="Q117" s="390"/>
      <c r="R117" s="390"/>
      <c r="S117" s="390"/>
      <c r="T117" s="390"/>
      <c r="U117" s="390"/>
      <c r="V117" s="390"/>
      <c r="W117" s="390"/>
      <c r="X117" s="981"/>
      <c r="Y117" s="390"/>
      <c r="Z117" s="390"/>
      <c r="AA117" s="543"/>
      <c r="AB117" s="358"/>
    </row>
    <row r="118" spans="2:60" s="182" customFormat="1">
      <c r="B118" s="382"/>
      <c r="L118" s="940"/>
      <c r="O118" s="541"/>
      <c r="P118" s="358"/>
      <c r="Q118" s="390"/>
      <c r="R118" s="390"/>
      <c r="S118" s="390"/>
      <c r="T118" s="390"/>
      <c r="U118" s="390"/>
      <c r="V118" s="390"/>
      <c r="W118" s="390"/>
      <c r="X118" s="981"/>
      <c r="Y118" s="390"/>
      <c r="Z118" s="390"/>
      <c r="AA118" s="543"/>
      <c r="AB118" s="358"/>
    </row>
    <row r="119" spans="2:60" s="58" customFormat="1" ht="24" thickBot="1">
      <c r="B119" s="454" t="s">
        <v>13</v>
      </c>
      <c r="C119" s="400" t="str">
        <f t="shared" ref="C119:AM119" si="39">C77</f>
        <v>Month:</v>
      </c>
      <c r="D119" s="401">
        <f t="shared" si="39"/>
        <v>45688</v>
      </c>
      <c r="E119" s="401">
        <f t="shared" si="39"/>
        <v>45689</v>
      </c>
      <c r="F119" s="401">
        <f t="shared" si="39"/>
        <v>45717</v>
      </c>
      <c r="G119" s="401">
        <f t="shared" si="39"/>
        <v>45748</v>
      </c>
      <c r="H119" s="401">
        <f t="shared" si="39"/>
        <v>45778</v>
      </c>
      <c r="I119" s="401">
        <f t="shared" si="39"/>
        <v>45809</v>
      </c>
      <c r="J119" s="401">
        <f t="shared" si="39"/>
        <v>45839</v>
      </c>
      <c r="K119" s="401">
        <f t="shared" si="39"/>
        <v>45870</v>
      </c>
      <c r="L119" s="946">
        <f t="shared" si="39"/>
        <v>45901</v>
      </c>
      <c r="M119" s="401">
        <f t="shared" si="39"/>
        <v>45931</v>
      </c>
      <c r="N119" s="401">
        <f t="shared" si="39"/>
        <v>45962</v>
      </c>
      <c r="O119" s="546">
        <f t="shared" si="39"/>
        <v>45992</v>
      </c>
      <c r="P119" s="401">
        <f t="shared" si="39"/>
        <v>46023</v>
      </c>
      <c r="Q119" s="401">
        <f t="shared" si="39"/>
        <v>46054</v>
      </c>
      <c r="R119" s="401">
        <f t="shared" si="39"/>
        <v>46082</v>
      </c>
      <c r="S119" s="401">
        <f t="shared" si="39"/>
        <v>46113</v>
      </c>
      <c r="T119" s="401">
        <f t="shared" si="39"/>
        <v>46143</v>
      </c>
      <c r="U119" s="401">
        <f t="shared" si="39"/>
        <v>46174</v>
      </c>
      <c r="V119" s="401">
        <f t="shared" si="39"/>
        <v>46204</v>
      </c>
      <c r="W119" s="401">
        <f t="shared" si="39"/>
        <v>46235</v>
      </c>
      <c r="X119" s="984">
        <f t="shared" si="39"/>
        <v>46266</v>
      </c>
      <c r="Y119" s="401">
        <f t="shared" si="39"/>
        <v>46296</v>
      </c>
      <c r="Z119" s="401">
        <f t="shared" si="39"/>
        <v>46327</v>
      </c>
      <c r="AA119" s="546">
        <f t="shared" si="39"/>
        <v>46357</v>
      </c>
      <c r="AB119" s="401">
        <f t="shared" si="39"/>
        <v>46388</v>
      </c>
      <c r="AC119" s="401">
        <f t="shared" si="39"/>
        <v>46419</v>
      </c>
      <c r="AD119" s="401">
        <f t="shared" si="39"/>
        <v>46447</v>
      </c>
      <c r="AE119" s="401">
        <f t="shared" si="39"/>
        <v>46478</v>
      </c>
      <c r="AF119" s="401">
        <f t="shared" si="39"/>
        <v>46508</v>
      </c>
      <c r="AG119" s="401">
        <f t="shared" si="39"/>
        <v>46539</v>
      </c>
      <c r="AH119" s="401">
        <f t="shared" si="39"/>
        <v>46569</v>
      </c>
      <c r="AI119" s="401">
        <f t="shared" si="39"/>
        <v>46600</v>
      </c>
      <c r="AJ119" s="401">
        <f t="shared" si="39"/>
        <v>46631</v>
      </c>
      <c r="AK119" s="401">
        <f t="shared" si="39"/>
        <v>46661</v>
      </c>
      <c r="AL119" s="401">
        <f t="shared" si="39"/>
        <v>46692</v>
      </c>
      <c r="AM119" s="401">
        <f t="shared" si="39"/>
        <v>46722</v>
      </c>
    </row>
    <row r="120" spans="2:60" s="58" customFormat="1" ht="23" customHeight="1">
      <c r="B120" s="212"/>
      <c r="C120" s="207"/>
      <c r="D120" s="455"/>
      <c r="E120" s="455"/>
      <c r="F120" s="455"/>
      <c r="G120" s="455"/>
      <c r="H120" s="455"/>
      <c r="I120" s="455"/>
      <c r="J120" s="455"/>
      <c r="K120" s="455"/>
      <c r="L120" s="963"/>
      <c r="M120" s="455"/>
      <c r="N120" s="455"/>
      <c r="O120" s="562"/>
      <c r="P120" s="455"/>
      <c r="Q120" s="455"/>
      <c r="R120" s="455"/>
      <c r="S120" s="455"/>
      <c r="T120" s="455"/>
      <c r="U120" s="455"/>
      <c r="V120" s="455"/>
      <c r="W120" s="455"/>
      <c r="X120" s="1003"/>
      <c r="Y120" s="455"/>
      <c r="Z120" s="455"/>
      <c r="AA120" s="562"/>
      <c r="AB120" s="455"/>
      <c r="AC120" s="455"/>
      <c r="AD120" s="455"/>
      <c r="AE120" s="455"/>
      <c r="AF120" s="455"/>
      <c r="AG120" s="455"/>
      <c r="AH120" s="455"/>
      <c r="AI120" s="455"/>
      <c r="AJ120" s="455"/>
      <c r="AK120" s="455"/>
      <c r="AL120" s="455"/>
      <c r="AM120" s="455"/>
    </row>
    <row r="121" spans="2:60" ht="19" thickBot="1">
      <c r="B121" s="384" t="s">
        <v>52</v>
      </c>
      <c r="C121" s="180"/>
      <c r="D121" s="449"/>
      <c r="E121" s="449"/>
      <c r="F121" s="449"/>
      <c r="G121" s="449"/>
      <c r="H121" s="449"/>
      <c r="I121" s="449"/>
      <c r="J121" s="449"/>
      <c r="K121" s="449"/>
      <c r="L121" s="964"/>
      <c r="M121" s="449"/>
      <c r="N121" s="449"/>
      <c r="O121" s="563"/>
      <c r="P121" s="449"/>
      <c r="Q121" s="449"/>
      <c r="R121" s="449"/>
      <c r="S121" s="449"/>
      <c r="T121" s="449"/>
      <c r="U121" s="449"/>
      <c r="V121" s="449"/>
      <c r="W121" s="449"/>
      <c r="X121" s="1004"/>
      <c r="Y121" s="449"/>
      <c r="Z121" s="449"/>
      <c r="AA121" s="563"/>
      <c r="AB121" s="449"/>
      <c r="AC121" s="449"/>
      <c r="AD121" s="449"/>
      <c r="AE121" s="449"/>
      <c r="AF121" s="449"/>
      <c r="AG121" s="449"/>
      <c r="AH121" s="449"/>
      <c r="AI121" s="449"/>
      <c r="AJ121" s="449"/>
      <c r="AK121" s="449"/>
      <c r="AL121" s="449"/>
      <c r="AM121" s="449"/>
      <c r="AN121" s="390"/>
      <c r="AO121" s="390"/>
      <c r="AP121" s="390"/>
      <c r="AQ121" s="390"/>
      <c r="AR121" s="390"/>
      <c r="AS121" s="390"/>
      <c r="AT121" s="390"/>
      <c r="AU121" s="390"/>
      <c r="AV121" s="390"/>
      <c r="AW121" s="390"/>
      <c r="AX121" s="390"/>
      <c r="AY121" s="390"/>
      <c r="AZ121" s="390"/>
      <c r="BA121" s="390"/>
      <c r="BB121" s="390"/>
      <c r="BC121" s="390"/>
      <c r="BD121" s="390"/>
      <c r="BE121" s="390"/>
      <c r="BF121" s="390"/>
      <c r="BG121" s="390"/>
      <c r="BH121" s="390"/>
    </row>
    <row r="122" spans="2:60">
      <c r="B122" s="385"/>
      <c r="D122" s="358"/>
      <c r="E122" s="358"/>
      <c r="F122" s="358"/>
      <c r="G122" s="358"/>
      <c r="H122" s="358"/>
      <c r="I122" s="358"/>
      <c r="J122" s="358"/>
      <c r="K122" s="358"/>
      <c r="L122" s="941"/>
      <c r="M122" s="358"/>
      <c r="N122" s="358"/>
      <c r="O122" s="543"/>
      <c r="P122" s="358"/>
      <c r="Q122" s="358"/>
      <c r="R122" s="358"/>
      <c r="S122" s="358"/>
      <c r="T122" s="358"/>
      <c r="U122" s="358"/>
      <c r="V122" s="358"/>
      <c r="W122" s="358"/>
      <c r="X122" s="981"/>
      <c r="Y122" s="358"/>
      <c r="Z122" s="358"/>
      <c r="AA122" s="543"/>
      <c r="AB122" s="358"/>
      <c r="AC122" s="358"/>
      <c r="AD122" s="358"/>
      <c r="AE122" s="358"/>
      <c r="AF122" s="358"/>
      <c r="AG122" s="358"/>
      <c r="AH122" s="358"/>
      <c r="AI122" s="358"/>
      <c r="AJ122" s="358"/>
      <c r="AK122" s="358"/>
      <c r="AL122" s="358"/>
      <c r="AM122" s="358"/>
      <c r="AN122" s="390"/>
      <c r="AO122" s="390"/>
      <c r="AP122" s="390"/>
      <c r="AQ122" s="390"/>
      <c r="AR122" s="390"/>
      <c r="AS122" s="390"/>
      <c r="AT122" s="390"/>
      <c r="AU122" s="390"/>
      <c r="AV122" s="390"/>
      <c r="AW122" s="390"/>
      <c r="AX122" s="390"/>
      <c r="AY122" s="390"/>
      <c r="AZ122" s="390"/>
      <c r="BA122" s="390"/>
      <c r="BB122" s="390"/>
      <c r="BC122" s="390"/>
      <c r="BD122" s="390"/>
      <c r="BE122" s="390"/>
      <c r="BF122" s="390"/>
      <c r="BG122" s="390"/>
      <c r="BH122" s="390"/>
    </row>
    <row r="123" spans="2:60" ht="15" customHeight="1">
      <c r="B123" s="385" t="str">
        <f>F52 &amp; " ("&amp; TEXT(E52,"0%") &amp;")"</f>
        <v>Reducing Balance (25%)</v>
      </c>
      <c r="D123" s="459"/>
      <c r="E123" s="459"/>
      <c r="F123" s="459"/>
      <c r="G123" s="459"/>
      <c r="H123" s="459"/>
      <c r="I123" s="459"/>
      <c r="J123" s="459"/>
      <c r="K123" s="459"/>
      <c r="L123" s="965"/>
      <c r="M123" s="459"/>
      <c r="N123" s="459"/>
      <c r="O123" s="564"/>
      <c r="P123" s="459"/>
      <c r="Q123" s="459"/>
      <c r="R123" s="459"/>
      <c r="S123" s="459"/>
      <c r="T123" s="459"/>
      <c r="U123" s="459"/>
      <c r="V123" s="459"/>
      <c r="W123" s="459"/>
      <c r="X123" s="1005"/>
      <c r="Y123" s="459"/>
      <c r="Z123" s="459"/>
      <c r="AA123" s="564"/>
      <c r="AB123" s="459"/>
      <c r="AC123" s="459"/>
      <c r="AD123" s="459"/>
      <c r="AE123" s="459"/>
      <c r="AF123" s="459"/>
      <c r="AG123" s="459"/>
      <c r="AH123" s="459"/>
      <c r="AI123" s="459"/>
      <c r="AJ123" s="459"/>
      <c r="AK123" s="459"/>
      <c r="AL123" s="459"/>
      <c r="AM123" s="459"/>
      <c r="AN123" s="459"/>
      <c r="AO123" s="390"/>
      <c r="AP123" s="390"/>
      <c r="AQ123" s="390"/>
      <c r="AR123" s="390"/>
      <c r="AS123" s="390"/>
      <c r="AT123" s="390"/>
      <c r="AU123" s="390"/>
      <c r="AV123" s="390"/>
      <c r="AW123" s="390"/>
      <c r="AX123" s="390"/>
      <c r="AY123" s="390"/>
      <c r="AZ123" s="390"/>
      <c r="BA123" s="390"/>
      <c r="BB123" s="390"/>
      <c r="BC123" s="390"/>
      <c r="BD123" s="390"/>
      <c r="BE123" s="390"/>
      <c r="BF123" s="390"/>
      <c r="BG123" s="390"/>
      <c r="BH123" s="390"/>
    </row>
    <row r="124" spans="2:60" ht="15" customHeight="1">
      <c r="B124" s="457" t="s">
        <v>76</v>
      </c>
      <c r="D124" s="458">
        <v>0</v>
      </c>
      <c r="E124" s="459">
        <f t="shared" ref="E124:AM124" si="40">D128</f>
        <v>9791.6666666666661</v>
      </c>
      <c r="F124" s="459">
        <f t="shared" si="40"/>
        <v>9583.3333333333321</v>
      </c>
      <c r="G124" s="459">
        <f t="shared" si="40"/>
        <v>9374.9999999999982</v>
      </c>
      <c r="H124" s="459">
        <f t="shared" si="40"/>
        <v>9166.6666666666642</v>
      </c>
      <c r="I124" s="459">
        <f t="shared" si="40"/>
        <v>8958.3333333333303</v>
      </c>
      <c r="J124" s="459">
        <f t="shared" si="40"/>
        <v>8749.9999999999964</v>
      </c>
      <c r="K124" s="459">
        <f t="shared" si="40"/>
        <v>8541.6666666666624</v>
      </c>
      <c r="L124" s="965">
        <f t="shared" si="40"/>
        <v>8333.3333333333285</v>
      </c>
      <c r="M124" s="459">
        <f t="shared" si="40"/>
        <v>8124.9999999999955</v>
      </c>
      <c r="N124" s="459">
        <f t="shared" si="40"/>
        <v>7916.6666666666624</v>
      </c>
      <c r="O124" s="564">
        <f t="shared" si="40"/>
        <v>7708.3333333333294</v>
      </c>
      <c r="P124" s="459">
        <f t="shared" si="40"/>
        <v>7499.9999999999964</v>
      </c>
      <c r="Q124" s="459">
        <f t="shared" si="40"/>
        <v>7312.4999999999964</v>
      </c>
      <c r="R124" s="459">
        <f t="shared" si="40"/>
        <v>7124.9999999999964</v>
      </c>
      <c r="S124" s="459">
        <f t="shared" si="40"/>
        <v>6937.4999999999964</v>
      </c>
      <c r="T124" s="459">
        <f t="shared" si="40"/>
        <v>6749.9999999999964</v>
      </c>
      <c r="U124" s="459">
        <f t="shared" si="40"/>
        <v>6562.4999999999964</v>
      </c>
      <c r="V124" s="459">
        <f t="shared" si="40"/>
        <v>6374.9999999999964</v>
      </c>
      <c r="W124" s="459">
        <f t="shared" si="40"/>
        <v>6187.4999999999964</v>
      </c>
      <c r="X124" s="1005">
        <f t="shared" si="40"/>
        <v>5999.9999999999964</v>
      </c>
      <c r="Y124" s="459">
        <f t="shared" si="40"/>
        <v>15952.499999999996</v>
      </c>
      <c r="Z124" s="459">
        <f t="shared" si="40"/>
        <v>15504.999999999996</v>
      </c>
      <c r="AA124" s="564">
        <f t="shared" si="40"/>
        <v>15057.499999999996</v>
      </c>
      <c r="AB124" s="459">
        <f t="shared" si="40"/>
        <v>14609.999999999996</v>
      </c>
      <c r="AC124" s="459">
        <f t="shared" si="40"/>
        <v>14244.749999999996</v>
      </c>
      <c r="AD124" s="459">
        <f t="shared" si="40"/>
        <v>13879.499999999996</v>
      </c>
      <c r="AE124" s="459">
        <f t="shared" si="40"/>
        <v>13514.249999999996</v>
      </c>
      <c r="AF124" s="459">
        <f t="shared" si="40"/>
        <v>13148.999999999996</v>
      </c>
      <c r="AG124" s="459">
        <f t="shared" si="40"/>
        <v>12783.749999999996</v>
      </c>
      <c r="AH124" s="459">
        <f t="shared" si="40"/>
        <v>12418.499999999996</v>
      </c>
      <c r="AI124" s="459">
        <f t="shared" si="40"/>
        <v>12053.249999999996</v>
      </c>
      <c r="AJ124" s="459">
        <f t="shared" si="40"/>
        <v>11687.999999999996</v>
      </c>
      <c r="AK124" s="459">
        <f t="shared" si="40"/>
        <v>11322.749999999996</v>
      </c>
      <c r="AL124" s="459">
        <f t="shared" si="40"/>
        <v>10957.499999999996</v>
      </c>
      <c r="AM124" s="459">
        <f t="shared" si="40"/>
        <v>10592.249999999996</v>
      </c>
      <c r="AN124" s="459"/>
      <c r="AO124" s="390"/>
      <c r="AP124" s="390"/>
      <c r="AQ124" s="390"/>
      <c r="AR124" s="390"/>
      <c r="AS124" s="390"/>
      <c r="AT124" s="390"/>
      <c r="AU124" s="390"/>
      <c r="AV124" s="390"/>
      <c r="AW124" s="390"/>
      <c r="AX124" s="390"/>
      <c r="AY124" s="390"/>
      <c r="AZ124" s="390"/>
      <c r="BA124" s="390"/>
      <c r="BB124" s="390"/>
      <c r="BC124" s="390"/>
      <c r="BD124" s="390"/>
      <c r="BE124" s="390"/>
      <c r="BF124" s="390"/>
      <c r="BG124" s="390"/>
      <c r="BH124" s="390"/>
    </row>
    <row r="125" spans="2:60" ht="15" customHeight="1">
      <c r="B125" s="457" t="s">
        <v>77</v>
      </c>
      <c r="D125" s="459">
        <f>SUM(D52:D56)</f>
        <v>10000</v>
      </c>
      <c r="E125" s="459"/>
      <c r="F125" s="459"/>
      <c r="G125" s="459"/>
      <c r="H125" s="459"/>
      <c r="I125" s="459"/>
      <c r="J125" s="459"/>
      <c r="K125" s="459"/>
      <c r="L125" s="965"/>
      <c r="M125" s="459"/>
      <c r="N125" s="459"/>
      <c r="O125" s="564"/>
      <c r="P125" s="459"/>
      <c r="Q125" s="459"/>
      <c r="R125" s="459"/>
      <c r="S125" s="459"/>
      <c r="T125" s="459"/>
      <c r="U125" s="459"/>
      <c r="V125" s="459"/>
      <c r="W125" s="459"/>
      <c r="X125" s="1005">
        <f>SUM(J52:J56)</f>
        <v>10400</v>
      </c>
      <c r="Y125" s="459"/>
      <c r="Z125" s="459"/>
      <c r="AA125" s="564"/>
      <c r="AB125" s="459"/>
      <c r="AC125" s="459"/>
      <c r="AD125" s="459"/>
      <c r="AE125" s="459"/>
      <c r="AF125" s="459"/>
      <c r="AG125" s="459"/>
      <c r="AH125" s="459"/>
      <c r="AI125" s="459"/>
      <c r="AJ125" s="459"/>
      <c r="AK125" s="459"/>
      <c r="AL125" s="459"/>
      <c r="AM125" s="459"/>
      <c r="AN125" s="459"/>
      <c r="AO125" s="390"/>
      <c r="AP125" s="390"/>
      <c r="AQ125" s="390"/>
      <c r="AR125" s="390"/>
      <c r="AS125" s="390"/>
      <c r="AT125" s="390"/>
      <c r="AU125" s="390"/>
      <c r="AV125" s="390"/>
      <c r="AW125" s="390"/>
      <c r="AX125" s="390"/>
      <c r="AY125" s="390"/>
      <c r="AZ125" s="390"/>
      <c r="BA125" s="390"/>
      <c r="BB125" s="390"/>
      <c r="BC125" s="390"/>
      <c r="BD125" s="390"/>
      <c r="BE125" s="390"/>
      <c r="BF125" s="390"/>
      <c r="BG125" s="390"/>
      <c r="BH125" s="390"/>
    </row>
    <row r="126" spans="2:60" ht="15" customHeight="1">
      <c r="B126" s="457" t="s">
        <v>27</v>
      </c>
      <c r="D126" s="459">
        <f t="shared" ref="D126:AM126" si="41">SUM(D124:D125)</f>
        <v>10000</v>
      </c>
      <c r="E126" s="459">
        <f t="shared" si="41"/>
        <v>9791.6666666666661</v>
      </c>
      <c r="F126" s="459">
        <f t="shared" si="41"/>
        <v>9583.3333333333321</v>
      </c>
      <c r="G126" s="459">
        <f t="shared" si="41"/>
        <v>9374.9999999999982</v>
      </c>
      <c r="H126" s="459">
        <f t="shared" si="41"/>
        <v>9166.6666666666642</v>
      </c>
      <c r="I126" s="459">
        <f t="shared" si="41"/>
        <v>8958.3333333333303</v>
      </c>
      <c r="J126" s="459">
        <f t="shared" si="41"/>
        <v>8749.9999999999964</v>
      </c>
      <c r="K126" s="459">
        <f t="shared" si="41"/>
        <v>8541.6666666666624</v>
      </c>
      <c r="L126" s="965">
        <f t="shared" si="41"/>
        <v>8333.3333333333285</v>
      </c>
      <c r="M126" s="459">
        <f t="shared" si="41"/>
        <v>8124.9999999999955</v>
      </c>
      <c r="N126" s="459">
        <f t="shared" si="41"/>
        <v>7916.6666666666624</v>
      </c>
      <c r="O126" s="564">
        <f t="shared" si="41"/>
        <v>7708.3333333333294</v>
      </c>
      <c r="P126" s="459">
        <f t="shared" si="41"/>
        <v>7499.9999999999964</v>
      </c>
      <c r="Q126" s="459">
        <f t="shared" si="41"/>
        <v>7312.4999999999964</v>
      </c>
      <c r="R126" s="459">
        <f t="shared" si="41"/>
        <v>7124.9999999999964</v>
      </c>
      <c r="S126" s="459">
        <f t="shared" si="41"/>
        <v>6937.4999999999964</v>
      </c>
      <c r="T126" s="459">
        <f t="shared" si="41"/>
        <v>6749.9999999999964</v>
      </c>
      <c r="U126" s="459">
        <f t="shared" si="41"/>
        <v>6562.4999999999964</v>
      </c>
      <c r="V126" s="459">
        <f t="shared" si="41"/>
        <v>6374.9999999999964</v>
      </c>
      <c r="W126" s="459">
        <f t="shared" si="41"/>
        <v>6187.4999999999964</v>
      </c>
      <c r="X126" s="1005">
        <f t="shared" si="41"/>
        <v>16399.999999999996</v>
      </c>
      <c r="Y126" s="459">
        <f t="shared" si="41"/>
        <v>15952.499999999996</v>
      </c>
      <c r="Z126" s="459">
        <f t="shared" si="41"/>
        <v>15504.999999999996</v>
      </c>
      <c r="AA126" s="564">
        <f t="shared" si="41"/>
        <v>15057.499999999996</v>
      </c>
      <c r="AB126" s="459">
        <f t="shared" si="41"/>
        <v>14609.999999999996</v>
      </c>
      <c r="AC126" s="459">
        <f t="shared" si="41"/>
        <v>14244.749999999996</v>
      </c>
      <c r="AD126" s="459">
        <f t="shared" si="41"/>
        <v>13879.499999999996</v>
      </c>
      <c r="AE126" s="459">
        <f t="shared" si="41"/>
        <v>13514.249999999996</v>
      </c>
      <c r="AF126" s="459">
        <f t="shared" si="41"/>
        <v>13148.999999999996</v>
      </c>
      <c r="AG126" s="459">
        <f t="shared" si="41"/>
        <v>12783.749999999996</v>
      </c>
      <c r="AH126" s="459">
        <f t="shared" si="41"/>
        <v>12418.499999999996</v>
      </c>
      <c r="AI126" s="459">
        <f t="shared" si="41"/>
        <v>12053.249999999996</v>
      </c>
      <c r="AJ126" s="459">
        <f t="shared" si="41"/>
        <v>11687.999999999996</v>
      </c>
      <c r="AK126" s="459">
        <f t="shared" si="41"/>
        <v>11322.749999999996</v>
      </c>
      <c r="AL126" s="459">
        <f t="shared" si="41"/>
        <v>10957.499999999996</v>
      </c>
      <c r="AM126" s="459">
        <f t="shared" si="41"/>
        <v>10592.249999999996</v>
      </c>
      <c r="AN126" s="459"/>
      <c r="AO126" s="390"/>
      <c r="AP126" s="390"/>
      <c r="AQ126" s="390"/>
      <c r="AR126" s="390"/>
      <c r="AS126" s="390"/>
      <c r="AT126" s="390"/>
      <c r="AU126" s="390"/>
      <c r="AV126" s="390"/>
      <c r="AW126" s="390"/>
      <c r="AX126" s="390"/>
      <c r="AY126" s="390"/>
      <c r="AZ126" s="390"/>
      <c r="BA126" s="390"/>
      <c r="BB126" s="390"/>
      <c r="BC126" s="390"/>
      <c r="BD126" s="390"/>
      <c r="BE126" s="390"/>
      <c r="BF126" s="390"/>
      <c r="BG126" s="390"/>
      <c r="BH126" s="390"/>
    </row>
    <row r="127" spans="2:60" ht="15" customHeight="1">
      <c r="B127" s="460" t="s">
        <v>78</v>
      </c>
      <c r="C127" s="461"/>
      <c r="D127" s="462">
        <f t="shared" ref="D127:O127" si="42">-$D$125*$E$52/12</f>
        <v>-208.33333333333334</v>
      </c>
      <c r="E127" s="462">
        <f t="shared" si="42"/>
        <v>-208.33333333333334</v>
      </c>
      <c r="F127" s="462">
        <f t="shared" si="42"/>
        <v>-208.33333333333334</v>
      </c>
      <c r="G127" s="462">
        <f t="shared" si="42"/>
        <v>-208.33333333333334</v>
      </c>
      <c r="H127" s="462">
        <f t="shared" si="42"/>
        <v>-208.33333333333334</v>
      </c>
      <c r="I127" s="462">
        <f t="shared" si="42"/>
        <v>-208.33333333333334</v>
      </c>
      <c r="J127" s="462">
        <f t="shared" si="42"/>
        <v>-208.33333333333334</v>
      </c>
      <c r="K127" s="462">
        <f t="shared" si="42"/>
        <v>-208.33333333333334</v>
      </c>
      <c r="L127" s="966">
        <f t="shared" si="42"/>
        <v>-208.33333333333334</v>
      </c>
      <c r="M127" s="462">
        <f t="shared" si="42"/>
        <v>-208.33333333333334</v>
      </c>
      <c r="N127" s="462">
        <f t="shared" si="42"/>
        <v>-208.33333333333334</v>
      </c>
      <c r="O127" s="628">
        <f t="shared" si="42"/>
        <v>-208.33333333333334</v>
      </c>
      <c r="P127" s="462">
        <f t="shared" ref="P127:W127" si="43">-$O$128*$E$57/12</f>
        <v>-187.49999999999989</v>
      </c>
      <c r="Q127" s="462">
        <f t="shared" si="43"/>
        <v>-187.49999999999989</v>
      </c>
      <c r="R127" s="462">
        <f t="shared" si="43"/>
        <v>-187.49999999999989</v>
      </c>
      <c r="S127" s="462">
        <f t="shared" si="43"/>
        <v>-187.49999999999989</v>
      </c>
      <c r="T127" s="462">
        <f t="shared" si="43"/>
        <v>-187.49999999999989</v>
      </c>
      <c r="U127" s="462">
        <f t="shared" si="43"/>
        <v>-187.49999999999989</v>
      </c>
      <c r="V127" s="462">
        <f t="shared" si="43"/>
        <v>-187.49999999999989</v>
      </c>
      <c r="W127" s="462">
        <f t="shared" si="43"/>
        <v>-187.49999999999989</v>
      </c>
      <c r="X127" s="1006">
        <f>-$O$128*$E$57/12-$X$125*$E$57/12</f>
        <v>-447.49999999999989</v>
      </c>
      <c r="Y127" s="462">
        <f>-$O$128*$E$57/12-$X$125*$E$57/12</f>
        <v>-447.49999999999989</v>
      </c>
      <c r="Z127" s="462">
        <f>-$O$128*$E$57/12-$X$125*$E$57/12</f>
        <v>-447.49999999999989</v>
      </c>
      <c r="AA127" s="628">
        <f>-$O$128*$E$57/12-$X$125*$E$57/12</f>
        <v>-447.49999999999989</v>
      </c>
      <c r="AB127" s="462">
        <f t="shared" ref="AB127:AM127" si="44">-$AA$128*$E$57/12</f>
        <v>-365.24999999999994</v>
      </c>
      <c r="AC127" s="462">
        <f t="shared" si="44"/>
        <v>-365.24999999999994</v>
      </c>
      <c r="AD127" s="462">
        <f t="shared" si="44"/>
        <v>-365.24999999999994</v>
      </c>
      <c r="AE127" s="462">
        <f t="shared" si="44"/>
        <v>-365.24999999999994</v>
      </c>
      <c r="AF127" s="462">
        <f t="shared" si="44"/>
        <v>-365.24999999999994</v>
      </c>
      <c r="AG127" s="462">
        <f t="shared" si="44"/>
        <v>-365.24999999999994</v>
      </c>
      <c r="AH127" s="462">
        <f t="shared" si="44"/>
        <v>-365.24999999999994</v>
      </c>
      <c r="AI127" s="462">
        <f t="shared" si="44"/>
        <v>-365.24999999999994</v>
      </c>
      <c r="AJ127" s="462">
        <f t="shared" si="44"/>
        <v>-365.24999999999994</v>
      </c>
      <c r="AK127" s="462">
        <f t="shared" si="44"/>
        <v>-365.24999999999994</v>
      </c>
      <c r="AL127" s="462">
        <f t="shared" si="44"/>
        <v>-365.24999999999994</v>
      </c>
      <c r="AM127" s="462">
        <f t="shared" si="44"/>
        <v>-365.24999999999994</v>
      </c>
      <c r="AN127" s="459"/>
      <c r="AO127" s="390"/>
      <c r="AP127" s="390"/>
      <c r="AQ127" s="390"/>
      <c r="AR127" s="390"/>
      <c r="AS127" s="390"/>
      <c r="AT127" s="390"/>
      <c r="AU127" s="390"/>
      <c r="AV127" s="390"/>
      <c r="AW127" s="390"/>
      <c r="AX127" s="390"/>
      <c r="AY127" s="390"/>
      <c r="AZ127" s="390"/>
      <c r="BA127" s="390"/>
      <c r="BB127" s="390"/>
      <c r="BC127" s="390"/>
      <c r="BD127" s="390"/>
      <c r="BE127" s="390"/>
      <c r="BF127" s="390"/>
      <c r="BG127" s="390"/>
      <c r="BH127" s="390"/>
    </row>
    <row r="128" spans="2:60" ht="15" customHeight="1">
      <c r="B128" s="457" t="s">
        <v>432</v>
      </c>
      <c r="D128" s="459">
        <f t="shared" ref="D128:P128" si="45">SUM(D126:D127)</f>
        <v>9791.6666666666661</v>
      </c>
      <c r="E128" s="459">
        <f t="shared" si="45"/>
        <v>9583.3333333333321</v>
      </c>
      <c r="F128" s="459">
        <f t="shared" si="45"/>
        <v>9374.9999999999982</v>
      </c>
      <c r="G128" s="459">
        <f t="shared" si="45"/>
        <v>9166.6666666666642</v>
      </c>
      <c r="H128" s="459">
        <f t="shared" si="45"/>
        <v>8958.3333333333303</v>
      </c>
      <c r="I128" s="459">
        <f t="shared" si="45"/>
        <v>8749.9999999999964</v>
      </c>
      <c r="J128" s="459">
        <f t="shared" si="45"/>
        <v>8541.6666666666624</v>
      </c>
      <c r="K128" s="459">
        <f t="shared" si="45"/>
        <v>8333.3333333333285</v>
      </c>
      <c r="L128" s="965">
        <f t="shared" si="45"/>
        <v>8124.9999999999955</v>
      </c>
      <c r="M128" s="459">
        <f t="shared" si="45"/>
        <v>7916.6666666666624</v>
      </c>
      <c r="N128" s="459">
        <f t="shared" si="45"/>
        <v>7708.3333333333294</v>
      </c>
      <c r="O128" s="564">
        <f t="shared" si="45"/>
        <v>7499.9999999999964</v>
      </c>
      <c r="P128" s="459">
        <f t="shared" si="45"/>
        <v>7312.4999999999964</v>
      </c>
      <c r="Q128" s="459">
        <f t="shared" ref="Q128:AA128" si="46">SUM(Q126:Q127)</f>
        <v>7124.9999999999964</v>
      </c>
      <c r="R128" s="459">
        <f t="shared" si="46"/>
        <v>6937.4999999999964</v>
      </c>
      <c r="S128" s="459">
        <f t="shared" si="46"/>
        <v>6749.9999999999964</v>
      </c>
      <c r="T128" s="459">
        <f t="shared" si="46"/>
        <v>6562.4999999999964</v>
      </c>
      <c r="U128" s="459">
        <f t="shared" si="46"/>
        <v>6374.9999999999964</v>
      </c>
      <c r="V128" s="459">
        <f t="shared" si="46"/>
        <v>6187.4999999999964</v>
      </c>
      <c r="W128" s="459">
        <f t="shared" si="46"/>
        <v>5999.9999999999964</v>
      </c>
      <c r="X128" s="1005">
        <f t="shared" si="46"/>
        <v>15952.499999999996</v>
      </c>
      <c r="Y128" s="459">
        <f t="shared" si="46"/>
        <v>15504.999999999996</v>
      </c>
      <c r="Z128" s="459">
        <f t="shared" si="46"/>
        <v>15057.499999999996</v>
      </c>
      <c r="AA128" s="564">
        <f t="shared" si="46"/>
        <v>14609.999999999996</v>
      </c>
      <c r="AB128" s="459">
        <f t="shared" ref="AB128:AM128" si="47">SUM(AB126:AB127)</f>
        <v>14244.749999999996</v>
      </c>
      <c r="AC128" s="459">
        <f t="shared" si="47"/>
        <v>13879.499999999996</v>
      </c>
      <c r="AD128" s="459">
        <f t="shared" si="47"/>
        <v>13514.249999999996</v>
      </c>
      <c r="AE128" s="459">
        <f t="shared" si="47"/>
        <v>13148.999999999996</v>
      </c>
      <c r="AF128" s="459">
        <f t="shared" si="47"/>
        <v>12783.749999999996</v>
      </c>
      <c r="AG128" s="459">
        <f t="shared" si="47"/>
        <v>12418.499999999996</v>
      </c>
      <c r="AH128" s="459">
        <f t="shared" si="47"/>
        <v>12053.249999999996</v>
      </c>
      <c r="AI128" s="459">
        <f t="shared" si="47"/>
        <v>11687.999999999996</v>
      </c>
      <c r="AJ128" s="459">
        <f t="shared" si="47"/>
        <v>11322.749999999996</v>
      </c>
      <c r="AK128" s="459">
        <f t="shared" si="47"/>
        <v>10957.499999999996</v>
      </c>
      <c r="AL128" s="459">
        <f t="shared" si="47"/>
        <v>10592.249999999996</v>
      </c>
      <c r="AM128" s="459">
        <f t="shared" si="47"/>
        <v>10226.999999999996</v>
      </c>
      <c r="AN128" s="459"/>
      <c r="AO128" s="390"/>
      <c r="AP128" s="390"/>
      <c r="AQ128" s="390"/>
      <c r="AR128" s="390"/>
      <c r="AS128" s="390"/>
      <c r="AT128" s="390"/>
      <c r="AU128" s="390"/>
      <c r="AV128" s="390"/>
      <c r="AW128" s="390"/>
      <c r="AX128" s="390"/>
      <c r="AY128" s="390"/>
      <c r="AZ128" s="390"/>
      <c r="BA128" s="390"/>
      <c r="BB128" s="390"/>
      <c r="BC128" s="390"/>
      <c r="BD128" s="390"/>
      <c r="BE128" s="390"/>
      <c r="BF128" s="390"/>
      <c r="BG128" s="390"/>
      <c r="BH128" s="390"/>
    </row>
    <row r="129" spans="2:64" ht="15" customHeight="1">
      <c r="B129" s="457"/>
      <c r="D129" s="459"/>
      <c r="E129" s="459"/>
      <c r="F129" s="459"/>
      <c r="G129" s="459"/>
      <c r="H129" s="459"/>
      <c r="I129" s="459"/>
      <c r="J129" s="459"/>
      <c r="K129" s="459"/>
      <c r="L129" s="965"/>
      <c r="M129" s="459"/>
      <c r="N129" s="459"/>
      <c r="O129" s="564"/>
      <c r="P129" s="459"/>
      <c r="Q129" s="459"/>
      <c r="R129" s="459"/>
      <c r="S129" s="459"/>
      <c r="T129" s="459"/>
      <c r="U129" s="459"/>
      <c r="V129" s="459"/>
      <c r="W129" s="459"/>
      <c r="X129" s="1005"/>
      <c r="Y129" s="459"/>
      <c r="Z129" s="459"/>
      <c r="AA129" s="564"/>
      <c r="AB129" s="459"/>
      <c r="AC129" s="459"/>
      <c r="AD129" s="459"/>
      <c r="AE129" s="459"/>
      <c r="AF129" s="459"/>
      <c r="AG129" s="459"/>
      <c r="AH129" s="459"/>
      <c r="AI129" s="459"/>
      <c r="AJ129" s="459"/>
      <c r="AK129" s="459"/>
      <c r="AL129" s="459"/>
      <c r="AM129" s="459"/>
      <c r="AN129" s="459"/>
      <c r="AO129" s="390"/>
      <c r="AP129" s="390"/>
      <c r="AQ129" s="390"/>
      <c r="AR129" s="390"/>
      <c r="AS129" s="390"/>
      <c r="AT129" s="390"/>
      <c r="AU129" s="390"/>
      <c r="AV129" s="390"/>
      <c r="AW129" s="390"/>
      <c r="AX129" s="390"/>
      <c r="AY129" s="390"/>
      <c r="AZ129" s="390"/>
      <c r="BA129" s="390"/>
      <c r="BB129" s="390"/>
      <c r="BC129" s="390"/>
      <c r="BD129" s="390"/>
      <c r="BE129" s="390"/>
      <c r="BF129" s="390"/>
      <c r="BG129" s="390"/>
      <c r="BH129" s="390"/>
    </row>
    <row r="130" spans="2:64">
      <c r="B130" s="385" t="str">
        <f>F57 &amp; " ("&amp; TEXT(E57,"0%") &amp;")"</f>
        <v>Reducing Balance (30%)</v>
      </c>
      <c r="D130" s="390"/>
      <c r="E130" s="390"/>
      <c r="F130" s="390"/>
      <c r="G130" s="390"/>
      <c r="H130" s="390"/>
      <c r="I130" s="390"/>
      <c r="J130" s="390"/>
      <c r="K130" s="390"/>
      <c r="L130" s="941"/>
      <c r="M130" s="390"/>
      <c r="N130" s="390"/>
      <c r="O130" s="543"/>
      <c r="P130" s="390"/>
      <c r="Q130" s="390"/>
      <c r="R130" s="390"/>
      <c r="S130" s="390"/>
      <c r="T130" s="390"/>
      <c r="U130" s="390"/>
      <c r="V130" s="390"/>
      <c r="W130" s="390"/>
      <c r="X130" s="981"/>
      <c r="Y130" s="390"/>
      <c r="Z130" s="390"/>
      <c r="AA130" s="543"/>
      <c r="AB130" s="390"/>
      <c r="AC130" s="390"/>
      <c r="AD130" s="390"/>
      <c r="AE130" s="390"/>
      <c r="AF130" s="390"/>
      <c r="AG130" s="390"/>
      <c r="AH130" s="390"/>
      <c r="AI130" s="390"/>
      <c r="AJ130" s="390"/>
      <c r="AK130" s="390"/>
      <c r="AL130" s="390"/>
      <c r="AM130" s="390"/>
      <c r="AN130" s="390"/>
      <c r="AO130" s="390"/>
      <c r="AP130" s="390"/>
      <c r="AQ130" s="390"/>
      <c r="AR130" s="390"/>
      <c r="AS130" s="390"/>
      <c r="AT130" s="390"/>
      <c r="AU130" s="390"/>
      <c r="AV130" s="390"/>
      <c r="AW130" s="390"/>
      <c r="AX130" s="390"/>
      <c r="AY130" s="390"/>
      <c r="AZ130" s="390"/>
      <c r="BA130" s="390"/>
      <c r="BB130" s="390"/>
      <c r="BC130" s="390"/>
      <c r="BD130" s="390"/>
      <c r="BE130" s="390"/>
      <c r="BF130" s="390"/>
      <c r="BG130" s="390"/>
      <c r="BH130" s="390"/>
    </row>
    <row r="131" spans="2:64" ht="15" customHeight="1">
      <c r="B131" s="457" t="s">
        <v>76</v>
      </c>
      <c r="D131" s="458">
        <v>0</v>
      </c>
      <c r="E131" s="459">
        <f t="shared" ref="E131:J131" si="48">D135</f>
        <v>2340</v>
      </c>
      <c r="F131" s="459">
        <f t="shared" si="48"/>
        <v>2280</v>
      </c>
      <c r="G131" s="459">
        <f t="shared" si="48"/>
        <v>2220</v>
      </c>
      <c r="H131" s="459">
        <f t="shared" si="48"/>
        <v>2160</v>
      </c>
      <c r="I131" s="459">
        <f t="shared" si="48"/>
        <v>2100</v>
      </c>
      <c r="J131" s="459">
        <f t="shared" si="48"/>
        <v>2040</v>
      </c>
      <c r="K131" s="459">
        <f t="shared" ref="K131:AM131" si="49">J135</f>
        <v>1980</v>
      </c>
      <c r="L131" s="965">
        <f t="shared" si="49"/>
        <v>1920</v>
      </c>
      <c r="M131" s="459">
        <f t="shared" si="49"/>
        <v>1860</v>
      </c>
      <c r="N131" s="459">
        <f t="shared" si="49"/>
        <v>1800</v>
      </c>
      <c r="O131" s="564">
        <f t="shared" si="49"/>
        <v>1740</v>
      </c>
      <c r="P131" s="459">
        <f>O135</f>
        <v>1680</v>
      </c>
      <c r="Q131" s="459">
        <f t="shared" si="49"/>
        <v>1638</v>
      </c>
      <c r="R131" s="459">
        <f t="shared" si="49"/>
        <v>1596</v>
      </c>
      <c r="S131" s="459">
        <f t="shared" si="49"/>
        <v>1554</v>
      </c>
      <c r="T131" s="459">
        <f t="shared" si="49"/>
        <v>1512</v>
      </c>
      <c r="U131" s="459">
        <f t="shared" si="49"/>
        <v>1470</v>
      </c>
      <c r="V131" s="459">
        <f t="shared" si="49"/>
        <v>1428</v>
      </c>
      <c r="W131" s="459">
        <f t="shared" si="49"/>
        <v>1386</v>
      </c>
      <c r="X131" s="1005">
        <f t="shared" si="49"/>
        <v>1344</v>
      </c>
      <c r="Y131" s="459">
        <f t="shared" si="49"/>
        <v>3735.6</v>
      </c>
      <c r="Z131" s="459">
        <f t="shared" si="49"/>
        <v>3631.2</v>
      </c>
      <c r="AA131" s="564">
        <f t="shared" si="49"/>
        <v>3526.7999999999997</v>
      </c>
      <c r="AB131" s="459">
        <f t="shared" si="49"/>
        <v>3422.3999999999996</v>
      </c>
      <c r="AC131" s="459">
        <f t="shared" si="49"/>
        <v>3336.8399999999997</v>
      </c>
      <c r="AD131" s="459">
        <f t="shared" si="49"/>
        <v>3251.2799999999997</v>
      </c>
      <c r="AE131" s="459">
        <f t="shared" si="49"/>
        <v>3165.72</v>
      </c>
      <c r="AF131" s="459">
        <f t="shared" si="49"/>
        <v>3080.16</v>
      </c>
      <c r="AG131" s="459">
        <f t="shared" si="49"/>
        <v>2994.6</v>
      </c>
      <c r="AH131" s="459">
        <f t="shared" si="49"/>
        <v>2909.04</v>
      </c>
      <c r="AI131" s="459">
        <f t="shared" si="49"/>
        <v>2823.48</v>
      </c>
      <c r="AJ131" s="459">
        <f t="shared" si="49"/>
        <v>2737.92</v>
      </c>
      <c r="AK131" s="459">
        <f t="shared" si="49"/>
        <v>2652.36</v>
      </c>
      <c r="AL131" s="459">
        <f t="shared" si="49"/>
        <v>2566.8000000000002</v>
      </c>
      <c r="AM131" s="459">
        <f t="shared" si="49"/>
        <v>2481.2400000000002</v>
      </c>
      <c r="AN131" s="459"/>
      <c r="AO131" s="390"/>
      <c r="AP131" s="390"/>
      <c r="AQ131" s="390"/>
      <c r="AR131" s="390"/>
      <c r="AS131" s="390"/>
      <c r="AT131" s="390"/>
      <c r="AU131" s="390"/>
      <c r="AV131" s="390"/>
      <c r="AW131" s="390"/>
      <c r="AX131" s="390"/>
      <c r="AY131" s="390"/>
      <c r="AZ131" s="390"/>
      <c r="BA131" s="390"/>
      <c r="BB131" s="390"/>
      <c r="BC131" s="390"/>
      <c r="BD131" s="390"/>
      <c r="BE131" s="390"/>
      <c r="BF131" s="390"/>
      <c r="BG131" s="390"/>
      <c r="BH131" s="390"/>
    </row>
    <row r="132" spans="2:64" ht="15" customHeight="1">
      <c r="B132" s="457" t="s">
        <v>77</v>
      </c>
      <c r="D132" s="459">
        <f>D57+D66+D71</f>
        <v>2400</v>
      </c>
      <c r="E132" s="459"/>
      <c r="F132" s="459"/>
      <c r="G132" s="459"/>
      <c r="H132" s="459"/>
      <c r="I132" s="459"/>
      <c r="J132" s="459"/>
      <c r="K132" s="459"/>
      <c r="L132" s="965"/>
      <c r="M132" s="459"/>
      <c r="N132" s="459"/>
      <c r="O132" s="564"/>
      <c r="P132" s="459"/>
      <c r="Q132" s="459"/>
      <c r="R132" s="459"/>
      <c r="S132" s="459"/>
      <c r="T132" s="459"/>
      <c r="U132" s="459"/>
      <c r="V132" s="459"/>
      <c r="W132" s="459"/>
      <c r="X132" s="1005">
        <f>J57+J66+J71</f>
        <v>2496</v>
      </c>
      <c r="Y132" s="459"/>
      <c r="Z132" s="459"/>
      <c r="AA132" s="564"/>
      <c r="AB132" s="459"/>
      <c r="AC132" s="459"/>
      <c r="AD132" s="459"/>
      <c r="AE132" s="459"/>
      <c r="AF132" s="459"/>
      <c r="AG132" s="459"/>
      <c r="AH132" s="459"/>
      <c r="AI132" s="459"/>
      <c r="AJ132" s="459"/>
      <c r="AK132" s="459"/>
      <c r="AL132" s="459"/>
      <c r="AM132" s="459"/>
      <c r="AN132" s="459"/>
      <c r="AO132" s="390"/>
      <c r="AP132" s="390"/>
      <c r="AQ132" s="390"/>
      <c r="AR132" s="390"/>
      <c r="AS132" s="390"/>
      <c r="AT132" s="390"/>
      <c r="AU132" s="390"/>
      <c r="AV132" s="390"/>
      <c r="AW132" s="390"/>
      <c r="AX132" s="390"/>
      <c r="AY132" s="390"/>
      <c r="AZ132" s="390"/>
      <c r="BA132" s="390"/>
      <c r="BB132" s="390"/>
      <c r="BC132" s="390"/>
      <c r="BD132" s="390"/>
      <c r="BE132" s="390"/>
      <c r="BF132" s="390"/>
      <c r="BG132" s="390"/>
      <c r="BH132" s="390"/>
    </row>
    <row r="133" spans="2:64" ht="15" customHeight="1">
      <c r="B133" s="457" t="s">
        <v>27</v>
      </c>
      <c r="D133" s="459">
        <f>SUM(D131:D132)</f>
        <v>2400</v>
      </c>
      <c r="E133" s="459">
        <f t="shared" ref="E133:AM133" si="50">SUM(E131:E132)</f>
        <v>2340</v>
      </c>
      <c r="F133" s="459">
        <f t="shared" si="50"/>
        <v>2280</v>
      </c>
      <c r="G133" s="459">
        <f t="shared" si="50"/>
        <v>2220</v>
      </c>
      <c r="H133" s="459">
        <f t="shared" si="50"/>
        <v>2160</v>
      </c>
      <c r="I133" s="459">
        <f t="shared" si="50"/>
        <v>2100</v>
      </c>
      <c r="J133" s="459">
        <f t="shared" si="50"/>
        <v>2040</v>
      </c>
      <c r="K133" s="459">
        <f t="shared" si="50"/>
        <v>1980</v>
      </c>
      <c r="L133" s="965">
        <f t="shared" si="50"/>
        <v>1920</v>
      </c>
      <c r="M133" s="459">
        <f t="shared" si="50"/>
        <v>1860</v>
      </c>
      <c r="N133" s="459">
        <f t="shared" si="50"/>
        <v>1800</v>
      </c>
      <c r="O133" s="564">
        <f t="shared" si="50"/>
        <v>1740</v>
      </c>
      <c r="P133" s="459">
        <f t="shared" si="50"/>
        <v>1680</v>
      </c>
      <c r="Q133" s="459">
        <f t="shared" si="50"/>
        <v>1638</v>
      </c>
      <c r="R133" s="459">
        <f t="shared" si="50"/>
        <v>1596</v>
      </c>
      <c r="S133" s="459">
        <f t="shared" si="50"/>
        <v>1554</v>
      </c>
      <c r="T133" s="459">
        <f t="shared" si="50"/>
        <v>1512</v>
      </c>
      <c r="U133" s="459">
        <f t="shared" si="50"/>
        <v>1470</v>
      </c>
      <c r="V133" s="459">
        <f t="shared" si="50"/>
        <v>1428</v>
      </c>
      <c r="W133" s="459">
        <f t="shared" si="50"/>
        <v>1386</v>
      </c>
      <c r="X133" s="1005">
        <f t="shared" si="50"/>
        <v>3840</v>
      </c>
      <c r="Y133" s="459">
        <f t="shared" si="50"/>
        <v>3735.6</v>
      </c>
      <c r="Z133" s="459">
        <f t="shared" si="50"/>
        <v>3631.2</v>
      </c>
      <c r="AA133" s="564">
        <f t="shared" si="50"/>
        <v>3526.7999999999997</v>
      </c>
      <c r="AB133" s="459">
        <f t="shared" si="50"/>
        <v>3422.3999999999996</v>
      </c>
      <c r="AC133" s="459">
        <f t="shared" si="50"/>
        <v>3336.8399999999997</v>
      </c>
      <c r="AD133" s="459">
        <f t="shared" si="50"/>
        <v>3251.2799999999997</v>
      </c>
      <c r="AE133" s="459">
        <f t="shared" si="50"/>
        <v>3165.72</v>
      </c>
      <c r="AF133" s="459">
        <f t="shared" si="50"/>
        <v>3080.16</v>
      </c>
      <c r="AG133" s="459">
        <f t="shared" si="50"/>
        <v>2994.6</v>
      </c>
      <c r="AH133" s="459">
        <f t="shared" si="50"/>
        <v>2909.04</v>
      </c>
      <c r="AI133" s="459">
        <f t="shared" si="50"/>
        <v>2823.48</v>
      </c>
      <c r="AJ133" s="459">
        <f t="shared" si="50"/>
        <v>2737.92</v>
      </c>
      <c r="AK133" s="459">
        <f t="shared" si="50"/>
        <v>2652.36</v>
      </c>
      <c r="AL133" s="459">
        <f t="shared" si="50"/>
        <v>2566.8000000000002</v>
      </c>
      <c r="AM133" s="459">
        <f t="shared" si="50"/>
        <v>2481.2400000000002</v>
      </c>
      <c r="AN133" s="459"/>
      <c r="AO133" s="390"/>
      <c r="AP133" s="390"/>
      <c r="AQ133" s="390"/>
      <c r="AR133" s="390"/>
      <c r="AS133" s="390"/>
      <c r="AT133" s="390"/>
      <c r="AU133" s="390"/>
      <c r="AV133" s="390"/>
      <c r="AW133" s="390"/>
      <c r="AX133" s="390"/>
      <c r="AY133" s="390"/>
      <c r="AZ133" s="390"/>
      <c r="BA133" s="390"/>
      <c r="BB133" s="390"/>
      <c r="BC133" s="390"/>
      <c r="BD133" s="390"/>
      <c r="BE133" s="390"/>
      <c r="BF133" s="390"/>
      <c r="BG133" s="390"/>
      <c r="BH133" s="390"/>
    </row>
    <row r="134" spans="2:64" ht="15" customHeight="1">
      <c r="B134" s="460" t="s">
        <v>78</v>
      </c>
      <c r="C134" s="461"/>
      <c r="D134" s="462">
        <f t="shared" ref="D134:O134" si="51">-$D$132*$E$57/12</f>
        <v>-60</v>
      </c>
      <c r="E134" s="462">
        <f t="shared" si="51"/>
        <v>-60</v>
      </c>
      <c r="F134" s="462">
        <f t="shared" si="51"/>
        <v>-60</v>
      </c>
      <c r="G134" s="462">
        <f t="shared" si="51"/>
        <v>-60</v>
      </c>
      <c r="H134" s="462">
        <f t="shared" si="51"/>
        <v>-60</v>
      </c>
      <c r="I134" s="462">
        <f t="shared" si="51"/>
        <v>-60</v>
      </c>
      <c r="J134" s="462">
        <f t="shared" si="51"/>
        <v>-60</v>
      </c>
      <c r="K134" s="462">
        <f t="shared" si="51"/>
        <v>-60</v>
      </c>
      <c r="L134" s="966">
        <f t="shared" si="51"/>
        <v>-60</v>
      </c>
      <c r="M134" s="462">
        <f t="shared" si="51"/>
        <v>-60</v>
      </c>
      <c r="N134" s="462">
        <f t="shared" si="51"/>
        <v>-60</v>
      </c>
      <c r="O134" s="628">
        <f t="shared" si="51"/>
        <v>-60</v>
      </c>
      <c r="P134" s="462">
        <f t="shared" ref="P134:W134" si="52">-$O$135*$E$57/12</f>
        <v>-42</v>
      </c>
      <c r="Q134" s="462">
        <f t="shared" si="52"/>
        <v>-42</v>
      </c>
      <c r="R134" s="462">
        <f t="shared" si="52"/>
        <v>-42</v>
      </c>
      <c r="S134" s="462">
        <f t="shared" si="52"/>
        <v>-42</v>
      </c>
      <c r="T134" s="462">
        <f t="shared" si="52"/>
        <v>-42</v>
      </c>
      <c r="U134" s="462">
        <f t="shared" si="52"/>
        <v>-42</v>
      </c>
      <c r="V134" s="462">
        <f t="shared" si="52"/>
        <v>-42</v>
      </c>
      <c r="W134" s="462">
        <f t="shared" si="52"/>
        <v>-42</v>
      </c>
      <c r="X134" s="1006">
        <f>-$O$135*$E$57/12-$X$132*$E$57/12</f>
        <v>-104.4</v>
      </c>
      <c r="Y134" s="462">
        <f>-$O$135*$E$57/12-$X$132*$E$57/12</f>
        <v>-104.4</v>
      </c>
      <c r="Z134" s="462">
        <f>-$O$135*$E$57/12-$X$132*$E$57/12</f>
        <v>-104.4</v>
      </c>
      <c r="AA134" s="628">
        <f>-$O$135*$E$57/12-$X$132*$E$57/12</f>
        <v>-104.4</v>
      </c>
      <c r="AB134" s="462">
        <f t="shared" ref="AB134:AM134" si="53">-$AA$135*$E$57/12</f>
        <v>-85.559999999999988</v>
      </c>
      <c r="AC134" s="462">
        <f t="shared" si="53"/>
        <v>-85.559999999999988</v>
      </c>
      <c r="AD134" s="462">
        <f t="shared" si="53"/>
        <v>-85.559999999999988</v>
      </c>
      <c r="AE134" s="462">
        <f t="shared" si="53"/>
        <v>-85.559999999999988</v>
      </c>
      <c r="AF134" s="462">
        <f t="shared" si="53"/>
        <v>-85.559999999999988</v>
      </c>
      <c r="AG134" s="462">
        <f t="shared" si="53"/>
        <v>-85.559999999999988</v>
      </c>
      <c r="AH134" s="462">
        <f t="shared" si="53"/>
        <v>-85.559999999999988</v>
      </c>
      <c r="AI134" s="462">
        <f t="shared" si="53"/>
        <v>-85.559999999999988</v>
      </c>
      <c r="AJ134" s="462">
        <f t="shared" si="53"/>
        <v>-85.559999999999988</v>
      </c>
      <c r="AK134" s="462">
        <f t="shared" si="53"/>
        <v>-85.559999999999988</v>
      </c>
      <c r="AL134" s="462">
        <f t="shared" si="53"/>
        <v>-85.559999999999988</v>
      </c>
      <c r="AM134" s="462">
        <f t="shared" si="53"/>
        <v>-85.559999999999988</v>
      </c>
      <c r="AN134" s="459"/>
      <c r="AO134" s="390"/>
      <c r="AP134" s="390"/>
      <c r="AQ134" s="390"/>
      <c r="AR134" s="390"/>
      <c r="AS134" s="390"/>
      <c r="AT134" s="390"/>
      <c r="AU134" s="390"/>
      <c r="AV134" s="390"/>
      <c r="AW134" s="390"/>
      <c r="AX134" s="390"/>
      <c r="AY134" s="390"/>
      <c r="AZ134" s="390"/>
      <c r="BA134" s="390"/>
      <c r="BB134" s="390"/>
      <c r="BC134" s="390"/>
      <c r="BD134" s="390"/>
      <c r="BE134" s="390"/>
      <c r="BF134" s="390"/>
      <c r="BG134" s="390"/>
      <c r="BH134" s="390"/>
    </row>
    <row r="135" spans="2:64" ht="15" customHeight="1">
      <c r="B135" s="457" t="s">
        <v>433</v>
      </c>
      <c r="D135" s="459">
        <f>SUM(D133:D134)</f>
        <v>2340</v>
      </c>
      <c r="E135" s="459">
        <f t="shared" ref="E135:AM135" si="54">SUM(E133:E134)</f>
        <v>2280</v>
      </c>
      <c r="F135" s="459">
        <f t="shared" si="54"/>
        <v>2220</v>
      </c>
      <c r="G135" s="459">
        <f t="shared" si="54"/>
        <v>2160</v>
      </c>
      <c r="H135" s="459">
        <f t="shared" si="54"/>
        <v>2100</v>
      </c>
      <c r="I135" s="459">
        <f t="shared" si="54"/>
        <v>2040</v>
      </c>
      <c r="J135" s="459">
        <f t="shared" si="54"/>
        <v>1980</v>
      </c>
      <c r="K135" s="459">
        <f t="shared" si="54"/>
        <v>1920</v>
      </c>
      <c r="L135" s="965">
        <f t="shared" si="54"/>
        <v>1860</v>
      </c>
      <c r="M135" s="459">
        <f t="shared" si="54"/>
        <v>1800</v>
      </c>
      <c r="N135" s="459">
        <f t="shared" si="54"/>
        <v>1740</v>
      </c>
      <c r="O135" s="564">
        <f t="shared" si="54"/>
        <v>1680</v>
      </c>
      <c r="P135" s="459">
        <f t="shared" si="54"/>
        <v>1638</v>
      </c>
      <c r="Q135" s="459">
        <f t="shared" si="54"/>
        <v>1596</v>
      </c>
      <c r="R135" s="459">
        <f t="shared" si="54"/>
        <v>1554</v>
      </c>
      <c r="S135" s="459">
        <f t="shared" si="54"/>
        <v>1512</v>
      </c>
      <c r="T135" s="459">
        <f t="shared" si="54"/>
        <v>1470</v>
      </c>
      <c r="U135" s="459">
        <f t="shared" si="54"/>
        <v>1428</v>
      </c>
      <c r="V135" s="459">
        <f t="shared" si="54"/>
        <v>1386</v>
      </c>
      <c r="W135" s="459">
        <f t="shared" si="54"/>
        <v>1344</v>
      </c>
      <c r="X135" s="1005">
        <f t="shared" si="54"/>
        <v>3735.6</v>
      </c>
      <c r="Y135" s="459">
        <f t="shared" si="54"/>
        <v>3631.2</v>
      </c>
      <c r="Z135" s="459">
        <f t="shared" si="54"/>
        <v>3526.7999999999997</v>
      </c>
      <c r="AA135" s="564">
        <f t="shared" si="54"/>
        <v>3422.3999999999996</v>
      </c>
      <c r="AB135" s="459">
        <f t="shared" si="54"/>
        <v>3336.8399999999997</v>
      </c>
      <c r="AC135" s="459">
        <f t="shared" si="54"/>
        <v>3251.2799999999997</v>
      </c>
      <c r="AD135" s="459">
        <f t="shared" si="54"/>
        <v>3165.72</v>
      </c>
      <c r="AE135" s="459">
        <f t="shared" si="54"/>
        <v>3080.16</v>
      </c>
      <c r="AF135" s="459">
        <f t="shared" si="54"/>
        <v>2994.6</v>
      </c>
      <c r="AG135" s="459">
        <f t="shared" si="54"/>
        <v>2909.04</v>
      </c>
      <c r="AH135" s="459">
        <f t="shared" si="54"/>
        <v>2823.48</v>
      </c>
      <c r="AI135" s="459">
        <f t="shared" si="54"/>
        <v>2737.92</v>
      </c>
      <c r="AJ135" s="459">
        <f t="shared" si="54"/>
        <v>2652.36</v>
      </c>
      <c r="AK135" s="459">
        <f t="shared" si="54"/>
        <v>2566.8000000000002</v>
      </c>
      <c r="AL135" s="459">
        <f t="shared" si="54"/>
        <v>2481.2400000000002</v>
      </c>
      <c r="AM135" s="459">
        <f t="shared" si="54"/>
        <v>2395.6800000000003</v>
      </c>
      <c r="AN135" s="459"/>
      <c r="AO135" s="390"/>
      <c r="AP135" s="390"/>
      <c r="AQ135" s="390"/>
      <c r="AR135" s="390"/>
      <c r="AS135" s="390"/>
      <c r="AT135" s="390"/>
      <c r="AU135" s="390"/>
      <c r="AV135" s="390"/>
      <c r="AW135" s="390"/>
      <c r="AX135" s="390"/>
      <c r="AY135" s="390"/>
      <c r="AZ135" s="390"/>
      <c r="BA135" s="390"/>
      <c r="BB135" s="390"/>
      <c r="BC135" s="390"/>
      <c r="BD135" s="390"/>
      <c r="BE135" s="390"/>
      <c r="BF135" s="390"/>
      <c r="BG135" s="390"/>
      <c r="BH135" s="390"/>
    </row>
    <row r="136" spans="2:64" ht="15" customHeight="1">
      <c r="B136" s="457"/>
      <c r="D136" s="459"/>
      <c r="E136" s="459"/>
      <c r="F136" s="459"/>
      <c r="G136" s="459"/>
      <c r="H136" s="459"/>
      <c r="I136" s="459"/>
      <c r="J136" s="459"/>
      <c r="K136" s="459"/>
      <c r="L136" s="965"/>
      <c r="M136" s="459"/>
      <c r="N136" s="459"/>
      <c r="O136" s="564"/>
      <c r="P136" s="459"/>
      <c r="Q136" s="459"/>
      <c r="R136" s="459"/>
      <c r="S136" s="459"/>
      <c r="T136" s="459"/>
      <c r="U136" s="459"/>
      <c r="V136" s="459"/>
      <c r="W136" s="459"/>
      <c r="X136" s="1005"/>
      <c r="Y136" s="459"/>
      <c r="Z136" s="459"/>
      <c r="AA136" s="564"/>
      <c r="AB136" s="459"/>
      <c r="AC136" s="459"/>
      <c r="AD136" s="459"/>
      <c r="AE136" s="459"/>
      <c r="AF136" s="459"/>
      <c r="AG136" s="459"/>
      <c r="AH136" s="459"/>
      <c r="AI136" s="459"/>
      <c r="AJ136" s="459"/>
      <c r="AK136" s="459"/>
      <c r="AL136" s="459"/>
      <c r="AM136" s="459"/>
      <c r="AN136" s="459"/>
      <c r="AO136" s="390"/>
      <c r="AP136" s="390"/>
      <c r="AQ136" s="390"/>
      <c r="AR136" s="390"/>
      <c r="AS136" s="390"/>
      <c r="AT136" s="390"/>
      <c r="AU136" s="390"/>
      <c r="AV136" s="390"/>
      <c r="AW136" s="390"/>
      <c r="AX136" s="390"/>
      <c r="AY136" s="390"/>
      <c r="AZ136" s="390"/>
      <c r="BA136" s="390"/>
      <c r="BB136" s="390"/>
      <c r="BC136" s="390"/>
      <c r="BD136" s="390"/>
      <c r="BE136" s="390"/>
      <c r="BF136" s="390"/>
      <c r="BG136" s="390"/>
      <c r="BH136" s="390"/>
    </row>
    <row r="137" spans="2:64" ht="15" customHeight="1">
      <c r="B137" s="465" t="s">
        <v>430</v>
      </c>
      <c r="D137" s="459">
        <f>D128+D135</f>
        <v>12131.666666666666</v>
      </c>
      <c r="E137" s="459">
        <f t="shared" ref="E137:AM137" si="55">E128+E135</f>
        <v>11863.333333333332</v>
      </c>
      <c r="F137" s="459">
        <f t="shared" si="55"/>
        <v>11594.999999999998</v>
      </c>
      <c r="G137" s="459">
        <f t="shared" si="55"/>
        <v>11326.666666666664</v>
      </c>
      <c r="H137" s="459">
        <f t="shared" si="55"/>
        <v>11058.33333333333</v>
      </c>
      <c r="I137" s="459">
        <f t="shared" si="55"/>
        <v>10789.999999999996</v>
      </c>
      <c r="J137" s="459">
        <f t="shared" si="55"/>
        <v>10521.666666666662</v>
      </c>
      <c r="K137" s="459">
        <f t="shared" si="55"/>
        <v>10253.333333333328</v>
      </c>
      <c r="L137" s="965">
        <f t="shared" si="55"/>
        <v>9984.9999999999964</v>
      </c>
      <c r="M137" s="459">
        <f t="shared" si="55"/>
        <v>9716.6666666666624</v>
      </c>
      <c r="N137" s="459">
        <f t="shared" si="55"/>
        <v>9448.3333333333285</v>
      </c>
      <c r="O137" s="564">
        <f t="shared" si="55"/>
        <v>9179.9999999999964</v>
      </c>
      <c r="P137" s="459">
        <f t="shared" si="55"/>
        <v>8950.4999999999964</v>
      </c>
      <c r="Q137" s="459">
        <f t="shared" si="55"/>
        <v>8720.9999999999964</v>
      </c>
      <c r="R137" s="459">
        <f t="shared" si="55"/>
        <v>8491.4999999999964</v>
      </c>
      <c r="S137" s="459">
        <f t="shared" si="55"/>
        <v>8261.9999999999964</v>
      </c>
      <c r="T137" s="459">
        <f t="shared" si="55"/>
        <v>8032.4999999999964</v>
      </c>
      <c r="U137" s="459">
        <f t="shared" si="55"/>
        <v>7802.9999999999964</v>
      </c>
      <c r="V137" s="459">
        <f t="shared" si="55"/>
        <v>7573.4999999999964</v>
      </c>
      <c r="W137" s="459">
        <f t="shared" si="55"/>
        <v>7343.9999999999964</v>
      </c>
      <c r="X137" s="1005">
        <f t="shared" si="55"/>
        <v>19688.099999999995</v>
      </c>
      <c r="Y137" s="459">
        <f t="shared" si="55"/>
        <v>19136.199999999997</v>
      </c>
      <c r="Z137" s="459">
        <f t="shared" si="55"/>
        <v>18584.299999999996</v>
      </c>
      <c r="AA137" s="564">
        <f t="shared" si="55"/>
        <v>18032.399999999994</v>
      </c>
      <c r="AB137" s="459">
        <f t="shared" si="55"/>
        <v>17581.589999999997</v>
      </c>
      <c r="AC137" s="459">
        <f t="shared" si="55"/>
        <v>17130.779999999995</v>
      </c>
      <c r="AD137" s="459">
        <f t="shared" si="55"/>
        <v>16679.969999999998</v>
      </c>
      <c r="AE137" s="459">
        <f t="shared" si="55"/>
        <v>16229.159999999996</v>
      </c>
      <c r="AF137" s="459">
        <f t="shared" si="55"/>
        <v>15778.349999999997</v>
      </c>
      <c r="AG137" s="459">
        <f t="shared" si="55"/>
        <v>15327.539999999997</v>
      </c>
      <c r="AH137" s="459">
        <f t="shared" si="55"/>
        <v>14876.729999999996</v>
      </c>
      <c r="AI137" s="459">
        <f t="shared" si="55"/>
        <v>14425.919999999996</v>
      </c>
      <c r="AJ137" s="459">
        <f t="shared" si="55"/>
        <v>13975.109999999997</v>
      </c>
      <c r="AK137" s="459">
        <f t="shared" si="55"/>
        <v>13524.299999999996</v>
      </c>
      <c r="AL137" s="459">
        <f t="shared" si="55"/>
        <v>13073.489999999996</v>
      </c>
      <c r="AM137" s="459">
        <f t="shared" si="55"/>
        <v>12622.679999999997</v>
      </c>
      <c r="AN137" s="459"/>
      <c r="AO137" s="390"/>
      <c r="AP137" s="390"/>
      <c r="AQ137" s="390"/>
      <c r="AR137" s="390"/>
      <c r="AS137" s="390"/>
      <c r="AT137" s="390"/>
      <c r="AU137" s="390"/>
      <c r="AV137" s="390"/>
      <c r="AW137" s="390"/>
      <c r="AX137" s="390"/>
      <c r="AY137" s="390"/>
      <c r="AZ137" s="390"/>
      <c r="BA137" s="390"/>
      <c r="BB137" s="390"/>
      <c r="BC137" s="390"/>
      <c r="BD137" s="390"/>
      <c r="BE137" s="390"/>
      <c r="BF137" s="390"/>
      <c r="BG137" s="390"/>
      <c r="BH137" s="390"/>
    </row>
    <row r="138" spans="2:64" ht="15" customHeight="1">
      <c r="B138" s="457"/>
      <c r="D138" s="459"/>
      <c r="E138" s="459"/>
      <c r="F138" s="459"/>
      <c r="G138" s="459"/>
      <c r="H138" s="459"/>
      <c r="I138" s="459"/>
      <c r="J138" s="459"/>
      <c r="K138" s="459"/>
      <c r="L138" s="965"/>
      <c r="M138" s="459"/>
      <c r="N138" s="459"/>
      <c r="O138" s="564"/>
      <c r="P138" s="459"/>
      <c r="Q138" s="459"/>
      <c r="R138" s="459"/>
      <c r="S138" s="459"/>
      <c r="T138" s="459"/>
      <c r="U138" s="459"/>
      <c r="V138" s="459"/>
      <c r="W138" s="459"/>
      <c r="X138" s="1005"/>
      <c r="Y138" s="459"/>
      <c r="Z138" s="459"/>
      <c r="AA138" s="564"/>
      <c r="AB138" s="459"/>
      <c r="AC138" s="459"/>
      <c r="AD138" s="459"/>
      <c r="AE138" s="459"/>
      <c r="AF138" s="459"/>
      <c r="AG138" s="459"/>
      <c r="AH138" s="459"/>
      <c r="AI138" s="459"/>
      <c r="AJ138" s="459"/>
      <c r="AK138" s="459"/>
      <c r="AL138" s="459"/>
      <c r="AM138" s="459"/>
      <c r="AN138" s="459"/>
      <c r="AO138" s="390"/>
      <c r="AP138" s="390"/>
      <c r="AQ138" s="390"/>
      <c r="AR138" s="390"/>
      <c r="AS138" s="390"/>
      <c r="AT138" s="390"/>
      <c r="AU138" s="390"/>
      <c r="AV138" s="390"/>
      <c r="AW138" s="390"/>
      <c r="AX138" s="390"/>
      <c r="AY138" s="390"/>
      <c r="AZ138" s="390"/>
      <c r="BA138" s="390"/>
      <c r="BB138" s="390"/>
      <c r="BC138" s="390"/>
      <c r="BD138" s="390"/>
      <c r="BE138" s="390"/>
      <c r="BF138" s="390"/>
      <c r="BG138" s="390"/>
      <c r="BH138" s="390"/>
    </row>
    <row r="139" spans="2:64" ht="15" customHeight="1">
      <c r="B139" s="385" t="str">
        <f>F58 &amp; " ("&amp; E58 &amp;" years)"</f>
        <v>Straight Line (3 years)</v>
      </c>
      <c r="D139" s="459"/>
      <c r="E139" s="459"/>
      <c r="F139" s="459"/>
      <c r="G139" s="459"/>
      <c r="H139" s="459"/>
      <c r="I139" s="459"/>
      <c r="J139" s="459"/>
      <c r="K139" s="459"/>
      <c r="L139" s="965"/>
      <c r="M139" s="459"/>
      <c r="N139" s="459"/>
      <c r="O139" s="564"/>
      <c r="P139" s="459"/>
      <c r="Q139" s="459"/>
      <c r="R139" s="459"/>
      <c r="S139" s="459"/>
      <c r="T139" s="459"/>
      <c r="U139" s="459"/>
      <c r="V139" s="459"/>
      <c r="W139" s="459"/>
      <c r="X139" s="1005"/>
      <c r="Y139" s="459"/>
      <c r="Z139" s="459"/>
      <c r="AA139" s="564"/>
      <c r="AB139" s="459"/>
      <c r="AC139" s="459"/>
      <c r="AD139" s="459"/>
      <c r="AE139" s="459"/>
      <c r="AF139" s="459"/>
      <c r="AG139" s="459"/>
      <c r="AH139" s="459"/>
      <c r="AI139" s="459"/>
      <c r="AJ139" s="459"/>
      <c r="AK139" s="459"/>
      <c r="AL139" s="459"/>
      <c r="AM139" s="459"/>
      <c r="AN139" s="459"/>
      <c r="AO139" s="390"/>
      <c r="AP139" s="390"/>
      <c r="AQ139" s="390"/>
      <c r="AR139" s="390"/>
      <c r="AS139" s="390"/>
      <c r="AT139" s="390"/>
      <c r="AU139" s="390"/>
      <c r="AV139" s="390"/>
      <c r="AW139" s="390"/>
      <c r="AX139" s="390"/>
      <c r="AY139" s="390"/>
      <c r="AZ139" s="390"/>
      <c r="BA139" s="390"/>
      <c r="BB139" s="390"/>
      <c r="BC139" s="390"/>
      <c r="BD139" s="390"/>
      <c r="BE139" s="390"/>
      <c r="BF139" s="390"/>
      <c r="BG139" s="390"/>
      <c r="BH139" s="390"/>
    </row>
    <row r="140" spans="2:64" s="388" customFormat="1" ht="15" customHeight="1">
      <c r="B140" s="457" t="s">
        <v>76</v>
      </c>
      <c r="C140" s="463"/>
      <c r="D140" s="458">
        <v>0</v>
      </c>
      <c r="E140" s="459">
        <f t="shared" ref="E140:J140" si="56">D144</f>
        <v>77.777777777777771</v>
      </c>
      <c r="F140" s="459">
        <f t="shared" si="56"/>
        <v>75.555555555555543</v>
      </c>
      <c r="G140" s="459">
        <f t="shared" si="56"/>
        <v>73.333333333333314</v>
      </c>
      <c r="H140" s="459">
        <f t="shared" si="56"/>
        <v>71.111111111111086</v>
      </c>
      <c r="I140" s="459">
        <f t="shared" si="56"/>
        <v>68.888888888888857</v>
      </c>
      <c r="J140" s="459">
        <f t="shared" si="56"/>
        <v>66.666666666666629</v>
      </c>
      <c r="K140" s="459">
        <f t="shared" ref="K140:AM140" si="57">J144</f>
        <v>64.4444444444444</v>
      </c>
      <c r="L140" s="965">
        <f t="shared" si="57"/>
        <v>62.222222222222179</v>
      </c>
      <c r="M140" s="459">
        <f t="shared" si="57"/>
        <v>59.999999999999957</v>
      </c>
      <c r="N140" s="459">
        <f t="shared" si="57"/>
        <v>57.777777777777736</v>
      </c>
      <c r="O140" s="564">
        <f t="shared" si="57"/>
        <v>55.555555555555515</v>
      </c>
      <c r="P140" s="459">
        <f>O144</f>
        <v>53.333333333333293</v>
      </c>
      <c r="Q140" s="459">
        <f t="shared" si="57"/>
        <v>51.111111111111072</v>
      </c>
      <c r="R140" s="459">
        <f t="shared" si="57"/>
        <v>48.88888888888885</v>
      </c>
      <c r="S140" s="459">
        <f t="shared" si="57"/>
        <v>46.666666666666629</v>
      </c>
      <c r="T140" s="459">
        <f t="shared" si="57"/>
        <v>44.444444444444407</v>
      </c>
      <c r="U140" s="459">
        <f t="shared" si="57"/>
        <v>42.222222222222186</v>
      </c>
      <c r="V140" s="459">
        <f t="shared" si="57"/>
        <v>39.999999999999964</v>
      </c>
      <c r="W140" s="459">
        <f t="shared" si="57"/>
        <v>37.777777777777743</v>
      </c>
      <c r="X140" s="1005">
        <f t="shared" si="57"/>
        <v>35.555555555555522</v>
      </c>
      <c r="Y140" s="459">
        <f t="shared" si="57"/>
        <v>115.45679012345677</v>
      </c>
      <c r="Z140" s="459">
        <f t="shared" si="57"/>
        <v>112.15802469135801</v>
      </c>
      <c r="AA140" s="564">
        <f t="shared" si="57"/>
        <v>108.85925925925925</v>
      </c>
      <c r="AB140" s="459">
        <f t="shared" si="57"/>
        <v>105.56049382716049</v>
      </c>
      <c r="AC140" s="459">
        <f t="shared" si="57"/>
        <v>102.26172839506172</v>
      </c>
      <c r="AD140" s="459">
        <f t="shared" si="57"/>
        <v>98.962962962962962</v>
      </c>
      <c r="AE140" s="459">
        <f t="shared" si="57"/>
        <v>95.6641975308642</v>
      </c>
      <c r="AF140" s="459">
        <f t="shared" si="57"/>
        <v>92.365432098765439</v>
      </c>
      <c r="AG140" s="459">
        <f t="shared" si="57"/>
        <v>89.066666666666677</v>
      </c>
      <c r="AH140" s="459">
        <f t="shared" si="57"/>
        <v>85.767901234567915</v>
      </c>
      <c r="AI140" s="459">
        <f t="shared" si="57"/>
        <v>82.469135802469154</v>
      </c>
      <c r="AJ140" s="459">
        <f t="shared" si="57"/>
        <v>79.170370370370392</v>
      </c>
      <c r="AK140" s="459">
        <f t="shared" si="57"/>
        <v>75.871604938271631</v>
      </c>
      <c r="AL140" s="459">
        <f t="shared" si="57"/>
        <v>72.572839506172869</v>
      </c>
      <c r="AM140" s="459">
        <f t="shared" si="57"/>
        <v>69.274074074074107</v>
      </c>
      <c r="AN140" s="459"/>
      <c r="AO140" s="390"/>
      <c r="AP140" s="390"/>
      <c r="AQ140" s="390"/>
      <c r="AR140" s="390"/>
      <c r="AS140" s="390"/>
      <c r="AT140" s="390"/>
      <c r="AU140" s="390"/>
      <c r="AV140" s="390"/>
      <c r="AW140" s="390"/>
      <c r="AX140" s="390"/>
      <c r="AY140" s="390"/>
      <c r="AZ140" s="390"/>
      <c r="BA140" s="390"/>
      <c r="BB140" s="390"/>
      <c r="BC140" s="390"/>
      <c r="BD140" s="390"/>
      <c r="BE140" s="390"/>
      <c r="BF140" s="390"/>
      <c r="BG140" s="390"/>
      <c r="BH140" s="390"/>
      <c r="BI140" s="463"/>
      <c r="BJ140" s="463"/>
      <c r="BK140" s="463"/>
      <c r="BL140" s="463"/>
    </row>
    <row r="141" spans="2:64" s="388" customFormat="1" ht="15" customHeight="1">
      <c r="B141" s="457" t="s">
        <v>77</v>
      </c>
      <c r="C141" s="463"/>
      <c r="D141" s="459">
        <f>D58</f>
        <v>80</v>
      </c>
      <c r="E141" s="459"/>
      <c r="F141" s="459"/>
      <c r="G141" s="459"/>
      <c r="H141" s="459"/>
      <c r="I141" s="459"/>
      <c r="J141" s="459"/>
      <c r="K141" s="459"/>
      <c r="L141" s="965"/>
      <c r="M141" s="459"/>
      <c r="N141" s="459"/>
      <c r="O141" s="564"/>
      <c r="P141" s="459"/>
      <c r="Q141" s="459"/>
      <c r="R141" s="459"/>
      <c r="S141" s="459"/>
      <c r="T141" s="459"/>
      <c r="U141" s="459"/>
      <c r="V141" s="459"/>
      <c r="W141" s="459"/>
      <c r="X141" s="1005">
        <f>J58</f>
        <v>83.2</v>
      </c>
      <c r="Y141" s="459"/>
      <c r="Z141" s="459"/>
      <c r="AA141" s="564"/>
      <c r="AB141" s="459"/>
      <c r="AC141" s="459"/>
      <c r="AD141" s="459"/>
      <c r="AE141" s="459"/>
      <c r="AF141" s="459"/>
      <c r="AG141" s="459"/>
      <c r="AH141" s="459"/>
      <c r="AI141" s="459"/>
      <c r="AJ141" s="459"/>
      <c r="AK141" s="459"/>
      <c r="AL141" s="459"/>
      <c r="AM141" s="459"/>
      <c r="AN141" s="459"/>
      <c r="AO141" s="390"/>
      <c r="AP141" s="390"/>
      <c r="AQ141" s="390"/>
      <c r="AR141" s="390"/>
      <c r="AS141" s="390"/>
      <c r="AT141" s="390"/>
      <c r="AU141" s="390"/>
      <c r="AV141" s="390"/>
      <c r="AW141" s="390"/>
      <c r="AX141" s="390"/>
      <c r="AY141" s="390"/>
      <c r="AZ141" s="390"/>
      <c r="BA141" s="390"/>
      <c r="BB141" s="390"/>
      <c r="BC141" s="390"/>
      <c r="BD141" s="390"/>
      <c r="BE141" s="390"/>
      <c r="BF141" s="390"/>
      <c r="BG141" s="390"/>
      <c r="BH141" s="390"/>
      <c r="BI141" s="463"/>
      <c r="BJ141" s="463"/>
      <c r="BK141" s="463"/>
      <c r="BL141" s="463"/>
    </row>
    <row r="142" spans="2:64" ht="15" customHeight="1">
      <c r="B142" s="457" t="s">
        <v>27</v>
      </c>
      <c r="D142" s="459">
        <f>SUM(D140:D141)</f>
        <v>80</v>
      </c>
      <c r="E142" s="459">
        <f t="shared" ref="E142:AM142" si="58">SUM(E140:E141)</f>
        <v>77.777777777777771</v>
      </c>
      <c r="F142" s="459">
        <f t="shared" si="58"/>
        <v>75.555555555555543</v>
      </c>
      <c r="G142" s="459">
        <f t="shared" si="58"/>
        <v>73.333333333333314</v>
      </c>
      <c r="H142" s="459">
        <f t="shared" si="58"/>
        <v>71.111111111111086</v>
      </c>
      <c r="I142" s="459">
        <f t="shared" si="58"/>
        <v>68.888888888888857</v>
      </c>
      <c r="J142" s="459">
        <f t="shared" si="58"/>
        <v>66.666666666666629</v>
      </c>
      <c r="K142" s="459">
        <f t="shared" si="58"/>
        <v>64.4444444444444</v>
      </c>
      <c r="L142" s="965">
        <f t="shared" si="58"/>
        <v>62.222222222222179</v>
      </c>
      <c r="M142" s="459">
        <f t="shared" si="58"/>
        <v>59.999999999999957</v>
      </c>
      <c r="N142" s="459">
        <f t="shared" si="58"/>
        <v>57.777777777777736</v>
      </c>
      <c r="O142" s="564">
        <f t="shared" si="58"/>
        <v>55.555555555555515</v>
      </c>
      <c r="P142" s="459">
        <f t="shared" si="58"/>
        <v>53.333333333333293</v>
      </c>
      <c r="Q142" s="459">
        <f t="shared" si="58"/>
        <v>51.111111111111072</v>
      </c>
      <c r="R142" s="459">
        <f t="shared" si="58"/>
        <v>48.88888888888885</v>
      </c>
      <c r="S142" s="459">
        <f t="shared" si="58"/>
        <v>46.666666666666629</v>
      </c>
      <c r="T142" s="459">
        <f t="shared" si="58"/>
        <v>44.444444444444407</v>
      </c>
      <c r="U142" s="459">
        <f t="shared" si="58"/>
        <v>42.222222222222186</v>
      </c>
      <c r="V142" s="459">
        <f t="shared" si="58"/>
        <v>39.999999999999964</v>
      </c>
      <c r="W142" s="459">
        <f t="shared" si="58"/>
        <v>37.777777777777743</v>
      </c>
      <c r="X142" s="1005">
        <f t="shared" si="58"/>
        <v>118.75555555555553</v>
      </c>
      <c r="Y142" s="459">
        <f t="shared" si="58"/>
        <v>115.45679012345677</v>
      </c>
      <c r="Z142" s="459">
        <f t="shared" si="58"/>
        <v>112.15802469135801</v>
      </c>
      <c r="AA142" s="564">
        <f t="shared" si="58"/>
        <v>108.85925925925925</v>
      </c>
      <c r="AB142" s="459">
        <f t="shared" si="58"/>
        <v>105.56049382716049</v>
      </c>
      <c r="AC142" s="459">
        <f t="shared" si="58"/>
        <v>102.26172839506172</v>
      </c>
      <c r="AD142" s="459">
        <f t="shared" si="58"/>
        <v>98.962962962962962</v>
      </c>
      <c r="AE142" s="459">
        <f t="shared" si="58"/>
        <v>95.6641975308642</v>
      </c>
      <c r="AF142" s="459">
        <f t="shared" si="58"/>
        <v>92.365432098765439</v>
      </c>
      <c r="AG142" s="459">
        <f t="shared" si="58"/>
        <v>89.066666666666677</v>
      </c>
      <c r="AH142" s="459">
        <f t="shared" si="58"/>
        <v>85.767901234567915</v>
      </c>
      <c r="AI142" s="459">
        <f t="shared" si="58"/>
        <v>82.469135802469154</v>
      </c>
      <c r="AJ142" s="459">
        <f t="shared" si="58"/>
        <v>79.170370370370392</v>
      </c>
      <c r="AK142" s="459">
        <f t="shared" si="58"/>
        <v>75.871604938271631</v>
      </c>
      <c r="AL142" s="459">
        <f t="shared" si="58"/>
        <v>72.572839506172869</v>
      </c>
      <c r="AM142" s="459">
        <f t="shared" si="58"/>
        <v>69.274074074074107</v>
      </c>
      <c r="AN142" s="459"/>
      <c r="AO142" s="390"/>
      <c r="AP142" s="390"/>
      <c r="AQ142" s="390"/>
      <c r="AR142" s="390"/>
      <c r="AS142" s="390"/>
      <c r="AT142" s="390"/>
      <c r="AU142" s="390"/>
      <c r="AV142" s="390"/>
      <c r="AW142" s="390"/>
      <c r="AX142" s="390"/>
      <c r="AY142" s="390"/>
      <c r="AZ142" s="390"/>
      <c r="BA142" s="390"/>
      <c r="BB142" s="390"/>
      <c r="BC142" s="390"/>
      <c r="BD142" s="390"/>
      <c r="BE142" s="390"/>
      <c r="BF142" s="390"/>
      <c r="BG142" s="390"/>
      <c r="BH142" s="390"/>
    </row>
    <row r="143" spans="2:64" s="388" customFormat="1" ht="15" customHeight="1">
      <c r="B143" s="460" t="s">
        <v>78</v>
      </c>
      <c r="C143" s="464"/>
      <c r="D143" s="462">
        <f t="shared" ref="D143:W143" si="59">-$D$141/$E$58/12</f>
        <v>-2.2222222222222223</v>
      </c>
      <c r="E143" s="462">
        <f t="shared" si="59"/>
        <v>-2.2222222222222223</v>
      </c>
      <c r="F143" s="462">
        <f t="shared" si="59"/>
        <v>-2.2222222222222223</v>
      </c>
      <c r="G143" s="462">
        <f t="shared" si="59"/>
        <v>-2.2222222222222223</v>
      </c>
      <c r="H143" s="462">
        <f t="shared" si="59"/>
        <v>-2.2222222222222223</v>
      </c>
      <c r="I143" s="462">
        <f t="shared" si="59"/>
        <v>-2.2222222222222223</v>
      </c>
      <c r="J143" s="462">
        <f t="shared" si="59"/>
        <v>-2.2222222222222223</v>
      </c>
      <c r="K143" s="462">
        <f t="shared" si="59"/>
        <v>-2.2222222222222223</v>
      </c>
      <c r="L143" s="966">
        <f t="shared" si="59"/>
        <v>-2.2222222222222223</v>
      </c>
      <c r="M143" s="462">
        <f t="shared" si="59"/>
        <v>-2.2222222222222223</v>
      </c>
      <c r="N143" s="462">
        <f t="shared" si="59"/>
        <v>-2.2222222222222223</v>
      </c>
      <c r="O143" s="628">
        <f t="shared" si="59"/>
        <v>-2.2222222222222223</v>
      </c>
      <c r="P143" s="462">
        <f t="shared" si="59"/>
        <v>-2.2222222222222223</v>
      </c>
      <c r="Q143" s="462">
        <f t="shared" si="59"/>
        <v>-2.2222222222222223</v>
      </c>
      <c r="R143" s="462">
        <f t="shared" si="59"/>
        <v>-2.2222222222222223</v>
      </c>
      <c r="S143" s="462">
        <f t="shared" si="59"/>
        <v>-2.2222222222222223</v>
      </c>
      <c r="T143" s="462">
        <f t="shared" si="59"/>
        <v>-2.2222222222222223</v>
      </c>
      <c r="U143" s="462">
        <f t="shared" si="59"/>
        <v>-2.2222222222222223</v>
      </c>
      <c r="V143" s="462">
        <f t="shared" si="59"/>
        <v>-2.2222222222222223</v>
      </c>
      <c r="W143" s="462">
        <f t="shared" si="59"/>
        <v>-2.2222222222222223</v>
      </c>
      <c r="X143" s="1006">
        <f t="shared" ref="X143:AM143" si="60">-$X$142/$E$58/12</f>
        <v>-3.2987654320987647</v>
      </c>
      <c r="Y143" s="462">
        <f t="shared" si="60"/>
        <v>-3.2987654320987647</v>
      </c>
      <c r="Z143" s="462">
        <f t="shared" si="60"/>
        <v>-3.2987654320987647</v>
      </c>
      <c r="AA143" s="628">
        <f t="shared" si="60"/>
        <v>-3.2987654320987647</v>
      </c>
      <c r="AB143" s="462">
        <f t="shared" si="60"/>
        <v>-3.2987654320987647</v>
      </c>
      <c r="AC143" s="462">
        <f t="shared" si="60"/>
        <v>-3.2987654320987647</v>
      </c>
      <c r="AD143" s="462">
        <f t="shared" si="60"/>
        <v>-3.2987654320987647</v>
      </c>
      <c r="AE143" s="462">
        <f t="shared" si="60"/>
        <v>-3.2987654320987647</v>
      </c>
      <c r="AF143" s="462">
        <f t="shared" si="60"/>
        <v>-3.2987654320987647</v>
      </c>
      <c r="AG143" s="462">
        <f t="shared" si="60"/>
        <v>-3.2987654320987647</v>
      </c>
      <c r="AH143" s="462">
        <f t="shared" si="60"/>
        <v>-3.2987654320987647</v>
      </c>
      <c r="AI143" s="462">
        <f t="shared" si="60"/>
        <v>-3.2987654320987647</v>
      </c>
      <c r="AJ143" s="462">
        <f t="shared" si="60"/>
        <v>-3.2987654320987647</v>
      </c>
      <c r="AK143" s="462">
        <f t="shared" si="60"/>
        <v>-3.2987654320987647</v>
      </c>
      <c r="AL143" s="462">
        <f t="shared" si="60"/>
        <v>-3.2987654320987647</v>
      </c>
      <c r="AM143" s="462">
        <f t="shared" si="60"/>
        <v>-3.2987654320987647</v>
      </c>
      <c r="AN143" s="459"/>
      <c r="AO143" s="390"/>
      <c r="AP143" s="390"/>
      <c r="AQ143" s="390"/>
      <c r="AR143" s="390"/>
      <c r="AS143" s="390"/>
      <c r="AT143" s="390"/>
      <c r="AU143" s="390"/>
      <c r="AV143" s="390"/>
      <c r="AW143" s="390"/>
      <c r="AX143" s="390"/>
      <c r="AY143" s="390"/>
      <c r="AZ143" s="390"/>
      <c r="BA143" s="390"/>
      <c r="BB143" s="390"/>
      <c r="BC143" s="390"/>
      <c r="BD143" s="390"/>
      <c r="BE143" s="390"/>
      <c r="BF143" s="390"/>
      <c r="BG143" s="390"/>
      <c r="BH143" s="390"/>
      <c r="BI143" s="463"/>
      <c r="BJ143" s="463"/>
      <c r="BK143" s="463"/>
      <c r="BL143" s="463"/>
    </row>
    <row r="144" spans="2:64" ht="15" customHeight="1">
      <c r="B144" s="457" t="s">
        <v>433</v>
      </c>
      <c r="D144" s="459">
        <f t="shared" ref="D144:AM144" si="61">SUM(D142:D143)</f>
        <v>77.777777777777771</v>
      </c>
      <c r="E144" s="459">
        <f t="shared" si="61"/>
        <v>75.555555555555543</v>
      </c>
      <c r="F144" s="459">
        <f t="shared" si="61"/>
        <v>73.333333333333314</v>
      </c>
      <c r="G144" s="459">
        <f t="shared" si="61"/>
        <v>71.111111111111086</v>
      </c>
      <c r="H144" s="459">
        <f t="shared" si="61"/>
        <v>68.888888888888857</v>
      </c>
      <c r="I144" s="459">
        <f t="shared" si="61"/>
        <v>66.666666666666629</v>
      </c>
      <c r="J144" s="459">
        <f t="shared" si="61"/>
        <v>64.4444444444444</v>
      </c>
      <c r="K144" s="459">
        <f t="shared" si="61"/>
        <v>62.222222222222179</v>
      </c>
      <c r="L144" s="965">
        <f t="shared" si="61"/>
        <v>59.999999999999957</v>
      </c>
      <c r="M144" s="459">
        <f t="shared" si="61"/>
        <v>57.777777777777736</v>
      </c>
      <c r="N144" s="459">
        <f t="shared" si="61"/>
        <v>55.555555555555515</v>
      </c>
      <c r="O144" s="564">
        <f t="shared" si="61"/>
        <v>53.333333333333293</v>
      </c>
      <c r="P144" s="459">
        <f t="shared" si="61"/>
        <v>51.111111111111072</v>
      </c>
      <c r="Q144" s="459">
        <f t="shared" si="61"/>
        <v>48.88888888888885</v>
      </c>
      <c r="R144" s="459">
        <f t="shared" si="61"/>
        <v>46.666666666666629</v>
      </c>
      <c r="S144" s="459">
        <f t="shared" si="61"/>
        <v>44.444444444444407</v>
      </c>
      <c r="T144" s="459">
        <f t="shared" si="61"/>
        <v>42.222222222222186</v>
      </c>
      <c r="U144" s="459">
        <f t="shared" si="61"/>
        <v>39.999999999999964</v>
      </c>
      <c r="V144" s="459">
        <f t="shared" si="61"/>
        <v>37.777777777777743</v>
      </c>
      <c r="W144" s="459">
        <f t="shared" si="61"/>
        <v>35.555555555555522</v>
      </c>
      <c r="X144" s="1005">
        <f t="shared" si="61"/>
        <v>115.45679012345677</v>
      </c>
      <c r="Y144" s="459">
        <f t="shared" si="61"/>
        <v>112.15802469135801</v>
      </c>
      <c r="Z144" s="459">
        <f t="shared" si="61"/>
        <v>108.85925925925925</v>
      </c>
      <c r="AA144" s="564">
        <f t="shared" si="61"/>
        <v>105.56049382716049</v>
      </c>
      <c r="AB144" s="459">
        <f t="shared" si="61"/>
        <v>102.26172839506172</v>
      </c>
      <c r="AC144" s="459">
        <f t="shared" si="61"/>
        <v>98.962962962962962</v>
      </c>
      <c r="AD144" s="459">
        <f t="shared" si="61"/>
        <v>95.6641975308642</v>
      </c>
      <c r="AE144" s="459">
        <f t="shared" si="61"/>
        <v>92.365432098765439</v>
      </c>
      <c r="AF144" s="459">
        <f t="shared" si="61"/>
        <v>89.066666666666677</v>
      </c>
      <c r="AG144" s="459">
        <f t="shared" si="61"/>
        <v>85.767901234567915</v>
      </c>
      <c r="AH144" s="459">
        <f t="shared" si="61"/>
        <v>82.469135802469154</v>
      </c>
      <c r="AI144" s="459">
        <f t="shared" si="61"/>
        <v>79.170370370370392</v>
      </c>
      <c r="AJ144" s="459">
        <f t="shared" si="61"/>
        <v>75.871604938271631</v>
      </c>
      <c r="AK144" s="459">
        <f t="shared" si="61"/>
        <v>72.572839506172869</v>
      </c>
      <c r="AL144" s="459">
        <f t="shared" si="61"/>
        <v>69.274074074074107</v>
      </c>
      <c r="AM144" s="459">
        <f t="shared" si="61"/>
        <v>65.975308641975346</v>
      </c>
      <c r="AN144" s="459"/>
      <c r="AO144" s="390"/>
      <c r="AP144" s="390"/>
      <c r="AQ144" s="390"/>
      <c r="AR144" s="390"/>
      <c r="AS144" s="390"/>
      <c r="AT144" s="390"/>
      <c r="AU144" s="390"/>
      <c r="AV144" s="390"/>
      <c r="AW144" s="390"/>
      <c r="AX144" s="390"/>
      <c r="AY144" s="390"/>
      <c r="AZ144" s="390"/>
      <c r="BA144" s="390"/>
      <c r="BB144" s="390"/>
      <c r="BC144" s="390"/>
      <c r="BD144" s="390"/>
      <c r="BE144" s="390"/>
      <c r="BF144" s="390"/>
      <c r="BG144" s="390"/>
      <c r="BH144" s="390"/>
    </row>
    <row r="145" spans="2:64" s="466" customFormat="1" ht="15" customHeight="1">
      <c r="B145" s="465"/>
      <c r="D145" s="467"/>
      <c r="E145" s="467"/>
      <c r="F145" s="467"/>
      <c r="G145" s="467"/>
      <c r="H145" s="467"/>
      <c r="I145" s="467"/>
      <c r="J145" s="467"/>
      <c r="K145" s="467"/>
      <c r="L145" s="967"/>
      <c r="M145" s="467"/>
      <c r="N145" s="467"/>
      <c r="O145" s="565"/>
      <c r="P145" s="467"/>
      <c r="Q145" s="467"/>
      <c r="R145" s="467"/>
      <c r="S145" s="467"/>
      <c r="T145" s="467"/>
      <c r="U145" s="467"/>
      <c r="V145" s="467"/>
      <c r="W145" s="467"/>
      <c r="X145" s="1007"/>
      <c r="Y145" s="467"/>
      <c r="Z145" s="467"/>
      <c r="AA145" s="565"/>
      <c r="AB145" s="467"/>
      <c r="AC145" s="467"/>
      <c r="AD145" s="467"/>
      <c r="AE145" s="467"/>
      <c r="AF145" s="467"/>
      <c r="AG145" s="467"/>
      <c r="AH145" s="467"/>
      <c r="AI145" s="467"/>
      <c r="AJ145" s="467"/>
      <c r="AK145" s="467"/>
      <c r="AL145" s="467"/>
      <c r="AM145" s="467"/>
      <c r="AN145" s="467"/>
      <c r="AO145" s="409"/>
      <c r="AP145" s="409"/>
      <c r="AQ145" s="409"/>
      <c r="AR145" s="409"/>
      <c r="AS145" s="409"/>
      <c r="AT145" s="409"/>
      <c r="AU145" s="409"/>
      <c r="AV145" s="409"/>
      <c r="AW145" s="409"/>
      <c r="AX145" s="409"/>
      <c r="AY145" s="409"/>
      <c r="AZ145" s="409"/>
      <c r="BA145" s="409"/>
      <c r="BB145" s="409"/>
      <c r="BC145" s="409"/>
      <c r="BD145" s="409"/>
      <c r="BE145" s="409"/>
      <c r="BF145" s="409"/>
      <c r="BG145" s="409"/>
      <c r="BH145" s="409"/>
    </row>
    <row r="146" spans="2:64" ht="15" customHeight="1">
      <c r="B146" s="385" t="str">
        <f>F59 &amp; " ("&amp; E59 &amp;" years)"</f>
        <v>Straight Line (5 years)</v>
      </c>
      <c r="D146" s="459"/>
      <c r="E146" s="459"/>
      <c r="F146" s="459"/>
      <c r="G146" s="459"/>
      <c r="H146" s="459"/>
      <c r="I146" s="459"/>
      <c r="J146" s="459"/>
      <c r="K146" s="459"/>
      <c r="L146" s="965"/>
      <c r="M146" s="459"/>
      <c r="N146" s="459"/>
      <c r="O146" s="564"/>
      <c r="P146" s="459"/>
      <c r="Q146" s="459"/>
      <c r="R146" s="459"/>
      <c r="S146" s="459"/>
      <c r="T146" s="459"/>
      <c r="U146" s="459"/>
      <c r="V146" s="459"/>
      <c r="W146" s="459"/>
      <c r="X146" s="1005"/>
      <c r="Y146" s="459"/>
      <c r="Z146" s="459"/>
      <c r="AA146" s="564"/>
      <c r="AB146" s="459"/>
      <c r="AC146" s="459"/>
      <c r="AD146" s="459"/>
      <c r="AE146" s="459"/>
      <c r="AF146" s="459"/>
      <c r="AG146" s="459"/>
      <c r="AH146" s="459"/>
      <c r="AI146" s="459"/>
      <c r="AJ146" s="459"/>
      <c r="AK146" s="459"/>
      <c r="AL146" s="459"/>
      <c r="AM146" s="459"/>
      <c r="AN146" s="459"/>
      <c r="AO146" s="390"/>
      <c r="AP146" s="390"/>
      <c r="AQ146" s="390"/>
      <c r="AR146" s="390"/>
      <c r="AS146" s="390"/>
      <c r="AT146" s="390"/>
      <c r="AU146" s="390"/>
      <c r="AV146" s="390"/>
      <c r="AW146" s="390"/>
      <c r="AX146" s="390"/>
      <c r="AY146" s="390"/>
      <c r="AZ146" s="390"/>
      <c r="BA146" s="390"/>
      <c r="BB146" s="390"/>
      <c r="BC146" s="390"/>
      <c r="BD146" s="390"/>
      <c r="BE146" s="390"/>
      <c r="BF146" s="390"/>
      <c r="BG146" s="390"/>
      <c r="BH146" s="390"/>
    </row>
    <row r="147" spans="2:64" s="388" customFormat="1" ht="15" customHeight="1">
      <c r="B147" s="457" t="s">
        <v>76</v>
      </c>
      <c r="C147" s="463"/>
      <c r="D147" s="458">
        <v>0</v>
      </c>
      <c r="E147" s="459">
        <f t="shared" ref="E147:J147" si="62">D151</f>
        <v>5162.5</v>
      </c>
      <c r="F147" s="459">
        <f t="shared" si="62"/>
        <v>5075</v>
      </c>
      <c r="G147" s="459">
        <f t="shared" si="62"/>
        <v>4987.5</v>
      </c>
      <c r="H147" s="459">
        <f t="shared" si="62"/>
        <v>4900</v>
      </c>
      <c r="I147" s="459">
        <f t="shared" si="62"/>
        <v>4812.5</v>
      </c>
      <c r="J147" s="459">
        <f t="shared" si="62"/>
        <v>4725</v>
      </c>
      <c r="K147" s="459">
        <f t="shared" ref="K147" si="63">J151</f>
        <v>4637.5</v>
      </c>
      <c r="L147" s="965">
        <f t="shared" ref="L147" si="64">K151</f>
        <v>4550</v>
      </c>
      <c r="M147" s="459">
        <f t="shared" ref="M147" si="65">L151</f>
        <v>4769.166666666667</v>
      </c>
      <c r="N147" s="459">
        <f t="shared" ref="N147" si="66">M151</f>
        <v>4688.3333333333339</v>
      </c>
      <c r="O147" s="564">
        <f t="shared" ref="O147" si="67">N151</f>
        <v>4607.5000000000009</v>
      </c>
      <c r="P147" s="459">
        <f>O151</f>
        <v>4526.6666666666679</v>
      </c>
      <c r="Q147" s="459">
        <f t="shared" ref="Q147" si="68">P151</f>
        <v>4445.8333333333348</v>
      </c>
      <c r="R147" s="459">
        <f t="shared" ref="R147" si="69">Q151</f>
        <v>4365.0000000000018</v>
      </c>
      <c r="S147" s="459">
        <f t="shared" ref="S147" si="70">R151</f>
        <v>4284.1666666666688</v>
      </c>
      <c r="T147" s="459">
        <f t="shared" ref="T147" si="71">S151</f>
        <v>4203.3333333333358</v>
      </c>
      <c r="U147" s="459">
        <f t="shared" ref="U147" si="72">T151</f>
        <v>4122.5000000000027</v>
      </c>
      <c r="V147" s="459">
        <f t="shared" ref="V147" si="73">U151</f>
        <v>4041.6666666666692</v>
      </c>
      <c r="W147" s="459">
        <f t="shared" ref="W147" si="74">V151</f>
        <v>3960.8333333333358</v>
      </c>
      <c r="X147" s="1005">
        <f t="shared" ref="X147" si="75">W151</f>
        <v>3880.0000000000023</v>
      </c>
      <c r="Y147" s="459">
        <f t="shared" ref="Y147" si="76">X151</f>
        <v>9491.133333333335</v>
      </c>
      <c r="Z147" s="459">
        <f t="shared" ref="Z147" si="77">Y151</f>
        <v>9330.2666666666682</v>
      </c>
      <c r="AA147" s="564">
        <f t="shared" ref="AA147" si="78">Z151</f>
        <v>9169.4000000000015</v>
      </c>
      <c r="AB147" s="459">
        <f t="shared" ref="AB147" si="79">AA151</f>
        <v>9008.5333333333347</v>
      </c>
      <c r="AC147" s="459">
        <f t="shared" ref="AC147" si="80">AB151</f>
        <v>8847.6666666666679</v>
      </c>
      <c r="AD147" s="459">
        <f t="shared" ref="AD147" si="81">AC151</f>
        <v>8686.8000000000011</v>
      </c>
      <c r="AE147" s="459">
        <f t="shared" ref="AE147" si="82">AD151</f>
        <v>8525.9333333333343</v>
      </c>
      <c r="AF147" s="459">
        <f t="shared" ref="AF147" si="83">AE151</f>
        <v>8365.0666666666675</v>
      </c>
      <c r="AG147" s="459">
        <f t="shared" ref="AG147" si="84">AF151</f>
        <v>8204.2000000000007</v>
      </c>
      <c r="AH147" s="459">
        <f t="shared" ref="AH147" si="85">AG151</f>
        <v>8043.3333333333339</v>
      </c>
      <c r="AI147" s="459">
        <f t="shared" ref="AI147" si="86">AH151</f>
        <v>7882.4666666666672</v>
      </c>
      <c r="AJ147" s="459">
        <f t="shared" ref="AJ147" si="87">AI151</f>
        <v>7721.6</v>
      </c>
      <c r="AK147" s="459">
        <f t="shared" ref="AK147" si="88">AJ151</f>
        <v>7560.7333333333336</v>
      </c>
      <c r="AL147" s="459">
        <f t="shared" ref="AL147" si="89">AK151</f>
        <v>7399.8666666666668</v>
      </c>
      <c r="AM147" s="459">
        <f t="shared" ref="AM147" si="90">AL151</f>
        <v>7239</v>
      </c>
      <c r="AN147" s="459"/>
      <c r="AO147" s="390"/>
      <c r="AP147" s="390"/>
      <c r="AQ147" s="390"/>
      <c r="AR147" s="390"/>
      <c r="AS147" s="390"/>
      <c r="AT147" s="390"/>
      <c r="AU147" s="390"/>
      <c r="AV147" s="390"/>
      <c r="AW147" s="390"/>
      <c r="AX147" s="390"/>
      <c r="AY147" s="390"/>
      <c r="AZ147" s="390"/>
      <c r="BA147" s="390"/>
      <c r="BB147" s="390"/>
      <c r="BC147" s="390"/>
      <c r="BD147" s="390"/>
      <c r="BE147" s="390"/>
      <c r="BF147" s="390"/>
      <c r="BG147" s="390"/>
      <c r="BH147" s="390"/>
      <c r="BI147" s="463"/>
      <c r="BJ147" s="463"/>
      <c r="BK147" s="463"/>
      <c r="BL147" s="463"/>
    </row>
    <row r="148" spans="2:64" s="388" customFormat="1" ht="15" customHeight="1">
      <c r="B148" s="457" t="s">
        <v>77</v>
      </c>
      <c r="C148" s="463"/>
      <c r="D148" s="459">
        <f>SUM(D59:D61)+D67+D68+D72</f>
        <v>5250</v>
      </c>
      <c r="E148" s="459"/>
      <c r="F148" s="459"/>
      <c r="G148" s="459"/>
      <c r="H148" s="459"/>
      <c r="I148" s="459"/>
      <c r="J148" s="459"/>
      <c r="K148" s="459"/>
      <c r="L148" s="965">
        <f>D63</f>
        <v>300</v>
      </c>
      <c r="M148" s="459"/>
      <c r="N148" s="459"/>
      <c r="O148" s="564"/>
      <c r="P148" s="459"/>
      <c r="Q148" s="459"/>
      <c r="R148" s="459"/>
      <c r="S148" s="459"/>
      <c r="T148" s="459"/>
      <c r="U148" s="459"/>
      <c r="V148" s="459"/>
      <c r="W148" s="459"/>
      <c r="X148" s="1005">
        <f>SUM(J59:J61)+J63+J67+J68+J72</f>
        <v>5772</v>
      </c>
      <c r="Y148" s="459"/>
      <c r="Z148" s="459"/>
      <c r="AA148" s="564"/>
      <c r="AB148" s="459"/>
      <c r="AC148" s="459"/>
      <c r="AD148" s="459"/>
      <c r="AE148" s="459"/>
      <c r="AF148" s="459"/>
      <c r="AG148" s="459"/>
      <c r="AH148" s="459"/>
      <c r="AI148" s="459"/>
      <c r="AJ148" s="459"/>
      <c r="AK148" s="459"/>
      <c r="AL148" s="459"/>
      <c r="AM148" s="459"/>
      <c r="AN148" s="459"/>
      <c r="AO148" s="390"/>
      <c r="AP148" s="390"/>
      <c r="AQ148" s="390"/>
      <c r="AR148" s="390"/>
      <c r="AS148" s="390"/>
      <c r="AT148" s="390"/>
      <c r="AU148" s="390"/>
      <c r="AV148" s="390"/>
      <c r="AW148" s="390"/>
      <c r="AX148" s="390"/>
      <c r="AY148" s="390"/>
      <c r="AZ148" s="390"/>
      <c r="BA148" s="390"/>
      <c r="BB148" s="390"/>
      <c r="BC148" s="390"/>
      <c r="BD148" s="390"/>
      <c r="BE148" s="390"/>
      <c r="BF148" s="390"/>
      <c r="BG148" s="390"/>
      <c r="BH148" s="390"/>
      <c r="BI148" s="463"/>
      <c r="BJ148" s="463"/>
      <c r="BK148" s="463"/>
      <c r="BL148" s="463"/>
    </row>
    <row r="149" spans="2:64" ht="15" customHeight="1">
      <c r="B149" s="457" t="s">
        <v>27</v>
      </c>
      <c r="D149" s="459">
        <f>SUM(D147:D148)</f>
        <v>5250</v>
      </c>
      <c r="E149" s="459">
        <f t="shared" ref="E149:AM149" si="91">SUM(E147:E148)</f>
        <v>5162.5</v>
      </c>
      <c r="F149" s="459">
        <f t="shared" si="91"/>
        <v>5075</v>
      </c>
      <c r="G149" s="459">
        <f t="shared" si="91"/>
        <v>4987.5</v>
      </c>
      <c r="H149" s="459">
        <f t="shared" si="91"/>
        <v>4900</v>
      </c>
      <c r="I149" s="459">
        <f t="shared" si="91"/>
        <v>4812.5</v>
      </c>
      <c r="J149" s="459">
        <f t="shared" si="91"/>
        <v>4725</v>
      </c>
      <c r="K149" s="459">
        <f t="shared" si="91"/>
        <v>4637.5</v>
      </c>
      <c r="L149" s="965">
        <f t="shared" si="91"/>
        <v>4850</v>
      </c>
      <c r="M149" s="459">
        <f t="shared" si="91"/>
        <v>4769.166666666667</v>
      </c>
      <c r="N149" s="459">
        <f t="shared" si="91"/>
        <v>4688.3333333333339</v>
      </c>
      <c r="O149" s="564">
        <f t="shared" si="91"/>
        <v>4607.5000000000009</v>
      </c>
      <c r="P149" s="459">
        <f t="shared" si="91"/>
        <v>4526.6666666666679</v>
      </c>
      <c r="Q149" s="459">
        <f t="shared" si="91"/>
        <v>4445.8333333333348</v>
      </c>
      <c r="R149" s="459">
        <f t="shared" si="91"/>
        <v>4365.0000000000018</v>
      </c>
      <c r="S149" s="459">
        <f t="shared" si="91"/>
        <v>4284.1666666666688</v>
      </c>
      <c r="T149" s="459">
        <f t="shared" si="91"/>
        <v>4203.3333333333358</v>
      </c>
      <c r="U149" s="459">
        <f t="shared" si="91"/>
        <v>4122.5000000000027</v>
      </c>
      <c r="V149" s="459">
        <f t="shared" si="91"/>
        <v>4041.6666666666692</v>
      </c>
      <c r="W149" s="459">
        <f t="shared" si="91"/>
        <v>3960.8333333333358</v>
      </c>
      <c r="X149" s="1005">
        <f t="shared" si="91"/>
        <v>9652.0000000000018</v>
      </c>
      <c r="Y149" s="459">
        <f t="shared" si="91"/>
        <v>9491.133333333335</v>
      </c>
      <c r="Z149" s="459">
        <f t="shared" si="91"/>
        <v>9330.2666666666682</v>
      </c>
      <c r="AA149" s="564">
        <f t="shared" si="91"/>
        <v>9169.4000000000015</v>
      </c>
      <c r="AB149" s="459">
        <f t="shared" si="91"/>
        <v>9008.5333333333347</v>
      </c>
      <c r="AC149" s="459">
        <f t="shared" si="91"/>
        <v>8847.6666666666679</v>
      </c>
      <c r="AD149" s="459">
        <f t="shared" si="91"/>
        <v>8686.8000000000011</v>
      </c>
      <c r="AE149" s="459">
        <f t="shared" si="91"/>
        <v>8525.9333333333343</v>
      </c>
      <c r="AF149" s="459">
        <f t="shared" si="91"/>
        <v>8365.0666666666675</v>
      </c>
      <c r="AG149" s="459">
        <f t="shared" si="91"/>
        <v>8204.2000000000007</v>
      </c>
      <c r="AH149" s="459">
        <f t="shared" si="91"/>
        <v>8043.3333333333339</v>
      </c>
      <c r="AI149" s="459">
        <f t="shared" si="91"/>
        <v>7882.4666666666672</v>
      </c>
      <c r="AJ149" s="459">
        <f t="shared" si="91"/>
        <v>7721.6</v>
      </c>
      <c r="AK149" s="459">
        <f t="shared" si="91"/>
        <v>7560.7333333333336</v>
      </c>
      <c r="AL149" s="459">
        <f t="shared" si="91"/>
        <v>7399.8666666666668</v>
      </c>
      <c r="AM149" s="459">
        <f t="shared" si="91"/>
        <v>7239</v>
      </c>
      <c r="AN149" s="459"/>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row>
    <row r="150" spans="2:64" s="388" customFormat="1" ht="15" customHeight="1">
      <c r="B150" s="460" t="s">
        <v>78</v>
      </c>
      <c r="C150" s="464"/>
      <c r="D150" s="462">
        <f t="shared" ref="D150:K150" si="92">-$D$148/$E$59/12</f>
        <v>-87.5</v>
      </c>
      <c r="E150" s="462">
        <f t="shared" si="92"/>
        <v>-87.5</v>
      </c>
      <c r="F150" s="462">
        <f t="shared" si="92"/>
        <v>-87.5</v>
      </c>
      <c r="G150" s="462">
        <f t="shared" si="92"/>
        <v>-87.5</v>
      </c>
      <c r="H150" s="462">
        <f t="shared" si="92"/>
        <v>-87.5</v>
      </c>
      <c r="I150" s="462">
        <f t="shared" si="92"/>
        <v>-87.5</v>
      </c>
      <c r="J150" s="462">
        <f t="shared" si="92"/>
        <v>-87.5</v>
      </c>
      <c r="K150" s="462">
        <f t="shared" si="92"/>
        <v>-87.5</v>
      </c>
      <c r="L150" s="966">
        <f>-$L$149/$E$59/12</f>
        <v>-80.833333333333329</v>
      </c>
      <c r="M150" s="462">
        <f t="shared" ref="M150:W150" si="93">-$L$149/$E$59/12</f>
        <v>-80.833333333333329</v>
      </c>
      <c r="N150" s="462">
        <f t="shared" si="93"/>
        <v>-80.833333333333329</v>
      </c>
      <c r="O150" s="628">
        <f t="shared" si="93"/>
        <v>-80.833333333333329</v>
      </c>
      <c r="P150" s="462">
        <f t="shared" si="93"/>
        <v>-80.833333333333329</v>
      </c>
      <c r="Q150" s="462">
        <f t="shared" si="93"/>
        <v>-80.833333333333329</v>
      </c>
      <c r="R150" s="462">
        <f t="shared" si="93"/>
        <v>-80.833333333333329</v>
      </c>
      <c r="S150" s="462">
        <f t="shared" si="93"/>
        <v>-80.833333333333329</v>
      </c>
      <c r="T150" s="462">
        <f t="shared" si="93"/>
        <v>-80.833333333333329</v>
      </c>
      <c r="U150" s="462">
        <f t="shared" si="93"/>
        <v>-80.833333333333329</v>
      </c>
      <c r="V150" s="462">
        <f t="shared" si="93"/>
        <v>-80.833333333333329</v>
      </c>
      <c r="W150" s="462">
        <f t="shared" si="93"/>
        <v>-80.833333333333329</v>
      </c>
      <c r="X150" s="1006">
        <f t="shared" ref="X150:AM150" si="94">-$X$149/$E$59/12</f>
        <v>-160.8666666666667</v>
      </c>
      <c r="Y150" s="462">
        <f t="shared" si="94"/>
        <v>-160.8666666666667</v>
      </c>
      <c r="Z150" s="462">
        <f t="shared" si="94"/>
        <v>-160.8666666666667</v>
      </c>
      <c r="AA150" s="628">
        <f t="shared" si="94"/>
        <v>-160.8666666666667</v>
      </c>
      <c r="AB150" s="462">
        <f t="shared" si="94"/>
        <v>-160.8666666666667</v>
      </c>
      <c r="AC150" s="462">
        <f t="shared" si="94"/>
        <v>-160.8666666666667</v>
      </c>
      <c r="AD150" s="462">
        <f t="shared" si="94"/>
        <v>-160.8666666666667</v>
      </c>
      <c r="AE150" s="462">
        <f t="shared" si="94"/>
        <v>-160.8666666666667</v>
      </c>
      <c r="AF150" s="462">
        <f t="shared" si="94"/>
        <v>-160.8666666666667</v>
      </c>
      <c r="AG150" s="462">
        <f t="shared" si="94"/>
        <v>-160.8666666666667</v>
      </c>
      <c r="AH150" s="462">
        <f t="shared" si="94"/>
        <v>-160.8666666666667</v>
      </c>
      <c r="AI150" s="462">
        <f t="shared" si="94"/>
        <v>-160.8666666666667</v>
      </c>
      <c r="AJ150" s="462">
        <f t="shared" si="94"/>
        <v>-160.8666666666667</v>
      </c>
      <c r="AK150" s="462">
        <f t="shared" si="94"/>
        <v>-160.8666666666667</v>
      </c>
      <c r="AL150" s="462">
        <f t="shared" si="94"/>
        <v>-160.8666666666667</v>
      </c>
      <c r="AM150" s="462">
        <f t="shared" si="94"/>
        <v>-160.8666666666667</v>
      </c>
      <c r="AN150" s="459"/>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463"/>
      <c r="BJ150" s="463"/>
      <c r="BK150" s="463"/>
      <c r="BL150" s="463"/>
    </row>
    <row r="151" spans="2:64" ht="15" customHeight="1">
      <c r="B151" s="457" t="s">
        <v>433</v>
      </c>
      <c r="D151" s="459">
        <f t="shared" ref="D151:AM151" si="95">SUM(D149:D150)</f>
        <v>5162.5</v>
      </c>
      <c r="E151" s="459">
        <f t="shared" si="95"/>
        <v>5075</v>
      </c>
      <c r="F151" s="459">
        <f t="shared" si="95"/>
        <v>4987.5</v>
      </c>
      <c r="G151" s="459">
        <f t="shared" si="95"/>
        <v>4900</v>
      </c>
      <c r="H151" s="459">
        <f t="shared" si="95"/>
        <v>4812.5</v>
      </c>
      <c r="I151" s="459">
        <f t="shared" si="95"/>
        <v>4725</v>
      </c>
      <c r="J151" s="459">
        <f t="shared" si="95"/>
        <v>4637.5</v>
      </c>
      <c r="K151" s="459">
        <f t="shared" si="95"/>
        <v>4550</v>
      </c>
      <c r="L151" s="965">
        <f t="shared" si="95"/>
        <v>4769.166666666667</v>
      </c>
      <c r="M151" s="459">
        <f t="shared" si="95"/>
        <v>4688.3333333333339</v>
      </c>
      <c r="N151" s="459">
        <f t="shared" si="95"/>
        <v>4607.5000000000009</v>
      </c>
      <c r="O151" s="564">
        <f t="shared" si="95"/>
        <v>4526.6666666666679</v>
      </c>
      <c r="P151" s="459">
        <f t="shared" si="95"/>
        <v>4445.8333333333348</v>
      </c>
      <c r="Q151" s="459">
        <f t="shared" si="95"/>
        <v>4365.0000000000018</v>
      </c>
      <c r="R151" s="459">
        <f t="shared" si="95"/>
        <v>4284.1666666666688</v>
      </c>
      <c r="S151" s="459">
        <f t="shared" si="95"/>
        <v>4203.3333333333358</v>
      </c>
      <c r="T151" s="459">
        <f t="shared" si="95"/>
        <v>4122.5000000000027</v>
      </c>
      <c r="U151" s="459">
        <f t="shared" si="95"/>
        <v>4041.6666666666692</v>
      </c>
      <c r="V151" s="459">
        <f t="shared" si="95"/>
        <v>3960.8333333333358</v>
      </c>
      <c r="W151" s="459">
        <f t="shared" si="95"/>
        <v>3880.0000000000023</v>
      </c>
      <c r="X151" s="1005">
        <f t="shared" si="95"/>
        <v>9491.133333333335</v>
      </c>
      <c r="Y151" s="459">
        <f t="shared" si="95"/>
        <v>9330.2666666666682</v>
      </c>
      <c r="Z151" s="459">
        <f t="shared" si="95"/>
        <v>9169.4000000000015</v>
      </c>
      <c r="AA151" s="564">
        <f t="shared" si="95"/>
        <v>9008.5333333333347</v>
      </c>
      <c r="AB151" s="459">
        <f t="shared" si="95"/>
        <v>8847.6666666666679</v>
      </c>
      <c r="AC151" s="459">
        <f t="shared" si="95"/>
        <v>8686.8000000000011</v>
      </c>
      <c r="AD151" s="459">
        <f t="shared" si="95"/>
        <v>8525.9333333333343</v>
      </c>
      <c r="AE151" s="459">
        <f t="shared" si="95"/>
        <v>8365.0666666666675</v>
      </c>
      <c r="AF151" s="459">
        <f t="shared" si="95"/>
        <v>8204.2000000000007</v>
      </c>
      <c r="AG151" s="459">
        <f t="shared" si="95"/>
        <v>8043.3333333333339</v>
      </c>
      <c r="AH151" s="459">
        <f t="shared" si="95"/>
        <v>7882.4666666666672</v>
      </c>
      <c r="AI151" s="459">
        <f t="shared" si="95"/>
        <v>7721.6</v>
      </c>
      <c r="AJ151" s="459">
        <f t="shared" si="95"/>
        <v>7560.7333333333336</v>
      </c>
      <c r="AK151" s="459">
        <f t="shared" si="95"/>
        <v>7399.8666666666668</v>
      </c>
      <c r="AL151" s="459">
        <f t="shared" si="95"/>
        <v>7239</v>
      </c>
      <c r="AM151" s="459">
        <f t="shared" si="95"/>
        <v>7078.1333333333332</v>
      </c>
      <c r="AN151" s="459"/>
      <c r="AO151" s="390"/>
      <c r="AP151" s="390"/>
      <c r="AQ151" s="390"/>
      <c r="AR151" s="390"/>
      <c r="AS151" s="390"/>
      <c r="AT151" s="390"/>
      <c r="AU151" s="390"/>
      <c r="AV151" s="390"/>
      <c r="AW151" s="390"/>
      <c r="AX151" s="390"/>
      <c r="AY151" s="390"/>
      <c r="AZ151" s="390"/>
      <c r="BA151" s="390"/>
      <c r="BB151" s="390"/>
      <c r="BC151" s="390"/>
      <c r="BD151" s="390"/>
      <c r="BE151" s="390"/>
      <c r="BF151" s="390"/>
      <c r="BG151" s="390"/>
      <c r="BH151" s="390"/>
    </row>
    <row r="152" spans="2:64" s="466" customFormat="1" ht="15" customHeight="1">
      <c r="B152" s="465"/>
      <c r="D152" s="467"/>
      <c r="E152" s="467"/>
      <c r="F152" s="467"/>
      <c r="G152" s="467"/>
      <c r="H152" s="467"/>
      <c r="I152" s="467"/>
      <c r="J152" s="467"/>
      <c r="K152" s="467"/>
      <c r="L152" s="967"/>
      <c r="M152" s="467"/>
      <c r="N152" s="467"/>
      <c r="O152" s="565"/>
      <c r="P152" s="467"/>
      <c r="Q152" s="467"/>
      <c r="R152" s="467"/>
      <c r="S152" s="467"/>
      <c r="T152" s="467"/>
      <c r="U152" s="467"/>
      <c r="V152" s="467"/>
      <c r="W152" s="467"/>
      <c r="X152" s="1007"/>
      <c r="Y152" s="467"/>
      <c r="Z152" s="467"/>
      <c r="AA152" s="565"/>
      <c r="AB152" s="467"/>
      <c r="AC152" s="467"/>
      <c r="AD152" s="467"/>
      <c r="AE152" s="467"/>
      <c r="AF152" s="467"/>
      <c r="AG152" s="467"/>
      <c r="AH152" s="467"/>
      <c r="AI152" s="467"/>
      <c r="AJ152" s="467"/>
      <c r="AK152" s="467"/>
      <c r="AL152" s="467"/>
      <c r="AM152" s="467"/>
      <c r="AN152" s="467"/>
      <c r="AO152" s="409"/>
      <c r="AP152" s="409"/>
      <c r="AQ152" s="409"/>
      <c r="AR152" s="409"/>
      <c r="AS152" s="409"/>
      <c r="AT152" s="409"/>
      <c r="AU152" s="409"/>
      <c r="AV152" s="409"/>
      <c r="AW152" s="409"/>
      <c r="AX152" s="409"/>
      <c r="AY152" s="409"/>
      <c r="AZ152" s="409"/>
      <c r="BA152" s="409"/>
      <c r="BB152" s="409"/>
      <c r="BC152" s="409"/>
      <c r="BD152" s="409"/>
      <c r="BE152" s="409"/>
      <c r="BF152" s="409"/>
      <c r="BG152" s="409"/>
      <c r="BH152" s="409"/>
    </row>
    <row r="153" spans="2:64" ht="15" customHeight="1">
      <c r="B153" s="385" t="str">
        <f>F73 &amp; " ("&amp; E73 &amp;" years)"</f>
        <v>Straight Line (10 years)</v>
      </c>
      <c r="D153" s="459"/>
      <c r="E153" s="459"/>
      <c r="F153" s="459"/>
      <c r="G153" s="459"/>
      <c r="H153" s="459"/>
      <c r="I153" s="459"/>
      <c r="J153" s="459"/>
      <c r="K153" s="459"/>
      <c r="L153" s="965"/>
      <c r="M153" s="459"/>
      <c r="N153" s="459"/>
      <c r="O153" s="564"/>
      <c r="P153" s="459"/>
      <c r="Q153" s="459"/>
      <c r="R153" s="459"/>
      <c r="S153" s="459"/>
      <c r="T153" s="459"/>
      <c r="U153" s="459"/>
      <c r="V153" s="459"/>
      <c r="W153" s="459"/>
      <c r="X153" s="1005"/>
      <c r="Y153" s="459"/>
      <c r="Z153" s="459"/>
      <c r="AA153" s="564"/>
      <c r="AB153" s="459"/>
      <c r="AC153" s="459"/>
      <c r="AD153" s="459"/>
      <c r="AE153" s="459"/>
      <c r="AF153" s="459"/>
      <c r="AG153" s="459"/>
      <c r="AH153" s="459"/>
      <c r="AI153" s="459"/>
      <c r="AJ153" s="459"/>
      <c r="AK153" s="459"/>
      <c r="AL153" s="459"/>
      <c r="AM153" s="459"/>
      <c r="AN153" s="459"/>
      <c r="AO153" s="390"/>
      <c r="AP153" s="390"/>
      <c r="AQ153" s="390"/>
      <c r="AR153" s="390"/>
      <c r="AS153" s="390"/>
      <c r="AT153" s="390"/>
      <c r="AU153" s="390"/>
      <c r="AV153" s="390"/>
      <c r="AW153" s="390"/>
      <c r="AX153" s="390"/>
      <c r="AY153" s="390"/>
      <c r="AZ153" s="390"/>
      <c r="BA153" s="390"/>
      <c r="BB153" s="390"/>
      <c r="BC153" s="390"/>
      <c r="BD153" s="390"/>
      <c r="BE153" s="390"/>
      <c r="BF153" s="390"/>
      <c r="BG153" s="390"/>
      <c r="BH153" s="390"/>
    </row>
    <row r="154" spans="2:64" s="388" customFormat="1" ht="15" customHeight="1">
      <c r="B154" s="457" t="s">
        <v>76</v>
      </c>
      <c r="C154" s="463"/>
      <c r="D154" s="458">
        <v>0</v>
      </c>
      <c r="E154" s="459">
        <f t="shared" ref="E154:J154" si="96">D158</f>
        <v>3470.8333333333335</v>
      </c>
      <c r="F154" s="459">
        <f t="shared" si="96"/>
        <v>3441.666666666667</v>
      </c>
      <c r="G154" s="459">
        <f t="shared" si="96"/>
        <v>3412.5000000000005</v>
      </c>
      <c r="H154" s="459">
        <f t="shared" si="96"/>
        <v>3383.3333333333339</v>
      </c>
      <c r="I154" s="459">
        <f t="shared" si="96"/>
        <v>3354.1666666666674</v>
      </c>
      <c r="J154" s="459">
        <f t="shared" si="96"/>
        <v>3325.0000000000009</v>
      </c>
      <c r="K154" s="459">
        <f t="shared" ref="K154" si="97">J158</f>
        <v>3295.8333333333344</v>
      </c>
      <c r="L154" s="965">
        <f t="shared" ref="L154" si="98">K158</f>
        <v>3266.6666666666679</v>
      </c>
      <c r="M154" s="459">
        <f t="shared" ref="M154" si="99">L158</f>
        <v>3237.5000000000014</v>
      </c>
      <c r="N154" s="459">
        <f t="shared" ref="N154" si="100">M158</f>
        <v>3208.3333333333348</v>
      </c>
      <c r="O154" s="564">
        <f t="shared" ref="O154" si="101">N158</f>
        <v>3179.1666666666683</v>
      </c>
      <c r="P154" s="459">
        <f>O158</f>
        <v>3150.0000000000018</v>
      </c>
      <c r="Q154" s="459">
        <f t="shared" ref="Q154" si="102">P158</f>
        <v>3120.8333333333353</v>
      </c>
      <c r="R154" s="459">
        <f t="shared" ref="R154" si="103">Q158</f>
        <v>3091.6666666666688</v>
      </c>
      <c r="S154" s="459">
        <f t="shared" ref="S154" si="104">R158</f>
        <v>3062.5000000000023</v>
      </c>
      <c r="T154" s="459">
        <f t="shared" ref="T154" si="105">S158</f>
        <v>3033.3333333333358</v>
      </c>
      <c r="U154" s="459">
        <f t="shared" ref="U154" si="106">T158</f>
        <v>3004.1666666666692</v>
      </c>
      <c r="V154" s="459">
        <f t="shared" ref="V154" si="107">U158</f>
        <v>2975.0000000000027</v>
      </c>
      <c r="W154" s="459">
        <f t="shared" ref="W154" si="108">V158</f>
        <v>2945.8333333333362</v>
      </c>
      <c r="X154" s="1005">
        <f t="shared" ref="X154" si="109">W158</f>
        <v>2916.6666666666697</v>
      </c>
      <c r="Y154" s="459">
        <f t="shared" ref="Y154" si="110">X158</f>
        <v>6502.027777777781</v>
      </c>
      <c r="Z154" s="459">
        <f t="shared" ref="Z154" si="111">Y158</f>
        <v>6447.3888888888923</v>
      </c>
      <c r="AA154" s="564">
        <f t="shared" ref="AA154" si="112">Z158</f>
        <v>6392.7500000000036</v>
      </c>
      <c r="AB154" s="459">
        <f t="shared" ref="AB154" si="113">AA158</f>
        <v>6338.111111111115</v>
      </c>
      <c r="AC154" s="459">
        <f t="shared" ref="AC154" si="114">AB158</f>
        <v>6283.4722222222263</v>
      </c>
      <c r="AD154" s="459">
        <f t="shared" ref="AD154" si="115">AC158</f>
        <v>6228.8333333333376</v>
      </c>
      <c r="AE154" s="459">
        <f t="shared" ref="AE154" si="116">AD158</f>
        <v>6174.1944444444489</v>
      </c>
      <c r="AF154" s="459">
        <f t="shared" ref="AF154" si="117">AE158</f>
        <v>6119.5555555555602</v>
      </c>
      <c r="AG154" s="459">
        <f t="shared" ref="AG154" si="118">AF158</f>
        <v>6064.9166666666715</v>
      </c>
      <c r="AH154" s="459">
        <f t="shared" ref="AH154" si="119">AG158</f>
        <v>6010.2777777777828</v>
      </c>
      <c r="AI154" s="459">
        <f t="shared" ref="AI154" si="120">AH158</f>
        <v>5955.6388888888941</v>
      </c>
      <c r="AJ154" s="459">
        <f t="shared" ref="AJ154" si="121">AI158</f>
        <v>5901.0000000000055</v>
      </c>
      <c r="AK154" s="459">
        <f t="shared" ref="AK154" si="122">AJ158</f>
        <v>5846.3611111111168</v>
      </c>
      <c r="AL154" s="459">
        <f t="shared" ref="AL154" si="123">AK158</f>
        <v>5791.7222222222281</v>
      </c>
      <c r="AM154" s="459">
        <f t="shared" ref="AM154" si="124">AL158</f>
        <v>5737.0833333333394</v>
      </c>
      <c r="AN154" s="459"/>
      <c r="AO154" s="390"/>
      <c r="AP154" s="390"/>
      <c r="AQ154" s="390"/>
      <c r="AR154" s="390"/>
      <c r="AS154" s="390"/>
      <c r="AT154" s="390"/>
      <c r="AU154" s="390"/>
      <c r="AV154" s="390"/>
      <c r="AW154" s="390"/>
      <c r="AX154" s="390"/>
      <c r="AY154" s="390"/>
      <c r="AZ154" s="390"/>
      <c r="BA154" s="390"/>
      <c r="BB154" s="390"/>
      <c r="BC154" s="390"/>
      <c r="BD154" s="390"/>
      <c r="BE154" s="390"/>
      <c r="BF154" s="390"/>
      <c r="BG154" s="390"/>
      <c r="BH154" s="390"/>
      <c r="BI154" s="463"/>
      <c r="BJ154" s="463"/>
      <c r="BK154" s="463"/>
      <c r="BL154" s="463"/>
    </row>
    <row r="155" spans="2:64" s="388" customFormat="1" ht="15" customHeight="1">
      <c r="B155" s="457" t="s">
        <v>77</v>
      </c>
      <c r="C155" s="463"/>
      <c r="D155" s="459">
        <f>D73+D62</f>
        <v>3500</v>
      </c>
      <c r="E155" s="459"/>
      <c r="F155" s="459"/>
      <c r="G155" s="459"/>
      <c r="H155" s="459"/>
      <c r="I155" s="459"/>
      <c r="J155" s="459"/>
      <c r="K155" s="459"/>
      <c r="L155" s="965"/>
      <c r="M155" s="459"/>
      <c r="N155" s="459"/>
      <c r="O155" s="564"/>
      <c r="P155" s="459"/>
      <c r="Q155" s="459"/>
      <c r="R155" s="459"/>
      <c r="S155" s="459"/>
      <c r="T155" s="459"/>
      <c r="U155" s="459"/>
      <c r="V155" s="459"/>
      <c r="W155" s="459"/>
      <c r="X155" s="1005">
        <f>J73+J62</f>
        <v>3640</v>
      </c>
      <c r="Y155" s="459"/>
      <c r="Z155" s="459"/>
      <c r="AA155" s="564"/>
      <c r="AB155" s="459"/>
      <c r="AC155" s="459"/>
      <c r="AD155" s="459"/>
      <c r="AE155" s="459"/>
      <c r="AF155" s="459"/>
      <c r="AG155" s="459"/>
      <c r="AH155" s="459"/>
      <c r="AI155" s="459"/>
      <c r="AJ155" s="459"/>
      <c r="AK155" s="459"/>
      <c r="AL155" s="459"/>
      <c r="AM155" s="459"/>
      <c r="AN155" s="459"/>
      <c r="AO155" s="390"/>
      <c r="AP155" s="390"/>
      <c r="AQ155" s="390"/>
      <c r="AR155" s="390"/>
      <c r="AS155" s="390"/>
      <c r="AT155" s="390"/>
      <c r="AU155" s="390"/>
      <c r="AV155" s="390"/>
      <c r="AW155" s="390"/>
      <c r="AX155" s="390"/>
      <c r="AY155" s="390"/>
      <c r="AZ155" s="390"/>
      <c r="BA155" s="390"/>
      <c r="BB155" s="390"/>
      <c r="BC155" s="390"/>
      <c r="BD155" s="390"/>
      <c r="BE155" s="390"/>
      <c r="BF155" s="390"/>
      <c r="BG155" s="390"/>
      <c r="BH155" s="390"/>
      <c r="BI155" s="463"/>
      <c r="BJ155" s="463"/>
      <c r="BK155" s="463"/>
      <c r="BL155" s="463"/>
    </row>
    <row r="156" spans="2:64" ht="15" customHeight="1">
      <c r="B156" s="457" t="s">
        <v>27</v>
      </c>
      <c r="D156" s="459">
        <f>SUM(D154:D155)</f>
        <v>3500</v>
      </c>
      <c r="E156" s="459">
        <f t="shared" ref="E156:AM156" si="125">SUM(E154:E155)</f>
        <v>3470.8333333333335</v>
      </c>
      <c r="F156" s="459">
        <f t="shared" si="125"/>
        <v>3441.666666666667</v>
      </c>
      <c r="G156" s="459">
        <f t="shared" si="125"/>
        <v>3412.5000000000005</v>
      </c>
      <c r="H156" s="459">
        <f t="shared" si="125"/>
        <v>3383.3333333333339</v>
      </c>
      <c r="I156" s="459">
        <f t="shared" si="125"/>
        <v>3354.1666666666674</v>
      </c>
      <c r="J156" s="459">
        <f t="shared" si="125"/>
        <v>3325.0000000000009</v>
      </c>
      <c r="K156" s="459">
        <f t="shared" si="125"/>
        <v>3295.8333333333344</v>
      </c>
      <c r="L156" s="965">
        <f t="shared" si="125"/>
        <v>3266.6666666666679</v>
      </c>
      <c r="M156" s="459">
        <f t="shared" si="125"/>
        <v>3237.5000000000014</v>
      </c>
      <c r="N156" s="459">
        <f t="shared" si="125"/>
        <v>3208.3333333333348</v>
      </c>
      <c r="O156" s="564">
        <f t="shared" si="125"/>
        <v>3179.1666666666683</v>
      </c>
      <c r="P156" s="459">
        <f t="shared" si="125"/>
        <v>3150.0000000000018</v>
      </c>
      <c r="Q156" s="459">
        <f t="shared" si="125"/>
        <v>3120.8333333333353</v>
      </c>
      <c r="R156" s="459">
        <f t="shared" si="125"/>
        <v>3091.6666666666688</v>
      </c>
      <c r="S156" s="459">
        <f t="shared" si="125"/>
        <v>3062.5000000000023</v>
      </c>
      <c r="T156" s="459">
        <f t="shared" si="125"/>
        <v>3033.3333333333358</v>
      </c>
      <c r="U156" s="459">
        <f t="shared" si="125"/>
        <v>3004.1666666666692</v>
      </c>
      <c r="V156" s="459">
        <f t="shared" si="125"/>
        <v>2975.0000000000027</v>
      </c>
      <c r="W156" s="459">
        <f t="shared" si="125"/>
        <v>2945.8333333333362</v>
      </c>
      <c r="X156" s="1005">
        <f t="shared" si="125"/>
        <v>6556.6666666666697</v>
      </c>
      <c r="Y156" s="459">
        <f t="shared" si="125"/>
        <v>6502.027777777781</v>
      </c>
      <c r="Z156" s="459">
        <f t="shared" si="125"/>
        <v>6447.3888888888923</v>
      </c>
      <c r="AA156" s="564">
        <f t="shared" si="125"/>
        <v>6392.7500000000036</v>
      </c>
      <c r="AB156" s="459">
        <f t="shared" si="125"/>
        <v>6338.111111111115</v>
      </c>
      <c r="AC156" s="459">
        <f t="shared" si="125"/>
        <v>6283.4722222222263</v>
      </c>
      <c r="AD156" s="459">
        <f t="shared" si="125"/>
        <v>6228.8333333333376</v>
      </c>
      <c r="AE156" s="459">
        <f t="shared" si="125"/>
        <v>6174.1944444444489</v>
      </c>
      <c r="AF156" s="459">
        <f t="shared" si="125"/>
        <v>6119.5555555555602</v>
      </c>
      <c r="AG156" s="459">
        <f t="shared" si="125"/>
        <v>6064.9166666666715</v>
      </c>
      <c r="AH156" s="459">
        <f t="shared" si="125"/>
        <v>6010.2777777777828</v>
      </c>
      <c r="AI156" s="459">
        <f t="shared" si="125"/>
        <v>5955.6388888888941</v>
      </c>
      <c r="AJ156" s="459">
        <f t="shared" si="125"/>
        <v>5901.0000000000055</v>
      </c>
      <c r="AK156" s="459">
        <f t="shared" si="125"/>
        <v>5846.3611111111168</v>
      </c>
      <c r="AL156" s="459">
        <f t="shared" si="125"/>
        <v>5791.7222222222281</v>
      </c>
      <c r="AM156" s="459">
        <f t="shared" si="125"/>
        <v>5737.0833333333394</v>
      </c>
      <c r="AN156" s="459"/>
      <c r="AO156" s="390"/>
      <c r="AP156" s="390"/>
      <c r="AQ156" s="390"/>
      <c r="AR156" s="390"/>
      <c r="AS156" s="390"/>
      <c r="AT156" s="390"/>
      <c r="AU156" s="390"/>
      <c r="AV156" s="390"/>
      <c r="AW156" s="390"/>
      <c r="AX156" s="390"/>
      <c r="AY156" s="390"/>
      <c r="AZ156" s="390"/>
      <c r="BA156" s="390"/>
      <c r="BB156" s="390"/>
      <c r="BC156" s="390"/>
      <c r="BD156" s="390"/>
      <c r="BE156" s="390"/>
      <c r="BF156" s="390"/>
      <c r="BG156" s="390"/>
      <c r="BH156" s="390"/>
    </row>
    <row r="157" spans="2:64" s="388" customFormat="1" ht="15" customHeight="1">
      <c r="B157" s="460" t="s">
        <v>78</v>
      </c>
      <c r="C157" s="464"/>
      <c r="D157" s="462">
        <f t="shared" ref="D157:W157" si="126">-$D$155/$E$62/12</f>
        <v>-29.166666666666668</v>
      </c>
      <c r="E157" s="462">
        <f t="shared" si="126"/>
        <v>-29.166666666666668</v>
      </c>
      <c r="F157" s="462">
        <f t="shared" si="126"/>
        <v>-29.166666666666668</v>
      </c>
      <c r="G157" s="462">
        <f t="shared" si="126"/>
        <v>-29.166666666666668</v>
      </c>
      <c r="H157" s="462">
        <f t="shared" si="126"/>
        <v>-29.166666666666668</v>
      </c>
      <c r="I157" s="462">
        <f t="shared" si="126"/>
        <v>-29.166666666666668</v>
      </c>
      <c r="J157" s="462">
        <f t="shared" si="126"/>
        <v>-29.166666666666668</v>
      </c>
      <c r="K157" s="462">
        <f t="shared" si="126"/>
        <v>-29.166666666666668</v>
      </c>
      <c r="L157" s="966">
        <f t="shared" si="126"/>
        <v>-29.166666666666668</v>
      </c>
      <c r="M157" s="462">
        <f t="shared" si="126"/>
        <v>-29.166666666666668</v>
      </c>
      <c r="N157" s="462">
        <f t="shared" si="126"/>
        <v>-29.166666666666668</v>
      </c>
      <c r="O157" s="628">
        <f t="shared" si="126"/>
        <v>-29.166666666666668</v>
      </c>
      <c r="P157" s="462">
        <f t="shared" si="126"/>
        <v>-29.166666666666668</v>
      </c>
      <c r="Q157" s="462">
        <f t="shared" si="126"/>
        <v>-29.166666666666668</v>
      </c>
      <c r="R157" s="462">
        <f t="shared" si="126"/>
        <v>-29.166666666666668</v>
      </c>
      <c r="S157" s="462">
        <f t="shared" si="126"/>
        <v>-29.166666666666668</v>
      </c>
      <c r="T157" s="462">
        <f t="shared" si="126"/>
        <v>-29.166666666666668</v>
      </c>
      <c r="U157" s="462">
        <f t="shared" si="126"/>
        <v>-29.166666666666668</v>
      </c>
      <c r="V157" s="462">
        <f t="shared" si="126"/>
        <v>-29.166666666666668</v>
      </c>
      <c r="W157" s="462">
        <f t="shared" si="126"/>
        <v>-29.166666666666668</v>
      </c>
      <c r="X157" s="1006">
        <f t="shared" ref="X157:AM157" si="127">-$X$156/$E$62/12</f>
        <v>-54.638888888888914</v>
      </c>
      <c r="Y157" s="462">
        <f t="shared" si="127"/>
        <v>-54.638888888888914</v>
      </c>
      <c r="Z157" s="462">
        <f t="shared" si="127"/>
        <v>-54.638888888888914</v>
      </c>
      <c r="AA157" s="628">
        <f t="shared" si="127"/>
        <v>-54.638888888888914</v>
      </c>
      <c r="AB157" s="462">
        <f t="shared" si="127"/>
        <v>-54.638888888888914</v>
      </c>
      <c r="AC157" s="462">
        <f t="shared" si="127"/>
        <v>-54.638888888888914</v>
      </c>
      <c r="AD157" s="462">
        <f t="shared" si="127"/>
        <v>-54.638888888888914</v>
      </c>
      <c r="AE157" s="462">
        <f t="shared" si="127"/>
        <v>-54.638888888888914</v>
      </c>
      <c r="AF157" s="462">
        <f t="shared" si="127"/>
        <v>-54.638888888888914</v>
      </c>
      <c r="AG157" s="462">
        <f t="shared" si="127"/>
        <v>-54.638888888888914</v>
      </c>
      <c r="AH157" s="462">
        <f t="shared" si="127"/>
        <v>-54.638888888888914</v>
      </c>
      <c r="AI157" s="462">
        <f t="shared" si="127"/>
        <v>-54.638888888888914</v>
      </c>
      <c r="AJ157" s="462">
        <f t="shared" si="127"/>
        <v>-54.638888888888914</v>
      </c>
      <c r="AK157" s="462">
        <f t="shared" si="127"/>
        <v>-54.638888888888914</v>
      </c>
      <c r="AL157" s="462">
        <f t="shared" si="127"/>
        <v>-54.638888888888914</v>
      </c>
      <c r="AM157" s="462">
        <f t="shared" si="127"/>
        <v>-54.638888888888914</v>
      </c>
      <c r="AN157" s="459"/>
      <c r="AO157" s="390"/>
      <c r="AP157" s="390"/>
      <c r="AQ157" s="390"/>
      <c r="AR157" s="390"/>
      <c r="AS157" s="390"/>
      <c r="AT157" s="390"/>
      <c r="AU157" s="390"/>
      <c r="AV157" s="390"/>
      <c r="AW157" s="390"/>
      <c r="AX157" s="390"/>
      <c r="AY157" s="390"/>
      <c r="AZ157" s="390"/>
      <c r="BA157" s="390"/>
      <c r="BB157" s="390"/>
      <c r="BC157" s="390"/>
      <c r="BD157" s="390"/>
      <c r="BE157" s="390"/>
      <c r="BF157" s="390"/>
      <c r="BG157" s="390"/>
      <c r="BH157" s="390"/>
      <c r="BI157" s="463"/>
      <c r="BJ157" s="463"/>
      <c r="BK157" s="463"/>
      <c r="BL157" s="463"/>
    </row>
    <row r="158" spans="2:64" ht="15" customHeight="1">
      <c r="B158" s="457" t="s">
        <v>433</v>
      </c>
      <c r="D158" s="459">
        <f t="shared" ref="D158:AM158" si="128">SUM(D156:D157)</f>
        <v>3470.8333333333335</v>
      </c>
      <c r="E158" s="459">
        <f t="shared" si="128"/>
        <v>3441.666666666667</v>
      </c>
      <c r="F158" s="459">
        <f t="shared" si="128"/>
        <v>3412.5000000000005</v>
      </c>
      <c r="G158" s="459">
        <f t="shared" si="128"/>
        <v>3383.3333333333339</v>
      </c>
      <c r="H158" s="459">
        <f t="shared" si="128"/>
        <v>3354.1666666666674</v>
      </c>
      <c r="I158" s="459">
        <f t="shared" si="128"/>
        <v>3325.0000000000009</v>
      </c>
      <c r="J158" s="459">
        <f t="shared" si="128"/>
        <v>3295.8333333333344</v>
      </c>
      <c r="K158" s="459">
        <f t="shared" si="128"/>
        <v>3266.6666666666679</v>
      </c>
      <c r="L158" s="965">
        <f t="shared" si="128"/>
        <v>3237.5000000000014</v>
      </c>
      <c r="M158" s="459">
        <f t="shared" si="128"/>
        <v>3208.3333333333348</v>
      </c>
      <c r="N158" s="459">
        <f t="shared" si="128"/>
        <v>3179.1666666666683</v>
      </c>
      <c r="O158" s="564">
        <f t="shared" si="128"/>
        <v>3150.0000000000018</v>
      </c>
      <c r="P158" s="459">
        <f t="shared" si="128"/>
        <v>3120.8333333333353</v>
      </c>
      <c r="Q158" s="459">
        <f t="shared" si="128"/>
        <v>3091.6666666666688</v>
      </c>
      <c r="R158" s="459">
        <f t="shared" si="128"/>
        <v>3062.5000000000023</v>
      </c>
      <c r="S158" s="459">
        <f t="shared" si="128"/>
        <v>3033.3333333333358</v>
      </c>
      <c r="T158" s="459">
        <f t="shared" si="128"/>
        <v>3004.1666666666692</v>
      </c>
      <c r="U158" s="459">
        <f t="shared" si="128"/>
        <v>2975.0000000000027</v>
      </c>
      <c r="V158" s="459">
        <f t="shared" si="128"/>
        <v>2945.8333333333362</v>
      </c>
      <c r="W158" s="459">
        <f t="shared" si="128"/>
        <v>2916.6666666666697</v>
      </c>
      <c r="X158" s="1005">
        <f t="shared" si="128"/>
        <v>6502.027777777781</v>
      </c>
      <c r="Y158" s="459">
        <f t="shared" si="128"/>
        <v>6447.3888888888923</v>
      </c>
      <c r="Z158" s="459">
        <f t="shared" si="128"/>
        <v>6392.7500000000036</v>
      </c>
      <c r="AA158" s="564">
        <f t="shared" si="128"/>
        <v>6338.111111111115</v>
      </c>
      <c r="AB158" s="459">
        <f t="shared" si="128"/>
        <v>6283.4722222222263</v>
      </c>
      <c r="AC158" s="459">
        <f t="shared" si="128"/>
        <v>6228.8333333333376</v>
      </c>
      <c r="AD158" s="459">
        <f t="shared" si="128"/>
        <v>6174.1944444444489</v>
      </c>
      <c r="AE158" s="459">
        <f t="shared" si="128"/>
        <v>6119.5555555555602</v>
      </c>
      <c r="AF158" s="459">
        <f t="shared" si="128"/>
        <v>6064.9166666666715</v>
      </c>
      <c r="AG158" s="459">
        <f t="shared" si="128"/>
        <v>6010.2777777777828</v>
      </c>
      <c r="AH158" s="459">
        <f t="shared" si="128"/>
        <v>5955.6388888888941</v>
      </c>
      <c r="AI158" s="459">
        <f t="shared" si="128"/>
        <v>5901.0000000000055</v>
      </c>
      <c r="AJ158" s="459">
        <f t="shared" si="128"/>
        <v>5846.3611111111168</v>
      </c>
      <c r="AK158" s="459">
        <f t="shared" si="128"/>
        <v>5791.7222222222281</v>
      </c>
      <c r="AL158" s="459">
        <f t="shared" si="128"/>
        <v>5737.0833333333394</v>
      </c>
      <c r="AM158" s="459">
        <f t="shared" si="128"/>
        <v>5682.4444444444507</v>
      </c>
      <c r="AN158" s="459"/>
      <c r="AO158" s="390"/>
      <c r="AP158" s="390"/>
      <c r="AQ158" s="390"/>
      <c r="AR158" s="390"/>
      <c r="AS158" s="390"/>
      <c r="AT158" s="390"/>
      <c r="AU158" s="390"/>
      <c r="AV158" s="390"/>
      <c r="AW158" s="390"/>
      <c r="AX158" s="390"/>
      <c r="AY158" s="390"/>
      <c r="AZ158" s="390"/>
      <c r="BA158" s="390"/>
      <c r="BB158" s="390"/>
      <c r="BC158" s="390"/>
      <c r="BD158" s="390"/>
      <c r="BE158" s="390"/>
      <c r="BF158" s="390"/>
      <c r="BG158" s="390"/>
      <c r="BH158" s="390"/>
    </row>
    <row r="159" spans="2:64" ht="15" customHeight="1">
      <c r="B159" s="457"/>
      <c r="D159" s="459"/>
      <c r="E159" s="459"/>
      <c r="F159" s="459"/>
      <c r="G159" s="459"/>
      <c r="H159" s="459"/>
      <c r="I159" s="459"/>
      <c r="J159" s="459"/>
      <c r="K159" s="459"/>
      <c r="L159" s="965"/>
      <c r="M159" s="459"/>
      <c r="N159" s="459"/>
      <c r="O159" s="564"/>
      <c r="P159" s="459"/>
      <c r="Q159" s="459"/>
      <c r="R159" s="459"/>
      <c r="S159" s="459"/>
      <c r="T159" s="459"/>
      <c r="U159" s="459"/>
      <c r="V159" s="459"/>
      <c r="W159" s="459"/>
      <c r="X159" s="1005"/>
      <c r="Y159" s="459"/>
      <c r="Z159" s="459"/>
      <c r="AA159" s="564"/>
      <c r="AB159" s="459"/>
      <c r="AC159" s="459"/>
      <c r="AD159" s="459"/>
      <c r="AE159" s="459"/>
      <c r="AF159" s="459"/>
      <c r="AG159" s="459"/>
      <c r="AH159" s="459"/>
      <c r="AI159" s="459"/>
      <c r="AJ159" s="459"/>
      <c r="AK159" s="459"/>
      <c r="AL159" s="459"/>
      <c r="AM159" s="459"/>
      <c r="AN159" s="459"/>
      <c r="AO159" s="390"/>
      <c r="AP159" s="390"/>
      <c r="AQ159" s="390"/>
      <c r="AR159" s="390"/>
      <c r="AS159" s="390"/>
      <c r="AT159" s="390"/>
      <c r="AU159" s="390"/>
      <c r="AV159" s="390"/>
      <c r="AW159" s="390"/>
      <c r="AX159" s="390"/>
      <c r="AY159" s="390"/>
      <c r="AZ159" s="390"/>
      <c r="BA159" s="390"/>
      <c r="BB159" s="390"/>
      <c r="BC159" s="390"/>
      <c r="BD159" s="390"/>
      <c r="BE159" s="390"/>
      <c r="BF159" s="390"/>
      <c r="BG159" s="390"/>
      <c r="BH159" s="390"/>
    </row>
    <row r="160" spans="2:64" ht="15" customHeight="1">
      <c r="B160" s="465" t="s">
        <v>431</v>
      </c>
      <c r="D160" s="459">
        <f>D144+D151+D158</f>
        <v>8711.1111111111113</v>
      </c>
      <c r="E160" s="459">
        <f t="shared" ref="E160:AM160" si="129">E144+E151+E158</f>
        <v>8592.2222222222226</v>
      </c>
      <c r="F160" s="459">
        <f t="shared" si="129"/>
        <v>8473.3333333333339</v>
      </c>
      <c r="G160" s="459">
        <f t="shared" si="129"/>
        <v>8354.4444444444453</v>
      </c>
      <c r="H160" s="459">
        <f t="shared" si="129"/>
        <v>8235.5555555555566</v>
      </c>
      <c r="I160" s="459">
        <f t="shared" si="129"/>
        <v>8116.6666666666679</v>
      </c>
      <c r="J160" s="459">
        <f t="shared" si="129"/>
        <v>7997.7777777777792</v>
      </c>
      <c r="K160" s="459">
        <f t="shared" si="129"/>
        <v>7878.8888888888905</v>
      </c>
      <c r="L160" s="965">
        <f t="shared" si="129"/>
        <v>8066.6666666666679</v>
      </c>
      <c r="M160" s="459">
        <f t="shared" si="129"/>
        <v>7954.4444444444462</v>
      </c>
      <c r="N160" s="459">
        <f t="shared" si="129"/>
        <v>7842.2222222222244</v>
      </c>
      <c r="O160" s="564">
        <f t="shared" si="129"/>
        <v>7730.0000000000027</v>
      </c>
      <c r="P160" s="459">
        <f t="shared" si="129"/>
        <v>7617.777777777781</v>
      </c>
      <c r="Q160" s="459">
        <f t="shared" si="129"/>
        <v>7505.5555555555593</v>
      </c>
      <c r="R160" s="459">
        <f t="shared" si="129"/>
        <v>7393.3333333333376</v>
      </c>
      <c r="S160" s="459">
        <f t="shared" si="129"/>
        <v>7281.1111111111159</v>
      </c>
      <c r="T160" s="459">
        <f t="shared" si="129"/>
        <v>7168.8888888888941</v>
      </c>
      <c r="U160" s="459">
        <f t="shared" si="129"/>
        <v>7056.6666666666715</v>
      </c>
      <c r="V160" s="459">
        <f t="shared" si="129"/>
        <v>6944.4444444444498</v>
      </c>
      <c r="W160" s="459">
        <f t="shared" si="129"/>
        <v>6832.2222222222281</v>
      </c>
      <c r="X160" s="1005">
        <f t="shared" si="129"/>
        <v>16108.617901234573</v>
      </c>
      <c r="Y160" s="459">
        <f t="shared" si="129"/>
        <v>15889.813580246919</v>
      </c>
      <c r="Z160" s="459">
        <f t="shared" si="129"/>
        <v>15671.009259259265</v>
      </c>
      <c r="AA160" s="564">
        <f t="shared" si="129"/>
        <v>15452.20493827161</v>
      </c>
      <c r="AB160" s="459">
        <f t="shared" si="129"/>
        <v>15233.400617283956</v>
      </c>
      <c r="AC160" s="459">
        <f t="shared" si="129"/>
        <v>15014.596296296302</v>
      </c>
      <c r="AD160" s="459">
        <f t="shared" si="129"/>
        <v>14795.791975308648</v>
      </c>
      <c r="AE160" s="459">
        <f t="shared" si="129"/>
        <v>14576.987654320994</v>
      </c>
      <c r="AF160" s="459">
        <f t="shared" si="129"/>
        <v>14358.18333333334</v>
      </c>
      <c r="AG160" s="459">
        <f t="shared" si="129"/>
        <v>14139.379012345686</v>
      </c>
      <c r="AH160" s="459">
        <f t="shared" si="129"/>
        <v>13920.57469135803</v>
      </c>
      <c r="AI160" s="459">
        <f t="shared" si="129"/>
        <v>13701.770370370377</v>
      </c>
      <c r="AJ160" s="459">
        <f t="shared" si="129"/>
        <v>13482.966049382721</v>
      </c>
      <c r="AK160" s="459">
        <f t="shared" si="129"/>
        <v>13264.161728395069</v>
      </c>
      <c r="AL160" s="459">
        <f t="shared" si="129"/>
        <v>13045.357407407413</v>
      </c>
      <c r="AM160" s="459">
        <f t="shared" si="129"/>
        <v>12826.553086419759</v>
      </c>
      <c r="AN160" s="459"/>
      <c r="AO160" s="390"/>
      <c r="AP160" s="390"/>
      <c r="AQ160" s="390"/>
      <c r="AR160" s="390"/>
      <c r="AS160" s="390"/>
      <c r="AT160" s="390"/>
      <c r="AU160" s="390"/>
      <c r="AV160" s="390"/>
      <c r="AW160" s="390"/>
      <c r="AX160" s="390"/>
      <c r="AY160" s="390"/>
      <c r="AZ160" s="390"/>
      <c r="BA160" s="390"/>
      <c r="BB160" s="390"/>
      <c r="BC160" s="390"/>
      <c r="BD160" s="390"/>
      <c r="BE160" s="390"/>
      <c r="BF160" s="390"/>
      <c r="BG160" s="390"/>
      <c r="BH160" s="390"/>
    </row>
    <row r="161" spans="2:70" s="58" customFormat="1">
      <c r="B161" s="212"/>
      <c r="C161" s="207"/>
      <c r="D161" s="468"/>
      <c r="E161" s="468"/>
      <c r="F161" s="468"/>
      <c r="G161" s="468"/>
      <c r="H161" s="468"/>
      <c r="I161" s="468"/>
      <c r="J161" s="468"/>
      <c r="K161" s="468"/>
      <c r="L161" s="968"/>
      <c r="M161" s="468"/>
      <c r="N161" s="468"/>
      <c r="O161" s="566"/>
      <c r="P161" s="468"/>
      <c r="Q161" s="468"/>
      <c r="R161" s="468"/>
      <c r="S161" s="468"/>
      <c r="T161" s="468"/>
      <c r="U161" s="468"/>
      <c r="V161" s="468"/>
      <c r="W161" s="468"/>
      <c r="X161" s="1008"/>
      <c r="Y161" s="468"/>
      <c r="Z161" s="468"/>
      <c r="AA161" s="566"/>
      <c r="AB161" s="468"/>
      <c r="AC161" s="468"/>
      <c r="AD161" s="468"/>
      <c r="AE161" s="468"/>
      <c r="AF161" s="468"/>
      <c r="AG161" s="468"/>
      <c r="AH161" s="468"/>
      <c r="AI161" s="468"/>
      <c r="AJ161" s="468"/>
      <c r="AK161" s="468"/>
      <c r="AL161" s="468"/>
      <c r="AM161" s="468"/>
      <c r="AN161" s="468"/>
    </row>
    <row r="162" spans="2:70" s="473" customFormat="1" ht="20" customHeight="1" thickBot="1">
      <c r="B162" s="469" t="s">
        <v>427</v>
      </c>
      <c r="C162" s="470"/>
      <c r="D162" s="471">
        <f t="shared" ref="D162:AM162" si="130">D127+D134+D143+D150+D157</f>
        <v>-387.22222222222229</v>
      </c>
      <c r="E162" s="471">
        <f t="shared" si="130"/>
        <v>-387.22222222222229</v>
      </c>
      <c r="F162" s="471">
        <f t="shared" si="130"/>
        <v>-387.22222222222229</v>
      </c>
      <c r="G162" s="471">
        <f t="shared" si="130"/>
        <v>-387.22222222222229</v>
      </c>
      <c r="H162" s="471">
        <f t="shared" si="130"/>
        <v>-387.22222222222229</v>
      </c>
      <c r="I162" s="471">
        <f t="shared" si="130"/>
        <v>-387.22222222222229</v>
      </c>
      <c r="J162" s="471">
        <f t="shared" si="130"/>
        <v>-387.22222222222229</v>
      </c>
      <c r="K162" s="471">
        <f t="shared" si="130"/>
        <v>-387.22222222222229</v>
      </c>
      <c r="L162" s="969">
        <f t="shared" si="130"/>
        <v>-380.5555555555556</v>
      </c>
      <c r="M162" s="471">
        <f t="shared" si="130"/>
        <v>-380.5555555555556</v>
      </c>
      <c r="N162" s="471">
        <f t="shared" si="130"/>
        <v>-380.5555555555556</v>
      </c>
      <c r="O162" s="629">
        <f t="shared" si="130"/>
        <v>-380.5555555555556</v>
      </c>
      <c r="P162" s="471">
        <f t="shared" si="130"/>
        <v>-341.72222222222211</v>
      </c>
      <c r="Q162" s="471">
        <f t="shared" si="130"/>
        <v>-341.72222222222211</v>
      </c>
      <c r="R162" s="471">
        <f t="shared" si="130"/>
        <v>-341.72222222222211</v>
      </c>
      <c r="S162" s="471">
        <f t="shared" si="130"/>
        <v>-341.72222222222211</v>
      </c>
      <c r="T162" s="471">
        <f t="shared" si="130"/>
        <v>-341.72222222222211</v>
      </c>
      <c r="U162" s="471">
        <f t="shared" si="130"/>
        <v>-341.72222222222211</v>
      </c>
      <c r="V162" s="471">
        <f t="shared" si="130"/>
        <v>-341.72222222222211</v>
      </c>
      <c r="W162" s="471">
        <f t="shared" si="130"/>
        <v>-341.72222222222211</v>
      </c>
      <c r="X162" s="1009">
        <f t="shared" si="130"/>
        <v>-770.70432098765423</v>
      </c>
      <c r="Y162" s="471">
        <f t="shared" si="130"/>
        <v>-770.70432098765423</v>
      </c>
      <c r="Z162" s="471">
        <f t="shared" si="130"/>
        <v>-770.70432098765423</v>
      </c>
      <c r="AA162" s="629">
        <f t="shared" si="130"/>
        <v>-770.70432098765423</v>
      </c>
      <c r="AB162" s="471">
        <f t="shared" si="130"/>
        <v>-669.61432098765431</v>
      </c>
      <c r="AC162" s="471">
        <f t="shared" si="130"/>
        <v>-669.61432098765431</v>
      </c>
      <c r="AD162" s="471">
        <f t="shared" si="130"/>
        <v>-669.61432098765431</v>
      </c>
      <c r="AE162" s="471">
        <f t="shared" si="130"/>
        <v>-669.61432098765431</v>
      </c>
      <c r="AF162" s="471">
        <f t="shared" si="130"/>
        <v>-669.61432098765431</v>
      </c>
      <c r="AG162" s="471">
        <f t="shared" si="130"/>
        <v>-669.61432098765431</v>
      </c>
      <c r="AH162" s="471">
        <f t="shared" si="130"/>
        <v>-669.61432098765431</v>
      </c>
      <c r="AI162" s="471">
        <f t="shared" si="130"/>
        <v>-669.61432098765431</v>
      </c>
      <c r="AJ162" s="471">
        <f t="shared" si="130"/>
        <v>-669.61432098765431</v>
      </c>
      <c r="AK162" s="471">
        <f t="shared" si="130"/>
        <v>-669.61432098765431</v>
      </c>
      <c r="AL162" s="471">
        <f t="shared" si="130"/>
        <v>-669.61432098765431</v>
      </c>
      <c r="AM162" s="471">
        <f t="shared" si="130"/>
        <v>-669.61432098765431</v>
      </c>
      <c r="AN162" s="472"/>
    </row>
    <row r="163" spans="2:70" s="58" customFormat="1" ht="15" customHeight="1" thickTop="1">
      <c r="B163" s="212"/>
      <c r="C163" s="207"/>
      <c r="D163" s="468"/>
      <c r="E163" s="468"/>
      <c r="F163" s="468"/>
      <c r="G163" s="468"/>
      <c r="H163" s="468"/>
      <c r="I163" s="468"/>
      <c r="J163" s="468"/>
      <c r="K163" s="468"/>
      <c r="L163" s="968"/>
      <c r="M163" s="468"/>
      <c r="N163" s="468"/>
      <c r="O163" s="566"/>
      <c r="P163" s="468"/>
      <c r="Q163" s="468"/>
      <c r="R163" s="468"/>
      <c r="S163" s="468"/>
      <c r="T163" s="468"/>
      <c r="U163" s="468"/>
      <c r="V163" s="468"/>
      <c r="W163" s="468"/>
      <c r="X163" s="1008"/>
      <c r="Y163" s="468"/>
      <c r="Z163" s="468"/>
      <c r="AA163" s="566"/>
      <c r="AB163" s="468"/>
      <c r="AC163" s="468"/>
      <c r="AD163" s="468"/>
      <c r="AE163" s="468"/>
      <c r="AF163" s="468"/>
      <c r="AG163" s="468"/>
      <c r="AH163" s="468"/>
      <c r="AI163" s="468"/>
      <c r="AJ163" s="468"/>
      <c r="AK163" s="468"/>
      <c r="AL163" s="468"/>
      <c r="AM163" s="468"/>
      <c r="AN163" s="468"/>
    </row>
    <row r="164" spans="2:70" s="58" customFormat="1" ht="15" customHeight="1">
      <c r="B164" s="212"/>
      <c r="C164" s="207"/>
      <c r="D164" s="468"/>
      <c r="E164" s="468"/>
      <c r="F164" s="468"/>
      <c r="G164" s="468"/>
      <c r="H164" s="468"/>
      <c r="I164" s="468"/>
      <c r="J164" s="468"/>
      <c r="K164" s="468"/>
      <c r="L164" s="968"/>
      <c r="M164" s="468"/>
      <c r="N164" s="468"/>
      <c r="O164" s="566"/>
      <c r="P164" s="468"/>
      <c r="Q164" s="468"/>
      <c r="R164" s="468"/>
      <c r="S164" s="468"/>
      <c r="T164" s="468"/>
      <c r="U164" s="468"/>
      <c r="V164" s="468"/>
      <c r="W164" s="468"/>
      <c r="X164" s="1008"/>
      <c r="Y164" s="468"/>
      <c r="Z164" s="468"/>
      <c r="AA164" s="566"/>
      <c r="AB164" s="468"/>
      <c r="AC164" s="468"/>
      <c r="AD164" s="468"/>
      <c r="AE164" s="468"/>
      <c r="AF164" s="468"/>
      <c r="AG164" s="468"/>
      <c r="AH164" s="468"/>
      <c r="AI164" s="468"/>
      <c r="AJ164" s="468"/>
      <c r="AK164" s="468"/>
      <c r="AL164" s="468"/>
      <c r="AM164" s="468"/>
      <c r="AN164" s="468"/>
    </row>
    <row r="165" spans="2:70" s="346" customFormat="1" ht="15" customHeight="1" thickBot="1">
      <c r="B165" s="448"/>
      <c r="C165" s="607" t="str">
        <f t="shared" ref="C165:AM165" si="131">C119</f>
        <v>Month:</v>
      </c>
      <c r="D165" s="602">
        <f t="shared" si="131"/>
        <v>45688</v>
      </c>
      <c r="E165" s="602">
        <f t="shared" si="131"/>
        <v>45689</v>
      </c>
      <c r="F165" s="602">
        <f t="shared" si="131"/>
        <v>45717</v>
      </c>
      <c r="G165" s="602">
        <f t="shared" si="131"/>
        <v>45748</v>
      </c>
      <c r="H165" s="602">
        <f t="shared" si="131"/>
        <v>45778</v>
      </c>
      <c r="I165" s="602">
        <f t="shared" si="131"/>
        <v>45809</v>
      </c>
      <c r="J165" s="602">
        <f t="shared" si="131"/>
        <v>45839</v>
      </c>
      <c r="K165" s="602">
        <f t="shared" si="131"/>
        <v>45870</v>
      </c>
      <c r="L165" s="970">
        <f t="shared" si="131"/>
        <v>45901</v>
      </c>
      <c r="M165" s="602">
        <f t="shared" si="131"/>
        <v>45931</v>
      </c>
      <c r="N165" s="602">
        <f t="shared" si="131"/>
        <v>45962</v>
      </c>
      <c r="O165" s="603">
        <f t="shared" si="131"/>
        <v>45992</v>
      </c>
      <c r="P165" s="602">
        <f t="shared" si="131"/>
        <v>46023</v>
      </c>
      <c r="Q165" s="602">
        <f t="shared" si="131"/>
        <v>46054</v>
      </c>
      <c r="R165" s="602">
        <f t="shared" si="131"/>
        <v>46082</v>
      </c>
      <c r="S165" s="602">
        <f t="shared" si="131"/>
        <v>46113</v>
      </c>
      <c r="T165" s="602">
        <f t="shared" si="131"/>
        <v>46143</v>
      </c>
      <c r="U165" s="602">
        <f t="shared" si="131"/>
        <v>46174</v>
      </c>
      <c r="V165" s="602">
        <f t="shared" si="131"/>
        <v>46204</v>
      </c>
      <c r="W165" s="602">
        <f t="shared" si="131"/>
        <v>46235</v>
      </c>
      <c r="X165" s="1010">
        <f t="shared" si="131"/>
        <v>46266</v>
      </c>
      <c r="Y165" s="602">
        <f t="shared" si="131"/>
        <v>46296</v>
      </c>
      <c r="Z165" s="602">
        <f t="shared" si="131"/>
        <v>46327</v>
      </c>
      <c r="AA165" s="603">
        <f t="shared" si="131"/>
        <v>46357</v>
      </c>
      <c r="AB165" s="602">
        <f t="shared" si="131"/>
        <v>46388</v>
      </c>
      <c r="AC165" s="602">
        <f t="shared" si="131"/>
        <v>46419</v>
      </c>
      <c r="AD165" s="602">
        <f t="shared" si="131"/>
        <v>46447</v>
      </c>
      <c r="AE165" s="602">
        <f t="shared" si="131"/>
        <v>46478</v>
      </c>
      <c r="AF165" s="602">
        <f t="shared" si="131"/>
        <v>46508</v>
      </c>
      <c r="AG165" s="602">
        <f t="shared" si="131"/>
        <v>46539</v>
      </c>
      <c r="AH165" s="602">
        <f t="shared" si="131"/>
        <v>46569</v>
      </c>
      <c r="AI165" s="602">
        <f t="shared" si="131"/>
        <v>46600</v>
      </c>
      <c r="AJ165" s="602">
        <f t="shared" si="131"/>
        <v>46631</v>
      </c>
      <c r="AK165" s="602">
        <f t="shared" si="131"/>
        <v>46661</v>
      </c>
      <c r="AL165" s="602">
        <f t="shared" si="131"/>
        <v>46692</v>
      </c>
      <c r="AM165" s="602">
        <f t="shared" si="131"/>
        <v>46722</v>
      </c>
      <c r="AN165" s="480"/>
      <c r="AO165" s="358"/>
      <c r="AP165" s="358"/>
      <c r="AQ165" s="358"/>
      <c r="AR165" s="358"/>
      <c r="AS165" s="358"/>
      <c r="AT165" s="358"/>
      <c r="AU165" s="358"/>
      <c r="AV165" s="358"/>
      <c r="AW165" s="358"/>
      <c r="AX165" s="358"/>
      <c r="AY165" s="358"/>
      <c r="AZ165" s="358"/>
      <c r="BA165" s="358"/>
      <c r="BB165" s="358"/>
      <c r="BC165" s="358"/>
      <c r="BD165" s="358"/>
      <c r="BE165" s="358"/>
      <c r="BF165" s="358"/>
      <c r="BG165" s="358"/>
      <c r="BH165" s="358"/>
    </row>
    <row r="166" spans="2:70" ht="19" thickBot="1">
      <c r="B166" s="384" t="s">
        <v>90</v>
      </c>
      <c r="C166" s="180"/>
      <c r="D166" s="474"/>
      <c r="E166" s="475"/>
      <c r="F166" s="475"/>
      <c r="G166" s="475"/>
      <c r="H166" s="475"/>
      <c r="I166" s="475"/>
      <c r="J166" s="475"/>
      <c r="K166" s="475"/>
      <c r="L166" s="971"/>
      <c r="M166" s="475"/>
      <c r="N166" s="475"/>
      <c r="O166" s="567"/>
      <c r="P166" s="476"/>
      <c r="Q166" s="476"/>
      <c r="R166" s="476"/>
      <c r="S166" s="476"/>
      <c r="T166" s="476"/>
      <c r="U166" s="476"/>
      <c r="V166" s="476"/>
      <c r="W166" s="476"/>
      <c r="X166" s="1011"/>
      <c r="Y166" s="476"/>
      <c r="Z166" s="476"/>
      <c r="AA166" s="930"/>
      <c r="AB166" s="476"/>
      <c r="AC166" s="475"/>
      <c r="AD166" s="475"/>
      <c r="AE166" s="475"/>
      <c r="AF166" s="475"/>
      <c r="AG166" s="475"/>
      <c r="AH166" s="475"/>
      <c r="AI166" s="475"/>
      <c r="AJ166" s="475"/>
      <c r="AK166" s="475"/>
      <c r="AL166" s="475"/>
      <c r="AM166" s="475"/>
      <c r="AN166" s="477"/>
      <c r="AO166" s="182"/>
      <c r="AP166" s="182"/>
      <c r="AQ166" s="182"/>
      <c r="AR166" s="182"/>
      <c r="AS166" s="182"/>
      <c r="AT166" s="182"/>
      <c r="AU166" s="182"/>
      <c r="AV166" s="182"/>
      <c r="AW166" s="182"/>
      <c r="AX166" s="182"/>
      <c r="AY166" s="182"/>
      <c r="AZ166" s="182"/>
      <c r="BA166" s="182"/>
      <c r="BB166" s="182"/>
      <c r="BC166" s="182"/>
      <c r="BD166" s="182"/>
      <c r="BE166" s="182"/>
      <c r="BF166" s="182"/>
      <c r="BG166" s="182"/>
      <c r="BH166" s="182"/>
      <c r="BI166" s="182"/>
      <c r="BJ166" s="182"/>
      <c r="BK166" s="182"/>
      <c r="BL166" s="182"/>
      <c r="BM166" s="182"/>
      <c r="BN166" s="182"/>
      <c r="BO166" s="182"/>
      <c r="BP166" s="182"/>
      <c r="BQ166" s="182"/>
      <c r="BR166" s="182"/>
    </row>
    <row r="167" spans="2:70">
      <c r="B167" s="385"/>
      <c r="D167" s="477"/>
      <c r="E167" s="478"/>
      <c r="F167" s="478"/>
      <c r="G167" s="478"/>
      <c r="H167" s="478"/>
      <c r="I167" s="478"/>
      <c r="J167" s="478"/>
      <c r="K167" s="478"/>
      <c r="L167" s="972"/>
      <c r="M167" s="478"/>
      <c r="N167" s="478"/>
      <c r="O167" s="568"/>
      <c r="P167" s="479"/>
      <c r="Q167" s="467"/>
      <c r="R167" s="467"/>
      <c r="S167" s="467"/>
      <c r="T167" s="467"/>
      <c r="U167" s="467"/>
      <c r="V167" s="467"/>
      <c r="W167" s="467"/>
      <c r="X167" s="1007"/>
      <c r="Y167" s="467"/>
      <c r="Z167" s="467"/>
      <c r="AA167" s="565"/>
      <c r="AB167" s="479"/>
      <c r="AC167" s="478"/>
      <c r="AD167" s="478"/>
      <c r="AE167" s="478"/>
      <c r="AF167" s="478"/>
      <c r="AG167" s="478"/>
      <c r="AH167" s="478"/>
      <c r="AI167" s="478"/>
      <c r="AJ167" s="478"/>
      <c r="AK167" s="478"/>
      <c r="AL167" s="478"/>
      <c r="AM167" s="478"/>
      <c r="AN167" s="477"/>
      <c r="AO167" s="182"/>
      <c r="AP167" s="182"/>
      <c r="AQ167" s="182"/>
      <c r="AR167" s="182"/>
      <c r="AS167" s="182"/>
      <c r="AT167" s="182"/>
      <c r="AU167" s="182"/>
      <c r="AV167" s="182"/>
      <c r="AW167" s="182"/>
      <c r="AX167" s="182"/>
      <c r="AY167" s="182"/>
      <c r="AZ167" s="182"/>
      <c r="BA167" s="182"/>
      <c r="BB167" s="182"/>
      <c r="BC167" s="182"/>
      <c r="BD167" s="182"/>
      <c r="BE167" s="182"/>
      <c r="BF167" s="182"/>
      <c r="BG167" s="182"/>
      <c r="BH167" s="182"/>
      <c r="BI167" s="182"/>
      <c r="BJ167" s="182"/>
      <c r="BK167" s="182"/>
      <c r="BL167" s="182"/>
      <c r="BM167" s="182"/>
      <c r="BN167" s="182"/>
      <c r="BO167" s="182"/>
      <c r="BP167" s="182"/>
      <c r="BQ167" s="182"/>
      <c r="BR167" s="182"/>
    </row>
    <row r="168" spans="2:70">
      <c r="B168" s="457" t="s">
        <v>80</v>
      </c>
      <c r="D168" s="478">
        <f t="shared" ref="D168:AM168" si="132">D106</f>
        <v>-11429.59818146032</v>
      </c>
      <c r="E168" s="478">
        <f t="shared" si="132"/>
        <v>-10146.672412740378</v>
      </c>
      <c r="F168" s="478">
        <f t="shared" si="132"/>
        <v>-8095.6735476865597</v>
      </c>
      <c r="G168" s="478">
        <f t="shared" si="132"/>
        <v>-6490.3168260506982</v>
      </c>
      <c r="H168" s="478">
        <f t="shared" si="132"/>
        <v>-5126.1724718859041</v>
      </c>
      <c r="I168" s="478">
        <f t="shared" si="132"/>
        <v>-3699.7541789324587</v>
      </c>
      <c r="J168" s="478">
        <f t="shared" si="132"/>
        <v>-2177.0193497836144</v>
      </c>
      <c r="K168" s="478">
        <f t="shared" si="132"/>
        <v>-1295.097208825581</v>
      </c>
      <c r="L168" s="972">
        <f t="shared" si="132"/>
        <v>159.88516135201411</v>
      </c>
      <c r="M168" s="478">
        <f t="shared" si="132"/>
        <v>1691.0561026809619</v>
      </c>
      <c r="N168" s="478">
        <f t="shared" si="132"/>
        <v>3421.9398423717926</v>
      </c>
      <c r="O168" s="568">
        <f t="shared" si="132"/>
        <v>4682.9086274615747</v>
      </c>
      <c r="P168" s="479">
        <f t="shared" si="132"/>
        <v>-3405.8716051759397</v>
      </c>
      <c r="Q168" s="467">
        <f t="shared" si="132"/>
        <v>-1304.0214535959738</v>
      </c>
      <c r="R168" s="467">
        <f t="shared" si="132"/>
        <v>3568.7846092379114</v>
      </c>
      <c r="S168" s="467">
        <f t="shared" si="132"/>
        <v>6732.9998523145314</v>
      </c>
      <c r="T168" s="467">
        <f t="shared" si="132"/>
        <v>8065.259837839857</v>
      </c>
      <c r="U168" s="467">
        <f t="shared" si="132"/>
        <v>10014.672944681181</v>
      </c>
      <c r="V168" s="467">
        <f t="shared" si="132"/>
        <v>11620.225657214873</v>
      </c>
      <c r="W168" s="467">
        <f t="shared" si="132"/>
        <v>13123.238550749398</v>
      </c>
      <c r="X168" s="1007">
        <f t="shared" si="132"/>
        <v>6600.2909481479146</v>
      </c>
      <c r="Y168" s="467">
        <f t="shared" si="132"/>
        <v>9246.0396892320459</v>
      </c>
      <c r="Z168" s="467">
        <f t="shared" si="132"/>
        <v>12159.164047126174</v>
      </c>
      <c r="AA168" s="565">
        <f t="shared" si="132"/>
        <v>14524.079463983086</v>
      </c>
      <c r="AB168" s="479">
        <f t="shared" si="132"/>
        <v>4752.2838615447126</v>
      </c>
      <c r="AC168" s="478">
        <f t="shared" si="132"/>
        <v>6681.5875783164865</v>
      </c>
      <c r="AD168" s="478">
        <f t="shared" si="132"/>
        <v>8917.4812492513756</v>
      </c>
      <c r="AE168" s="478">
        <f t="shared" si="132"/>
        <v>11833.508284925449</v>
      </c>
      <c r="AF168" s="478">
        <f t="shared" si="132"/>
        <v>14356.968442115905</v>
      </c>
      <c r="AG168" s="478">
        <f t="shared" si="132"/>
        <v>16649.076538570669</v>
      </c>
      <c r="AH168" s="478">
        <f t="shared" si="132"/>
        <v>18862.841848623979</v>
      </c>
      <c r="AI168" s="478">
        <f t="shared" si="132"/>
        <v>20797.452127426553</v>
      </c>
      <c r="AJ168" s="478">
        <f t="shared" si="132"/>
        <v>22814.631952428361</v>
      </c>
      <c r="AK168" s="478">
        <f t="shared" si="132"/>
        <v>24067.052801050224</v>
      </c>
      <c r="AL168" s="478">
        <f t="shared" si="132"/>
        <v>27108.220389065529</v>
      </c>
      <c r="AM168" s="478">
        <f t="shared" si="132"/>
        <v>30087.083903107512</v>
      </c>
      <c r="AN168" s="477"/>
      <c r="AO168" s="182"/>
      <c r="AP168" s="182"/>
      <c r="AQ168" s="182"/>
      <c r="AR168" s="182"/>
      <c r="AS168" s="182"/>
      <c r="AT168" s="182"/>
      <c r="AU168" s="182"/>
      <c r="AV168" s="182"/>
      <c r="AW168" s="182"/>
      <c r="AX168" s="182"/>
      <c r="AY168" s="182"/>
      <c r="AZ168" s="182"/>
      <c r="BA168" s="182"/>
      <c r="BB168" s="182"/>
      <c r="BC168" s="182"/>
      <c r="BD168" s="182"/>
      <c r="BE168" s="182"/>
      <c r="BF168" s="182"/>
      <c r="BG168" s="182"/>
      <c r="BH168" s="182"/>
      <c r="BI168" s="182"/>
      <c r="BJ168" s="182"/>
      <c r="BK168" s="182"/>
      <c r="BL168" s="182"/>
      <c r="BM168" s="182"/>
      <c r="BN168" s="182"/>
      <c r="BO168" s="182"/>
      <c r="BP168" s="182"/>
      <c r="BQ168" s="182"/>
      <c r="BR168" s="182"/>
    </row>
    <row r="169" spans="2:70">
      <c r="B169" s="457" t="s">
        <v>86</v>
      </c>
      <c r="D169" s="477">
        <f t="shared" ref="D169:AM169" si="133">-D102</f>
        <v>387.22222222222229</v>
      </c>
      <c r="E169" s="477">
        <f t="shared" si="133"/>
        <v>387.22222222222229</v>
      </c>
      <c r="F169" s="477">
        <f t="shared" si="133"/>
        <v>387.22222222222229</v>
      </c>
      <c r="G169" s="477">
        <f t="shared" si="133"/>
        <v>387.22222222222229</v>
      </c>
      <c r="H169" s="477">
        <f t="shared" si="133"/>
        <v>387.22222222222229</v>
      </c>
      <c r="I169" s="477">
        <f t="shared" si="133"/>
        <v>387.22222222222229</v>
      </c>
      <c r="J169" s="477">
        <f t="shared" si="133"/>
        <v>387.22222222222229</v>
      </c>
      <c r="K169" s="477">
        <f t="shared" si="133"/>
        <v>387.22222222222229</v>
      </c>
      <c r="L169" s="973">
        <f t="shared" si="133"/>
        <v>380.5555555555556</v>
      </c>
      <c r="M169" s="477">
        <f t="shared" si="133"/>
        <v>380.5555555555556</v>
      </c>
      <c r="N169" s="477">
        <f t="shared" si="133"/>
        <v>380.5555555555556</v>
      </c>
      <c r="O169" s="569">
        <f t="shared" si="133"/>
        <v>380.5555555555556</v>
      </c>
      <c r="P169" s="480">
        <f t="shared" si="133"/>
        <v>341.72222222222211</v>
      </c>
      <c r="Q169" s="459">
        <f t="shared" si="133"/>
        <v>341.72222222222211</v>
      </c>
      <c r="R169" s="459">
        <f t="shared" si="133"/>
        <v>341.72222222222211</v>
      </c>
      <c r="S169" s="459">
        <f t="shared" si="133"/>
        <v>341.72222222222211</v>
      </c>
      <c r="T169" s="459">
        <f t="shared" si="133"/>
        <v>341.72222222222211</v>
      </c>
      <c r="U169" s="459">
        <f t="shared" si="133"/>
        <v>341.72222222222211</v>
      </c>
      <c r="V169" s="459">
        <f t="shared" si="133"/>
        <v>341.72222222222211</v>
      </c>
      <c r="W169" s="459">
        <f t="shared" si="133"/>
        <v>341.72222222222211</v>
      </c>
      <c r="X169" s="1005">
        <f t="shared" si="133"/>
        <v>770.70432098765423</v>
      </c>
      <c r="Y169" s="459">
        <f t="shared" si="133"/>
        <v>770.70432098765423</v>
      </c>
      <c r="Z169" s="459">
        <f t="shared" si="133"/>
        <v>770.70432098765423</v>
      </c>
      <c r="AA169" s="564">
        <f t="shared" si="133"/>
        <v>770.70432098765423</v>
      </c>
      <c r="AB169" s="480">
        <f t="shared" si="133"/>
        <v>669.61432098765431</v>
      </c>
      <c r="AC169" s="477">
        <f t="shared" si="133"/>
        <v>669.61432098765431</v>
      </c>
      <c r="AD169" s="477">
        <f t="shared" si="133"/>
        <v>669.61432098765431</v>
      </c>
      <c r="AE169" s="477">
        <f t="shared" si="133"/>
        <v>669.61432098765431</v>
      </c>
      <c r="AF169" s="477">
        <f t="shared" si="133"/>
        <v>669.61432098765431</v>
      </c>
      <c r="AG169" s="477">
        <f t="shared" si="133"/>
        <v>669.61432098765431</v>
      </c>
      <c r="AH169" s="477">
        <f t="shared" si="133"/>
        <v>669.61432098765431</v>
      </c>
      <c r="AI169" s="477">
        <f t="shared" si="133"/>
        <v>669.61432098765431</v>
      </c>
      <c r="AJ169" s="477">
        <f t="shared" si="133"/>
        <v>669.61432098765431</v>
      </c>
      <c r="AK169" s="477">
        <f t="shared" si="133"/>
        <v>669.61432098765431</v>
      </c>
      <c r="AL169" s="477">
        <f t="shared" si="133"/>
        <v>669.61432098765431</v>
      </c>
      <c r="AM169" s="477">
        <f t="shared" si="133"/>
        <v>669.61432098765431</v>
      </c>
      <c r="AN169" s="477"/>
      <c r="AO169" s="182"/>
      <c r="AP169" s="182"/>
      <c r="AQ169" s="182"/>
      <c r="AR169" s="182"/>
      <c r="AS169" s="182"/>
      <c r="AT169" s="182"/>
      <c r="AU169" s="182"/>
      <c r="AV169" s="182"/>
      <c r="AW169" s="182"/>
      <c r="AX169" s="182"/>
      <c r="AY169" s="182"/>
      <c r="AZ169" s="182"/>
      <c r="BA169" s="182"/>
      <c r="BB169" s="182"/>
      <c r="BC169" s="182"/>
      <c r="BD169" s="182"/>
      <c r="BE169" s="182"/>
      <c r="BF169" s="182"/>
      <c r="BG169" s="182"/>
      <c r="BH169" s="182"/>
      <c r="BI169" s="182"/>
      <c r="BJ169" s="182"/>
      <c r="BK169" s="182"/>
      <c r="BL169" s="182"/>
      <c r="BM169" s="182"/>
      <c r="BN169" s="182"/>
      <c r="BO169" s="182"/>
      <c r="BP169" s="182"/>
      <c r="BQ169" s="182"/>
      <c r="BR169" s="182"/>
    </row>
    <row r="170" spans="2:70">
      <c r="B170" s="460" t="s">
        <v>87</v>
      </c>
      <c r="C170" s="461"/>
      <c r="D170" s="481">
        <f>-SUM(D52:D73)+D63</f>
        <v>-21230</v>
      </c>
      <c r="E170" s="481"/>
      <c r="F170" s="481"/>
      <c r="G170" s="481"/>
      <c r="H170" s="481"/>
      <c r="I170" s="481"/>
      <c r="J170" s="481"/>
      <c r="K170" s="481"/>
      <c r="L170" s="974">
        <f>-D63</f>
        <v>-300</v>
      </c>
      <c r="M170" s="481"/>
      <c r="N170" s="481"/>
      <c r="O170" s="570"/>
      <c r="P170" s="462"/>
      <c r="Q170" s="462"/>
      <c r="R170" s="462"/>
      <c r="S170" s="462"/>
      <c r="T170" s="462"/>
      <c r="U170" s="462"/>
      <c r="V170" s="462"/>
      <c r="W170" s="462"/>
      <c r="X170" s="1012">
        <f>-SUM(J52:J73)</f>
        <v>-22391.200000000001</v>
      </c>
      <c r="Y170" s="462"/>
      <c r="Z170" s="462"/>
      <c r="AA170" s="628"/>
      <c r="AB170" s="462"/>
      <c r="AC170" s="481"/>
      <c r="AD170" s="481"/>
      <c r="AE170" s="481"/>
      <c r="AF170" s="481"/>
      <c r="AG170" s="481"/>
      <c r="AH170" s="481"/>
      <c r="AI170" s="481"/>
      <c r="AJ170" s="481"/>
      <c r="AK170" s="481"/>
      <c r="AL170" s="481"/>
      <c r="AM170" s="481"/>
      <c r="AN170" s="477"/>
      <c r="AO170" s="182"/>
      <c r="AP170" s="182"/>
      <c r="AQ170" s="182"/>
      <c r="AR170" s="182"/>
      <c r="AS170" s="182"/>
      <c r="AT170" s="182"/>
      <c r="AU170" s="182"/>
      <c r="AV170" s="182"/>
      <c r="AW170" s="182"/>
      <c r="AX170" s="182"/>
      <c r="AY170" s="182"/>
      <c r="AZ170" s="182"/>
      <c r="BA170" s="182"/>
      <c r="BB170" s="182"/>
      <c r="BC170" s="182"/>
      <c r="BD170" s="182"/>
      <c r="BE170" s="182"/>
      <c r="BF170" s="182"/>
      <c r="BG170" s="182"/>
      <c r="BH170" s="182"/>
      <c r="BI170" s="182"/>
      <c r="BJ170" s="182"/>
      <c r="BK170" s="182"/>
      <c r="BL170" s="182"/>
      <c r="BM170" s="182"/>
      <c r="BN170" s="182"/>
      <c r="BO170" s="182"/>
      <c r="BP170" s="182"/>
      <c r="BQ170" s="182"/>
      <c r="BR170" s="182"/>
    </row>
    <row r="171" spans="2:70">
      <c r="B171" s="457" t="s">
        <v>88</v>
      </c>
      <c r="D171" s="482">
        <f>SUM(D168:D170)</f>
        <v>-32272.375959238096</v>
      </c>
      <c r="E171" s="482">
        <f t="shared" ref="E171:AM171" si="134">SUM(E168:E170)</f>
        <v>-9759.4501905181551</v>
      </c>
      <c r="F171" s="482">
        <f t="shared" si="134"/>
        <v>-7708.4513254643371</v>
      </c>
      <c r="G171" s="482">
        <f t="shared" si="134"/>
        <v>-6103.0946038284756</v>
      </c>
      <c r="H171" s="482">
        <f t="shared" si="134"/>
        <v>-4738.9502496636815</v>
      </c>
      <c r="I171" s="482">
        <f t="shared" si="134"/>
        <v>-3312.5319567102365</v>
      </c>
      <c r="J171" s="482">
        <f t="shared" si="134"/>
        <v>-1789.7971275613922</v>
      </c>
      <c r="K171" s="482">
        <f t="shared" si="134"/>
        <v>-907.87498660335871</v>
      </c>
      <c r="L171" s="973">
        <f t="shared" si="134"/>
        <v>240.44071690756971</v>
      </c>
      <c r="M171" s="482">
        <f t="shared" si="134"/>
        <v>2071.6116582365175</v>
      </c>
      <c r="N171" s="482">
        <f t="shared" si="134"/>
        <v>3802.4953979273482</v>
      </c>
      <c r="O171" s="569">
        <f t="shared" si="134"/>
        <v>5063.4641830171304</v>
      </c>
      <c r="P171" s="482">
        <f t="shared" si="134"/>
        <v>-3064.1493829537176</v>
      </c>
      <c r="Q171" s="482">
        <f t="shared" si="134"/>
        <v>-962.29923137375158</v>
      </c>
      <c r="R171" s="482">
        <f t="shared" si="134"/>
        <v>3910.5068314601335</v>
      </c>
      <c r="S171" s="482">
        <f t="shared" si="134"/>
        <v>7074.7220745367531</v>
      </c>
      <c r="T171" s="482">
        <f t="shared" si="134"/>
        <v>8406.9820600620787</v>
      </c>
      <c r="U171" s="482">
        <f t="shared" si="134"/>
        <v>10356.395166903403</v>
      </c>
      <c r="V171" s="482">
        <f t="shared" si="134"/>
        <v>11961.947879437095</v>
      </c>
      <c r="W171" s="482">
        <f t="shared" si="134"/>
        <v>13464.960772971621</v>
      </c>
      <c r="X171" s="1013">
        <f t="shared" si="134"/>
        <v>-15020.204730864432</v>
      </c>
      <c r="Y171" s="482">
        <f t="shared" si="134"/>
        <v>10016.7440102197</v>
      </c>
      <c r="Z171" s="482">
        <f t="shared" si="134"/>
        <v>12929.868368113828</v>
      </c>
      <c r="AA171" s="569">
        <f t="shared" si="134"/>
        <v>15294.783784970739</v>
      </c>
      <c r="AB171" s="482">
        <f t="shared" si="134"/>
        <v>5421.8981825323672</v>
      </c>
      <c r="AC171" s="482">
        <f t="shared" si="134"/>
        <v>7351.2018993041411</v>
      </c>
      <c r="AD171" s="482">
        <f t="shared" si="134"/>
        <v>9587.0955702390293</v>
      </c>
      <c r="AE171" s="482">
        <f t="shared" si="134"/>
        <v>12503.122605913102</v>
      </c>
      <c r="AF171" s="482">
        <f t="shared" si="134"/>
        <v>15026.582763103559</v>
      </c>
      <c r="AG171" s="482">
        <f t="shared" si="134"/>
        <v>17318.690859558323</v>
      </c>
      <c r="AH171" s="482">
        <f t="shared" si="134"/>
        <v>19532.456169611633</v>
      </c>
      <c r="AI171" s="482">
        <f t="shared" si="134"/>
        <v>21467.066448414207</v>
      </c>
      <c r="AJ171" s="482">
        <f t="shared" si="134"/>
        <v>23484.246273416014</v>
      </c>
      <c r="AK171" s="482">
        <f t="shared" si="134"/>
        <v>24736.667122037878</v>
      </c>
      <c r="AL171" s="482">
        <f t="shared" si="134"/>
        <v>27777.834710053183</v>
      </c>
      <c r="AM171" s="482">
        <f t="shared" si="134"/>
        <v>30756.698224095166</v>
      </c>
      <c r="AN171" s="477"/>
      <c r="AO171" s="182"/>
      <c r="AP171" s="182"/>
      <c r="AQ171" s="182"/>
      <c r="AR171" s="182"/>
      <c r="AS171" s="182"/>
      <c r="AT171" s="182"/>
      <c r="AU171" s="182"/>
      <c r="AV171" s="182"/>
      <c r="AW171" s="182"/>
      <c r="AX171" s="182"/>
      <c r="AY171" s="182"/>
      <c r="AZ171" s="182"/>
      <c r="BA171" s="182"/>
      <c r="BB171" s="182"/>
      <c r="BC171" s="182"/>
      <c r="BD171" s="182"/>
      <c r="BE171" s="182"/>
      <c r="BF171" s="182"/>
      <c r="BG171" s="182"/>
      <c r="BH171" s="182"/>
      <c r="BI171" s="182"/>
      <c r="BJ171" s="182"/>
      <c r="BK171" s="182"/>
      <c r="BL171" s="182"/>
      <c r="BM171" s="182"/>
      <c r="BN171" s="182"/>
      <c r="BO171" s="182"/>
      <c r="BP171" s="182"/>
      <c r="BQ171" s="182"/>
      <c r="BR171" s="182"/>
    </row>
    <row r="172" spans="2:70">
      <c r="B172" s="457" t="s">
        <v>89</v>
      </c>
      <c r="D172" s="483">
        <f>MIN(SUM($D171:D171),0)</f>
        <v>-32272.375959238096</v>
      </c>
      <c r="E172" s="483">
        <f>MIN(SUM($D171:E171),0)</f>
        <v>-42031.826149756249</v>
      </c>
      <c r="F172" s="483">
        <f>MIN(SUM($D171:F171),0)</f>
        <v>-49740.277475220588</v>
      </c>
      <c r="G172" s="483">
        <f>MIN(SUM($D171:G171),0)</f>
        <v>-55843.372079049062</v>
      </c>
      <c r="H172" s="483">
        <f>MIN(SUM($D171:H171),0)</f>
        <v>-60582.322328712748</v>
      </c>
      <c r="I172" s="483">
        <f>MIN(SUM($D171:I171),0)</f>
        <v>-63894.854285422982</v>
      </c>
      <c r="J172" s="483">
        <f>MIN(SUM($D171:J171),0)</f>
        <v>-65684.651412984371</v>
      </c>
      <c r="K172" s="483">
        <f>MIN(SUM($D171:K171),0)</f>
        <v>-66592.526399587732</v>
      </c>
      <c r="L172" s="975">
        <f>MIN(SUM($D171:L171),0)</f>
        <v>-66352.085682680161</v>
      </c>
      <c r="M172" s="483">
        <f>MIN(SUM($D171:M171),0)</f>
        <v>-64280.47402444364</v>
      </c>
      <c r="N172" s="483">
        <f>MIN(SUM($D171:N171),0)</f>
        <v>-60477.978626516291</v>
      </c>
      <c r="O172" s="571">
        <f>MIN(SUM($D171:O171),0)</f>
        <v>-55414.51444349916</v>
      </c>
      <c r="P172" s="483">
        <f>MIN(SUM($D171:P171),0)</f>
        <v>-58478.663826452874</v>
      </c>
      <c r="Q172" s="483">
        <f>MIN(SUM($D171:Q171),0)</f>
        <v>-59440.963057826622</v>
      </c>
      <c r="R172" s="483">
        <f>MIN(SUM($D171:R171),0)</f>
        <v>-55530.456226366492</v>
      </c>
      <c r="S172" s="483">
        <f>MIN(SUM($D171:S171),0)</f>
        <v>-48455.73415182974</v>
      </c>
      <c r="T172" s="483">
        <f>MIN(SUM($D171:T171),0)</f>
        <v>-40048.752091767659</v>
      </c>
      <c r="U172" s="483">
        <f>MIN(SUM($D171:U171),0)</f>
        <v>-29692.356924864256</v>
      </c>
      <c r="V172" s="483">
        <f>MIN(SUM($D171:V171),0)</f>
        <v>-17730.409045427161</v>
      </c>
      <c r="W172" s="483">
        <f>MIN(SUM($D171:W171),0)</f>
        <v>-4265.4482724555401</v>
      </c>
      <c r="X172" s="1014">
        <f>MIN(SUM($D171:X171),0)</f>
        <v>-19285.653003319974</v>
      </c>
      <c r="Y172" s="483">
        <f>MIN(SUM($D171:Y171),0)</f>
        <v>-9268.9089931002745</v>
      </c>
      <c r="Z172" s="483">
        <f>MIN(SUM($D171:Z171),0)</f>
        <v>0</v>
      </c>
      <c r="AA172" s="571">
        <f>MIN(SUM($D171:AA171),0)</f>
        <v>0</v>
      </c>
      <c r="AB172" s="483">
        <f>MIN(SUM($D171:AB171),0)</f>
        <v>0</v>
      </c>
      <c r="AC172" s="483">
        <f>MIN(SUM($D171:AC171),0)</f>
        <v>0</v>
      </c>
      <c r="AD172" s="483">
        <f>MIN(SUM($D171:AD171),0)</f>
        <v>0</v>
      </c>
      <c r="AE172" s="483">
        <f>MIN(SUM($D171:AE171),0)</f>
        <v>0</v>
      </c>
      <c r="AF172" s="483">
        <f>MIN(SUM($D171:AF171),0)</f>
        <v>0</v>
      </c>
      <c r="AG172" s="483">
        <f>MIN(SUM($D171:AG171),0)</f>
        <v>0</v>
      </c>
      <c r="AH172" s="483">
        <f>MIN(SUM($D171:AH171),0)</f>
        <v>0</v>
      </c>
      <c r="AI172" s="483">
        <f>MIN(SUM($D171:AI171),0)</f>
        <v>0</v>
      </c>
      <c r="AJ172" s="483">
        <f>MIN(SUM($D171:AJ171),0)</f>
        <v>0</v>
      </c>
      <c r="AK172" s="483">
        <f>MIN(SUM($D171:AK171),0)</f>
        <v>0</v>
      </c>
      <c r="AL172" s="483">
        <f>MIN(SUM($D171:AL171),0)</f>
        <v>0</v>
      </c>
      <c r="AM172" s="483">
        <f>MIN(SUM($D171:AM171),0)</f>
        <v>0</v>
      </c>
      <c r="AN172" s="477"/>
      <c r="AO172" s="182"/>
      <c r="AP172" s="182"/>
      <c r="AQ172" s="182"/>
      <c r="AR172" s="182"/>
      <c r="AS172" s="182"/>
      <c r="AT172" s="182"/>
      <c r="AU172" s="182"/>
      <c r="AV172" s="182"/>
      <c r="AW172" s="182"/>
      <c r="AX172" s="182"/>
      <c r="AY172" s="182"/>
      <c r="AZ172" s="182"/>
      <c r="BA172" s="182"/>
      <c r="BB172" s="182"/>
      <c r="BC172" s="182"/>
      <c r="BD172" s="182"/>
      <c r="BE172" s="182"/>
      <c r="BF172" s="182"/>
      <c r="BG172" s="182"/>
      <c r="BH172" s="182"/>
      <c r="BI172" s="182"/>
      <c r="BJ172" s="182"/>
      <c r="BK172" s="182"/>
      <c r="BL172" s="182"/>
      <c r="BM172" s="182"/>
      <c r="BN172" s="182"/>
      <c r="BO172" s="182"/>
      <c r="BP172" s="182"/>
      <c r="BQ172" s="182"/>
      <c r="BR172" s="182"/>
    </row>
    <row r="173" spans="2:70" ht="13" customHeight="1">
      <c r="B173" s="457"/>
      <c r="D173" s="482"/>
      <c r="E173" s="482"/>
      <c r="F173" s="482"/>
      <c r="G173" s="482"/>
      <c r="H173" s="482"/>
      <c r="I173" s="482"/>
      <c r="J173" s="482"/>
      <c r="K173" s="482"/>
      <c r="L173" s="973"/>
      <c r="M173" s="482"/>
      <c r="N173" s="482"/>
      <c r="O173" s="569"/>
      <c r="P173" s="482"/>
      <c r="Q173" s="482"/>
      <c r="R173" s="482"/>
      <c r="S173" s="482"/>
      <c r="T173" s="482"/>
      <c r="U173" s="482"/>
      <c r="V173" s="482"/>
      <c r="W173" s="482"/>
      <c r="X173" s="1013"/>
      <c r="Y173" s="482"/>
      <c r="Z173" s="482"/>
      <c r="AA173" s="569"/>
      <c r="AB173" s="482"/>
      <c r="AC173" s="482"/>
      <c r="AD173" s="482"/>
      <c r="AE173" s="482"/>
      <c r="AF173" s="482"/>
      <c r="AG173" s="482"/>
      <c r="AH173" s="482"/>
      <c r="AI173" s="482"/>
      <c r="AJ173" s="482"/>
      <c r="AK173" s="482"/>
      <c r="AL173" s="482"/>
      <c r="AM173" s="482"/>
      <c r="AN173" s="477"/>
      <c r="AO173" s="182"/>
      <c r="AP173" s="182"/>
      <c r="AQ173" s="182"/>
      <c r="AR173" s="182"/>
      <c r="AS173" s="182"/>
      <c r="AT173" s="182"/>
      <c r="AU173" s="182"/>
      <c r="AV173" s="182"/>
      <c r="AW173" s="182"/>
      <c r="AX173" s="182"/>
      <c r="AY173" s="182"/>
      <c r="AZ173" s="182"/>
      <c r="BA173" s="182"/>
      <c r="BB173" s="182"/>
      <c r="BC173" s="182"/>
      <c r="BD173" s="182"/>
      <c r="BE173" s="182"/>
      <c r="BF173" s="182"/>
      <c r="BG173" s="182"/>
      <c r="BH173" s="182"/>
      <c r="BI173" s="182"/>
      <c r="BJ173" s="182"/>
      <c r="BK173" s="182"/>
      <c r="BL173" s="182"/>
      <c r="BM173" s="182"/>
      <c r="BN173" s="182"/>
      <c r="BO173" s="182"/>
      <c r="BP173" s="182"/>
      <c r="BQ173" s="182"/>
      <c r="BR173" s="182"/>
    </row>
    <row r="174" spans="2:70">
      <c r="B174" s="457" t="s">
        <v>85</v>
      </c>
      <c r="D174" s="483">
        <f>MIN(MAX(SUM($D171:D171),0),MAX(D171,0))</f>
        <v>0</v>
      </c>
      <c r="E174" s="483">
        <f>MIN(MAX(SUM($D171:E171),0),MAX(E171,0))</f>
        <v>0</v>
      </c>
      <c r="F174" s="483">
        <f>MIN(MAX(SUM($D171:F171),0),MAX(F171,0))</f>
        <v>0</v>
      </c>
      <c r="G174" s="483">
        <f>MIN(MAX(SUM($D171:G171),0),MAX(G171,0))</f>
        <v>0</v>
      </c>
      <c r="H174" s="483">
        <f>MIN(MAX(SUM($D171:H171),0),MAX(H171,0))</f>
        <v>0</v>
      </c>
      <c r="I174" s="483">
        <f>MIN(MAX(SUM($D171:I171),0),MAX(I171,0))</f>
        <v>0</v>
      </c>
      <c r="J174" s="483">
        <f>MIN(MAX(SUM($D171:J171),0),MAX(J171,0))</f>
        <v>0</v>
      </c>
      <c r="K174" s="483">
        <f>MIN(MAX(SUM($D171:K171),0),MAX(K171,0))</f>
        <v>0</v>
      </c>
      <c r="L174" s="975">
        <f>MIN(MAX(SUM($D171:L171),0),MAX(L171,0))</f>
        <v>0</v>
      </c>
      <c r="M174" s="483">
        <f>MIN(MAX(SUM($D171:M171),0),MAX(M171,0))</f>
        <v>0</v>
      </c>
      <c r="N174" s="483">
        <f>MIN(MAX(SUM($D171:N171),0),MAX(N171,0))</f>
        <v>0</v>
      </c>
      <c r="O174" s="571">
        <f>MIN(MAX(SUM($D171:O171),0),MAX(O171,0))</f>
        <v>0</v>
      </c>
      <c r="P174" s="483">
        <f>MIN(MAX(SUM($D171:P171),0),MAX(P171,0))</f>
        <v>0</v>
      </c>
      <c r="Q174" s="483">
        <f>MIN(MAX(SUM($D171:Q171),0),MAX(Q171,0))</f>
        <v>0</v>
      </c>
      <c r="R174" s="483">
        <f>MIN(MAX(SUM($D171:R171),0),MAX(R171,0))</f>
        <v>0</v>
      </c>
      <c r="S174" s="483">
        <f>MIN(MAX(SUM($D171:S171),0),MAX(S171,0))</f>
        <v>0</v>
      </c>
      <c r="T174" s="483">
        <f>MIN(MAX(SUM($D171:T171),0),MAX(T171,0))</f>
        <v>0</v>
      </c>
      <c r="U174" s="483">
        <f>MIN(MAX(SUM($D171:U171),0),MAX(U171,0))</f>
        <v>0</v>
      </c>
      <c r="V174" s="483">
        <f>MIN(MAX(SUM($D171:V171),0),MAX(V171,0))</f>
        <v>0</v>
      </c>
      <c r="W174" s="483">
        <f>MIN(MAX(SUM($D171:W171),0),MAX(W171,0))</f>
        <v>0</v>
      </c>
      <c r="X174" s="1014">
        <f>MIN(MAX(SUM($D171:X171),0),MAX(X171,0))</f>
        <v>0</v>
      </c>
      <c r="Y174" s="483">
        <f>MIN(MAX(SUM($D171:Y171),0),MAX(Y171,0))</f>
        <v>0</v>
      </c>
      <c r="Z174" s="483">
        <f>MIN(MAX(SUM($D171:Z171),0),MAX(Z171,0))</f>
        <v>3660.9593750135537</v>
      </c>
      <c r="AA174" s="571">
        <f>MIN(MAX(SUM($D171:AA171),0),MAX(AA171,0))</f>
        <v>15294.783784970739</v>
      </c>
      <c r="AB174" s="483">
        <f>MIN(MAX(SUM($D171:AB171),0),MAX(AB171,0))</f>
        <v>5421.8981825323672</v>
      </c>
      <c r="AC174" s="483">
        <f>MIN(MAX(SUM($D171:AC171),0),MAX(AC171,0))</f>
        <v>7351.2018993041411</v>
      </c>
      <c r="AD174" s="483">
        <f>MIN(MAX(SUM($D171:AD171),0),MAX(AD171,0))</f>
        <v>9587.0955702390293</v>
      </c>
      <c r="AE174" s="483">
        <f>MIN(MAX(SUM($D171:AE171),0),MAX(AE171,0))</f>
        <v>12503.122605913102</v>
      </c>
      <c r="AF174" s="483">
        <f>MIN(MAX(SUM($D171:AF171),0),MAX(AF171,0))</f>
        <v>15026.582763103559</v>
      </c>
      <c r="AG174" s="483">
        <f>MIN(MAX(SUM($D171:AG171),0),MAX(AG171,0))</f>
        <v>17318.690859558323</v>
      </c>
      <c r="AH174" s="483">
        <f>MIN(MAX(SUM($D171:AH171),0),MAX(AH171,0))</f>
        <v>19532.456169611633</v>
      </c>
      <c r="AI174" s="483">
        <f>MIN(MAX(SUM($D171:AI171),0),MAX(AI171,0))</f>
        <v>21467.066448414207</v>
      </c>
      <c r="AJ174" s="483">
        <f>MIN(MAX(SUM($D171:AJ171),0),MAX(AJ171,0))</f>
        <v>23484.246273416014</v>
      </c>
      <c r="AK174" s="483">
        <f>MIN(MAX(SUM($D171:AK171),0),MAX(AK171,0))</f>
        <v>24736.667122037878</v>
      </c>
      <c r="AL174" s="483">
        <f>MIN(MAX(SUM($D171:AL171),0),MAX(AL171,0))</f>
        <v>27777.834710053183</v>
      </c>
      <c r="AM174" s="483">
        <f>MIN(MAX(SUM($D171:AM171),0),MAX(AM171,0))</f>
        <v>30756.698224095166</v>
      </c>
      <c r="AN174" s="482"/>
      <c r="AO174" s="183"/>
      <c r="AP174" s="183"/>
      <c r="AQ174" s="183"/>
      <c r="AR174" s="183"/>
      <c r="AS174" s="183"/>
      <c r="AT174" s="183"/>
      <c r="AU174" s="183"/>
      <c r="AV174" s="183"/>
      <c r="AW174" s="183"/>
      <c r="AX174" s="183"/>
      <c r="AY174" s="183"/>
      <c r="AZ174" s="183"/>
      <c r="BA174" s="183"/>
      <c r="BB174" s="183"/>
      <c r="BC174" s="183"/>
      <c r="BD174" s="183"/>
      <c r="BE174" s="183"/>
      <c r="BF174" s="183"/>
      <c r="BG174" s="183"/>
      <c r="BH174" s="183"/>
      <c r="BI174" s="183"/>
      <c r="BJ174" s="183"/>
      <c r="BK174" s="183"/>
      <c r="BL174" s="183"/>
      <c r="BM174" s="183"/>
      <c r="BN174" s="183"/>
      <c r="BO174" s="183"/>
      <c r="BP174" s="183"/>
      <c r="BQ174" s="183"/>
      <c r="BR174" s="183"/>
    </row>
    <row r="175" spans="2:70" ht="12" customHeight="1">
      <c r="B175" s="457"/>
      <c r="D175" s="480"/>
      <c r="E175" s="480"/>
      <c r="F175" s="480"/>
      <c r="G175" s="480"/>
      <c r="H175" s="480"/>
      <c r="I175" s="480"/>
      <c r="J175" s="480"/>
      <c r="K175" s="480"/>
      <c r="L175" s="965"/>
      <c r="M175" s="480"/>
      <c r="N175" s="480"/>
      <c r="O175" s="564"/>
      <c r="P175" s="480"/>
      <c r="Q175" s="480"/>
      <c r="R175" s="480"/>
      <c r="S175" s="480"/>
      <c r="T175" s="480"/>
      <c r="U175" s="480"/>
      <c r="V175" s="480"/>
      <c r="W175" s="480"/>
      <c r="X175" s="1005"/>
      <c r="Y175" s="480"/>
      <c r="Z175" s="480"/>
      <c r="AA175" s="564"/>
      <c r="AB175" s="480"/>
      <c r="AC175" s="480"/>
      <c r="AD175" s="480"/>
      <c r="AE175" s="480"/>
      <c r="AF175" s="480"/>
      <c r="AG175" s="480"/>
      <c r="AH175" s="480"/>
      <c r="AI175" s="480"/>
      <c r="AJ175" s="480"/>
      <c r="AK175" s="480"/>
      <c r="AL175" s="480"/>
      <c r="AM175" s="480"/>
      <c r="AN175" s="459"/>
      <c r="AO175" s="390"/>
      <c r="AP175" s="390"/>
      <c r="AQ175" s="390"/>
      <c r="AR175" s="390"/>
      <c r="AS175" s="390"/>
      <c r="AT175" s="390"/>
      <c r="AU175" s="390"/>
      <c r="AV175" s="390"/>
      <c r="AW175" s="390"/>
      <c r="AX175" s="390"/>
      <c r="AY175" s="390"/>
      <c r="AZ175" s="390"/>
      <c r="BA175" s="390"/>
      <c r="BB175" s="390"/>
      <c r="BC175" s="390"/>
      <c r="BD175" s="390"/>
      <c r="BE175" s="390"/>
      <c r="BF175" s="390"/>
      <c r="BG175" s="390"/>
      <c r="BH175" s="390"/>
      <c r="BI175" s="390"/>
      <c r="BJ175" s="390"/>
      <c r="BK175" s="390"/>
      <c r="BL175" s="390"/>
      <c r="BM175" s="390"/>
      <c r="BN175" s="390"/>
      <c r="BO175" s="390"/>
      <c r="BP175" s="390"/>
      <c r="BQ175" s="390"/>
      <c r="BR175" s="390"/>
    </row>
    <row r="176" spans="2:70" s="489" customFormat="1" ht="20" customHeight="1" thickBot="1">
      <c r="B176" s="484" t="s">
        <v>426</v>
      </c>
      <c r="C176" s="485"/>
      <c r="D176" s="486">
        <f>'Pricing Model'!$C$13*D174</f>
        <v>0</v>
      </c>
      <c r="E176" s="486">
        <f>'Pricing Model'!$C$13*E174</f>
        <v>0</v>
      </c>
      <c r="F176" s="486">
        <f>'Pricing Model'!$C$13*F174</f>
        <v>0</v>
      </c>
      <c r="G176" s="486">
        <f>'Pricing Model'!$C$13*G174</f>
        <v>0</v>
      </c>
      <c r="H176" s="486">
        <f>'Pricing Model'!$C$13*H174</f>
        <v>0</v>
      </c>
      <c r="I176" s="486">
        <f>'Pricing Model'!$C$13*I174</f>
        <v>0</v>
      </c>
      <c r="J176" s="486">
        <f>'Pricing Model'!$C$13*J174</f>
        <v>0</v>
      </c>
      <c r="K176" s="486">
        <f>'Pricing Model'!$C$13*K174</f>
        <v>0</v>
      </c>
      <c r="L176" s="976">
        <f>'Pricing Model'!$C$13*L174</f>
        <v>0</v>
      </c>
      <c r="M176" s="486">
        <f>'Pricing Model'!$C$13*M174</f>
        <v>0</v>
      </c>
      <c r="N176" s="486">
        <f>'Pricing Model'!$C$13*N174</f>
        <v>0</v>
      </c>
      <c r="O176" s="630">
        <f>'Pricing Model'!$C$13*O174</f>
        <v>0</v>
      </c>
      <c r="P176" s="486">
        <f>'Pricing Model'!$D$13*P174</f>
        <v>0</v>
      </c>
      <c r="Q176" s="486">
        <f>'Pricing Model'!$D$13*Q174</f>
        <v>0</v>
      </c>
      <c r="R176" s="486">
        <f>'Pricing Model'!$D$13*R174</f>
        <v>0</v>
      </c>
      <c r="S176" s="486">
        <f>'Pricing Model'!$D$13*S174</f>
        <v>0</v>
      </c>
      <c r="T176" s="486">
        <f>'Pricing Model'!$D$13*T174</f>
        <v>0</v>
      </c>
      <c r="U176" s="486">
        <f>'Pricing Model'!$D$13*U174</f>
        <v>0</v>
      </c>
      <c r="V176" s="486">
        <f>'Pricing Model'!$D$13*V174</f>
        <v>0</v>
      </c>
      <c r="W176" s="486">
        <f>'Pricing Model'!$D$13*W174</f>
        <v>0</v>
      </c>
      <c r="X176" s="1015">
        <f>'Pricing Model'!$D$13*X174</f>
        <v>0</v>
      </c>
      <c r="Y176" s="486">
        <f>'Pricing Model'!$D$13*Y174</f>
        <v>0</v>
      </c>
      <c r="Z176" s="486">
        <f>'Pricing Model'!$D$13*Z174</f>
        <v>819.19905920310907</v>
      </c>
      <c r="AA176" s="630">
        <f>'Pricing Model'!$D$13*AA174</f>
        <v>3422.4560296620634</v>
      </c>
      <c r="AB176" s="486">
        <f>'Pricing Model'!$E$13*AB174</f>
        <v>1338.5461386048671</v>
      </c>
      <c r="AC176" s="486">
        <f>'Pricing Model'!$E$13*AC174</f>
        <v>1814.8483400369685</v>
      </c>
      <c r="AD176" s="486">
        <f>'Pricing Model'!$E$13*AD174</f>
        <v>2366.8407860041311</v>
      </c>
      <c r="AE176" s="486">
        <f>'Pricing Model'!$E$13*AE174</f>
        <v>3086.7430411301893</v>
      </c>
      <c r="AF176" s="486">
        <f>'Pricing Model'!$E$13*AF174</f>
        <v>3709.7292602762095</v>
      </c>
      <c r="AG176" s="486">
        <f>'Pricing Model'!$E$13*AG174</f>
        <v>4275.59979832115</v>
      </c>
      <c r="AH176" s="486">
        <f>'Pricing Model'!$E$13*AH174</f>
        <v>4822.1292438750779</v>
      </c>
      <c r="AI176" s="486">
        <f>'Pricing Model'!$E$13*AI174</f>
        <v>5299.7415175137139</v>
      </c>
      <c r="AJ176" s="486">
        <f>'Pricing Model'!$E$13*AJ174</f>
        <v>5797.7383766813455</v>
      </c>
      <c r="AK176" s="486">
        <f>'Pricing Model'!$E$13*AK174</f>
        <v>6106.9332443075818</v>
      </c>
      <c r="AL176" s="486">
        <f>'Pricing Model'!$E$13*AL174</f>
        <v>6857.7299200737934</v>
      </c>
      <c r="AM176" s="486">
        <f>'Pricing Model'!$E$13*AM174</f>
        <v>7593.1451049250663</v>
      </c>
      <c r="AN176" s="487"/>
      <c r="AO176" s="488"/>
      <c r="AP176" s="488"/>
      <c r="AQ176" s="488"/>
      <c r="AR176" s="488"/>
      <c r="AS176" s="488"/>
      <c r="AT176" s="488"/>
      <c r="AU176" s="488"/>
      <c r="AV176" s="488"/>
      <c r="AW176" s="488"/>
      <c r="AX176" s="488"/>
      <c r="AY176" s="488"/>
      <c r="AZ176" s="488"/>
      <c r="BA176" s="488"/>
      <c r="BB176" s="488"/>
      <c r="BC176" s="488"/>
      <c r="BD176" s="488"/>
      <c r="BE176" s="488"/>
      <c r="BF176" s="488"/>
      <c r="BG176" s="488"/>
      <c r="BH176" s="488"/>
      <c r="BI176" s="488"/>
      <c r="BJ176" s="488"/>
      <c r="BK176" s="488"/>
      <c r="BL176" s="488"/>
      <c r="BM176" s="488"/>
      <c r="BN176" s="488"/>
      <c r="BO176" s="488"/>
      <c r="BP176" s="488"/>
      <c r="BQ176" s="488"/>
      <c r="BR176" s="488"/>
    </row>
    <row r="177" spans="4:70" ht="17" thickTop="1">
      <c r="D177" s="477"/>
      <c r="E177" s="477"/>
      <c r="F177" s="477"/>
      <c r="G177" s="477"/>
      <c r="H177" s="477"/>
      <c r="I177" s="477"/>
      <c r="J177" s="477"/>
      <c r="K177" s="477"/>
      <c r="L177" s="973"/>
      <c r="M177" s="477"/>
      <c r="N177" s="477"/>
      <c r="O177" s="569"/>
      <c r="P177" s="477"/>
      <c r="Q177" s="477"/>
      <c r="R177" s="477"/>
      <c r="S177" s="477"/>
      <c r="T177" s="477"/>
      <c r="U177" s="477"/>
      <c r="V177" s="477"/>
      <c r="W177" s="477"/>
      <c r="X177" s="1013"/>
      <c r="Y177" s="477"/>
      <c r="Z177" s="477"/>
      <c r="AA177" s="569"/>
      <c r="AB177" s="477"/>
      <c r="AC177" s="477"/>
      <c r="AD177" s="477"/>
      <c r="AE177" s="477"/>
      <c r="AF177" s="477"/>
      <c r="AG177" s="477"/>
      <c r="AH177" s="477"/>
      <c r="AI177" s="477"/>
      <c r="AJ177" s="477"/>
      <c r="AK177" s="477"/>
      <c r="AL177" s="477"/>
      <c r="AM177" s="477"/>
      <c r="AN177" s="477"/>
      <c r="AO177" s="182"/>
      <c r="AP177" s="182"/>
      <c r="AQ177" s="182"/>
      <c r="AR177" s="182"/>
      <c r="AS177" s="182"/>
      <c r="AT177" s="182"/>
      <c r="AU177" s="182"/>
      <c r="AV177" s="182"/>
      <c r="AW177" s="182"/>
      <c r="AX177" s="182"/>
      <c r="AY177" s="182"/>
      <c r="AZ177" s="182"/>
      <c r="BA177" s="182"/>
      <c r="BB177" s="182"/>
      <c r="BC177" s="182"/>
      <c r="BD177" s="182"/>
      <c r="BE177" s="182"/>
      <c r="BF177" s="182"/>
      <c r="BG177" s="182"/>
      <c r="BH177" s="182"/>
      <c r="BI177" s="182"/>
      <c r="BJ177" s="182"/>
      <c r="BK177" s="182"/>
      <c r="BL177" s="182"/>
      <c r="BM177" s="182"/>
      <c r="BN177" s="182"/>
      <c r="BO177" s="182"/>
      <c r="BP177" s="182"/>
      <c r="BQ177" s="182"/>
      <c r="BR177" s="182"/>
    </row>
    <row r="178" spans="4:70">
      <c r="D178" s="477"/>
      <c r="E178" s="477"/>
      <c r="F178" s="477"/>
      <c r="G178" s="477"/>
      <c r="H178" s="477"/>
      <c r="I178" s="477"/>
      <c r="J178" s="477"/>
      <c r="K178" s="477"/>
      <c r="L178" s="973"/>
      <c r="M178" s="477"/>
      <c r="N178" s="477"/>
      <c r="O178" s="569"/>
      <c r="P178" s="477"/>
      <c r="Q178" s="477"/>
      <c r="R178" s="477"/>
      <c r="S178" s="477"/>
      <c r="T178" s="477"/>
      <c r="U178" s="477"/>
      <c r="V178" s="477"/>
      <c r="W178" s="477"/>
      <c r="X178" s="1013"/>
      <c r="Y178" s="477"/>
      <c r="Z178" s="477"/>
      <c r="AA178" s="569"/>
      <c r="AB178" s="477"/>
      <c r="AC178" s="477"/>
      <c r="AD178" s="477"/>
      <c r="AE178" s="477"/>
      <c r="AF178" s="477"/>
      <c r="AG178" s="477"/>
      <c r="AH178" s="477"/>
      <c r="AI178" s="477"/>
      <c r="AJ178" s="477"/>
      <c r="AK178" s="477"/>
      <c r="AL178" s="477"/>
      <c r="AM178" s="477"/>
      <c r="AN178" s="477"/>
      <c r="AO178" s="182"/>
      <c r="AP178" s="182"/>
      <c r="AQ178" s="182"/>
      <c r="AR178" s="182"/>
      <c r="AS178" s="182"/>
      <c r="AT178" s="182"/>
      <c r="AU178" s="182"/>
      <c r="AV178" s="182"/>
      <c r="AW178" s="182"/>
      <c r="AX178" s="182"/>
      <c r="AY178" s="182"/>
      <c r="AZ178" s="182"/>
      <c r="BA178" s="182"/>
      <c r="BB178" s="182"/>
      <c r="BC178" s="182"/>
      <c r="BD178" s="182"/>
      <c r="BE178" s="182"/>
      <c r="BF178" s="182"/>
      <c r="BG178" s="182"/>
      <c r="BH178" s="182"/>
      <c r="BI178" s="182"/>
      <c r="BJ178" s="182"/>
      <c r="BK178" s="182"/>
      <c r="BL178" s="182"/>
      <c r="BM178" s="182"/>
      <c r="BN178" s="182"/>
      <c r="BO178" s="182"/>
      <c r="BP178" s="182"/>
      <c r="BQ178" s="182"/>
      <c r="BR178" s="182"/>
    </row>
    <row r="179" spans="4:70">
      <c r="D179" s="477"/>
      <c r="E179" s="477"/>
      <c r="F179" s="477"/>
      <c r="G179" s="477"/>
      <c r="H179" s="477"/>
      <c r="I179" s="477"/>
      <c r="J179" s="477"/>
      <c r="K179" s="477"/>
      <c r="L179" s="973"/>
      <c r="M179" s="477"/>
      <c r="N179" s="477"/>
      <c r="O179" s="569"/>
      <c r="P179" s="477"/>
      <c r="Q179" s="477"/>
      <c r="R179" s="477"/>
      <c r="S179" s="477"/>
      <c r="T179" s="477"/>
      <c r="U179" s="477"/>
      <c r="V179" s="477"/>
      <c r="W179" s="477"/>
      <c r="X179" s="1013"/>
      <c r="Y179" s="477"/>
      <c r="Z179" s="477"/>
      <c r="AA179" s="569"/>
      <c r="AB179" s="477"/>
      <c r="AC179" s="477"/>
      <c r="AD179" s="477"/>
      <c r="AE179" s="477"/>
      <c r="AF179" s="477"/>
      <c r="AG179" s="477"/>
      <c r="AH179" s="477"/>
      <c r="AI179" s="477"/>
      <c r="AJ179" s="477"/>
      <c r="AK179" s="477"/>
      <c r="AL179" s="477"/>
      <c r="AM179" s="477"/>
      <c r="AN179" s="477"/>
      <c r="AO179" s="182"/>
      <c r="AP179" s="182"/>
      <c r="AQ179" s="182"/>
      <c r="AR179" s="182"/>
      <c r="AS179" s="182"/>
      <c r="AT179" s="182"/>
      <c r="AU179" s="182"/>
      <c r="AV179" s="182"/>
      <c r="AW179" s="182"/>
      <c r="AX179" s="182"/>
      <c r="AY179" s="182"/>
      <c r="AZ179" s="182"/>
      <c r="BA179" s="182"/>
      <c r="BB179" s="182"/>
      <c r="BC179" s="182"/>
      <c r="BD179" s="182"/>
      <c r="BE179" s="182"/>
      <c r="BF179" s="182"/>
      <c r="BG179" s="182"/>
      <c r="BH179" s="182"/>
      <c r="BI179" s="182"/>
      <c r="BJ179" s="182"/>
      <c r="BK179" s="182"/>
      <c r="BL179" s="182"/>
      <c r="BM179" s="182"/>
      <c r="BN179" s="182"/>
      <c r="BO179" s="182"/>
      <c r="BP179" s="182"/>
      <c r="BQ179" s="182"/>
      <c r="BR179" s="182"/>
    </row>
    <row r="180" spans="4:70">
      <c r="D180" s="477"/>
      <c r="E180" s="477"/>
      <c r="F180" s="477"/>
      <c r="G180" s="477"/>
      <c r="H180" s="477"/>
      <c r="I180" s="477"/>
      <c r="J180" s="477"/>
      <c r="K180" s="477"/>
      <c r="L180" s="973"/>
      <c r="M180" s="477"/>
      <c r="N180" s="477"/>
      <c r="O180" s="569"/>
      <c r="P180" s="477"/>
      <c r="Q180" s="477"/>
      <c r="R180" s="477"/>
      <c r="S180" s="477"/>
      <c r="T180" s="477"/>
      <c r="U180" s="477"/>
      <c r="V180" s="477"/>
      <c r="W180" s="477"/>
      <c r="X180" s="1013"/>
      <c r="Y180" s="477"/>
      <c r="Z180" s="477"/>
      <c r="AA180" s="569"/>
      <c r="AB180" s="477"/>
      <c r="AC180" s="477"/>
      <c r="AD180" s="477"/>
      <c r="AE180" s="477"/>
      <c r="AF180" s="477"/>
      <c r="AG180" s="477"/>
      <c r="AH180" s="477"/>
      <c r="AI180" s="477"/>
      <c r="AJ180" s="477"/>
      <c r="AK180" s="477"/>
      <c r="AL180" s="477"/>
      <c r="AM180" s="477"/>
      <c r="AN180" s="477"/>
      <c r="AO180" s="182"/>
      <c r="AP180" s="182"/>
      <c r="AQ180" s="182"/>
      <c r="AR180" s="182"/>
      <c r="AS180" s="182"/>
      <c r="AT180" s="182"/>
      <c r="AU180" s="182"/>
      <c r="AV180" s="182"/>
      <c r="AW180" s="182"/>
      <c r="AX180" s="182"/>
      <c r="AY180" s="182"/>
      <c r="AZ180" s="182"/>
      <c r="BA180" s="182"/>
      <c r="BB180" s="182"/>
      <c r="BC180" s="182"/>
      <c r="BD180" s="182"/>
      <c r="BE180" s="182"/>
      <c r="BF180" s="182"/>
      <c r="BG180" s="182"/>
      <c r="BH180" s="182"/>
      <c r="BI180" s="182"/>
      <c r="BJ180" s="182"/>
      <c r="BK180" s="182"/>
      <c r="BL180" s="182"/>
      <c r="BM180" s="182"/>
      <c r="BN180" s="182"/>
      <c r="BO180" s="182"/>
      <c r="BP180" s="182"/>
      <c r="BQ180" s="182"/>
      <c r="BR180" s="182"/>
    </row>
    <row r="181" spans="4:70">
      <c r="D181" s="477"/>
      <c r="E181" s="477"/>
      <c r="F181" s="477"/>
      <c r="G181" s="477"/>
      <c r="H181" s="477"/>
      <c r="I181" s="477"/>
      <c r="J181" s="477"/>
      <c r="K181" s="477"/>
      <c r="L181" s="973"/>
      <c r="M181" s="477"/>
      <c r="N181" s="477"/>
      <c r="O181" s="569"/>
      <c r="P181" s="477"/>
      <c r="Q181" s="477"/>
      <c r="R181" s="477"/>
      <c r="S181" s="477"/>
      <c r="T181" s="477"/>
      <c r="U181" s="477"/>
      <c r="V181" s="477"/>
      <c r="W181" s="477"/>
      <c r="X181" s="1013"/>
      <c r="Y181" s="477"/>
      <c r="Z181" s="477"/>
      <c r="AA181" s="569"/>
      <c r="AB181" s="477"/>
      <c r="AC181" s="477"/>
      <c r="AD181" s="477"/>
      <c r="AE181" s="477"/>
      <c r="AF181" s="477"/>
      <c r="AG181" s="477"/>
      <c r="AH181" s="477"/>
      <c r="AI181" s="477"/>
      <c r="AJ181" s="477"/>
      <c r="AK181" s="477"/>
      <c r="AL181" s="477"/>
      <c r="AM181" s="477"/>
      <c r="AN181" s="477"/>
      <c r="AO181" s="182"/>
      <c r="AP181" s="182"/>
      <c r="AQ181" s="182"/>
      <c r="AR181" s="182"/>
      <c r="AS181" s="182"/>
      <c r="AT181" s="182"/>
      <c r="AU181" s="182"/>
      <c r="AV181" s="182"/>
      <c r="AW181" s="182"/>
      <c r="AX181" s="182"/>
      <c r="AY181" s="182"/>
      <c r="AZ181" s="182"/>
      <c r="BA181" s="182"/>
      <c r="BB181" s="182"/>
      <c r="BC181" s="182"/>
      <c r="BD181" s="182"/>
      <c r="BE181" s="182"/>
      <c r="BF181" s="182"/>
      <c r="BG181" s="182"/>
      <c r="BH181" s="182"/>
      <c r="BI181" s="182"/>
      <c r="BJ181" s="182"/>
      <c r="BK181" s="182"/>
      <c r="BL181" s="182"/>
      <c r="BM181" s="182"/>
      <c r="BN181" s="182"/>
      <c r="BO181" s="182"/>
      <c r="BP181" s="182"/>
      <c r="BQ181" s="182"/>
      <c r="BR181" s="182"/>
    </row>
    <row r="182" spans="4:70">
      <c r="D182" s="182"/>
      <c r="E182" s="182"/>
      <c r="F182" s="182"/>
      <c r="G182" s="182"/>
      <c r="H182" s="182"/>
      <c r="I182" s="182"/>
      <c r="J182" s="182"/>
      <c r="K182" s="182"/>
      <c r="L182" s="940"/>
      <c r="M182" s="182"/>
      <c r="N182" s="182"/>
      <c r="O182" s="541"/>
      <c r="P182" s="182"/>
      <c r="Q182" s="182"/>
      <c r="R182" s="182"/>
      <c r="S182" s="182"/>
      <c r="T182" s="182"/>
      <c r="U182" s="182"/>
      <c r="V182" s="182"/>
      <c r="W182" s="182"/>
      <c r="X182" s="1016"/>
      <c r="Y182" s="182"/>
      <c r="Z182" s="182"/>
      <c r="AA182" s="541"/>
      <c r="AB182" s="182"/>
      <c r="AC182" s="182"/>
      <c r="AD182" s="182"/>
      <c r="AE182" s="182"/>
      <c r="AF182" s="182"/>
      <c r="AG182" s="182"/>
      <c r="AH182" s="182"/>
      <c r="AI182" s="182"/>
      <c r="AJ182" s="182"/>
      <c r="AK182" s="182"/>
      <c r="AL182" s="182"/>
      <c r="AM182" s="182"/>
      <c r="AN182" s="182"/>
      <c r="AO182" s="182"/>
      <c r="AP182" s="182"/>
      <c r="AQ182" s="182"/>
      <c r="AR182" s="182"/>
      <c r="AS182" s="182"/>
      <c r="AT182" s="182"/>
      <c r="AU182" s="182"/>
      <c r="AV182" s="182"/>
      <c r="AW182" s="182"/>
      <c r="AX182" s="182"/>
      <c r="AY182" s="182"/>
      <c r="AZ182" s="182"/>
      <c r="BA182" s="182"/>
      <c r="BB182" s="182"/>
      <c r="BC182" s="182"/>
      <c r="BD182" s="182"/>
      <c r="BE182" s="182"/>
      <c r="BF182" s="182"/>
      <c r="BG182" s="182"/>
      <c r="BH182" s="182"/>
      <c r="BI182" s="182"/>
      <c r="BJ182" s="182"/>
      <c r="BK182" s="182"/>
      <c r="BL182" s="182"/>
      <c r="BM182" s="182"/>
      <c r="BN182" s="182"/>
      <c r="BO182" s="182"/>
      <c r="BP182" s="182"/>
      <c r="BQ182" s="182"/>
      <c r="BR182" s="182"/>
    </row>
    <row r="183" spans="4:70">
      <c r="D183" s="182"/>
      <c r="E183" s="182"/>
      <c r="F183" s="182"/>
      <c r="G183" s="182"/>
      <c r="H183" s="182"/>
      <c r="I183" s="182"/>
      <c r="J183" s="182"/>
      <c r="K183" s="182"/>
      <c r="L183" s="940"/>
      <c r="M183" s="182"/>
      <c r="N183" s="182"/>
      <c r="O183" s="541"/>
      <c r="P183" s="182"/>
      <c r="Q183" s="182"/>
      <c r="R183" s="182"/>
      <c r="S183" s="182"/>
      <c r="T183" s="182"/>
      <c r="U183" s="182"/>
      <c r="V183" s="182"/>
      <c r="W183" s="182"/>
      <c r="X183" s="1016"/>
      <c r="Y183" s="182"/>
      <c r="Z183" s="182"/>
      <c r="AA183" s="541"/>
      <c r="AB183" s="182"/>
      <c r="AC183" s="182"/>
      <c r="AD183" s="182"/>
      <c r="AE183" s="182"/>
      <c r="AF183" s="182"/>
      <c r="AG183" s="182"/>
      <c r="AH183" s="182"/>
      <c r="AI183" s="182"/>
      <c r="AJ183" s="182"/>
      <c r="AK183" s="182"/>
      <c r="AL183" s="182"/>
      <c r="AM183" s="182"/>
      <c r="AN183" s="182"/>
      <c r="AO183" s="182"/>
      <c r="AP183" s="182"/>
      <c r="AQ183" s="182"/>
      <c r="AR183" s="182"/>
      <c r="AS183" s="182"/>
      <c r="AT183" s="182"/>
      <c r="AU183" s="182"/>
      <c r="AV183" s="182"/>
      <c r="AW183" s="182"/>
      <c r="AX183" s="182"/>
      <c r="AY183" s="182"/>
      <c r="AZ183" s="182"/>
      <c r="BA183" s="182"/>
      <c r="BB183" s="182"/>
      <c r="BC183" s="182"/>
      <c r="BD183" s="182"/>
      <c r="BE183" s="182"/>
      <c r="BF183" s="182"/>
      <c r="BG183" s="182"/>
      <c r="BH183" s="182"/>
      <c r="BI183" s="182"/>
      <c r="BJ183" s="182"/>
      <c r="BK183" s="182"/>
      <c r="BL183" s="182"/>
      <c r="BM183" s="182"/>
      <c r="BN183" s="182"/>
      <c r="BO183" s="182"/>
      <c r="BP183" s="182"/>
      <c r="BQ183" s="182"/>
      <c r="BR183" s="182"/>
    </row>
    <row r="184" spans="4:70">
      <c r="D184" s="182"/>
      <c r="E184" s="182"/>
      <c r="F184" s="182"/>
      <c r="G184" s="182"/>
      <c r="H184" s="182"/>
      <c r="I184" s="182"/>
      <c r="J184" s="182"/>
      <c r="K184" s="182"/>
      <c r="L184" s="940"/>
      <c r="M184" s="182"/>
      <c r="N184" s="182"/>
      <c r="O184" s="541"/>
      <c r="P184" s="182"/>
      <c r="Q184" s="182"/>
      <c r="R184" s="182"/>
      <c r="S184" s="182"/>
      <c r="T184" s="182"/>
      <c r="U184" s="182"/>
      <c r="V184" s="182"/>
      <c r="W184" s="182"/>
      <c r="X184" s="1016"/>
      <c r="Y184" s="182"/>
      <c r="Z184" s="182"/>
      <c r="AA184" s="541"/>
      <c r="AB184" s="182"/>
      <c r="AC184" s="182"/>
      <c r="AD184" s="182"/>
      <c r="AE184" s="182"/>
      <c r="AF184" s="182"/>
      <c r="AG184" s="182"/>
      <c r="AH184" s="182"/>
      <c r="AI184" s="182"/>
      <c r="AJ184" s="182"/>
      <c r="AK184" s="182"/>
      <c r="AL184" s="182"/>
      <c r="AM184" s="182"/>
      <c r="AN184" s="182"/>
      <c r="AO184" s="182"/>
      <c r="AP184" s="182"/>
      <c r="AQ184" s="182"/>
      <c r="AR184" s="182"/>
      <c r="AS184" s="182"/>
      <c r="AT184" s="182"/>
      <c r="AU184" s="182"/>
      <c r="AV184" s="182"/>
      <c r="AW184" s="182"/>
      <c r="AX184" s="182"/>
      <c r="AY184" s="182"/>
      <c r="AZ184" s="182"/>
      <c r="BA184" s="182"/>
      <c r="BB184" s="182"/>
      <c r="BC184" s="182"/>
      <c r="BD184" s="182"/>
      <c r="BE184" s="182"/>
      <c r="BF184" s="182"/>
      <c r="BG184" s="182"/>
      <c r="BH184" s="182"/>
      <c r="BI184" s="182"/>
      <c r="BJ184" s="182"/>
      <c r="BK184" s="182"/>
      <c r="BL184" s="182"/>
      <c r="BM184" s="182"/>
      <c r="BN184" s="182"/>
      <c r="BO184" s="182"/>
      <c r="BP184" s="182"/>
      <c r="BQ184" s="182"/>
      <c r="BR184" s="182"/>
    </row>
    <row r="185" spans="4:70">
      <c r="D185" s="182"/>
      <c r="E185" s="182"/>
      <c r="F185" s="182"/>
      <c r="G185" s="182"/>
      <c r="H185" s="182"/>
      <c r="I185" s="182"/>
      <c r="J185" s="182"/>
      <c r="K185" s="182"/>
      <c r="L185" s="940"/>
      <c r="M185" s="182"/>
      <c r="N185" s="182"/>
      <c r="O185" s="541"/>
      <c r="P185" s="182"/>
      <c r="Q185" s="182"/>
      <c r="R185" s="182"/>
      <c r="S185" s="182"/>
      <c r="T185" s="182"/>
      <c r="U185" s="182"/>
      <c r="V185" s="182"/>
      <c r="W185" s="182"/>
      <c r="X185" s="1016"/>
      <c r="Y185" s="182"/>
      <c r="Z185" s="182"/>
      <c r="AA185" s="541"/>
      <c r="AB185" s="182"/>
      <c r="AC185" s="182"/>
      <c r="AD185" s="182"/>
      <c r="AE185" s="182"/>
      <c r="AF185" s="182"/>
      <c r="AG185" s="182"/>
      <c r="AH185" s="182"/>
      <c r="AI185" s="182"/>
      <c r="AJ185" s="182"/>
      <c r="AK185" s="182"/>
      <c r="AL185" s="182"/>
      <c r="AM185" s="182"/>
      <c r="AN185" s="182"/>
      <c r="AO185" s="182"/>
      <c r="AP185" s="182"/>
      <c r="AQ185" s="182"/>
      <c r="AR185" s="182"/>
      <c r="AS185" s="182"/>
      <c r="AT185" s="182"/>
      <c r="AU185" s="182"/>
      <c r="AV185" s="182"/>
      <c r="AW185" s="182"/>
      <c r="AX185" s="182"/>
      <c r="AY185" s="182"/>
      <c r="AZ185" s="182"/>
      <c r="BA185" s="182"/>
      <c r="BB185" s="182"/>
      <c r="BC185" s="182"/>
      <c r="BD185" s="182"/>
      <c r="BE185" s="182"/>
      <c r="BF185" s="182"/>
      <c r="BG185" s="182"/>
      <c r="BH185" s="182"/>
      <c r="BI185" s="182"/>
      <c r="BJ185" s="182"/>
      <c r="BK185" s="182"/>
      <c r="BL185" s="182"/>
      <c r="BM185" s="182"/>
      <c r="BN185" s="182"/>
      <c r="BO185" s="182"/>
      <c r="BP185" s="182"/>
      <c r="BQ185" s="182"/>
      <c r="BR185" s="182"/>
    </row>
    <row r="186" spans="4:70">
      <c r="D186" s="182"/>
      <c r="E186" s="182"/>
      <c r="F186" s="182"/>
      <c r="G186" s="182"/>
      <c r="H186" s="182"/>
      <c r="I186" s="182"/>
      <c r="J186" s="182"/>
      <c r="K186" s="182"/>
      <c r="L186" s="940"/>
      <c r="M186" s="182"/>
      <c r="N186" s="182"/>
      <c r="O186" s="541"/>
      <c r="P186" s="182"/>
      <c r="Q186" s="182"/>
      <c r="R186" s="182"/>
      <c r="S186" s="182"/>
      <c r="T186" s="182"/>
      <c r="U186" s="182"/>
      <c r="V186" s="182"/>
      <c r="W186" s="182"/>
      <c r="X186" s="1016"/>
      <c r="Y186" s="182"/>
      <c r="Z186" s="182"/>
      <c r="AA186" s="541"/>
      <c r="AB186" s="182"/>
      <c r="AC186" s="182"/>
      <c r="AD186" s="182"/>
      <c r="AE186" s="182"/>
      <c r="AF186" s="182"/>
      <c r="AG186" s="182"/>
      <c r="AH186" s="182"/>
      <c r="AI186" s="182"/>
      <c r="AJ186" s="182"/>
      <c r="AK186" s="182"/>
      <c r="AL186" s="182"/>
      <c r="AM186" s="182"/>
      <c r="AN186" s="182"/>
      <c r="AO186" s="182"/>
      <c r="AP186" s="182"/>
      <c r="AQ186" s="182"/>
      <c r="AR186" s="182"/>
      <c r="AS186" s="182"/>
      <c r="AT186" s="182"/>
      <c r="AU186" s="182"/>
      <c r="AV186" s="182"/>
      <c r="AW186" s="182"/>
      <c r="AX186" s="182"/>
      <c r="AY186" s="182"/>
      <c r="AZ186" s="182"/>
      <c r="BA186" s="182"/>
      <c r="BB186" s="182"/>
      <c r="BC186" s="182"/>
      <c r="BD186" s="182"/>
      <c r="BE186" s="182"/>
      <c r="BF186" s="182"/>
      <c r="BG186" s="182"/>
      <c r="BH186" s="182"/>
      <c r="BI186" s="182"/>
      <c r="BJ186" s="182"/>
      <c r="BK186" s="182"/>
      <c r="BL186" s="182"/>
      <c r="BM186" s="182"/>
      <c r="BN186" s="182"/>
      <c r="BO186" s="182"/>
      <c r="BP186" s="182"/>
      <c r="BQ186" s="182"/>
      <c r="BR186" s="182"/>
    </row>
    <row r="187" spans="4:70">
      <c r="D187" s="182"/>
      <c r="E187" s="182"/>
      <c r="F187" s="182"/>
      <c r="G187" s="182"/>
      <c r="H187" s="182"/>
      <c r="I187" s="182"/>
      <c r="J187" s="182"/>
      <c r="K187" s="182"/>
      <c r="L187" s="940"/>
      <c r="M187" s="182"/>
      <c r="N187" s="182"/>
      <c r="O187" s="541"/>
      <c r="P187" s="182"/>
      <c r="Q187" s="182"/>
      <c r="R187" s="182"/>
      <c r="S187" s="182"/>
      <c r="T187" s="182"/>
      <c r="U187" s="182"/>
      <c r="V187" s="182"/>
      <c r="W187" s="182"/>
      <c r="X187" s="1016"/>
      <c r="Y187" s="182"/>
      <c r="Z187" s="182"/>
      <c r="AA187" s="541"/>
      <c r="AB187" s="182"/>
      <c r="AC187" s="182"/>
      <c r="AD187" s="182"/>
      <c r="AE187" s="182"/>
      <c r="AF187" s="182"/>
      <c r="AG187" s="182"/>
      <c r="AH187" s="182"/>
      <c r="AI187" s="182"/>
      <c r="AJ187" s="182"/>
      <c r="AK187" s="182"/>
      <c r="AL187" s="182"/>
      <c r="AM187" s="182"/>
      <c r="AN187" s="182"/>
      <c r="AO187" s="182"/>
      <c r="AP187" s="182"/>
      <c r="AQ187" s="182"/>
      <c r="AR187" s="182"/>
      <c r="AS187" s="182"/>
      <c r="AT187" s="182"/>
      <c r="AU187" s="182"/>
      <c r="AV187" s="182"/>
      <c r="AW187" s="182"/>
      <c r="AX187" s="182"/>
      <c r="AY187" s="182"/>
      <c r="AZ187" s="182"/>
      <c r="BA187" s="182"/>
      <c r="BB187" s="182"/>
      <c r="BC187" s="182"/>
      <c r="BD187" s="182"/>
      <c r="BE187" s="182"/>
      <c r="BF187" s="182"/>
      <c r="BG187" s="182"/>
      <c r="BH187" s="182"/>
      <c r="BI187" s="182"/>
      <c r="BJ187" s="182"/>
      <c r="BK187" s="182"/>
      <c r="BL187" s="182"/>
      <c r="BM187" s="182"/>
      <c r="BN187" s="182"/>
      <c r="BO187" s="182"/>
      <c r="BP187" s="182"/>
      <c r="BQ187" s="182"/>
      <c r="BR187" s="182"/>
    </row>
    <row r="188" spans="4:70">
      <c r="D188" s="182"/>
      <c r="E188" s="182"/>
      <c r="F188" s="182"/>
      <c r="G188" s="182"/>
      <c r="H188" s="182"/>
      <c r="I188" s="182"/>
      <c r="J188" s="182"/>
      <c r="K188" s="182"/>
      <c r="L188" s="940"/>
      <c r="M188" s="182"/>
      <c r="N188" s="182"/>
      <c r="O188" s="541"/>
      <c r="P188" s="182"/>
      <c r="Q188" s="182"/>
      <c r="R188" s="182"/>
      <c r="S188" s="182"/>
      <c r="T188" s="182"/>
      <c r="U188" s="182"/>
      <c r="V188" s="182"/>
      <c r="W188" s="182"/>
      <c r="X188" s="1016"/>
      <c r="Y188" s="182"/>
      <c r="Z188" s="182"/>
      <c r="AA188" s="541"/>
      <c r="AB188" s="182"/>
      <c r="AC188" s="182"/>
      <c r="AD188" s="182"/>
      <c r="AE188" s="182"/>
      <c r="AF188" s="182"/>
      <c r="AG188" s="182"/>
      <c r="AH188" s="182"/>
      <c r="AI188" s="182"/>
      <c r="AJ188" s="182"/>
      <c r="AK188" s="182"/>
      <c r="AL188" s="182"/>
      <c r="AM188" s="182"/>
      <c r="AN188" s="182"/>
      <c r="AO188" s="182"/>
      <c r="AP188" s="182"/>
      <c r="AQ188" s="182"/>
      <c r="AR188" s="182"/>
      <c r="AS188" s="182"/>
      <c r="AT188" s="182"/>
      <c r="AU188" s="182"/>
      <c r="AV188" s="182"/>
      <c r="AW188" s="182"/>
      <c r="AX188" s="182"/>
      <c r="AY188" s="182"/>
      <c r="AZ188" s="182"/>
      <c r="BA188" s="182"/>
      <c r="BB188" s="182"/>
      <c r="BC188" s="182"/>
      <c r="BD188" s="182"/>
      <c r="BE188" s="182"/>
      <c r="BF188" s="182"/>
      <c r="BG188" s="182"/>
      <c r="BH188" s="182"/>
      <c r="BI188" s="182"/>
      <c r="BJ188" s="182"/>
      <c r="BK188" s="182"/>
      <c r="BL188" s="182"/>
      <c r="BM188" s="182"/>
      <c r="BN188" s="182"/>
      <c r="BO188" s="182"/>
      <c r="BP188" s="182"/>
      <c r="BQ188" s="182"/>
      <c r="BR188" s="182"/>
    </row>
    <row r="189" spans="4:70">
      <c r="D189" s="182"/>
      <c r="E189" s="182"/>
      <c r="F189" s="182"/>
      <c r="G189" s="182"/>
      <c r="H189" s="182"/>
      <c r="I189" s="182"/>
      <c r="J189" s="182"/>
      <c r="K189" s="182"/>
      <c r="L189" s="940"/>
      <c r="M189" s="182"/>
      <c r="N189" s="182"/>
      <c r="O189" s="541"/>
      <c r="P189" s="182"/>
      <c r="Q189" s="182"/>
      <c r="R189" s="182"/>
      <c r="S189" s="182"/>
      <c r="T189" s="182"/>
      <c r="U189" s="182"/>
      <c r="V189" s="182"/>
      <c r="W189" s="182"/>
      <c r="X189" s="1016"/>
      <c r="Y189" s="182"/>
      <c r="Z189" s="182"/>
      <c r="AA189" s="541"/>
      <c r="AB189" s="182"/>
      <c r="AC189" s="182"/>
      <c r="AD189" s="182"/>
      <c r="AE189" s="182"/>
      <c r="AF189" s="182"/>
      <c r="AG189" s="182"/>
      <c r="AH189" s="182"/>
      <c r="AI189" s="182"/>
      <c r="AJ189" s="182"/>
      <c r="AK189" s="182"/>
      <c r="AL189" s="182"/>
      <c r="AM189" s="182"/>
      <c r="AN189" s="182"/>
      <c r="AO189" s="182"/>
      <c r="AP189" s="182"/>
      <c r="AQ189" s="182"/>
      <c r="AR189" s="182"/>
      <c r="AS189" s="182"/>
      <c r="AT189" s="182"/>
      <c r="AU189" s="182"/>
      <c r="AV189" s="182"/>
      <c r="AW189" s="182"/>
      <c r="AX189" s="182"/>
      <c r="AY189" s="182"/>
      <c r="AZ189" s="182"/>
      <c r="BA189" s="182"/>
      <c r="BB189" s="182"/>
      <c r="BC189" s="182"/>
      <c r="BD189" s="182"/>
      <c r="BE189" s="182"/>
      <c r="BF189" s="182"/>
      <c r="BG189" s="182"/>
      <c r="BH189" s="182"/>
      <c r="BI189" s="182"/>
      <c r="BJ189" s="182"/>
      <c r="BK189" s="182"/>
      <c r="BL189" s="182"/>
      <c r="BM189" s="182"/>
      <c r="BN189" s="182"/>
      <c r="BO189" s="182"/>
      <c r="BP189" s="182"/>
      <c r="BQ189" s="182"/>
      <c r="BR189" s="182"/>
    </row>
    <row r="190" spans="4:70">
      <c r="D190" s="182"/>
      <c r="E190" s="182"/>
      <c r="F190" s="182"/>
      <c r="G190" s="182"/>
      <c r="H190" s="182"/>
      <c r="I190" s="182"/>
      <c r="J190" s="182"/>
      <c r="K190" s="182"/>
      <c r="L190" s="940"/>
      <c r="M190" s="182"/>
      <c r="N190" s="182"/>
      <c r="O190" s="541"/>
      <c r="P190" s="182"/>
      <c r="Q190" s="182"/>
      <c r="R190" s="182"/>
      <c r="S190" s="182"/>
      <c r="T190" s="182"/>
      <c r="U190" s="182"/>
      <c r="V190" s="182"/>
      <c r="W190" s="182"/>
      <c r="X190" s="1016"/>
      <c r="Y190" s="182"/>
      <c r="Z190" s="182"/>
      <c r="AA190" s="541"/>
      <c r="AB190" s="182"/>
      <c r="AC190" s="182"/>
      <c r="AD190" s="182"/>
      <c r="AE190" s="182"/>
      <c r="AF190" s="182"/>
      <c r="AG190" s="182"/>
      <c r="AH190" s="182"/>
      <c r="AI190" s="182"/>
      <c r="AJ190" s="182"/>
      <c r="AK190" s="182"/>
      <c r="AL190" s="182"/>
      <c r="AM190" s="182"/>
      <c r="AN190" s="182"/>
      <c r="AO190" s="182"/>
      <c r="AP190" s="182"/>
      <c r="AQ190" s="182"/>
      <c r="AR190" s="182"/>
      <c r="AS190" s="182"/>
      <c r="AT190" s="182"/>
      <c r="AU190" s="182"/>
      <c r="AV190" s="182"/>
      <c r="AW190" s="182"/>
      <c r="AX190" s="182"/>
      <c r="AY190" s="182"/>
      <c r="AZ190" s="182"/>
      <c r="BA190" s="182"/>
      <c r="BB190" s="182"/>
      <c r="BC190" s="182"/>
      <c r="BD190" s="182"/>
      <c r="BE190" s="182"/>
      <c r="BF190" s="182"/>
      <c r="BG190" s="182"/>
      <c r="BH190" s="182"/>
      <c r="BI190" s="182"/>
      <c r="BJ190" s="182"/>
      <c r="BK190" s="182"/>
      <c r="BL190" s="182"/>
      <c r="BM190" s="182"/>
      <c r="BN190" s="182"/>
      <c r="BO190" s="182"/>
      <c r="BP190" s="182"/>
      <c r="BQ190" s="182"/>
      <c r="BR190" s="182"/>
    </row>
    <row r="191" spans="4:70">
      <c r="D191" s="182"/>
      <c r="E191" s="182"/>
      <c r="F191" s="182"/>
      <c r="G191" s="182"/>
      <c r="H191" s="182"/>
      <c r="I191" s="182"/>
      <c r="J191" s="182"/>
      <c r="K191" s="182"/>
      <c r="L191" s="940"/>
      <c r="M191" s="182"/>
      <c r="N191" s="182"/>
      <c r="O191" s="541"/>
      <c r="P191" s="182"/>
      <c r="Q191" s="182"/>
      <c r="R191" s="182"/>
      <c r="S191" s="182"/>
      <c r="T191" s="182"/>
      <c r="U191" s="182"/>
      <c r="V191" s="182"/>
      <c r="W191" s="182"/>
      <c r="X191" s="1016"/>
      <c r="Y191" s="182"/>
      <c r="Z191" s="182"/>
      <c r="AA191" s="541"/>
      <c r="AB191" s="182"/>
      <c r="AC191" s="182"/>
      <c r="AD191" s="182"/>
      <c r="AE191" s="182"/>
      <c r="AF191" s="182"/>
      <c r="AG191" s="182"/>
      <c r="AH191" s="182"/>
      <c r="AI191" s="182"/>
      <c r="AJ191" s="182"/>
      <c r="AK191" s="182"/>
      <c r="AL191" s="182"/>
      <c r="AM191" s="182"/>
      <c r="AN191" s="182"/>
      <c r="AO191" s="182"/>
      <c r="AP191" s="182"/>
      <c r="AQ191" s="182"/>
      <c r="AR191" s="182"/>
      <c r="AS191" s="182"/>
      <c r="AT191" s="182"/>
      <c r="AU191" s="182"/>
      <c r="AV191" s="182"/>
      <c r="AW191" s="182"/>
      <c r="AX191" s="182"/>
      <c r="AY191" s="182"/>
      <c r="AZ191" s="182"/>
      <c r="BA191" s="182"/>
      <c r="BB191" s="182"/>
      <c r="BC191" s="182"/>
      <c r="BD191" s="182"/>
      <c r="BE191" s="182"/>
      <c r="BF191" s="182"/>
      <c r="BG191" s="182"/>
      <c r="BH191" s="182"/>
      <c r="BI191" s="182"/>
      <c r="BJ191" s="182"/>
      <c r="BK191" s="182"/>
      <c r="BL191" s="182"/>
      <c r="BM191" s="182"/>
      <c r="BN191" s="182"/>
      <c r="BO191" s="182"/>
      <c r="BP191" s="182"/>
      <c r="BQ191" s="182"/>
      <c r="BR191" s="182"/>
    </row>
    <row r="192" spans="4:70">
      <c r="D192" s="182"/>
      <c r="E192" s="182"/>
      <c r="F192" s="182"/>
      <c r="G192" s="182"/>
      <c r="H192" s="182"/>
      <c r="I192" s="182"/>
      <c r="J192" s="182"/>
      <c r="K192" s="182"/>
      <c r="L192" s="940"/>
      <c r="M192" s="182"/>
      <c r="N192" s="182"/>
      <c r="O192" s="541"/>
      <c r="P192" s="182"/>
      <c r="Q192" s="182"/>
      <c r="R192" s="182"/>
      <c r="S192" s="182"/>
      <c r="T192" s="182"/>
      <c r="U192" s="182"/>
      <c r="V192" s="182"/>
      <c r="W192" s="182"/>
      <c r="X192" s="1016"/>
      <c r="Y192" s="182"/>
      <c r="Z192" s="182"/>
      <c r="AA192" s="541"/>
      <c r="AB192" s="182"/>
      <c r="AC192" s="182"/>
      <c r="AD192" s="182"/>
      <c r="AE192" s="182"/>
      <c r="AF192" s="182"/>
      <c r="AG192" s="182"/>
      <c r="AH192" s="182"/>
      <c r="AI192" s="182"/>
      <c r="AJ192" s="182"/>
      <c r="AK192" s="182"/>
      <c r="AL192" s="182"/>
      <c r="AM192" s="182"/>
      <c r="AN192" s="182"/>
      <c r="AO192" s="182"/>
      <c r="AP192" s="182"/>
      <c r="AQ192" s="182"/>
      <c r="AR192" s="182"/>
      <c r="AS192" s="182"/>
      <c r="AT192" s="182"/>
      <c r="AU192" s="182"/>
      <c r="AV192" s="182"/>
      <c r="AW192" s="182"/>
      <c r="AX192" s="182"/>
      <c r="AY192" s="182"/>
      <c r="AZ192" s="182"/>
      <c r="BA192" s="182"/>
      <c r="BB192" s="182"/>
      <c r="BC192" s="182"/>
      <c r="BD192" s="182"/>
      <c r="BE192" s="182"/>
      <c r="BF192" s="182"/>
      <c r="BG192" s="182"/>
      <c r="BH192" s="182"/>
      <c r="BI192" s="182"/>
      <c r="BJ192" s="182"/>
      <c r="BK192" s="182"/>
      <c r="BL192" s="182"/>
      <c r="BM192" s="182"/>
      <c r="BN192" s="182"/>
      <c r="BO192" s="182"/>
      <c r="BP192" s="182"/>
      <c r="BQ192" s="182"/>
      <c r="BR192" s="182"/>
    </row>
    <row r="193" spans="4:70">
      <c r="D193" s="182"/>
      <c r="E193" s="182"/>
      <c r="F193" s="182"/>
      <c r="G193" s="182"/>
      <c r="H193" s="182"/>
      <c r="I193" s="182"/>
      <c r="J193" s="182"/>
      <c r="K193" s="182"/>
      <c r="L193" s="940"/>
      <c r="M193" s="182"/>
      <c r="N193" s="182"/>
      <c r="O193" s="541"/>
      <c r="P193" s="182"/>
      <c r="Q193" s="182"/>
      <c r="R193" s="182"/>
      <c r="S193" s="182"/>
      <c r="T193" s="182"/>
      <c r="U193" s="182"/>
      <c r="V193" s="182"/>
      <c r="W193" s="182"/>
      <c r="X193" s="1016"/>
      <c r="Y193" s="182"/>
      <c r="Z193" s="182"/>
      <c r="AA193" s="541"/>
      <c r="AB193" s="182"/>
      <c r="AC193" s="182"/>
      <c r="AD193" s="182"/>
      <c r="AE193" s="182"/>
      <c r="AF193" s="182"/>
      <c r="AG193" s="182"/>
      <c r="AH193" s="182"/>
      <c r="AI193" s="182"/>
      <c r="AJ193" s="182"/>
      <c r="AK193" s="182"/>
      <c r="AL193" s="182"/>
      <c r="AM193" s="182"/>
      <c r="AN193" s="182"/>
      <c r="AO193" s="182"/>
      <c r="AP193" s="182"/>
      <c r="AQ193" s="182"/>
      <c r="AR193" s="182"/>
      <c r="AS193" s="182"/>
      <c r="AT193" s="182"/>
      <c r="AU193" s="182"/>
      <c r="AV193" s="182"/>
      <c r="AW193" s="182"/>
      <c r="AX193" s="182"/>
      <c r="AY193" s="182"/>
      <c r="AZ193" s="182"/>
      <c r="BA193" s="182"/>
      <c r="BB193" s="182"/>
      <c r="BC193" s="182"/>
      <c r="BD193" s="182"/>
      <c r="BE193" s="182"/>
      <c r="BF193" s="182"/>
      <c r="BG193" s="182"/>
      <c r="BH193" s="182"/>
      <c r="BI193" s="182"/>
      <c r="BJ193" s="182"/>
      <c r="BK193" s="182"/>
      <c r="BL193" s="182"/>
      <c r="BM193" s="182"/>
      <c r="BN193" s="182"/>
      <c r="BO193" s="182"/>
      <c r="BP193" s="182"/>
      <c r="BQ193" s="182"/>
      <c r="BR193" s="182"/>
    </row>
    <row r="194" spans="4:70">
      <c r="D194" s="182"/>
      <c r="E194" s="182"/>
      <c r="F194" s="182"/>
      <c r="G194" s="182"/>
      <c r="H194" s="182"/>
      <c r="I194" s="182"/>
      <c r="J194" s="182"/>
      <c r="K194" s="182"/>
      <c r="L194" s="940"/>
      <c r="M194" s="182"/>
      <c r="N194" s="182"/>
      <c r="O194" s="541"/>
      <c r="P194" s="182"/>
      <c r="Q194" s="182"/>
      <c r="R194" s="182"/>
      <c r="S194" s="182"/>
      <c r="T194" s="182"/>
      <c r="U194" s="182"/>
      <c r="V194" s="182"/>
      <c r="W194" s="182"/>
      <c r="X194" s="1016"/>
      <c r="Y194" s="182"/>
      <c r="Z194" s="182"/>
      <c r="AA194" s="541"/>
      <c r="AB194" s="182"/>
      <c r="AC194" s="182"/>
      <c r="AD194" s="182"/>
      <c r="AE194" s="182"/>
      <c r="AF194" s="182"/>
      <c r="AG194" s="182"/>
      <c r="AH194" s="182"/>
      <c r="AI194" s="182"/>
      <c r="AJ194" s="182"/>
      <c r="AK194" s="182"/>
      <c r="AL194" s="182"/>
      <c r="AM194" s="182"/>
      <c r="AN194" s="182"/>
      <c r="AO194" s="182"/>
      <c r="AP194" s="182"/>
      <c r="AQ194" s="182"/>
      <c r="AR194" s="182"/>
      <c r="AS194" s="182"/>
      <c r="AT194" s="182"/>
      <c r="AU194" s="182"/>
      <c r="AV194" s="182"/>
      <c r="AW194" s="182"/>
      <c r="AX194" s="182"/>
      <c r="AY194" s="182"/>
      <c r="AZ194" s="182"/>
      <c r="BA194" s="182"/>
      <c r="BB194" s="182"/>
      <c r="BC194" s="182"/>
      <c r="BD194" s="182"/>
      <c r="BE194" s="182"/>
      <c r="BF194" s="182"/>
      <c r="BG194" s="182"/>
      <c r="BH194" s="182"/>
      <c r="BI194" s="182"/>
      <c r="BJ194" s="182"/>
      <c r="BK194" s="182"/>
      <c r="BL194" s="182"/>
      <c r="BM194" s="182"/>
      <c r="BN194" s="182"/>
      <c r="BO194" s="182"/>
      <c r="BP194" s="182"/>
      <c r="BQ194" s="182"/>
      <c r="BR194" s="182"/>
    </row>
    <row r="195" spans="4:70">
      <c r="D195" s="182"/>
      <c r="E195" s="182"/>
      <c r="F195" s="182"/>
      <c r="G195" s="182"/>
      <c r="H195" s="182"/>
      <c r="I195" s="182"/>
      <c r="J195" s="182"/>
      <c r="K195" s="182"/>
      <c r="L195" s="940"/>
      <c r="M195" s="182"/>
      <c r="N195" s="182"/>
      <c r="O195" s="541"/>
      <c r="P195" s="182"/>
      <c r="Q195" s="182"/>
      <c r="R195" s="182"/>
      <c r="S195" s="182"/>
      <c r="T195" s="182"/>
      <c r="U195" s="182"/>
      <c r="V195" s="182"/>
      <c r="W195" s="182"/>
      <c r="X195" s="1016"/>
      <c r="Y195" s="182"/>
      <c r="Z195" s="182"/>
      <c r="AA195" s="541"/>
      <c r="AB195" s="182"/>
      <c r="AC195" s="182"/>
      <c r="AD195" s="182"/>
      <c r="AE195" s="182"/>
      <c r="AF195" s="182"/>
      <c r="AG195" s="182"/>
      <c r="AH195" s="182"/>
      <c r="AI195" s="182"/>
      <c r="AJ195" s="182"/>
      <c r="AK195" s="182"/>
      <c r="AL195" s="182"/>
      <c r="AM195" s="182"/>
      <c r="AN195" s="182"/>
      <c r="AO195" s="182"/>
      <c r="AP195" s="182"/>
      <c r="AQ195" s="182"/>
      <c r="AR195" s="182"/>
      <c r="AS195" s="182"/>
      <c r="AT195" s="182"/>
      <c r="AU195" s="182"/>
      <c r="AV195" s="182"/>
      <c r="AW195" s="182"/>
      <c r="AX195" s="182"/>
      <c r="AY195" s="182"/>
      <c r="AZ195" s="182"/>
      <c r="BA195" s="182"/>
      <c r="BB195" s="182"/>
      <c r="BC195" s="182"/>
      <c r="BD195" s="182"/>
      <c r="BE195" s="182"/>
      <c r="BF195" s="182"/>
      <c r="BG195" s="182"/>
      <c r="BH195" s="182"/>
      <c r="BI195" s="182"/>
      <c r="BJ195" s="182"/>
      <c r="BK195" s="182"/>
      <c r="BL195" s="182"/>
      <c r="BM195" s="182"/>
      <c r="BN195" s="182"/>
      <c r="BO195" s="182"/>
      <c r="BP195" s="182"/>
      <c r="BQ195" s="182"/>
      <c r="BR195" s="182"/>
    </row>
    <row r="196" spans="4:70">
      <c r="D196" s="182"/>
      <c r="E196" s="182"/>
      <c r="F196" s="182"/>
      <c r="G196" s="182"/>
      <c r="H196" s="182"/>
      <c r="I196" s="182"/>
      <c r="J196" s="182"/>
      <c r="K196" s="182"/>
      <c r="L196" s="940"/>
      <c r="M196" s="182"/>
      <c r="N196" s="182"/>
      <c r="O196" s="541"/>
      <c r="P196" s="182"/>
      <c r="Q196" s="182"/>
      <c r="R196" s="182"/>
      <c r="S196" s="182"/>
      <c r="T196" s="182"/>
      <c r="U196" s="182"/>
      <c r="V196" s="182"/>
      <c r="W196" s="182"/>
      <c r="X196" s="1016"/>
      <c r="Y196" s="182"/>
      <c r="Z196" s="182"/>
      <c r="AA196" s="541"/>
      <c r="AB196" s="182"/>
      <c r="AC196" s="182"/>
      <c r="AD196" s="182"/>
      <c r="AE196" s="182"/>
      <c r="AF196" s="182"/>
      <c r="AG196" s="182"/>
      <c r="AH196" s="182"/>
      <c r="AI196" s="182"/>
      <c r="AJ196" s="182"/>
      <c r="AK196" s="182"/>
      <c r="AL196" s="182"/>
      <c r="AM196" s="182"/>
      <c r="AN196" s="182"/>
      <c r="AO196" s="182"/>
      <c r="AP196" s="182"/>
      <c r="AQ196" s="182"/>
      <c r="AR196" s="182"/>
      <c r="AS196" s="182"/>
      <c r="AT196" s="182"/>
      <c r="AU196" s="182"/>
      <c r="AV196" s="182"/>
      <c r="AW196" s="182"/>
      <c r="AX196" s="182"/>
      <c r="AY196" s="182"/>
      <c r="AZ196" s="182"/>
      <c r="BA196" s="182"/>
      <c r="BB196" s="182"/>
      <c r="BC196" s="182"/>
      <c r="BD196" s="182"/>
      <c r="BE196" s="182"/>
      <c r="BF196" s="182"/>
      <c r="BG196" s="182"/>
      <c r="BH196" s="182"/>
      <c r="BI196" s="182"/>
      <c r="BJ196" s="182"/>
      <c r="BK196" s="182"/>
      <c r="BL196" s="182"/>
      <c r="BM196" s="182"/>
      <c r="BN196" s="182"/>
      <c r="BO196" s="182"/>
      <c r="BP196" s="182"/>
      <c r="BQ196" s="182"/>
      <c r="BR196" s="182"/>
    </row>
    <row r="197" spans="4:70">
      <c r="D197" s="182"/>
      <c r="E197" s="182"/>
      <c r="F197" s="182"/>
      <c r="G197" s="182"/>
      <c r="H197" s="182"/>
      <c r="I197" s="182"/>
      <c r="J197" s="182"/>
      <c r="K197" s="182"/>
      <c r="L197" s="940"/>
      <c r="M197" s="182"/>
      <c r="N197" s="182"/>
      <c r="O197" s="541"/>
      <c r="P197" s="182"/>
      <c r="Q197" s="182"/>
      <c r="R197" s="182"/>
      <c r="S197" s="182"/>
      <c r="T197" s="182"/>
      <c r="U197" s="182"/>
      <c r="V197" s="182"/>
      <c r="W197" s="182"/>
      <c r="X197" s="1016"/>
      <c r="Y197" s="182"/>
      <c r="Z197" s="182"/>
      <c r="AA197" s="541"/>
      <c r="AB197" s="182"/>
      <c r="AC197" s="182"/>
      <c r="AD197" s="182"/>
      <c r="AE197" s="182"/>
      <c r="AF197" s="182"/>
      <c r="AG197" s="182"/>
      <c r="AH197" s="182"/>
      <c r="AI197" s="182"/>
      <c r="AJ197" s="182"/>
      <c r="AK197" s="182"/>
      <c r="AL197" s="182"/>
      <c r="AM197" s="182"/>
      <c r="AN197" s="182"/>
      <c r="AO197" s="182"/>
      <c r="AP197" s="182"/>
      <c r="AQ197" s="182"/>
      <c r="AR197" s="182"/>
      <c r="AS197" s="182"/>
      <c r="AT197" s="182"/>
      <c r="AU197" s="182"/>
      <c r="AV197" s="182"/>
      <c r="AW197" s="182"/>
      <c r="AX197" s="182"/>
      <c r="AY197" s="182"/>
      <c r="AZ197" s="182"/>
      <c r="BA197" s="182"/>
      <c r="BB197" s="182"/>
      <c r="BC197" s="182"/>
      <c r="BD197" s="182"/>
      <c r="BE197" s="182"/>
      <c r="BF197" s="182"/>
      <c r="BG197" s="182"/>
      <c r="BH197" s="182"/>
      <c r="BI197" s="182"/>
      <c r="BJ197" s="182"/>
      <c r="BK197" s="182"/>
      <c r="BL197" s="182"/>
      <c r="BM197" s="182"/>
      <c r="BN197" s="182"/>
      <c r="BO197" s="182"/>
      <c r="BP197" s="182"/>
      <c r="BQ197" s="182"/>
      <c r="BR197" s="182"/>
    </row>
    <row r="198" spans="4:70">
      <c r="D198" s="182"/>
      <c r="E198" s="182"/>
      <c r="F198" s="182"/>
      <c r="G198" s="182"/>
      <c r="H198" s="182"/>
      <c r="I198" s="182"/>
      <c r="J198" s="182"/>
      <c r="K198" s="182"/>
      <c r="L198" s="940"/>
      <c r="M198" s="182"/>
      <c r="N198" s="182"/>
      <c r="O198" s="541"/>
      <c r="P198" s="182"/>
      <c r="Q198" s="182"/>
      <c r="R198" s="182"/>
      <c r="S198" s="182"/>
      <c r="T198" s="182"/>
      <c r="U198" s="182"/>
      <c r="V198" s="182"/>
      <c r="W198" s="182"/>
      <c r="X198" s="1016"/>
      <c r="Y198" s="182"/>
      <c r="Z198" s="182"/>
      <c r="AA198" s="541"/>
      <c r="AB198" s="182"/>
      <c r="AC198" s="182"/>
      <c r="AD198" s="182"/>
      <c r="AE198" s="182"/>
      <c r="AF198" s="182"/>
      <c r="AG198" s="182"/>
      <c r="AH198" s="182"/>
      <c r="AI198" s="182"/>
      <c r="AJ198" s="182"/>
      <c r="AK198" s="182"/>
      <c r="AL198" s="182"/>
      <c r="AM198" s="182"/>
      <c r="AN198" s="182"/>
      <c r="AO198" s="182"/>
      <c r="AP198" s="182"/>
      <c r="AQ198" s="182"/>
      <c r="AR198" s="182"/>
      <c r="AS198" s="182"/>
      <c r="AT198" s="182"/>
      <c r="AU198" s="182"/>
      <c r="AV198" s="182"/>
      <c r="AW198" s="182"/>
      <c r="AX198" s="182"/>
      <c r="AY198" s="182"/>
      <c r="AZ198" s="182"/>
      <c r="BA198" s="182"/>
      <c r="BB198" s="182"/>
      <c r="BC198" s="182"/>
      <c r="BD198" s="182"/>
      <c r="BE198" s="182"/>
      <c r="BF198" s="182"/>
      <c r="BG198" s="182"/>
      <c r="BH198" s="182"/>
      <c r="BI198" s="182"/>
      <c r="BJ198" s="182"/>
      <c r="BK198" s="182"/>
      <c r="BL198" s="182"/>
      <c r="BM198" s="182"/>
      <c r="BN198" s="182"/>
      <c r="BO198" s="182"/>
      <c r="BP198" s="182"/>
      <c r="BQ198" s="182"/>
      <c r="BR198" s="182"/>
    </row>
    <row r="199" spans="4:70">
      <c r="D199" s="182"/>
      <c r="E199" s="182"/>
      <c r="F199" s="182"/>
      <c r="G199" s="182"/>
      <c r="H199" s="182"/>
      <c r="I199" s="182"/>
      <c r="J199" s="182"/>
      <c r="K199" s="182"/>
      <c r="L199" s="940"/>
      <c r="M199" s="182"/>
      <c r="N199" s="182"/>
      <c r="O199" s="541"/>
      <c r="P199" s="182"/>
      <c r="Q199" s="182"/>
      <c r="R199" s="182"/>
      <c r="S199" s="182"/>
      <c r="T199" s="182"/>
      <c r="U199" s="182"/>
      <c r="V199" s="182"/>
      <c r="W199" s="182"/>
      <c r="X199" s="1016"/>
      <c r="Y199" s="182"/>
      <c r="Z199" s="182"/>
      <c r="AA199" s="541"/>
      <c r="AB199" s="182"/>
      <c r="AC199" s="182"/>
      <c r="AD199" s="182"/>
      <c r="AE199" s="182"/>
      <c r="AF199" s="182"/>
      <c r="AG199" s="182"/>
      <c r="AH199" s="182"/>
      <c r="AI199" s="182"/>
      <c r="AJ199" s="182"/>
      <c r="AK199" s="182"/>
      <c r="AL199" s="182"/>
      <c r="AM199" s="182"/>
      <c r="AN199" s="182"/>
      <c r="AO199" s="182"/>
      <c r="AP199" s="182"/>
      <c r="AQ199" s="182"/>
      <c r="AR199" s="182"/>
      <c r="AS199" s="182"/>
      <c r="AT199" s="182"/>
      <c r="AU199" s="182"/>
      <c r="AV199" s="182"/>
      <c r="AW199" s="182"/>
      <c r="AX199" s="182"/>
      <c r="AY199" s="182"/>
      <c r="AZ199" s="182"/>
      <c r="BA199" s="182"/>
      <c r="BB199" s="182"/>
      <c r="BC199" s="182"/>
      <c r="BD199" s="182"/>
      <c r="BE199" s="182"/>
      <c r="BF199" s="182"/>
      <c r="BG199" s="182"/>
      <c r="BH199" s="182"/>
      <c r="BI199" s="182"/>
      <c r="BJ199" s="182"/>
      <c r="BK199" s="182"/>
      <c r="BL199" s="182"/>
      <c r="BM199" s="182"/>
      <c r="BN199" s="182"/>
      <c r="BO199" s="182"/>
      <c r="BP199" s="182"/>
      <c r="BQ199" s="182"/>
      <c r="BR199" s="182"/>
    </row>
    <row r="200" spans="4:70">
      <c r="D200" s="182"/>
      <c r="E200" s="182"/>
      <c r="F200" s="182"/>
      <c r="G200" s="182"/>
      <c r="H200" s="182"/>
      <c r="I200" s="182"/>
      <c r="J200" s="182"/>
      <c r="K200" s="182"/>
      <c r="L200" s="940"/>
      <c r="M200" s="182"/>
      <c r="N200" s="182"/>
      <c r="O200" s="541"/>
      <c r="P200" s="182"/>
      <c r="Q200" s="182"/>
      <c r="R200" s="182"/>
      <c r="S200" s="182"/>
      <c r="T200" s="182"/>
      <c r="U200" s="182"/>
      <c r="V200" s="182"/>
      <c r="W200" s="182"/>
      <c r="X200" s="1016"/>
      <c r="Y200" s="182"/>
      <c r="Z200" s="182"/>
      <c r="AA200" s="541"/>
      <c r="AB200" s="182"/>
      <c r="AC200" s="182"/>
      <c r="AD200" s="182"/>
      <c r="AE200" s="182"/>
      <c r="AF200" s="182"/>
      <c r="AG200" s="182"/>
      <c r="AH200" s="182"/>
      <c r="AI200" s="182"/>
      <c r="AJ200" s="182"/>
      <c r="AK200" s="182"/>
      <c r="AL200" s="182"/>
      <c r="AM200" s="182"/>
      <c r="AN200" s="182"/>
      <c r="AO200" s="182"/>
      <c r="AP200" s="182"/>
      <c r="AQ200" s="182"/>
      <c r="AR200" s="182"/>
      <c r="AS200" s="182"/>
      <c r="AT200" s="182"/>
      <c r="AU200" s="182"/>
      <c r="AV200" s="182"/>
      <c r="AW200" s="182"/>
      <c r="AX200" s="182"/>
      <c r="AY200" s="182"/>
      <c r="AZ200" s="182"/>
      <c r="BA200" s="182"/>
      <c r="BB200" s="182"/>
      <c r="BC200" s="182"/>
      <c r="BD200" s="182"/>
      <c r="BE200" s="182"/>
      <c r="BF200" s="182"/>
      <c r="BG200" s="182"/>
      <c r="BH200" s="182"/>
      <c r="BI200" s="182"/>
      <c r="BJ200" s="182"/>
      <c r="BK200" s="182"/>
      <c r="BL200" s="182"/>
      <c r="BM200" s="182"/>
      <c r="BN200" s="182"/>
      <c r="BO200" s="182"/>
      <c r="BP200" s="182"/>
      <c r="BQ200" s="182"/>
      <c r="BR200" s="182"/>
    </row>
    <row r="201" spans="4:70">
      <c r="D201" s="182"/>
      <c r="E201" s="182"/>
      <c r="F201" s="182"/>
      <c r="G201" s="182"/>
      <c r="H201" s="182"/>
      <c r="I201" s="182"/>
      <c r="J201" s="182"/>
      <c r="K201" s="182"/>
      <c r="L201" s="940"/>
      <c r="M201" s="182"/>
      <c r="N201" s="182"/>
      <c r="O201" s="541"/>
      <c r="P201" s="182"/>
      <c r="Q201" s="182"/>
      <c r="R201" s="182"/>
      <c r="S201" s="182"/>
      <c r="T201" s="182"/>
      <c r="U201" s="182"/>
      <c r="V201" s="182"/>
      <c r="W201" s="182"/>
      <c r="X201" s="1016"/>
      <c r="Y201" s="182"/>
      <c r="Z201" s="182"/>
      <c r="AA201" s="541"/>
      <c r="AB201" s="182"/>
      <c r="AC201" s="182"/>
      <c r="AD201" s="182"/>
      <c r="AE201" s="182"/>
      <c r="AF201" s="182"/>
      <c r="AG201" s="182"/>
      <c r="AH201" s="182"/>
      <c r="AI201" s="182"/>
      <c r="AJ201" s="182"/>
      <c r="AK201" s="182"/>
      <c r="AL201" s="182"/>
      <c r="AM201" s="182"/>
      <c r="AN201" s="182"/>
      <c r="AO201" s="182"/>
      <c r="AP201" s="182"/>
      <c r="AQ201" s="182"/>
      <c r="AR201" s="182"/>
      <c r="AS201" s="182"/>
      <c r="AT201" s="182"/>
      <c r="AU201" s="182"/>
      <c r="AV201" s="182"/>
      <c r="AW201" s="182"/>
      <c r="AX201" s="182"/>
      <c r="AY201" s="182"/>
      <c r="AZ201" s="182"/>
      <c r="BA201" s="182"/>
      <c r="BB201" s="182"/>
      <c r="BC201" s="182"/>
      <c r="BD201" s="182"/>
      <c r="BE201" s="182"/>
      <c r="BF201" s="182"/>
      <c r="BG201" s="182"/>
      <c r="BH201" s="182"/>
      <c r="BI201" s="182"/>
      <c r="BJ201" s="182"/>
      <c r="BK201" s="182"/>
      <c r="BL201" s="182"/>
      <c r="BM201" s="182"/>
      <c r="BN201" s="182"/>
      <c r="BO201" s="182"/>
      <c r="BP201" s="182"/>
      <c r="BQ201" s="182"/>
      <c r="BR201" s="182"/>
    </row>
    <row r="202" spans="4:70">
      <c r="D202" s="182"/>
      <c r="E202" s="182"/>
      <c r="F202" s="182"/>
      <c r="G202" s="182"/>
      <c r="H202" s="182"/>
      <c r="I202" s="182"/>
      <c r="J202" s="182"/>
      <c r="K202" s="182"/>
      <c r="L202" s="940"/>
      <c r="M202" s="182"/>
      <c r="N202" s="182"/>
      <c r="O202" s="541"/>
      <c r="P202" s="182"/>
      <c r="Q202" s="182"/>
      <c r="R202" s="182"/>
      <c r="S202" s="182"/>
      <c r="T202" s="182"/>
      <c r="U202" s="182"/>
      <c r="V202" s="182"/>
      <c r="W202" s="182"/>
      <c r="X202" s="1016"/>
      <c r="Y202" s="182"/>
      <c r="Z202" s="182"/>
      <c r="AA202" s="541"/>
      <c r="AB202" s="182"/>
      <c r="AC202" s="182"/>
      <c r="AD202" s="182"/>
      <c r="AE202" s="182"/>
      <c r="AF202" s="182"/>
      <c r="AG202" s="182"/>
      <c r="AH202" s="182"/>
      <c r="AI202" s="182"/>
      <c r="AJ202" s="182"/>
      <c r="AK202" s="182"/>
      <c r="AL202" s="182"/>
      <c r="AM202" s="182"/>
      <c r="AN202" s="182"/>
      <c r="AO202" s="182"/>
      <c r="AP202" s="182"/>
      <c r="AQ202" s="182"/>
      <c r="AR202" s="182"/>
      <c r="AS202" s="182"/>
      <c r="AT202" s="182"/>
      <c r="AU202" s="182"/>
      <c r="AV202" s="182"/>
      <c r="AW202" s="182"/>
      <c r="AX202" s="182"/>
      <c r="AY202" s="182"/>
      <c r="AZ202" s="182"/>
      <c r="BA202" s="182"/>
      <c r="BB202" s="182"/>
      <c r="BC202" s="182"/>
      <c r="BD202" s="182"/>
      <c r="BE202" s="182"/>
      <c r="BF202" s="182"/>
      <c r="BG202" s="182"/>
      <c r="BH202" s="182"/>
      <c r="BI202" s="182"/>
      <c r="BJ202" s="182"/>
      <c r="BK202" s="182"/>
      <c r="BL202" s="182"/>
      <c r="BM202" s="182"/>
      <c r="BN202" s="182"/>
      <c r="BO202" s="182"/>
      <c r="BP202" s="182"/>
      <c r="BQ202" s="182"/>
      <c r="BR202" s="182"/>
    </row>
    <row r="203" spans="4:70">
      <c r="D203" s="182"/>
      <c r="E203" s="182"/>
      <c r="F203" s="182"/>
      <c r="G203" s="182"/>
      <c r="H203" s="182"/>
      <c r="I203" s="182"/>
      <c r="J203" s="182"/>
      <c r="K203" s="182"/>
      <c r="L203" s="940"/>
      <c r="M203" s="182"/>
      <c r="N203" s="182"/>
      <c r="O203" s="541"/>
      <c r="P203" s="182"/>
      <c r="Q203" s="182"/>
      <c r="R203" s="182"/>
      <c r="S203" s="182"/>
      <c r="T203" s="182"/>
      <c r="U203" s="182"/>
      <c r="V203" s="182"/>
      <c r="W203" s="182"/>
      <c r="X203" s="1016"/>
      <c r="Y203" s="182"/>
      <c r="Z203" s="182"/>
      <c r="AA203" s="541"/>
      <c r="AB203" s="182"/>
      <c r="AC203" s="182"/>
      <c r="AD203" s="182"/>
      <c r="AE203" s="182"/>
      <c r="AF203" s="182"/>
      <c r="AG203" s="182"/>
      <c r="AH203" s="182"/>
      <c r="AI203" s="182"/>
      <c r="AJ203" s="182"/>
      <c r="AK203" s="182"/>
      <c r="AL203" s="182"/>
      <c r="AM203" s="182"/>
      <c r="AN203" s="182"/>
      <c r="AO203" s="182"/>
      <c r="AP203" s="182"/>
      <c r="AQ203" s="182"/>
      <c r="AR203" s="182"/>
      <c r="AS203" s="182"/>
      <c r="AT203" s="182"/>
      <c r="AU203" s="182"/>
      <c r="AV203" s="182"/>
      <c r="AW203" s="182"/>
      <c r="AX203" s="182"/>
      <c r="AY203" s="182"/>
      <c r="AZ203" s="182"/>
      <c r="BA203" s="182"/>
      <c r="BB203" s="182"/>
      <c r="BC203" s="182"/>
      <c r="BD203" s="182"/>
      <c r="BE203" s="182"/>
      <c r="BF203" s="182"/>
      <c r="BG203" s="182"/>
      <c r="BH203" s="182"/>
      <c r="BI203" s="182"/>
      <c r="BJ203" s="182"/>
      <c r="BK203" s="182"/>
      <c r="BL203" s="182"/>
      <c r="BM203" s="182"/>
      <c r="BN203" s="182"/>
      <c r="BO203" s="182"/>
      <c r="BP203" s="182"/>
      <c r="BQ203" s="182"/>
      <c r="BR203" s="182"/>
    </row>
    <row r="204" spans="4:70">
      <c r="D204" s="182"/>
      <c r="E204" s="182"/>
      <c r="F204" s="182"/>
      <c r="G204" s="182"/>
      <c r="H204" s="182"/>
      <c r="I204" s="182"/>
      <c r="J204" s="182"/>
      <c r="K204" s="182"/>
      <c r="L204" s="940"/>
      <c r="M204" s="182"/>
      <c r="N204" s="182"/>
      <c r="O204" s="541"/>
      <c r="P204" s="182"/>
      <c r="Q204" s="182"/>
      <c r="R204" s="182"/>
      <c r="S204" s="182"/>
      <c r="T204" s="182"/>
      <c r="U204" s="182"/>
      <c r="V204" s="182"/>
      <c r="W204" s="182"/>
      <c r="X204" s="1016"/>
      <c r="Y204" s="182"/>
      <c r="Z204" s="182"/>
      <c r="AA204" s="541"/>
      <c r="AB204" s="182"/>
      <c r="AC204" s="182"/>
      <c r="AD204" s="182"/>
      <c r="AE204" s="182"/>
      <c r="AF204" s="182"/>
      <c r="AG204" s="182"/>
      <c r="AH204" s="182"/>
      <c r="AI204" s="182"/>
      <c r="AJ204" s="182"/>
      <c r="AK204" s="182"/>
      <c r="AL204" s="182"/>
      <c r="AM204" s="182"/>
      <c r="AN204" s="182"/>
      <c r="AO204" s="182"/>
      <c r="AP204" s="182"/>
      <c r="AQ204" s="182"/>
      <c r="AR204" s="182"/>
      <c r="AS204" s="182"/>
      <c r="AT204" s="182"/>
      <c r="AU204" s="182"/>
      <c r="AV204" s="182"/>
      <c r="AW204" s="182"/>
      <c r="AX204" s="182"/>
      <c r="AY204" s="182"/>
      <c r="AZ204" s="182"/>
      <c r="BA204" s="182"/>
      <c r="BB204" s="182"/>
      <c r="BC204" s="182"/>
      <c r="BD204" s="182"/>
      <c r="BE204" s="182"/>
      <c r="BF204" s="182"/>
      <c r="BG204" s="182"/>
      <c r="BH204" s="182"/>
      <c r="BI204" s="182"/>
      <c r="BJ204" s="182"/>
      <c r="BK204" s="182"/>
      <c r="BL204" s="182"/>
      <c r="BM204" s="182"/>
      <c r="BN204" s="182"/>
      <c r="BO204" s="182"/>
      <c r="BP204" s="182"/>
      <c r="BQ204" s="182"/>
      <c r="BR204" s="182"/>
    </row>
    <row r="205" spans="4:70">
      <c r="D205" s="182"/>
      <c r="E205" s="182"/>
      <c r="F205" s="182"/>
      <c r="G205" s="182"/>
      <c r="H205" s="182"/>
      <c r="I205" s="182"/>
      <c r="J205" s="182"/>
      <c r="K205" s="182"/>
      <c r="L205" s="940"/>
      <c r="M205" s="182"/>
      <c r="N205" s="182"/>
      <c r="O205" s="541"/>
      <c r="P205" s="182"/>
      <c r="Q205" s="182"/>
      <c r="R205" s="182"/>
      <c r="S205" s="182"/>
      <c r="T205" s="182"/>
      <c r="U205" s="182"/>
      <c r="V205" s="182"/>
      <c r="W205" s="182"/>
      <c r="X205" s="1016"/>
      <c r="Y205" s="182"/>
      <c r="Z205" s="182"/>
      <c r="AA205" s="541"/>
      <c r="AB205" s="182"/>
      <c r="AC205" s="182"/>
      <c r="AD205" s="182"/>
      <c r="AE205" s="182"/>
      <c r="AF205" s="182"/>
      <c r="AG205" s="182"/>
      <c r="AH205" s="182"/>
      <c r="AI205" s="182"/>
      <c r="AJ205" s="182"/>
      <c r="AK205" s="182"/>
      <c r="AL205" s="182"/>
      <c r="AM205" s="182"/>
      <c r="AN205" s="182"/>
      <c r="AO205" s="182"/>
      <c r="AP205" s="182"/>
      <c r="AQ205" s="182"/>
      <c r="AR205" s="182"/>
      <c r="AS205" s="182"/>
      <c r="AT205" s="182"/>
      <c r="AU205" s="182"/>
      <c r="AV205" s="182"/>
      <c r="AW205" s="182"/>
      <c r="AX205" s="182"/>
      <c r="AY205" s="182"/>
      <c r="AZ205" s="182"/>
      <c r="BA205" s="182"/>
      <c r="BB205" s="182"/>
      <c r="BC205" s="182"/>
      <c r="BD205" s="182"/>
      <c r="BE205" s="182"/>
      <c r="BF205" s="182"/>
      <c r="BG205" s="182"/>
      <c r="BH205" s="182"/>
      <c r="BI205" s="182"/>
      <c r="BJ205" s="182"/>
      <c r="BK205" s="182"/>
      <c r="BL205" s="182"/>
      <c r="BM205" s="182"/>
      <c r="BN205" s="182"/>
      <c r="BO205" s="182"/>
      <c r="BP205" s="182"/>
      <c r="BQ205" s="182"/>
      <c r="BR205" s="182"/>
    </row>
    <row r="206" spans="4:70">
      <c r="D206" s="182"/>
      <c r="E206" s="182"/>
      <c r="F206" s="182"/>
      <c r="G206" s="182"/>
      <c r="H206" s="182"/>
      <c r="I206" s="182"/>
      <c r="J206" s="182"/>
      <c r="K206" s="182"/>
      <c r="L206" s="940"/>
      <c r="M206" s="182"/>
      <c r="N206" s="182"/>
      <c r="O206" s="541"/>
      <c r="P206" s="182"/>
      <c r="Q206" s="182"/>
      <c r="R206" s="182"/>
      <c r="S206" s="182"/>
      <c r="T206" s="182"/>
      <c r="U206" s="182"/>
      <c r="V206" s="182"/>
      <c r="W206" s="182"/>
      <c r="X206" s="1016"/>
      <c r="Y206" s="182"/>
      <c r="Z206" s="182"/>
      <c r="AA206" s="541"/>
      <c r="AB206" s="182"/>
      <c r="AC206" s="182"/>
      <c r="AD206" s="182"/>
      <c r="AE206" s="182"/>
      <c r="AF206" s="182"/>
      <c r="AG206" s="182"/>
      <c r="AH206" s="182"/>
      <c r="AI206" s="182"/>
      <c r="AJ206" s="182"/>
      <c r="AK206" s="182"/>
      <c r="AL206" s="182"/>
      <c r="AM206" s="182"/>
      <c r="AN206" s="182"/>
      <c r="AO206" s="182"/>
      <c r="AP206" s="182"/>
      <c r="AQ206" s="182"/>
      <c r="AR206" s="182"/>
      <c r="AS206" s="182"/>
      <c r="AT206" s="182"/>
      <c r="AU206" s="182"/>
      <c r="AV206" s="182"/>
      <c r="AW206" s="182"/>
      <c r="AX206" s="182"/>
      <c r="AY206" s="182"/>
      <c r="AZ206" s="182"/>
      <c r="BA206" s="182"/>
      <c r="BB206" s="182"/>
      <c r="BC206" s="182"/>
      <c r="BD206" s="182"/>
      <c r="BE206" s="182"/>
      <c r="BF206" s="182"/>
      <c r="BG206" s="182"/>
      <c r="BH206" s="182"/>
      <c r="BI206" s="182"/>
      <c r="BJ206" s="182"/>
      <c r="BK206" s="182"/>
      <c r="BL206" s="182"/>
      <c r="BM206" s="182"/>
      <c r="BN206" s="182"/>
      <c r="BO206" s="182"/>
      <c r="BP206" s="182"/>
      <c r="BQ206" s="182"/>
      <c r="BR206" s="182"/>
    </row>
    <row r="207" spans="4:70">
      <c r="D207" s="182"/>
      <c r="E207" s="182"/>
      <c r="F207" s="182"/>
      <c r="G207" s="182"/>
      <c r="H207" s="182"/>
      <c r="I207" s="182"/>
      <c r="J207" s="182"/>
      <c r="K207" s="182"/>
      <c r="L207" s="940"/>
      <c r="M207" s="182"/>
      <c r="N207" s="182"/>
      <c r="O207" s="541"/>
      <c r="P207" s="182"/>
      <c r="Q207" s="182"/>
      <c r="R207" s="182"/>
      <c r="S207" s="182"/>
      <c r="T207" s="182"/>
      <c r="U207" s="182"/>
      <c r="V207" s="182"/>
      <c r="W207" s="182"/>
      <c r="X207" s="1016"/>
      <c r="Y207" s="182"/>
      <c r="Z207" s="182"/>
      <c r="AA207" s="541"/>
      <c r="AB207" s="182"/>
      <c r="AC207" s="182"/>
      <c r="AD207" s="182"/>
      <c r="AE207" s="182"/>
      <c r="AF207" s="182"/>
      <c r="AG207" s="182"/>
      <c r="AH207" s="182"/>
      <c r="AI207" s="182"/>
      <c r="AJ207" s="182"/>
      <c r="AK207" s="182"/>
      <c r="AL207" s="182"/>
      <c r="AM207" s="182"/>
      <c r="AN207" s="182"/>
      <c r="AO207" s="182"/>
      <c r="AP207" s="182"/>
      <c r="AQ207" s="182"/>
      <c r="AR207" s="182"/>
      <c r="AS207" s="182"/>
      <c r="AT207" s="182"/>
      <c r="AU207" s="182"/>
      <c r="AV207" s="182"/>
      <c r="AW207" s="182"/>
      <c r="AX207" s="182"/>
      <c r="AY207" s="182"/>
      <c r="AZ207" s="182"/>
      <c r="BA207" s="182"/>
      <c r="BB207" s="182"/>
      <c r="BC207" s="182"/>
      <c r="BD207" s="182"/>
      <c r="BE207" s="182"/>
      <c r="BF207" s="182"/>
      <c r="BG207" s="182"/>
      <c r="BH207" s="182"/>
      <c r="BI207" s="182"/>
      <c r="BJ207" s="182"/>
      <c r="BK207" s="182"/>
      <c r="BL207" s="182"/>
      <c r="BM207" s="182"/>
      <c r="BN207" s="182"/>
      <c r="BO207" s="182"/>
      <c r="BP207" s="182"/>
      <c r="BQ207" s="182"/>
      <c r="BR207" s="182"/>
    </row>
    <row r="208" spans="4:70">
      <c r="D208" s="182"/>
      <c r="E208" s="182"/>
      <c r="F208" s="182"/>
      <c r="G208" s="182"/>
      <c r="H208" s="182"/>
      <c r="I208" s="182"/>
      <c r="J208" s="182"/>
      <c r="K208" s="182"/>
      <c r="L208" s="940"/>
      <c r="M208" s="182"/>
      <c r="N208" s="182"/>
      <c r="O208" s="541"/>
      <c r="P208" s="182"/>
      <c r="Q208" s="182"/>
      <c r="R208" s="182"/>
      <c r="S208" s="182"/>
      <c r="T208" s="182"/>
      <c r="U208" s="182"/>
      <c r="V208" s="182"/>
      <c r="W208" s="182"/>
      <c r="X208" s="1016"/>
      <c r="Y208" s="182"/>
      <c r="Z208" s="182"/>
      <c r="AA208" s="541"/>
      <c r="AB208" s="182"/>
      <c r="AC208" s="182"/>
      <c r="AD208" s="182"/>
      <c r="AE208" s="182"/>
      <c r="AF208" s="182"/>
      <c r="AG208" s="182"/>
      <c r="AH208" s="182"/>
      <c r="AI208" s="182"/>
      <c r="AJ208" s="182"/>
      <c r="AK208" s="182"/>
      <c r="AL208" s="182"/>
      <c r="AM208" s="182"/>
      <c r="AN208" s="182"/>
      <c r="AO208" s="182"/>
      <c r="AP208" s="182"/>
      <c r="AQ208" s="182"/>
      <c r="AR208" s="182"/>
      <c r="AS208" s="182"/>
      <c r="AT208" s="182"/>
      <c r="AU208" s="182"/>
      <c r="AV208" s="182"/>
      <c r="AW208" s="182"/>
      <c r="AX208" s="182"/>
      <c r="AY208" s="182"/>
      <c r="AZ208" s="182"/>
      <c r="BA208" s="182"/>
      <c r="BB208" s="182"/>
      <c r="BC208" s="182"/>
      <c r="BD208" s="182"/>
      <c r="BE208" s="182"/>
      <c r="BF208" s="182"/>
      <c r="BG208" s="182"/>
      <c r="BH208" s="182"/>
      <c r="BI208" s="182"/>
      <c r="BJ208" s="182"/>
      <c r="BK208" s="182"/>
      <c r="BL208" s="182"/>
      <c r="BM208" s="182"/>
      <c r="BN208" s="182"/>
      <c r="BO208" s="182"/>
      <c r="BP208" s="182"/>
      <c r="BQ208" s="182"/>
      <c r="BR208" s="182"/>
    </row>
    <row r="209" spans="4:70">
      <c r="D209" s="182"/>
      <c r="E209" s="182"/>
      <c r="F209" s="182"/>
      <c r="G209" s="182"/>
      <c r="H209" s="182"/>
      <c r="I209" s="182"/>
      <c r="J209" s="182"/>
      <c r="K209" s="182"/>
      <c r="L209" s="940"/>
      <c r="M209" s="182"/>
      <c r="N209" s="182"/>
      <c r="O209" s="541"/>
      <c r="P209" s="182"/>
      <c r="Q209" s="182"/>
      <c r="R209" s="182"/>
      <c r="S209" s="182"/>
      <c r="T209" s="182"/>
      <c r="U209" s="182"/>
      <c r="V209" s="182"/>
      <c r="W209" s="182"/>
      <c r="X209" s="1016"/>
      <c r="Y209" s="182"/>
      <c r="Z209" s="182"/>
      <c r="AA209" s="541"/>
      <c r="AB209" s="182"/>
      <c r="AC209" s="182"/>
      <c r="AD209" s="182"/>
      <c r="AE209" s="182"/>
      <c r="AF209" s="182"/>
      <c r="AG209" s="182"/>
      <c r="AH209" s="182"/>
      <c r="AI209" s="182"/>
      <c r="AJ209" s="182"/>
      <c r="AK209" s="182"/>
      <c r="AL209" s="182"/>
      <c r="AM209" s="182"/>
      <c r="AN209" s="182"/>
      <c r="AO209" s="182"/>
      <c r="AP209" s="182"/>
      <c r="AQ209" s="182"/>
      <c r="AR209" s="182"/>
      <c r="AS209" s="182"/>
      <c r="AT209" s="182"/>
      <c r="AU209" s="182"/>
      <c r="AV209" s="182"/>
      <c r="AW209" s="182"/>
      <c r="AX209" s="182"/>
      <c r="AY209" s="182"/>
      <c r="AZ209" s="182"/>
      <c r="BA209" s="182"/>
      <c r="BB209" s="182"/>
      <c r="BC209" s="182"/>
      <c r="BD209" s="182"/>
      <c r="BE209" s="182"/>
      <c r="BF209" s="182"/>
      <c r="BG209" s="182"/>
      <c r="BH209" s="182"/>
      <c r="BI209" s="182"/>
      <c r="BJ209" s="182"/>
      <c r="BK209" s="182"/>
      <c r="BL209" s="182"/>
      <c r="BM209" s="182"/>
      <c r="BN209" s="182"/>
      <c r="BO209" s="182"/>
      <c r="BP209" s="182"/>
      <c r="BQ209" s="182"/>
      <c r="BR209" s="182"/>
    </row>
    <row r="210" spans="4:70">
      <c r="D210" s="182"/>
      <c r="E210" s="182"/>
      <c r="F210" s="182"/>
      <c r="G210" s="182"/>
      <c r="H210" s="182"/>
      <c r="I210" s="182"/>
      <c r="J210" s="182"/>
      <c r="K210" s="182"/>
      <c r="L210" s="940"/>
      <c r="M210" s="182"/>
      <c r="N210" s="182"/>
      <c r="O210" s="541"/>
      <c r="P210" s="182"/>
      <c r="Q210" s="182"/>
      <c r="R210" s="182"/>
      <c r="S210" s="182"/>
      <c r="T210" s="182"/>
      <c r="U210" s="182"/>
      <c r="V210" s="182"/>
      <c r="W210" s="182"/>
      <c r="X210" s="1016"/>
      <c r="Y210" s="182"/>
      <c r="Z210" s="182"/>
      <c r="AA210" s="541"/>
      <c r="AB210" s="182"/>
      <c r="AC210" s="182"/>
      <c r="AD210" s="182"/>
      <c r="AE210" s="182"/>
      <c r="AF210" s="182"/>
      <c r="AG210" s="182"/>
      <c r="AH210" s="182"/>
      <c r="AI210" s="182"/>
      <c r="AJ210" s="182"/>
      <c r="AK210" s="182"/>
      <c r="AL210" s="182"/>
      <c r="AM210" s="182"/>
      <c r="AN210" s="182"/>
      <c r="AO210" s="182"/>
      <c r="AP210" s="182"/>
      <c r="AQ210" s="182"/>
      <c r="AR210" s="182"/>
      <c r="AS210" s="182"/>
      <c r="AT210" s="182"/>
      <c r="AU210" s="182"/>
      <c r="AV210" s="182"/>
      <c r="AW210" s="182"/>
      <c r="AX210" s="182"/>
      <c r="AY210" s="182"/>
      <c r="AZ210" s="182"/>
      <c r="BA210" s="182"/>
      <c r="BB210" s="182"/>
      <c r="BC210" s="182"/>
      <c r="BD210" s="182"/>
      <c r="BE210" s="182"/>
      <c r="BF210" s="182"/>
      <c r="BG210" s="182"/>
      <c r="BH210" s="182"/>
      <c r="BI210" s="182"/>
      <c r="BJ210" s="182"/>
      <c r="BK210" s="182"/>
      <c r="BL210" s="182"/>
      <c r="BM210" s="182"/>
      <c r="BN210" s="182"/>
      <c r="BO210" s="182"/>
      <c r="BP210" s="182"/>
      <c r="BQ210" s="182"/>
      <c r="BR210" s="182"/>
    </row>
    <row r="211" spans="4:70">
      <c r="D211" s="182"/>
      <c r="E211" s="182"/>
      <c r="F211" s="182"/>
      <c r="G211" s="182"/>
      <c r="H211" s="182"/>
      <c r="I211" s="182"/>
      <c r="J211" s="182"/>
      <c r="K211" s="182"/>
      <c r="L211" s="940"/>
      <c r="M211" s="182"/>
      <c r="N211" s="182"/>
      <c r="O211" s="541"/>
      <c r="P211" s="182"/>
      <c r="Q211" s="182"/>
      <c r="R211" s="182"/>
      <c r="S211" s="182"/>
      <c r="T211" s="182"/>
      <c r="U211" s="182"/>
      <c r="V211" s="182"/>
      <c r="W211" s="182"/>
      <c r="X211" s="1016"/>
      <c r="Y211" s="182"/>
      <c r="Z211" s="182"/>
      <c r="AA211" s="541"/>
      <c r="AB211" s="182"/>
      <c r="AC211" s="182"/>
      <c r="AD211" s="182"/>
      <c r="AE211" s="182"/>
      <c r="AF211" s="182"/>
      <c r="AG211" s="182"/>
      <c r="AH211" s="182"/>
      <c r="AI211" s="182"/>
      <c r="AJ211" s="182"/>
      <c r="AK211" s="182"/>
      <c r="AL211" s="182"/>
      <c r="AM211" s="182"/>
      <c r="AN211" s="182"/>
      <c r="AO211" s="182"/>
      <c r="AP211" s="182"/>
      <c r="AQ211" s="182"/>
      <c r="AR211" s="182"/>
      <c r="AS211" s="182"/>
      <c r="AT211" s="182"/>
      <c r="AU211" s="182"/>
      <c r="AV211" s="182"/>
      <c r="AW211" s="182"/>
      <c r="AX211" s="182"/>
      <c r="AY211" s="182"/>
      <c r="AZ211" s="182"/>
      <c r="BA211" s="182"/>
      <c r="BB211" s="182"/>
      <c r="BC211" s="182"/>
      <c r="BD211" s="182"/>
      <c r="BE211" s="182"/>
      <c r="BF211" s="182"/>
      <c r="BG211" s="182"/>
      <c r="BH211" s="182"/>
      <c r="BI211" s="182"/>
      <c r="BJ211" s="182"/>
      <c r="BK211" s="182"/>
      <c r="BL211" s="182"/>
      <c r="BM211" s="182"/>
      <c r="BN211" s="182"/>
      <c r="BO211" s="182"/>
      <c r="BP211" s="182"/>
      <c r="BQ211" s="182"/>
      <c r="BR211" s="182"/>
    </row>
    <row r="212" spans="4:70">
      <c r="D212" s="182"/>
      <c r="E212" s="182"/>
      <c r="F212" s="182"/>
      <c r="G212" s="182"/>
      <c r="H212" s="182"/>
      <c r="I212" s="182"/>
      <c r="J212" s="182"/>
      <c r="K212" s="182"/>
      <c r="L212" s="940"/>
      <c r="M212" s="182"/>
      <c r="N212" s="182"/>
      <c r="O212" s="541"/>
      <c r="P212" s="182"/>
      <c r="Q212" s="182"/>
      <c r="R212" s="182"/>
      <c r="S212" s="182"/>
      <c r="T212" s="182"/>
      <c r="U212" s="182"/>
      <c r="V212" s="182"/>
      <c r="W212" s="182"/>
      <c r="X212" s="1016"/>
      <c r="Y212" s="182"/>
      <c r="Z212" s="182"/>
      <c r="AA212" s="541"/>
      <c r="AB212" s="182"/>
      <c r="AC212" s="182"/>
      <c r="AD212" s="182"/>
      <c r="AE212" s="182"/>
      <c r="AF212" s="182"/>
      <c r="AG212" s="182"/>
      <c r="AH212" s="182"/>
      <c r="AI212" s="182"/>
      <c r="AJ212" s="182"/>
      <c r="AK212" s="182"/>
      <c r="AL212" s="182"/>
      <c r="AM212" s="182"/>
      <c r="AN212" s="182"/>
      <c r="AO212" s="182"/>
      <c r="AP212" s="182"/>
      <c r="AQ212" s="182"/>
      <c r="AR212" s="182"/>
      <c r="AS212" s="182"/>
      <c r="AT212" s="182"/>
      <c r="AU212" s="182"/>
      <c r="AV212" s="182"/>
      <c r="AW212" s="182"/>
      <c r="AX212" s="182"/>
      <c r="AY212" s="182"/>
      <c r="AZ212" s="182"/>
      <c r="BA212" s="182"/>
      <c r="BB212" s="182"/>
      <c r="BC212" s="182"/>
      <c r="BD212" s="182"/>
      <c r="BE212" s="182"/>
      <c r="BF212" s="182"/>
      <c r="BG212" s="182"/>
      <c r="BH212" s="182"/>
      <c r="BI212" s="182"/>
      <c r="BJ212" s="182"/>
      <c r="BK212" s="182"/>
      <c r="BL212" s="182"/>
      <c r="BM212" s="182"/>
      <c r="BN212" s="182"/>
      <c r="BO212" s="182"/>
      <c r="BP212" s="182"/>
      <c r="BQ212" s="182"/>
      <c r="BR212" s="182"/>
    </row>
    <row r="213" spans="4:70">
      <c r="D213" s="182"/>
      <c r="E213" s="182"/>
      <c r="F213" s="182"/>
      <c r="G213" s="182"/>
      <c r="H213" s="182"/>
      <c r="I213" s="182"/>
      <c r="J213" s="182"/>
      <c r="K213" s="182"/>
      <c r="L213" s="940"/>
      <c r="M213" s="182"/>
      <c r="N213" s="182"/>
      <c r="O213" s="541"/>
      <c r="P213" s="182"/>
      <c r="Q213" s="182"/>
      <c r="R213" s="182"/>
      <c r="S213" s="182"/>
      <c r="T213" s="182"/>
      <c r="U213" s="182"/>
      <c r="V213" s="182"/>
      <c r="W213" s="182"/>
      <c r="X213" s="1016"/>
      <c r="Y213" s="182"/>
      <c r="Z213" s="182"/>
      <c r="AA213" s="541"/>
      <c r="AB213" s="182"/>
      <c r="AC213" s="182"/>
      <c r="AD213" s="182"/>
      <c r="AE213" s="182"/>
      <c r="AF213" s="182"/>
      <c r="AG213" s="182"/>
      <c r="AH213" s="182"/>
      <c r="AI213" s="182"/>
      <c r="AJ213" s="182"/>
      <c r="AK213" s="182"/>
      <c r="AL213" s="182"/>
      <c r="AM213" s="182"/>
      <c r="AN213" s="182"/>
      <c r="AO213" s="182"/>
      <c r="AP213" s="182"/>
      <c r="AQ213" s="182"/>
      <c r="AR213" s="182"/>
      <c r="AS213" s="182"/>
      <c r="AT213" s="182"/>
      <c r="AU213" s="182"/>
      <c r="AV213" s="182"/>
      <c r="AW213" s="182"/>
      <c r="AX213" s="182"/>
      <c r="AY213" s="182"/>
      <c r="AZ213" s="182"/>
      <c r="BA213" s="182"/>
      <c r="BB213" s="182"/>
      <c r="BC213" s="182"/>
      <c r="BD213" s="182"/>
      <c r="BE213" s="182"/>
      <c r="BF213" s="182"/>
      <c r="BG213" s="182"/>
      <c r="BH213" s="182"/>
      <c r="BI213" s="182"/>
      <c r="BJ213" s="182"/>
      <c r="BK213" s="182"/>
      <c r="BL213" s="182"/>
      <c r="BM213" s="182"/>
      <c r="BN213" s="182"/>
      <c r="BO213" s="182"/>
      <c r="BP213" s="182"/>
      <c r="BQ213" s="182"/>
      <c r="BR213" s="182"/>
    </row>
    <row r="214" spans="4:70">
      <c r="D214" s="182"/>
      <c r="E214" s="182"/>
      <c r="F214" s="182"/>
      <c r="G214" s="182"/>
      <c r="H214" s="182"/>
      <c r="I214" s="182"/>
      <c r="J214" s="182"/>
      <c r="K214" s="182"/>
      <c r="L214" s="940"/>
      <c r="M214" s="182"/>
      <c r="N214" s="182"/>
      <c r="O214" s="541"/>
      <c r="P214" s="182"/>
      <c r="Q214" s="182"/>
      <c r="R214" s="182"/>
      <c r="S214" s="182"/>
      <c r="T214" s="182"/>
      <c r="U214" s="182"/>
      <c r="V214" s="182"/>
      <c r="W214" s="182"/>
      <c r="X214" s="1016"/>
      <c r="Y214" s="182"/>
      <c r="Z214" s="182"/>
      <c r="AA214" s="541"/>
      <c r="AB214" s="182"/>
      <c r="AC214" s="182"/>
      <c r="AD214" s="182"/>
      <c r="AE214" s="182"/>
      <c r="AF214" s="182"/>
      <c r="AG214" s="182"/>
      <c r="AH214" s="182"/>
      <c r="AI214" s="182"/>
      <c r="AJ214" s="182"/>
      <c r="AK214" s="182"/>
      <c r="AL214" s="182"/>
      <c r="AM214" s="182"/>
      <c r="AN214" s="182"/>
      <c r="AO214" s="182"/>
      <c r="AP214" s="182"/>
      <c r="AQ214" s="182"/>
      <c r="AR214" s="182"/>
      <c r="AS214" s="182"/>
      <c r="AT214" s="182"/>
      <c r="AU214" s="182"/>
      <c r="AV214" s="182"/>
      <c r="AW214" s="182"/>
      <c r="AX214" s="182"/>
      <c r="AY214" s="182"/>
      <c r="AZ214" s="182"/>
      <c r="BA214" s="182"/>
      <c r="BB214" s="182"/>
      <c r="BC214" s="182"/>
      <c r="BD214" s="182"/>
      <c r="BE214" s="182"/>
      <c r="BF214" s="182"/>
      <c r="BG214" s="182"/>
      <c r="BH214" s="182"/>
      <c r="BI214" s="182"/>
      <c r="BJ214" s="182"/>
      <c r="BK214" s="182"/>
      <c r="BL214" s="182"/>
      <c r="BM214" s="182"/>
      <c r="BN214" s="182"/>
      <c r="BO214" s="182"/>
      <c r="BP214" s="182"/>
      <c r="BQ214" s="182"/>
      <c r="BR214" s="182"/>
    </row>
    <row r="215" spans="4:70">
      <c r="D215" s="182"/>
      <c r="E215" s="182"/>
      <c r="F215" s="182"/>
      <c r="G215" s="182"/>
      <c r="H215" s="182"/>
      <c r="I215" s="182"/>
      <c r="J215" s="182"/>
      <c r="K215" s="182"/>
      <c r="L215" s="940"/>
      <c r="M215" s="182"/>
      <c r="N215" s="182"/>
      <c r="O215" s="541"/>
      <c r="P215" s="182"/>
      <c r="Q215" s="182"/>
      <c r="R215" s="182"/>
      <c r="S215" s="182"/>
      <c r="T215" s="182"/>
      <c r="U215" s="182"/>
      <c r="V215" s="182"/>
      <c r="W215" s="182"/>
      <c r="X215" s="1016"/>
      <c r="Y215" s="182"/>
      <c r="Z215" s="182"/>
      <c r="AA215" s="541"/>
      <c r="AB215" s="182"/>
      <c r="AC215" s="182"/>
      <c r="AD215" s="182"/>
      <c r="AE215" s="182"/>
      <c r="AF215" s="182"/>
      <c r="AG215" s="182"/>
      <c r="AH215" s="182"/>
      <c r="AI215" s="182"/>
      <c r="AJ215" s="182"/>
      <c r="AK215" s="182"/>
      <c r="AL215" s="182"/>
      <c r="AM215" s="182"/>
      <c r="AN215" s="182"/>
      <c r="AO215" s="182"/>
      <c r="AP215" s="182"/>
      <c r="AQ215" s="182"/>
      <c r="AR215" s="182"/>
      <c r="AS215" s="182"/>
      <c r="AT215" s="182"/>
      <c r="AU215" s="182"/>
      <c r="AV215" s="182"/>
      <c r="AW215" s="182"/>
      <c r="AX215" s="182"/>
      <c r="AY215" s="182"/>
      <c r="AZ215" s="182"/>
      <c r="BA215" s="182"/>
      <c r="BB215" s="182"/>
      <c r="BC215" s="182"/>
      <c r="BD215" s="182"/>
      <c r="BE215" s="182"/>
      <c r="BF215" s="182"/>
      <c r="BG215" s="182"/>
      <c r="BH215" s="182"/>
      <c r="BI215" s="182"/>
      <c r="BJ215" s="182"/>
      <c r="BK215" s="182"/>
      <c r="BL215" s="182"/>
      <c r="BM215" s="182"/>
      <c r="BN215" s="182"/>
      <c r="BO215" s="182"/>
      <c r="BP215" s="182"/>
      <c r="BQ215" s="182"/>
      <c r="BR215" s="182"/>
    </row>
    <row r="216" spans="4:70">
      <c r="D216" s="182"/>
      <c r="E216" s="182"/>
      <c r="F216" s="182"/>
      <c r="G216" s="182"/>
      <c r="H216" s="182"/>
      <c r="I216" s="182"/>
      <c r="J216" s="182"/>
      <c r="K216" s="182"/>
      <c r="L216" s="940"/>
      <c r="M216" s="182"/>
      <c r="N216" s="182"/>
      <c r="O216" s="541"/>
      <c r="P216" s="182"/>
      <c r="Q216" s="182"/>
      <c r="R216" s="182"/>
      <c r="S216" s="182"/>
      <c r="T216" s="182"/>
      <c r="U216" s="182"/>
      <c r="V216" s="182"/>
      <c r="W216" s="182"/>
      <c r="X216" s="1016"/>
      <c r="Y216" s="182"/>
      <c r="Z216" s="182"/>
      <c r="AA216" s="541"/>
      <c r="AB216" s="182"/>
      <c r="AC216" s="182"/>
      <c r="AD216" s="182"/>
      <c r="AE216" s="182"/>
      <c r="AF216" s="182"/>
      <c r="AG216" s="182"/>
      <c r="AH216" s="182"/>
      <c r="AI216" s="182"/>
      <c r="AJ216" s="182"/>
      <c r="AK216" s="182"/>
      <c r="AL216" s="182"/>
      <c r="AM216" s="182"/>
      <c r="AN216" s="182"/>
      <c r="AO216" s="182"/>
      <c r="AP216" s="182"/>
      <c r="AQ216" s="182"/>
      <c r="AR216" s="182"/>
      <c r="AS216" s="182"/>
      <c r="AT216" s="182"/>
      <c r="AU216" s="182"/>
      <c r="AV216" s="182"/>
      <c r="AW216" s="182"/>
      <c r="AX216" s="182"/>
      <c r="AY216" s="182"/>
      <c r="AZ216" s="182"/>
      <c r="BA216" s="182"/>
      <c r="BB216" s="182"/>
      <c r="BC216" s="182"/>
      <c r="BD216" s="182"/>
      <c r="BE216" s="182"/>
      <c r="BF216" s="182"/>
      <c r="BG216" s="182"/>
      <c r="BH216" s="182"/>
      <c r="BI216" s="182"/>
      <c r="BJ216" s="182"/>
      <c r="BK216" s="182"/>
      <c r="BL216" s="182"/>
      <c r="BM216" s="182"/>
      <c r="BN216" s="182"/>
      <c r="BO216" s="182"/>
      <c r="BP216" s="182"/>
      <c r="BQ216" s="182"/>
      <c r="BR216" s="182"/>
    </row>
    <row r="217" spans="4:70">
      <c r="D217" s="182"/>
      <c r="E217" s="182"/>
      <c r="F217" s="182"/>
      <c r="G217" s="182"/>
      <c r="H217" s="182"/>
      <c r="I217" s="182"/>
      <c r="J217" s="182"/>
      <c r="K217" s="182"/>
      <c r="L217" s="940"/>
      <c r="M217" s="182"/>
      <c r="N217" s="182"/>
      <c r="O217" s="541"/>
      <c r="P217" s="182"/>
      <c r="Q217" s="182"/>
      <c r="R217" s="182"/>
      <c r="S217" s="182"/>
      <c r="T217" s="182"/>
      <c r="U217" s="182"/>
      <c r="V217" s="182"/>
      <c r="W217" s="182"/>
      <c r="X217" s="1016"/>
      <c r="Y217" s="182"/>
      <c r="Z217" s="182"/>
      <c r="AA217" s="541"/>
      <c r="AB217" s="182"/>
      <c r="AC217" s="182"/>
      <c r="AD217" s="182"/>
      <c r="AE217" s="182"/>
      <c r="AF217" s="182"/>
      <c r="AG217" s="182"/>
      <c r="AH217" s="182"/>
      <c r="AI217" s="182"/>
      <c r="AJ217" s="182"/>
      <c r="AK217" s="182"/>
      <c r="AL217" s="182"/>
      <c r="AM217" s="182"/>
      <c r="AN217" s="182"/>
      <c r="AO217" s="182"/>
      <c r="AP217" s="182"/>
      <c r="AQ217" s="182"/>
      <c r="AR217" s="182"/>
      <c r="AS217" s="182"/>
      <c r="AT217" s="182"/>
      <c r="AU217" s="182"/>
      <c r="AV217" s="182"/>
      <c r="AW217" s="182"/>
      <c r="AX217" s="182"/>
      <c r="AY217" s="182"/>
      <c r="AZ217" s="182"/>
      <c r="BA217" s="182"/>
      <c r="BB217" s="182"/>
      <c r="BC217" s="182"/>
      <c r="BD217" s="182"/>
      <c r="BE217" s="182"/>
      <c r="BF217" s="182"/>
      <c r="BG217" s="182"/>
      <c r="BH217" s="182"/>
      <c r="BI217" s="182"/>
      <c r="BJ217" s="182"/>
      <c r="BK217" s="182"/>
      <c r="BL217" s="182"/>
      <c r="BM217" s="182"/>
      <c r="BN217" s="182"/>
      <c r="BO217" s="182"/>
      <c r="BP217" s="182"/>
      <c r="BQ217" s="182"/>
      <c r="BR217" s="182"/>
    </row>
    <row r="218" spans="4:70">
      <c r="D218" s="182"/>
      <c r="E218" s="182"/>
      <c r="F218" s="182"/>
      <c r="G218" s="182"/>
      <c r="H218" s="182"/>
      <c r="I218" s="182"/>
      <c r="J218" s="182"/>
      <c r="K218" s="182"/>
      <c r="L218" s="940"/>
      <c r="M218" s="182"/>
      <c r="N218" s="182"/>
      <c r="O218" s="541"/>
      <c r="P218" s="182"/>
      <c r="Q218" s="182"/>
      <c r="R218" s="182"/>
      <c r="S218" s="182"/>
      <c r="T218" s="182"/>
      <c r="U218" s="182"/>
      <c r="V218" s="182"/>
      <c r="W218" s="182"/>
      <c r="X218" s="1016"/>
      <c r="Y218" s="182"/>
      <c r="Z218" s="182"/>
      <c r="AA218" s="541"/>
      <c r="AB218" s="182"/>
      <c r="AC218" s="182"/>
      <c r="AD218" s="182"/>
      <c r="AE218" s="182"/>
      <c r="AF218" s="182"/>
      <c r="AG218" s="182"/>
      <c r="AH218" s="182"/>
      <c r="AI218" s="182"/>
      <c r="AJ218" s="182"/>
      <c r="AK218" s="182"/>
      <c r="AL218" s="182"/>
      <c r="AM218" s="182"/>
      <c r="AN218" s="182"/>
      <c r="AO218" s="182"/>
      <c r="AP218" s="182"/>
      <c r="AQ218" s="182"/>
      <c r="AR218" s="182"/>
      <c r="AS218" s="182"/>
      <c r="AT218" s="182"/>
      <c r="AU218" s="182"/>
      <c r="AV218" s="182"/>
      <c r="AW218" s="182"/>
      <c r="AX218" s="182"/>
      <c r="AY218" s="182"/>
      <c r="AZ218" s="182"/>
      <c r="BA218" s="182"/>
      <c r="BB218" s="182"/>
      <c r="BC218" s="182"/>
      <c r="BD218" s="182"/>
      <c r="BE218" s="182"/>
      <c r="BF218" s="182"/>
      <c r="BG218" s="182"/>
      <c r="BH218" s="182"/>
      <c r="BI218" s="182"/>
      <c r="BJ218" s="182"/>
      <c r="BK218" s="182"/>
      <c r="BL218" s="182"/>
      <c r="BM218" s="182"/>
      <c r="BN218" s="182"/>
      <c r="BO218" s="182"/>
      <c r="BP218" s="182"/>
      <c r="BQ218" s="182"/>
      <c r="BR218" s="182"/>
    </row>
    <row r="219" spans="4:70">
      <c r="D219" s="182"/>
      <c r="E219" s="182"/>
      <c r="F219" s="182"/>
      <c r="G219" s="182"/>
      <c r="H219" s="182"/>
      <c r="I219" s="182"/>
      <c r="J219" s="182"/>
      <c r="K219" s="182"/>
      <c r="L219" s="940"/>
      <c r="M219" s="182"/>
      <c r="N219" s="182"/>
      <c r="O219" s="541"/>
      <c r="P219" s="182"/>
      <c r="Q219" s="182"/>
      <c r="R219" s="182"/>
      <c r="S219" s="182"/>
      <c r="T219" s="182"/>
      <c r="U219" s="182"/>
      <c r="V219" s="182"/>
      <c r="W219" s="182"/>
      <c r="X219" s="1016"/>
      <c r="Y219" s="182"/>
      <c r="Z219" s="182"/>
      <c r="AA219" s="541"/>
      <c r="AB219" s="182"/>
      <c r="AC219" s="182"/>
      <c r="AD219" s="182"/>
      <c r="AE219" s="182"/>
      <c r="AF219" s="182"/>
      <c r="AG219" s="182"/>
      <c r="AH219" s="182"/>
      <c r="AI219" s="182"/>
      <c r="AJ219" s="182"/>
      <c r="AK219" s="182"/>
      <c r="AL219" s="182"/>
      <c r="AM219" s="182"/>
      <c r="AN219" s="182"/>
      <c r="AO219" s="182"/>
      <c r="AP219" s="182"/>
      <c r="AQ219" s="182"/>
      <c r="AR219" s="182"/>
      <c r="AS219" s="182"/>
      <c r="AT219" s="182"/>
      <c r="AU219" s="182"/>
      <c r="AV219" s="182"/>
      <c r="AW219" s="182"/>
      <c r="AX219" s="182"/>
      <c r="AY219" s="182"/>
      <c r="AZ219" s="182"/>
      <c r="BA219" s="182"/>
      <c r="BB219" s="182"/>
      <c r="BC219" s="182"/>
      <c r="BD219" s="182"/>
      <c r="BE219" s="182"/>
      <c r="BF219" s="182"/>
      <c r="BG219" s="182"/>
      <c r="BH219" s="182"/>
      <c r="BI219" s="182"/>
      <c r="BJ219" s="182"/>
      <c r="BK219" s="182"/>
      <c r="BL219" s="182"/>
      <c r="BM219" s="182"/>
      <c r="BN219" s="182"/>
      <c r="BO219" s="182"/>
      <c r="BP219" s="182"/>
      <c r="BQ219" s="182"/>
      <c r="BR219" s="182"/>
    </row>
    <row r="220" spans="4:70">
      <c r="D220" s="182"/>
      <c r="E220" s="182"/>
      <c r="F220" s="182"/>
      <c r="G220" s="182"/>
      <c r="H220" s="182"/>
      <c r="I220" s="182"/>
      <c r="J220" s="182"/>
      <c r="K220" s="182"/>
      <c r="L220" s="940"/>
      <c r="M220" s="182"/>
      <c r="N220" s="182"/>
      <c r="O220" s="541"/>
      <c r="P220" s="182"/>
      <c r="Q220" s="182"/>
      <c r="R220" s="182"/>
      <c r="S220" s="182"/>
      <c r="T220" s="182"/>
      <c r="U220" s="182"/>
      <c r="V220" s="182"/>
      <c r="W220" s="182"/>
      <c r="X220" s="1016"/>
      <c r="Y220" s="182"/>
      <c r="Z220" s="182"/>
      <c r="AA220" s="541"/>
      <c r="AB220" s="182"/>
      <c r="AC220" s="182"/>
      <c r="AD220" s="182"/>
      <c r="AE220" s="182"/>
      <c r="AF220" s="182"/>
      <c r="AG220" s="182"/>
      <c r="AH220" s="182"/>
      <c r="AI220" s="182"/>
      <c r="AJ220" s="182"/>
      <c r="AK220" s="182"/>
      <c r="AL220" s="182"/>
      <c r="AM220" s="182"/>
      <c r="AN220" s="182"/>
      <c r="AO220" s="182"/>
      <c r="AP220" s="182"/>
      <c r="AQ220" s="182"/>
      <c r="AR220" s="182"/>
      <c r="AS220" s="182"/>
      <c r="AT220" s="182"/>
      <c r="AU220" s="182"/>
      <c r="AV220" s="182"/>
      <c r="AW220" s="182"/>
      <c r="AX220" s="182"/>
      <c r="AY220" s="182"/>
      <c r="AZ220" s="182"/>
      <c r="BA220" s="182"/>
      <c r="BB220" s="182"/>
      <c r="BC220" s="182"/>
      <c r="BD220" s="182"/>
      <c r="BE220" s="182"/>
      <c r="BF220" s="182"/>
      <c r="BG220" s="182"/>
      <c r="BH220" s="182"/>
      <c r="BI220" s="182"/>
      <c r="BJ220" s="182"/>
      <c r="BK220" s="182"/>
      <c r="BL220" s="182"/>
      <c r="BM220" s="182"/>
      <c r="BN220" s="182"/>
      <c r="BO220" s="182"/>
      <c r="BP220" s="182"/>
      <c r="BQ220" s="182"/>
      <c r="BR220" s="182"/>
    </row>
    <row r="221" spans="4:70">
      <c r="D221" s="182"/>
      <c r="E221" s="182"/>
      <c r="F221" s="182"/>
      <c r="G221" s="182"/>
      <c r="H221" s="182"/>
      <c r="I221" s="182"/>
      <c r="J221" s="182"/>
      <c r="K221" s="182"/>
      <c r="L221" s="940"/>
      <c r="M221" s="182"/>
      <c r="N221" s="182"/>
      <c r="O221" s="541"/>
      <c r="P221" s="182"/>
      <c r="Q221" s="182"/>
      <c r="R221" s="182"/>
      <c r="S221" s="182"/>
      <c r="T221" s="182"/>
      <c r="U221" s="182"/>
      <c r="V221" s="182"/>
      <c r="W221" s="182"/>
      <c r="X221" s="1016"/>
      <c r="Y221" s="182"/>
      <c r="Z221" s="182"/>
      <c r="AA221" s="541"/>
      <c r="AB221" s="182"/>
      <c r="AC221" s="182"/>
      <c r="AD221" s="182"/>
      <c r="AE221" s="182"/>
      <c r="AF221" s="182"/>
      <c r="AG221" s="182"/>
      <c r="AH221" s="182"/>
      <c r="AI221" s="182"/>
      <c r="AJ221" s="182"/>
      <c r="AK221" s="182"/>
      <c r="AL221" s="182"/>
      <c r="AM221" s="182"/>
      <c r="AN221" s="182"/>
      <c r="AO221" s="182"/>
      <c r="AP221" s="182"/>
      <c r="AQ221" s="182"/>
      <c r="AR221" s="182"/>
      <c r="AS221" s="182"/>
      <c r="AT221" s="182"/>
      <c r="AU221" s="182"/>
      <c r="AV221" s="182"/>
      <c r="AW221" s="182"/>
      <c r="AX221" s="182"/>
      <c r="AY221" s="182"/>
      <c r="AZ221" s="182"/>
      <c r="BA221" s="182"/>
      <c r="BB221" s="182"/>
      <c r="BC221" s="182"/>
      <c r="BD221" s="182"/>
      <c r="BE221" s="182"/>
      <c r="BF221" s="182"/>
      <c r="BG221" s="182"/>
      <c r="BH221" s="182"/>
      <c r="BI221" s="182"/>
      <c r="BJ221" s="182"/>
      <c r="BK221" s="182"/>
      <c r="BL221" s="182"/>
      <c r="BM221" s="182"/>
      <c r="BN221" s="182"/>
      <c r="BO221" s="182"/>
      <c r="BP221" s="182"/>
      <c r="BQ221" s="182"/>
      <c r="BR221" s="182"/>
    </row>
    <row r="222" spans="4:70">
      <c r="D222" s="182"/>
      <c r="E222" s="182"/>
      <c r="F222" s="182"/>
      <c r="G222" s="182"/>
      <c r="H222" s="182"/>
      <c r="I222" s="182"/>
      <c r="J222" s="182"/>
      <c r="K222" s="182"/>
      <c r="L222" s="940"/>
      <c r="M222" s="182"/>
      <c r="N222" s="182"/>
      <c r="O222" s="541"/>
      <c r="P222" s="182"/>
      <c r="Q222" s="182"/>
      <c r="R222" s="182"/>
      <c r="S222" s="182"/>
      <c r="T222" s="182"/>
      <c r="U222" s="182"/>
      <c r="V222" s="182"/>
      <c r="W222" s="182"/>
      <c r="X222" s="1016"/>
      <c r="Y222" s="182"/>
      <c r="Z222" s="182"/>
      <c r="AA222" s="541"/>
      <c r="AB222" s="182"/>
      <c r="AC222" s="182"/>
      <c r="AD222" s="182"/>
      <c r="AE222" s="182"/>
      <c r="AF222" s="182"/>
      <c r="AG222" s="182"/>
      <c r="AH222" s="182"/>
      <c r="AI222" s="182"/>
      <c r="AJ222" s="182"/>
      <c r="AK222" s="182"/>
      <c r="AL222" s="182"/>
      <c r="AM222" s="182"/>
      <c r="AN222" s="182"/>
      <c r="AO222" s="182"/>
      <c r="AP222" s="182"/>
      <c r="AQ222" s="182"/>
      <c r="AR222" s="182"/>
      <c r="AS222" s="182"/>
      <c r="AT222" s="182"/>
      <c r="AU222" s="182"/>
      <c r="AV222" s="182"/>
      <c r="AW222" s="182"/>
      <c r="AX222" s="182"/>
      <c r="AY222" s="182"/>
      <c r="AZ222" s="182"/>
      <c r="BA222" s="182"/>
      <c r="BB222" s="182"/>
      <c r="BC222" s="182"/>
      <c r="BD222" s="182"/>
      <c r="BE222" s="182"/>
      <c r="BF222" s="182"/>
      <c r="BG222" s="182"/>
      <c r="BH222" s="182"/>
      <c r="BI222" s="182"/>
      <c r="BJ222" s="182"/>
      <c r="BK222" s="182"/>
      <c r="BL222" s="182"/>
      <c r="BM222" s="182"/>
      <c r="BN222" s="182"/>
      <c r="BO222" s="182"/>
      <c r="BP222" s="182"/>
      <c r="BQ222" s="182"/>
      <c r="BR222" s="182"/>
    </row>
    <row r="223" spans="4:70">
      <c r="D223" s="182"/>
      <c r="E223" s="182"/>
      <c r="F223" s="182"/>
      <c r="G223" s="182"/>
      <c r="H223" s="182"/>
      <c r="I223" s="182"/>
      <c r="J223" s="182"/>
      <c r="K223" s="182"/>
      <c r="L223" s="940"/>
      <c r="M223" s="182"/>
      <c r="N223" s="182"/>
      <c r="O223" s="541"/>
      <c r="P223" s="182"/>
      <c r="Q223" s="182"/>
      <c r="R223" s="182"/>
      <c r="S223" s="182"/>
      <c r="T223" s="182"/>
      <c r="U223" s="182"/>
      <c r="V223" s="182"/>
      <c r="W223" s="182"/>
      <c r="X223" s="1016"/>
      <c r="Y223" s="182"/>
      <c r="Z223" s="182"/>
      <c r="AA223" s="541"/>
      <c r="AB223" s="182"/>
      <c r="AC223" s="182"/>
      <c r="AD223" s="182"/>
      <c r="AE223" s="182"/>
      <c r="AF223" s="182"/>
      <c r="AG223" s="182"/>
      <c r="AH223" s="182"/>
      <c r="AI223" s="182"/>
      <c r="AJ223" s="182"/>
      <c r="AK223" s="182"/>
      <c r="AL223" s="182"/>
      <c r="AM223" s="182"/>
      <c r="AN223" s="182"/>
      <c r="AO223" s="182"/>
      <c r="AP223" s="182"/>
      <c r="AQ223" s="182"/>
      <c r="AR223" s="182"/>
      <c r="AS223" s="182"/>
      <c r="AT223" s="182"/>
      <c r="AU223" s="182"/>
      <c r="AV223" s="182"/>
      <c r="AW223" s="182"/>
      <c r="AX223" s="182"/>
      <c r="AY223" s="182"/>
      <c r="AZ223" s="182"/>
      <c r="BA223" s="182"/>
      <c r="BB223" s="182"/>
      <c r="BC223" s="182"/>
      <c r="BD223" s="182"/>
      <c r="BE223" s="182"/>
      <c r="BF223" s="182"/>
      <c r="BG223" s="182"/>
      <c r="BH223" s="182"/>
      <c r="BI223" s="182"/>
      <c r="BJ223" s="182"/>
      <c r="BK223" s="182"/>
      <c r="BL223" s="182"/>
      <c r="BM223" s="182"/>
      <c r="BN223" s="182"/>
      <c r="BO223" s="182"/>
      <c r="BP223" s="182"/>
      <c r="BQ223" s="182"/>
      <c r="BR223" s="182"/>
    </row>
    <row r="224" spans="4:70">
      <c r="D224" s="182"/>
      <c r="E224" s="182"/>
      <c r="F224" s="182"/>
      <c r="G224" s="182"/>
      <c r="H224" s="182"/>
      <c r="I224" s="182"/>
      <c r="J224" s="182"/>
      <c r="K224" s="182"/>
      <c r="L224" s="940"/>
      <c r="M224" s="182"/>
      <c r="N224" s="182"/>
      <c r="O224" s="541"/>
      <c r="P224" s="182"/>
      <c r="Q224" s="182"/>
      <c r="R224" s="182"/>
      <c r="S224" s="182"/>
      <c r="T224" s="182"/>
      <c r="U224" s="182"/>
      <c r="V224" s="182"/>
      <c r="W224" s="182"/>
      <c r="X224" s="1016"/>
      <c r="Y224" s="182"/>
      <c r="Z224" s="182"/>
      <c r="AA224" s="541"/>
      <c r="AB224" s="182"/>
      <c r="AC224" s="182"/>
      <c r="AD224" s="182"/>
      <c r="AE224" s="182"/>
      <c r="AF224" s="182"/>
      <c r="AG224" s="182"/>
      <c r="AH224" s="182"/>
      <c r="AI224" s="182"/>
      <c r="AJ224" s="182"/>
      <c r="AK224" s="182"/>
      <c r="AL224" s="182"/>
      <c r="AM224" s="182"/>
      <c r="AN224" s="182"/>
      <c r="AO224" s="182"/>
      <c r="AP224" s="182"/>
      <c r="AQ224" s="182"/>
      <c r="AR224" s="182"/>
      <c r="AS224" s="182"/>
      <c r="AT224" s="182"/>
      <c r="AU224" s="182"/>
      <c r="AV224" s="182"/>
      <c r="AW224" s="182"/>
      <c r="AX224" s="182"/>
      <c r="AY224" s="182"/>
      <c r="AZ224" s="182"/>
      <c r="BA224" s="182"/>
      <c r="BB224" s="182"/>
      <c r="BC224" s="182"/>
      <c r="BD224" s="182"/>
      <c r="BE224" s="182"/>
      <c r="BF224" s="182"/>
      <c r="BG224" s="182"/>
      <c r="BH224" s="182"/>
      <c r="BI224" s="182"/>
      <c r="BJ224" s="182"/>
      <c r="BK224" s="182"/>
      <c r="BL224" s="182"/>
      <c r="BM224" s="182"/>
      <c r="BN224" s="182"/>
      <c r="BO224" s="182"/>
      <c r="BP224" s="182"/>
      <c r="BQ224" s="182"/>
      <c r="BR224" s="182"/>
    </row>
    <row r="225" spans="4:70">
      <c r="D225" s="182"/>
      <c r="E225" s="182"/>
      <c r="F225" s="182"/>
      <c r="G225" s="182"/>
      <c r="H225" s="182"/>
      <c r="I225" s="182"/>
      <c r="J225" s="182"/>
      <c r="K225" s="182"/>
      <c r="L225" s="940"/>
      <c r="M225" s="182"/>
      <c r="N225" s="182"/>
      <c r="O225" s="541"/>
      <c r="P225" s="182"/>
      <c r="Q225" s="182"/>
      <c r="R225" s="182"/>
      <c r="S225" s="182"/>
      <c r="T225" s="182"/>
      <c r="U225" s="182"/>
      <c r="V225" s="182"/>
      <c r="W225" s="182"/>
      <c r="X225" s="1016"/>
      <c r="Y225" s="182"/>
      <c r="Z225" s="182"/>
      <c r="AA225" s="541"/>
      <c r="AB225" s="182"/>
      <c r="AC225" s="182"/>
      <c r="AD225" s="182"/>
      <c r="AE225" s="182"/>
      <c r="AF225" s="182"/>
      <c r="AG225" s="182"/>
      <c r="AH225" s="182"/>
      <c r="AI225" s="182"/>
      <c r="AJ225" s="182"/>
      <c r="AK225" s="182"/>
      <c r="AL225" s="182"/>
      <c r="AM225" s="182"/>
      <c r="AN225" s="182"/>
      <c r="AO225" s="182"/>
      <c r="AP225" s="182"/>
      <c r="AQ225" s="182"/>
      <c r="AR225" s="182"/>
      <c r="AS225" s="182"/>
      <c r="AT225" s="182"/>
      <c r="AU225" s="182"/>
      <c r="AV225" s="182"/>
      <c r="AW225" s="182"/>
      <c r="AX225" s="182"/>
      <c r="AY225" s="182"/>
      <c r="AZ225" s="182"/>
      <c r="BA225" s="182"/>
      <c r="BB225" s="182"/>
      <c r="BC225" s="182"/>
      <c r="BD225" s="182"/>
      <c r="BE225" s="182"/>
      <c r="BF225" s="182"/>
      <c r="BG225" s="182"/>
      <c r="BH225" s="182"/>
      <c r="BI225" s="182"/>
      <c r="BJ225" s="182"/>
      <c r="BK225" s="182"/>
      <c r="BL225" s="182"/>
      <c r="BM225" s="182"/>
      <c r="BN225" s="182"/>
      <c r="BO225" s="182"/>
      <c r="BP225" s="182"/>
      <c r="BQ225" s="182"/>
      <c r="BR225" s="182"/>
    </row>
    <row r="226" spans="4:70">
      <c r="D226" s="182"/>
      <c r="E226" s="182"/>
      <c r="F226" s="182"/>
      <c r="G226" s="182"/>
      <c r="H226" s="182"/>
      <c r="I226" s="182"/>
      <c r="J226" s="182"/>
      <c r="K226" s="182"/>
      <c r="L226" s="940"/>
      <c r="M226" s="182"/>
      <c r="N226" s="182"/>
      <c r="O226" s="541"/>
      <c r="P226" s="182"/>
      <c r="Q226" s="182"/>
      <c r="R226" s="182"/>
      <c r="S226" s="182"/>
      <c r="T226" s="182"/>
      <c r="U226" s="182"/>
      <c r="V226" s="182"/>
      <c r="W226" s="182"/>
      <c r="X226" s="1016"/>
      <c r="Y226" s="182"/>
      <c r="Z226" s="182"/>
      <c r="AA226" s="541"/>
      <c r="AB226" s="182"/>
      <c r="AC226" s="182"/>
      <c r="AD226" s="182"/>
      <c r="AE226" s="182"/>
      <c r="AF226" s="182"/>
      <c r="AG226" s="182"/>
      <c r="AH226" s="182"/>
      <c r="AI226" s="182"/>
      <c r="AJ226" s="182"/>
      <c r="AK226" s="182"/>
      <c r="AL226" s="182"/>
      <c r="AM226" s="182"/>
      <c r="AN226" s="182"/>
      <c r="AO226" s="182"/>
      <c r="AP226" s="182"/>
      <c r="AQ226" s="182"/>
      <c r="AR226" s="182"/>
      <c r="AS226" s="182"/>
      <c r="AT226" s="182"/>
      <c r="AU226" s="182"/>
      <c r="AV226" s="182"/>
      <c r="AW226" s="182"/>
      <c r="AX226" s="182"/>
      <c r="AY226" s="182"/>
      <c r="AZ226" s="182"/>
      <c r="BA226" s="182"/>
      <c r="BB226" s="182"/>
      <c r="BC226" s="182"/>
      <c r="BD226" s="182"/>
      <c r="BE226" s="182"/>
      <c r="BF226" s="182"/>
      <c r="BG226" s="182"/>
      <c r="BH226" s="182"/>
      <c r="BI226" s="182"/>
      <c r="BJ226" s="182"/>
      <c r="BK226" s="182"/>
      <c r="BL226" s="182"/>
      <c r="BM226" s="182"/>
      <c r="BN226" s="182"/>
      <c r="BO226" s="182"/>
      <c r="BP226" s="182"/>
      <c r="BQ226" s="182"/>
      <c r="BR226" s="182"/>
    </row>
    <row r="227" spans="4:70">
      <c r="D227" s="182"/>
      <c r="E227" s="182"/>
      <c r="F227" s="182"/>
      <c r="G227" s="182"/>
      <c r="H227" s="182"/>
      <c r="I227" s="182"/>
      <c r="J227" s="182"/>
      <c r="K227" s="182"/>
      <c r="L227" s="940"/>
      <c r="M227" s="182"/>
      <c r="N227" s="182"/>
      <c r="O227" s="541"/>
      <c r="P227" s="182"/>
      <c r="Q227" s="182"/>
      <c r="R227" s="182"/>
      <c r="S227" s="182"/>
      <c r="T227" s="182"/>
      <c r="U227" s="182"/>
      <c r="V227" s="182"/>
      <c r="W227" s="182"/>
      <c r="X227" s="1016"/>
      <c r="Y227" s="182"/>
      <c r="Z227" s="182"/>
      <c r="AA227" s="541"/>
      <c r="AB227" s="182"/>
      <c r="AC227" s="182"/>
      <c r="AD227" s="182"/>
      <c r="AE227" s="182"/>
      <c r="AF227" s="182"/>
      <c r="AG227" s="182"/>
      <c r="AH227" s="182"/>
      <c r="AI227" s="182"/>
      <c r="AJ227" s="182"/>
      <c r="AK227" s="182"/>
      <c r="AL227" s="182"/>
      <c r="AM227" s="182"/>
      <c r="AN227" s="182"/>
      <c r="AO227" s="182"/>
      <c r="AP227" s="182"/>
      <c r="AQ227" s="182"/>
      <c r="AR227" s="182"/>
      <c r="AS227" s="182"/>
      <c r="AT227" s="182"/>
      <c r="AU227" s="182"/>
      <c r="AV227" s="182"/>
      <c r="AW227" s="182"/>
      <c r="AX227" s="182"/>
      <c r="AY227" s="182"/>
      <c r="AZ227" s="182"/>
      <c r="BA227" s="182"/>
      <c r="BB227" s="182"/>
      <c r="BC227" s="182"/>
      <c r="BD227" s="182"/>
      <c r="BE227" s="182"/>
      <c r="BF227" s="182"/>
      <c r="BG227" s="182"/>
      <c r="BH227" s="182"/>
      <c r="BI227" s="182"/>
      <c r="BJ227" s="182"/>
      <c r="BK227" s="182"/>
      <c r="BL227" s="182"/>
      <c r="BM227" s="182"/>
      <c r="BN227" s="182"/>
      <c r="BO227" s="182"/>
      <c r="BP227" s="182"/>
      <c r="BQ227" s="182"/>
      <c r="BR227" s="182"/>
    </row>
    <row r="228" spans="4:70">
      <c r="D228" s="182"/>
      <c r="E228" s="182"/>
      <c r="F228" s="182"/>
      <c r="G228" s="182"/>
      <c r="H228" s="182"/>
      <c r="I228" s="182"/>
      <c r="J228" s="182"/>
      <c r="K228" s="182"/>
      <c r="L228" s="940"/>
      <c r="M228" s="182"/>
      <c r="N228" s="182"/>
      <c r="O228" s="541"/>
      <c r="P228" s="182"/>
      <c r="Q228" s="182"/>
      <c r="R228" s="182"/>
      <c r="S228" s="182"/>
      <c r="T228" s="182"/>
      <c r="U228" s="182"/>
      <c r="V228" s="182"/>
      <c r="W228" s="182"/>
      <c r="X228" s="1016"/>
      <c r="Y228" s="182"/>
      <c r="Z228" s="182"/>
      <c r="AA228" s="541"/>
      <c r="AB228" s="182"/>
      <c r="AC228" s="182"/>
      <c r="AD228" s="182"/>
      <c r="AE228" s="182"/>
      <c r="AF228" s="182"/>
      <c r="AG228" s="182"/>
      <c r="AH228" s="182"/>
      <c r="AI228" s="182"/>
      <c r="AJ228" s="182"/>
      <c r="AK228" s="182"/>
      <c r="AL228" s="182"/>
      <c r="AM228" s="182"/>
      <c r="AN228" s="182"/>
      <c r="AO228" s="182"/>
      <c r="AP228" s="182"/>
      <c r="AQ228" s="182"/>
      <c r="AR228" s="182"/>
      <c r="AS228" s="182"/>
      <c r="AT228" s="182"/>
      <c r="AU228" s="182"/>
      <c r="AV228" s="182"/>
      <c r="AW228" s="182"/>
      <c r="AX228" s="182"/>
      <c r="AY228" s="182"/>
      <c r="AZ228" s="182"/>
      <c r="BA228" s="182"/>
      <c r="BB228" s="182"/>
      <c r="BC228" s="182"/>
      <c r="BD228" s="182"/>
      <c r="BE228" s="182"/>
      <c r="BF228" s="182"/>
      <c r="BG228" s="182"/>
      <c r="BH228" s="182"/>
      <c r="BI228" s="182"/>
      <c r="BJ228" s="182"/>
      <c r="BK228" s="182"/>
      <c r="BL228" s="182"/>
      <c r="BM228" s="182"/>
      <c r="BN228" s="182"/>
      <c r="BO228" s="182"/>
      <c r="BP228" s="182"/>
      <c r="BQ228" s="182"/>
      <c r="BR228" s="182"/>
    </row>
    <row r="229" spans="4:70">
      <c r="D229" s="182"/>
      <c r="E229" s="182"/>
      <c r="F229" s="182"/>
      <c r="G229" s="182"/>
      <c r="H229" s="182"/>
      <c r="I229" s="182"/>
      <c r="J229" s="182"/>
      <c r="K229" s="182"/>
      <c r="L229" s="940"/>
      <c r="M229" s="182"/>
      <c r="N229" s="182"/>
      <c r="O229" s="541"/>
      <c r="P229" s="182"/>
      <c r="Q229" s="182"/>
      <c r="R229" s="182"/>
      <c r="S229" s="182"/>
      <c r="T229" s="182"/>
      <c r="U229" s="182"/>
      <c r="V229" s="182"/>
      <c r="W229" s="182"/>
      <c r="X229" s="1016"/>
      <c r="Y229" s="182"/>
      <c r="Z229" s="182"/>
      <c r="AA229" s="541"/>
      <c r="AB229" s="182"/>
      <c r="AC229" s="182"/>
      <c r="AD229" s="182"/>
      <c r="AE229" s="182"/>
      <c r="AF229" s="182"/>
      <c r="AG229" s="182"/>
      <c r="AH229" s="182"/>
      <c r="AI229" s="182"/>
      <c r="AJ229" s="182"/>
      <c r="AK229" s="182"/>
      <c r="AL229" s="182"/>
      <c r="AM229" s="182"/>
      <c r="AN229" s="182"/>
      <c r="AO229" s="182"/>
      <c r="AP229" s="182"/>
      <c r="AQ229" s="182"/>
      <c r="AR229" s="182"/>
      <c r="AS229" s="182"/>
      <c r="AT229" s="182"/>
      <c r="AU229" s="182"/>
      <c r="AV229" s="182"/>
      <c r="AW229" s="182"/>
      <c r="AX229" s="182"/>
      <c r="AY229" s="182"/>
      <c r="AZ229" s="182"/>
      <c r="BA229" s="182"/>
      <c r="BB229" s="182"/>
      <c r="BC229" s="182"/>
      <c r="BD229" s="182"/>
      <c r="BE229" s="182"/>
      <c r="BF229" s="182"/>
      <c r="BG229" s="182"/>
      <c r="BH229" s="182"/>
      <c r="BI229" s="182"/>
      <c r="BJ229" s="182"/>
      <c r="BK229" s="182"/>
      <c r="BL229" s="182"/>
      <c r="BM229" s="182"/>
      <c r="BN229" s="182"/>
      <c r="BO229" s="182"/>
      <c r="BP229" s="182"/>
      <c r="BQ229" s="182"/>
      <c r="BR229" s="182"/>
    </row>
    <row r="230" spans="4:70">
      <c r="D230" s="182"/>
      <c r="E230" s="182"/>
      <c r="F230" s="182"/>
      <c r="G230" s="182"/>
      <c r="H230" s="182"/>
      <c r="I230" s="182"/>
      <c r="J230" s="182"/>
      <c r="K230" s="182"/>
      <c r="L230" s="940"/>
      <c r="M230" s="182"/>
      <c r="N230" s="182"/>
      <c r="O230" s="541"/>
      <c r="P230" s="182"/>
      <c r="Q230" s="182"/>
      <c r="R230" s="182"/>
      <c r="S230" s="182"/>
      <c r="T230" s="182"/>
      <c r="U230" s="182"/>
      <c r="V230" s="182"/>
      <c r="W230" s="182"/>
      <c r="X230" s="1016"/>
      <c r="Y230" s="182"/>
      <c r="Z230" s="182"/>
      <c r="AA230" s="541"/>
      <c r="AB230" s="182"/>
      <c r="AC230" s="182"/>
      <c r="AD230" s="182"/>
      <c r="AE230" s="182"/>
      <c r="AF230" s="182"/>
      <c r="AG230" s="182"/>
      <c r="AH230" s="182"/>
      <c r="AI230" s="182"/>
      <c r="AJ230" s="182"/>
      <c r="AK230" s="182"/>
      <c r="AL230" s="182"/>
      <c r="AM230" s="182"/>
      <c r="AN230" s="182"/>
      <c r="AO230" s="182"/>
      <c r="AP230" s="182"/>
      <c r="AQ230" s="182"/>
      <c r="AR230" s="182"/>
      <c r="AS230" s="182"/>
      <c r="AT230" s="182"/>
      <c r="AU230" s="182"/>
      <c r="AV230" s="182"/>
      <c r="AW230" s="182"/>
      <c r="AX230" s="182"/>
      <c r="AY230" s="182"/>
      <c r="AZ230" s="182"/>
      <c r="BA230" s="182"/>
      <c r="BB230" s="182"/>
      <c r="BC230" s="182"/>
      <c r="BD230" s="182"/>
      <c r="BE230" s="182"/>
      <c r="BF230" s="182"/>
      <c r="BG230" s="182"/>
      <c r="BH230" s="182"/>
      <c r="BI230" s="182"/>
      <c r="BJ230" s="182"/>
      <c r="BK230" s="182"/>
      <c r="BL230" s="182"/>
      <c r="BM230" s="182"/>
      <c r="BN230" s="182"/>
      <c r="BO230" s="182"/>
      <c r="BP230" s="182"/>
      <c r="BQ230" s="182"/>
      <c r="BR230" s="182"/>
    </row>
    <row r="231" spans="4:70">
      <c r="D231" s="182"/>
      <c r="E231" s="182"/>
      <c r="F231" s="182"/>
      <c r="G231" s="182"/>
      <c r="H231" s="182"/>
      <c r="I231" s="182"/>
      <c r="J231" s="182"/>
      <c r="K231" s="182"/>
      <c r="L231" s="940"/>
      <c r="M231" s="182"/>
      <c r="N231" s="182"/>
      <c r="O231" s="541"/>
      <c r="P231" s="182"/>
      <c r="Q231" s="182"/>
      <c r="R231" s="182"/>
      <c r="S231" s="182"/>
      <c r="T231" s="182"/>
      <c r="U231" s="182"/>
      <c r="V231" s="182"/>
      <c r="W231" s="182"/>
      <c r="X231" s="1016"/>
      <c r="Y231" s="182"/>
      <c r="Z231" s="182"/>
      <c r="AA231" s="541"/>
      <c r="AB231" s="182"/>
      <c r="AC231" s="182"/>
      <c r="AD231" s="182"/>
      <c r="AE231" s="182"/>
      <c r="AF231" s="182"/>
      <c r="AG231" s="182"/>
      <c r="AH231" s="182"/>
      <c r="AI231" s="182"/>
      <c r="AJ231" s="182"/>
      <c r="AK231" s="182"/>
      <c r="AL231" s="182"/>
      <c r="AM231" s="182"/>
      <c r="AN231" s="182"/>
      <c r="AO231" s="182"/>
      <c r="AP231" s="182"/>
      <c r="AQ231" s="182"/>
      <c r="AR231" s="182"/>
      <c r="AS231" s="182"/>
      <c r="AT231" s="182"/>
      <c r="AU231" s="182"/>
      <c r="AV231" s="182"/>
      <c r="AW231" s="182"/>
      <c r="AX231" s="182"/>
      <c r="AY231" s="182"/>
      <c r="AZ231" s="182"/>
      <c r="BA231" s="182"/>
      <c r="BB231" s="182"/>
      <c r="BC231" s="182"/>
      <c r="BD231" s="182"/>
      <c r="BE231" s="182"/>
      <c r="BF231" s="182"/>
      <c r="BG231" s="182"/>
      <c r="BH231" s="182"/>
      <c r="BI231" s="182"/>
      <c r="BJ231" s="182"/>
      <c r="BK231" s="182"/>
      <c r="BL231" s="182"/>
      <c r="BM231" s="182"/>
      <c r="BN231" s="182"/>
      <c r="BO231" s="182"/>
      <c r="BP231" s="182"/>
      <c r="BQ231" s="182"/>
      <c r="BR231" s="182"/>
    </row>
    <row r="232" spans="4:70">
      <c r="D232" s="182"/>
      <c r="E232" s="182"/>
      <c r="F232" s="182"/>
      <c r="G232" s="182"/>
      <c r="H232" s="182"/>
      <c r="I232" s="182"/>
      <c r="J232" s="182"/>
      <c r="K232" s="182"/>
      <c r="L232" s="940"/>
      <c r="M232" s="182"/>
      <c r="N232" s="182"/>
      <c r="O232" s="541"/>
      <c r="P232" s="182"/>
      <c r="Q232" s="182"/>
      <c r="R232" s="182"/>
      <c r="S232" s="182"/>
      <c r="T232" s="182"/>
      <c r="U232" s="182"/>
      <c r="V232" s="182"/>
      <c r="W232" s="182"/>
      <c r="X232" s="1016"/>
      <c r="Y232" s="182"/>
      <c r="Z232" s="182"/>
      <c r="AA232" s="541"/>
      <c r="AB232" s="182"/>
      <c r="AC232" s="182"/>
      <c r="AD232" s="182"/>
      <c r="AE232" s="182"/>
      <c r="AF232" s="182"/>
      <c r="AG232" s="182"/>
      <c r="AH232" s="182"/>
      <c r="AI232" s="182"/>
      <c r="AJ232" s="182"/>
      <c r="AK232" s="182"/>
      <c r="AL232" s="182"/>
      <c r="AM232" s="182"/>
      <c r="AN232" s="182"/>
      <c r="AO232" s="182"/>
      <c r="AP232" s="182"/>
      <c r="AQ232" s="182"/>
      <c r="AR232" s="182"/>
      <c r="AS232" s="182"/>
      <c r="AT232" s="182"/>
      <c r="AU232" s="182"/>
      <c r="AV232" s="182"/>
      <c r="AW232" s="182"/>
      <c r="AX232" s="182"/>
      <c r="AY232" s="182"/>
      <c r="AZ232" s="182"/>
      <c r="BA232" s="182"/>
      <c r="BB232" s="182"/>
      <c r="BC232" s="182"/>
      <c r="BD232" s="182"/>
      <c r="BE232" s="182"/>
      <c r="BF232" s="182"/>
      <c r="BG232" s="182"/>
      <c r="BH232" s="182"/>
      <c r="BI232" s="182"/>
      <c r="BJ232" s="182"/>
      <c r="BK232" s="182"/>
      <c r="BL232" s="182"/>
      <c r="BM232" s="182"/>
      <c r="BN232" s="182"/>
      <c r="BO232" s="182"/>
      <c r="BP232" s="182"/>
      <c r="BQ232" s="182"/>
      <c r="BR232" s="182"/>
    </row>
    <row r="233" spans="4:70">
      <c r="D233" s="182"/>
      <c r="E233" s="182"/>
      <c r="F233" s="182"/>
      <c r="G233" s="182"/>
      <c r="H233" s="182"/>
      <c r="I233" s="182"/>
      <c r="J233" s="182"/>
      <c r="K233" s="182"/>
      <c r="L233" s="940"/>
      <c r="M233" s="182"/>
      <c r="N233" s="182"/>
      <c r="O233" s="541"/>
      <c r="P233" s="182"/>
      <c r="Q233" s="182"/>
      <c r="R233" s="182"/>
      <c r="S233" s="182"/>
      <c r="T233" s="182"/>
      <c r="U233" s="182"/>
      <c r="V233" s="182"/>
      <c r="W233" s="182"/>
      <c r="X233" s="1016"/>
      <c r="Y233" s="182"/>
      <c r="Z233" s="182"/>
      <c r="AA233" s="541"/>
      <c r="AB233" s="182"/>
      <c r="AC233" s="182"/>
      <c r="AD233" s="182"/>
      <c r="AE233" s="182"/>
      <c r="AF233" s="182"/>
      <c r="AG233" s="182"/>
      <c r="AH233" s="182"/>
      <c r="AI233" s="182"/>
      <c r="AJ233" s="182"/>
      <c r="AK233" s="182"/>
      <c r="AL233" s="182"/>
      <c r="AM233" s="182"/>
      <c r="AN233" s="182"/>
      <c r="AO233" s="182"/>
      <c r="AP233" s="182"/>
      <c r="AQ233" s="182"/>
      <c r="AR233" s="182"/>
      <c r="AS233" s="182"/>
      <c r="AT233" s="182"/>
      <c r="AU233" s="182"/>
      <c r="AV233" s="182"/>
      <c r="AW233" s="182"/>
      <c r="AX233" s="182"/>
      <c r="AY233" s="182"/>
      <c r="AZ233" s="182"/>
      <c r="BA233" s="182"/>
      <c r="BB233" s="182"/>
      <c r="BC233" s="182"/>
      <c r="BD233" s="182"/>
      <c r="BE233" s="182"/>
      <c r="BF233" s="182"/>
      <c r="BG233" s="182"/>
      <c r="BH233" s="182"/>
      <c r="BI233" s="182"/>
      <c r="BJ233" s="182"/>
      <c r="BK233" s="182"/>
      <c r="BL233" s="182"/>
      <c r="BM233" s="182"/>
      <c r="BN233" s="182"/>
      <c r="BO233" s="182"/>
      <c r="BP233" s="182"/>
      <c r="BQ233" s="182"/>
      <c r="BR233" s="182"/>
    </row>
    <row r="234" spans="4:70">
      <c r="D234" s="182"/>
      <c r="E234" s="182"/>
      <c r="F234" s="182"/>
      <c r="G234" s="182"/>
      <c r="H234" s="182"/>
      <c r="I234" s="182"/>
      <c r="J234" s="182"/>
      <c r="K234" s="182"/>
      <c r="L234" s="940"/>
      <c r="M234" s="182"/>
      <c r="N234" s="182"/>
      <c r="O234" s="541"/>
      <c r="P234" s="182"/>
      <c r="Q234" s="182"/>
      <c r="R234" s="182"/>
      <c r="S234" s="182"/>
      <c r="T234" s="182"/>
      <c r="U234" s="182"/>
      <c r="V234" s="182"/>
      <c r="W234" s="182"/>
      <c r="X234" s="1016"/>
      <c r="Y234" s="182"/>
      <c r="Z234" s="182"/>
      <c r="AA234" s="541"/>
      <c r="AB234" s="182"/>
      <c r="AC234" s="182"/>
      <c r="AD234" s="182"/>
      <c r="AE234" s="182"/>
      <c r="AF234" s="182"/>
      <c r="AG234" s="182"/>
      <c r="AH234" s="182"/>
      <c r="AI234" s="182"/>
      <c r="AJ234" s="182"/>
      <c r="AK234" s="182"/>
      <c r="AL234" s="182"/>
      <c r="AM234" s="182"/>
      <c r="AN234" s="182"/>
      <c r="AO234" s="182"/>
      <c r="AP234" s="182"/>
      <c r="AQ234" s="182"/>
      <c r="AR234" s="182"/>
      <c r="AS234" s="182"/>
      <c r="AT234" s="182"/>
      <c r="AU234" s="182"/>
      <c r="AV234" s="182"/>
      <c r="AW234" s="182"/>
      <c r="AX234" s="182"/>
      <c r="AY234" s="182"/>
      <c r="AZ234" s="182"/>
      <c r="BA234" s="182"/>
      <c r="BB234" s="182"/>
      <c r="BC234" s="182"/>
      <c r="BD234" s="182"/>
      <c r="BE234" s="182"/>
      <c r="BF234" s="182"/>
      <c r="BG234" s="182"/>
      <c r="BH234" s="182"/>
      <c r="BI234" s="182"/>
      <c r="BJ234" s="182"/>
      <c r="BK234" s="182"/>
      <c r="BL234" s="182"/>
      <c r="BM234" s="182"/>
      <c r="BN234" s="182"/>
      <c r="BO234" s="182"/>
      <c r="BP234" s="182"/>
      <c r="BQ234" s="182"/>
      <c r="BR234" s="182"/>
    </row>
    <row r="235" spans="4:70">
      <c r="D235" s="182"/>
      <c r="E235" s="182"/>
      <c r="F235" s="182"/>
      <c r="G235" s="182"/>
      <c r="H235" s="182"/>
      <c r="I235" s="182"/>
      <c r="J235" s="182"/>
      <c r="K235" s="182"/>
      <c r="L235" s="940"/>
      <c r="M235" s="182"/>
      <c r="N235" s="182"/>
      <c r="O235" s="541"/>
      <c r="P235" s="182"/>
      <c r="Q235" s="182"/>
      <c r="R235" s="182"/>
      <c r="S235" s="182"/>
      <c r="T235" s="182"/>
      <c r="U235" s="182"/>
      <c r="V235" s="182"/>
      <c r="W235" s="182"/>
      <c r="X235" s="1016"/>
      <c r="Y235" s="182"/>
      <c r="Z235" s="182"/>
      <c r="AA235" s="541"/>
      <c r="AB235" s="182"/>
      <c r="AC235" s="182"/>
      <c r="AD235" s="182"/>
      <c r="AE235" s="182"/>
      <c r="AF235" s="182"/>
      <c r="AG235" s="182"/>
      <c r="AH235" s="182"/>
      <c r="AI235" s="182"/>
      <c r="AJ235" s="182"/>
      <c r="AK235" s="182"/>
      <c r="AL235" s="182"/>
      <c r="AM235" s="182"/>
      <c r="AN235" s="182"/>
      <c r="AO235" s="182"/>
      <c r="AP235" s="182"/>
      <c r="AQ235" s="182"/>
      <c r="AR235" s="182"/>
      <c r="AS235" s="182"/>
      <c r="AT235" s="182"/>
      <c r="AU235" s="182"/>
      <c r="AV235" s="182"/>
      <c r="AW235" s="182"/>
      <c r="AX235" s="182"/>
      <c r="AY235" s="182"/>
      <c r="AZ235" s="182"/>
      <c r="BA235" s="182"/>
      <c r="BB235" s="182"/>
      <c r="BC235" s="182"/>
      <c r="BD235" s="182"/>
      <c r="BE235" s="182"/>
      <c r="BF235" s="182"/>
      <c r="BG235" s="182"/>
      <c r="BH235" s="182"/>
      <c r="BI235" s="182"/>
      <c r="BJ235" s="182"/>
      <c r="BK235" s="182"/>
      <c r="BL235" s="182"/>
      <c r="BM235" s="182"/>
      <c r="BN235" s="182"/>
      <c r="BO235" s="182"/>
      <c r="BP235" s="182"/>
      <c r="BQ235" s="182"/>
      <c r="BR235" s="182"/>
    </row>
    <row r="236" spans="4:70">
      <c r="D236" s="182"/>
      <c r="E236" s="182"/>
      <c r="F236" s="182"/>
      <c r="G236" s="182"/>
      <c r="H236" s="182"/>
      <c r="I236" s="182"/>
      <c r="J236" s="182"/>
      <c r="K236" s="182"/>
      <c r="L236" s="940"/>
      <c r="M236" s="182"/>
      <c r="N236" s="182"/>
      <c r="O236" s="541"/>
      <c r="P236" s="182"/>
      <c r="Q236" s="182"/>
      <c r="R236" s="182"/>
      <c r="S236" s="182"/>
      <c r="T236" s="182"/>
      <c r="U236" s="182"/>
      <c r="V236" s="182"/>
      <c r="W236" s="182"/>
      <c r="X236" s="1016"/>
      <c r="Y236" s="182"/>
      <c r="Z236" s="182"/>
      <c r="AA236" s="541"/>
      <c r="AB236" s="182"/>
      <c r="AC236" s="182"/>
      <c r="AD236" s="182"/>
      <c r="AE236" s="182"/>
      <c r="AF236" s="182"/>
      <c r="AG236" s="182"/>
      <c r="AH236" s="182"/>
      <c r="AI236" s="182"/>
      <c r="AJ236" s="182"/>
      <c r="AK236" s="182"/>
      <c r="AL236" s="182"/>
      <c r="AM236" s="182"/>
      <c r="AN236" s="182"/>
      <c r="AO236" s="182"/>
      <c r="AP236" s="182"/>
      <c r="AQ236" s="182"/>
      <c r="AR236" s="182"/>
      <c r="AS236" s="182"/>
      <c r="AT236" s="182"/>
      <c r="AU236" s="182"/>
      <c r="AV236" s="182"/>
      <c r="AW236" s="182"/>
      <c r="AX236" s="182"/>
      <c r="AY236" s="182"/>
      <c r="AZ236" s="182"/>
      <c r="BA236" s="182"/>
      <c r="BB236" s="182"/>
      <c r="BC236" s="182"/>
      <c r="BD236" s="182"/>
      <c r="BE236" s="182"/>
      <c r="BF236" s="182"/>
      <c r="BG236" s="182"/>
      <c r="BH236" s="182"/>
      <c r="BI236" s="182"/>
      <c r="BJ236" s="182"/>
      <c r="BK236" s="182"/>
      <c r="BL236" s="182"/>
      <c r="BM236" s="182"/>
      <c r="BN236" s="182"/>
      <c r="BO236" s="182"/>
      <c r="BP236" s="182"/>
      <c r="BQ236" s="182"/>
      <c r="BR236" s="182"/>
    </row>
    <row r="237" spans="4:70">
      <c r="D237" s="182"/>
      <c r="E237" s="182"/>
      <c r="F237" s="182"/>
      <c r="G237" s="182"/>
      <c r="H237" s="182"/>
      <c r="I237" s="182"/>
      <c r="J237" s="182"/>
      <c r="K237" s="182"/>
      <c r="L237" s="940"/>
      <c r="M237" s="182"/>
      <c r="N237" s="182"/>
      <c r="O237" s="541"/>
      <c r="P237" s="182"/>
      <c r="Q237" s="182"/>
      <c r="R237" s="182"/>
      <c r="S237" s="182"/>
      <c r="T237" s="182"/>
      <c r="U237" s="182"/>
      <c r="V237" s="182"/>
      <c r="W237" s="182"/>
      <c r="X237" s="1016"/>
      <c r="Y237" s="182"/>
      <c r="Z237" s="182"/>
      <c r="AA237" s="541"/>
      <c r="AB237" s="182"/>
      <c r="AC237" s="182"/>
      <c r="AD237" s="182"/>
      <c r="AE237" s="182"/>
      <c r="AF237" s="182"/>
      <c r="AG237" s="182"/>
      <c r="AH237" s="182"/>
      <c r="AI237" s="182"/>
      <c r="AJ237" s="182"/>
      <c r="AK237" s="182"/>
      <c r="AL237" s="182"/>
      <c r="AM237" s="182"/>
      <c r="AN237" s="182"/>
      <c r="AO237" s="182"/>
      <c r="AP237" s="182"/>
      <c r="AQ237" s="182"/>
      <c r="AR237" s="182"/>
      <c r="AS237" s="182"/>
      <c r="AT237" s="182"/>
      <c r="AU237" s="182"/>
      <c r="AV237" s="182"/>
      <c r="AW237" s="182"/>
      <c r="AX237" s="182"/>
      <c r="AY237" s="182"/>
      <c r="AZ237" s="182"/>
      <c r="BA237" s="182"/>
      <c r="BB237" s="182"/>
      <c r="BC237" s="182"/>
      <c r="BD237" s="182"/>
      <c r="BE237" s="182"/>
      <c r="BF237" s="182"/>
      <c r="BG237" s="182"/>
      <c r="BH237" s="182"/>
      <c r="BI237" s="182"/>
      <c r="BJ237" s="182"/>
      <c r="BK237" s="182"/>
      <c r="BL237" s="182"/>
      <c r="BM237" s="182"/>
      <c r="BN237" s="182"/>
      <c r="BO237" s="182"/>
      <c r="BP237" s="182"/>
      <c r="BQ237" s="182"/>
      <c r="BR237" s="182"/>
    </row>
    <row r="238" spans="4:70">
      <c r="D238" s="182"/>
      <c r="E238" s="182"/>
      <c r="F238" s="182"/>
      <c r="G238" s="182"/>
      <c r="H238" s="182"/>
      <c r="I238" s="182"/>
      <c r="J238" s="182"/>
      <c r="K238" s="182"/>
      <c r="L238" s="940"/>
      <c r="M238" s="182"/>
      <c r="N238" s="182"/>
      <c r="O238" s="541"/>
      <c r="P238" s="182"/>
      <c r="Q238" s="182"/>
      <c r="R238" s="182"/>
      <c r="S238" s="182"/>
      <c r="T238" s="182"/>
      <c r="U238" s="182"/>
      <c r="V238" s="182"/>
      <c r="W238" s="182"/>
      <c r="X238" s="1016"/>
      <c r="Y238" s="182"/>
      <c r="Z238" s="182"/>
      <c r="AA238" s="541"/>
      <c r="AB238" s="182"/>
      <c r="AC238" s="182"/>
      <c r="AD238" s="182"/>
      <c r="AE238" s="182"/>
      <c r="AF238" s="182"/>
      <c r="AG238" s="182"/>
      <c r="AH238" s="182"/>
      <c r="AI238" s="182"/>
      <c r="AJ238" s="182"/>
      <c r="AK238" s="182"/>
      <c r="AL238" s="182"/>
      <c r="AM238" s="182"/>
      <c r="AN238" s="182"/>
      <c r="AO238" s="182"/>
      <c r="AP238" s="182"/>
      <c r="AQ238" s="182"/>
      <c r="AR238" s="182"/>
      <c r="AS238" s="182"/>
      <c r="AT238" s="182"/>
      <c r="AU238" s="182"/>
      <c r="AV238" s="182"/>
      <c r="AW238" s="182"/>
      <c r="AX238" s="182"/>
      <c r="AY238" s="182"/>
      <c r="AZ238" s="182"/>
      <c r="BA238" s="182"/>
      <c r="BB238" s="182"/>
      <c r="BC238" s="182"/>
      <c r="BD238" s="182"/>
      <c r="BE238" s="182"/>
      <c r="BF238" s="182"/>
      <c r="BG238" s="182"/>
      <c r="BH238" s="182"/>
      <c r="BI238" s="182"/>
      <c r="BJ238" s="182"/>
      <c r="BK238" s="182"/>
      <c r="BL238" s="182"/>
      <c r="BM238" s="182"/>
      <c r="BN238" s="182"/>
      <c r="BO238" s="182"/>
      <c r="BP238" s="182"/>
      <c r="BQ238" s="182"/>
      <c r="BR238" s="182"/>
    </row>
    <row r="985" spans="1:1">
      <c r="A985" s="56">
        <v>30217</v>
      </c>
    </row>
  </sheetData>
  <sheetProtection formatCells="0" formatColumns="0" formatRows="0" insertColumns="0" insertRows="0" insertHyperlinks="0" deleteColumns="0" deleteRows="0" sort="0" autoFilter="0" pivotTables="0"/>
  <mergeCells count="41">
    <mergeCell ref="J48:M49"/>
    <mergeCell ref="L54:M54"/>
    <mergeCell ref="L55:M55"/>
    <mergeCell ref="L58:M58"/>
    <mergeCell ref="L59:M59"/>
    <mergeCell ref="F56:G56"/>
    <mergeCell ref="L72:M72"/>
    <mergeCell ref="L73:M73"/>
    <mergeCell ref="L56:M56"/>
    <mergeCell ref="L57:M57"/>
    <mergeCell ref="L60:M60"/>
    <mergeCell ref="L61:M61"/>
    <mergeCell ref="L51:M51"/>
    <mergeCell ref="L52:M52"/>
    <mergeCell ref="L53:M53"/>
    <mergeCell ref="F52:G52"/>
    <mergeCell ref="F53:G53"/>
    <mergeCell ref="L67:M67"/>
    <mergeCell ref="L68:M68"/>
    <mergeCell ref="L71:M71"/>
    <mergeCell ref="F59:G59"/>
    <mergeCell ref="F60:G60"/>
    <mergeCell ref="L62:M62"/>
    <mergeCell ref="L63:M63"/>
    <mergeCell ref="L66:M66"/>
    <mergeCell ref="F14:G14"/>
    <mergeCell ref="F73:G73"/>
    <mergeCell ref="F72:G72"/>
    <mergeCell ref="F66:G66"/>
    <mergeCell ref="F67:G67"/>
    <mergeCell ref="F68:G68"/>
    <mergeCell ref="F63:G63"/>
    <mergeCell ref="F58:G58"/>
    <mergeCell ref="F61:G61"/>
    <mergeCell ref="F71:G71"/>
    <mergeCell ref="F62:G62"/>
    <mergeCell ref="D48:G49"/>
    <mergeCell ref="F51:G51"/>
    <mergeCell ref="F54:G54"/>
    <mergeCell ref="F57:G57"/>
    <mergeCell ref="F55:G55"/>
  </mergeCells>
  <phoneticPr fontId="10" type="noConversion"/>
  <hyperlinks>
    <hyperlink ref="E28" r:id="rId1" display="https://www.zoopla.co.uk/to-rent/commercial/details/69760772/?search_identifier=0963b2b0a81c7d4a7feb39f0d39db8064a1e4578afe6435d7b931dda66502121" xr:uid="{DB9D390E-FFEB-C649-9673-66A368849E89}"/>
    <hyperlink ref="E27" r:id="rId2" display="https://www.zoopla.co.uk/to-rent/commercial/details/68445434/?search_identifier=b0b36fa928769822368a034fbdfff06b1ef150124af75fdf5001db25641dbaf5" xr:uid="{A73AD2F3-F9F4-624A-8270-D1888E28EE73}"/>
  </hyperlinks>
  <pageMargins left="0.75000000000000011" right="0.75000000000000011" top="1" bottom="1" header="0.5" footer="0.5"/>
  <pageSetup paperSize="9" orientation="portrait" horizontalDpi="4294967292" verticalDpi="4294967292"/>
  <colBreaks count="3" manualBreakCount="3">
    <brk id="15" max="1048575" man="1"/>
    <brk id="27" max="1048575" man="1"/>
    <brk id="39" max="1048575" man="1"/>
  </colBreaks>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4" tint="0.39997558519241921"/>
  </sheetPr>
  <dimension ref="A1:BR940"/>
  <sheetViews>
    <sheetView showGridLines="0" zoomScale="91" zoomScaleNormal="110" zoomScalePageLayoutView="120" workbookViewId="0">
      <selection activeCell="B3" sqref="B3"/>
    </sheetView>
  </sheetViews>
  <sheetFormatPr baseColWidth="10" defaultColWidth="10" defaultRowHeight="16" outlineLevelRow="1"/>
  <cols>
    <col min="1" max="1" width="10" style="49" customWidth="1"/>
    <col min="2" max="2" width="39.83203125" style="382" customWidth="1"/>
    <col min="3" max="3" width="7.5" style="49" customWidth="1"/>
    <col min="4" max="14" width="11.83203125" style="49" customWidth="1"/>
    <col min="15" max="15" width="11.83203125" style="381" customWidth="1"/>
    <col min="16" max="26" width="11.83203125" style="49" customWidth="1"/>
    <col min="27" max="27" width="11.83203125" style="381" customWidth="1"/>
    <col min="28" max="39" width="11.83203125" style="49" customWidth="1"/>
    <col min="40" max="16384" width="10" style="49"/>
  </cols>
  <sheetData>
    <row r="1" spans="2:39" s="48" customFormat="1" ht="20" customHeight="1">
      <c r="B1" s="378" t="str">
        <f>"v"&amp;'COPYRIGHT PROTECTION'!C15&amp;"     "&amp;'COPYRIGHT PROTECTION'!C6</f>
        <v xml:space="preserve">v2025.1     © Simon Hulme and Chris Drew, 2011-2025     IF PART OF AN ACADEMIC ASSIGNMENT, PLEASE DO NOT DELETE THIS SINGLE LINE.  DELETING IT MAY INVALIDATE YOUR SUBMISSION. </v>
      </c>
      <c r="O1" s="379"/>
      <c r="AA1" s="379"/>
    </row>
    <row r="2" spans="2:39" s="48" customFormat="1" ht="20" customHeight="1">
      <c r="B2" s="378"/>
      <c r="O2" s="379"/>
      <c r="AA2" s="379"/>
    </row>
    <row r="3" spans="2:39" ht="28">
      <c r="B3" s="380" t="s">
        <v>479</v>
      </c>
    </row>
    <row r="5" spans="2:39" s="390" customFormat="1">
      <c r="B5" s="382"/>
      <c r="O5" s="391"/>
      <c r="P5" s="358"/>
      <c r="AA5" s="391"/>
      <c r="AB5" s="358"/>
    </row>
    <row r="6" spans="2:39" s="466" customFormat="1">
      <c r="B6" s="385"/>
      <c r="C6" s="631"/>
      <c r="O6" s="632"/>
      <c r="AA6" s="632"/>
    </row>
    <row r="7" spans="2:39" s="58" customFormat="1" ht="24" thickBot="1">
      <c r="B7" s="179" t="s">
        <v>91</v>
      </c>
      <c r="C7" s="400" t="s">
        <v>7</v>
      </c>
      <c r="D7" s="401">
        <f>'Pricing Model'!C5</f>
        <v>45658</v>
      </c>
      <c r="E7" s="401">
        <f t="shared" ref="E7:AL7" si="0">DATE(YEAR(D7),MONTH(D7),DAY(EOMONTH(D7,0)))+1</f>
        <v>45689</v>
      </c>
      <c r="F7" s="401">
        <f t="shared" si="0"/>
        <v>45717</v>
      </c>
      <c r="G7" s="401">
        <f t="shared" si="0"/>
        <v>45748</v>
      </c>
      <c r="H7" s="401">
        <f t="shared" si="0"/>
        <v>45778</v>
      </c>
      <c r="I7" s="401">
        <f t="shared" si="0"/>
        <v>45809</v>
      </c>
      <c r="J7" s="401">
        <f t="shared" si="0"/>
        <v>45839</v>
      </c>
      <c r="K7" s="401">
        <f t="shared" si="0"/>
        <v>45870</v>
      </c>
      <c r="L7" s="401">
        <f t="shared" si="0"/>
        <v>45901</v>
      </c>
      <c r="M7" s="401">
        <f t="shared" si="0"/>
        <v>45931</v>
      </c>
      <c r="N7" s="401">
        <f t="shared" si="0"/>
        <v>45962</v>
      </c>
      <c r="O7" s="402">
        <f t="shared" si="0"/>
        <v>45992</v>
      </c>
      <c r="P7" s="401">
        <f t="shared" si="0"/>
        <v>46023</v>
      </c>
      <c r="Q7" s="401">
        <f t="shared" si="0"/>
        <v>46054</v>
      </c>
      <c r="R7" s="401">
        <f t="shared" si="0"/>
        <v>46082</v>
      </c>
      <c r="S7" s="401">
        <f t="shared" si="0"/>
        <v>46113</v>
      </c>
      <c r="T7" s="401">
        <f t="shared" si="0"/>
        <v>46143</v>
      </c>
      <c r="U7" s="401">
        <f t="shared" si="0"/>
        <v>46174</v>
      </c>
      <c r="V7" s="401">
        <f t="shared" si="0"/>
        <v>46204</v>
      </c>
      <c r="W7" s="401">
        <f t="shared" si="0"/>
        <v>46235</v>
      </c>
      <c r="X7" s="401">
        <f t="shared" si="0"/>
        <v>46266</v>
      </c>
      <c r="Y7" s="401">
        <f t="shared" si="0"/>
        <v>46296</v>
      </c>
      <c r="Z7" s="401">
        <f t="shared" si="0"/>
        <v>46327</v>
      </c>
      <c r="AA7" s="402">
        <f t="shared" si="0"/>
        <v>46357</v>
      </c>
      <c r="AB7" s="401">
        <f t="shared" si="0"/>
        <v>46388</v>
      </c>
      <c r="AC7" s="401">
        <f t="shared" si="0"/>
        <v>46419</v>
      </c>
      <c r="AD7" s="401">
        <f t="shared" si="0"/>
        <v>46447</v>
      </c>
      <c r="AE7" s="401">
        <f t="shared" si="0"/>
        <v>46478</v>
      </c>
      <c r="AF7" s="401">
        <f t="shared" si="0"/>
        <v>46508</v>
      </c>
      <c r="AG7" s="401">
        <f t="shared" si="0"/>
        <v>46539</v>
      </c>
      <c r="AH7" s="401">
        <f t="shared" si="0"/>
        <v>46569</v>
      </c>
      <c r="AI7" s="401">
        <f t="shared" si="0"/>
        <v>46600</v>
      </c>
      <c r="AJ7" s="401">
        <f t="shared" si="0"/>
        <v>46631</v>
      </c>
      <c r="AK7" s="401">
        <f t="shared" si="0"/>
        <v>46661</v>
      </c>
      <c r="AL7" s="401">
        <f t="shared" si="0"/>
        <v>46692</v>
      </c>
      <c r="AM7" s="401">
        <f>DATE(YEAR(AL7),MONTH(AL7),DAY(EOMONTH(AL7,0)))+1+2025.1-2025.1</f>
        <v>46722</v>
      </c>
    </row>
    <row r="8" spans="2:39" s="58" customFormat="1" hidden="1" outlineLevel="1">
      <c r="B8" s="212"/>
      <c r="C8" s="207"/>
      <c r="D8" s="633">
        <f>'Profit &amp; Loss'!D78</f>
        <v>1</v>
      </c>
      <c r="E8" s="633">
        <f>'Profit &amp; Loss'!E78</f>
        <v>2</v>
      </c>
      <c r="F8" s="633">
        <f>'Profit &amp; Loss'!F78</f>
        <v>3</v>
      </c>
      <c r="G8" s="633">
        <f>'Profit &amp; Loss'!G78</f>
        <v>4</v>
      </c>
      <c r="H8" s="633">
        <f>'Profit &amp; Loss'!H78</f>
        <v>5</v>
      </c>
      <c r="I8" s="633">
        <f>'Profit &amp; Loss'!I78</f>
        <v>6</v>
      </c>
      <c r="J8" s="633">
        <f>'Profit &amp; Loss'!J78</f>
        <v>7</v>
      </c>
      <c r="K8" s="633">
        <f>'Profit &amp; Loss'!K78</f>
        <v>8</v>
      </c>
      <c r="L8" s="633">
        <f>'Profit &amp; Loss'!L78</f>
        <v>9</v>
      </c>
      <c r="M8" s="633">
        <f>'Profit &amp; Loss'!M78</f>
        <v>10</v>
      </c>
      <c r="N8" s="633">
        <f>'Profit &amp; Loss'!N78</f>
        <v>11</v>
      </c>
      <c r="O8" s="634">
        <f>'Profit &amp; Loss'!O78</f>
        <v>12</v>
      </c>
      <c r="P8" s="635">
        <f>'Profit &amp; Loss'!P78</f>
        <v>13</v>
      </c>
      <c r="Q8" s="633">
        <f>'Profit &amp; Loss'!Q78</f>
        <v>14</v>
      </c>
      <c r="R8" s="633">
        <f>'Profit &amp; Loss'!R78</f>
        <v>15</v>
      </c>
      <c r="S8" s="633">
        <f>'Profit &amp; Loss'!S78</f>
        <v>16</v>
      </c>
      <c r="T8" s="633">
        <f>'Profit &amp; Loss'!T78</f>
        <v>17</v>
      </c>
      <c r="U8" s="633">
        <f>'Profit &amp; Loss'!U78</f>
        <v>18</v>
      </c>
      <c r="V8" s="633">
        <f>'Profit &amp; Loss'!V78</f>
        <v>19</v>
      </c>
      <c r="W8" s="633">
        <f>'Profit &amp; Loss'!W78</f>
        <v>20</v>
      </c>
      <c r="X8" s="633">
        <f>'Profit &amp; Loss'!X78</f>
        <v>21</v>
      </c>
      <c r="Y8" s="633">
        <f>'Profit &amp; Loss'!Y78</f>
        <v>22</v>
      </c>
      <c r="Z8" s="633">
        <f>'Profit &amp; Loss'!Z78</f>
        <v>23</v>
      </c>
      <c r="AA8" s="634">
        <f>'Profit &amp; Loss'!AA78</f>
        <v>24</v>
      </c>
      <c r="AB8" s="635">
        <f>'Profit &amp; Loss'!AB78</f>
        <v>25</v>
      </c>
      <c r="AC8" s="633">
        <f>'Profit &amp; Loss'!AC78</f>
        <v>26</v>
      </c>
      <c r="AD8" s="633">
        <f>'Profit &amp; Loss'!AD78</f>
        <v>27</v>
      </c>
      <c r="AE8" s="633">
        <f>'Profit &amp; Loss'!AE78</f>
        <v>28</v>
      </c>
      <c r="AF8" s="633">
        <f>'Profit &amp; Loss'!AF78</f>
        <v>29</v>
      </c>
      <c r="AG8" s="633">
        <f>'Profit &amp; Loss'!AG78</f>
        <v>30</v>
      </c>
      <c r="AH8" s="633">
        <f>'Profit &amp; Loss'!AH78</f>
        <v>31</v>
      </c>
      <c r="AI8" s="633">
        <f>'Profit &amp; Loss'!AI78</f>
        <v>32</v>
      </c>
      <c r="AJ8" s="633">
        <f>'Profit &amp; Loss'!AJ78</f>
        <v>33</v>
      </c>
      <c r="AK8" s="633">
        <f>'Profit &amp; Loss'!AK78</f>
        <v>34</v>
      </c>
      <c r="AL8" s="633">
        <f>'Profit &amp; Loss'!AL78</f>
        <v>35</v>
      </c>
      <c r="AM8" s="633">
        <f>'Profit &amp; Loss'!AM78</f>
        <v>36</v>
      </c>
    </row>
    <row r="9" spans="2:39" s="58" customFormat="1" collapsed="1">
      <c r="B9" s="212"/>
      <c r="C9" s="207"/>
      <c r="D9" s="455"/>
      <c r="E9" s="455"/>
      <c r="F9" s="455"/>
      <c r="G9" s="455"/>
      <c r="H9" s="455"/>
      <c r="I9" s="455"/>
      <c r="J9" s="455"/>
      <c r="K9" s="455"/>
      <c r="L9" s="455"/>
      <c r="M9" s="455"/>
      <c r="N9" s="455"/>
      <c r="O9" s="456"/>
      <c r="P9" s="455"/>
      <c r="Q9" s="455"/>
      <c r="R9" s="455"/>
      <c r="S9" s="455"/>
      <c r="T9" s="455"/>
      <c r="U9" s="455"/>
      <c r="V9" s="455"/>
      <c r="W9" s="455"/>
      <c r="X9" s="455"/>
      <c r="Y9" s="455"/>
      <c r="Z9" s="455"/>
      <c r="AA9" s="456"/>
      <c r="AB9" s="455"/>
      <c r="AC9" s="455"/>
      <c r="AD9" s="455"/>
      <c r="AE9" s="455"/>
      <c r="AF9" s="455"/>
      <c r="AG9" s="455"/>
      <c r="AH9" s="455"/>
      <c r="AI9" s="455"/>
      <c r="AJ9" s="455"/>
      <c r="AK9" s="455"/>
      <c r="AL9" s="455"/>
      <c r="AM9" s="455"/>
    </row>
    <row r="10" spans="2:39" s="409" customFormat="1" ht="18">
      <c r="B10" s="636" t="s">
        <v>29</v>
      </c>
      <c r="D10" s="433"/>
      <c r="E10" s="410"/>
      <c r="F10" s="410"/>
      <c r="G10" s="410"/>
      <c r="H10" s="410"/>
      <c r="I10" s="410"/>
      <c r="J10" s="410"/>
      <c r="K10" s="410"/>
      <c r="L10" s="410"/>
      <c r="M10" s="410"/>
      <c r="N10" s="410"/>
      <c r="O10" s="411"/>
      <c r="P10" s="433"/>
      <c r="Q10" s="410"/>
      <c r="R10" s="410"/>
      <c r="S10" s="410"/>
      <c r="T10" s="410"/>
      <c r="U10" s="410"/>
      <c r="V10" s="410"/>
      <c r="W10" s="410"/>
      <c r="X10" s="410"/>
      <c r="Y10" s="410"/>
      <c r="Z10" s="410"/>
      <c r="AA10" s="411"/>
      <c r="AB10" s="433"/>
      <c r="AC10" s="410"/>
      <c r="AD10" s="410"/>
      <c r="AE10" s="410"/>
      <c r="AF10" s="410"/>
      <c r="AG10" s="410"/>
      <c r="AH10" s="410"/>
      <c r="AI10" s="410"/>
      <c r="AJ10" s="410"/>
      <c r="AK10" s="410"/>
      <c r="AL10" s="410"/>
      <c r="AM10" s="410"/>
    </row>
    <row r="11" spans="2:39" s="409" customFormat="1" ht="12" customHeight="1">
      <c r="B11" s="385"/>
      <c r="D11" s="433"/>
      <c r="E11" s="410"/>
      <c r="F11" s="410"/>
      <c r="G11" s="410"/>
      <c r="H11" s="410"/>
      <c r="I11" s="410"/>
      <c r="J11" s="410"/>
      <c r="K11" s="410"/>
      <c r="L11" s="410"/>
      <c r="M11" s="410"/>
      <c r="N11" s="410"/>
      <c r="O11" s="411"/>
      <c r="P11" s="433"/>
      <c r="Q11" s="410"/>
      <c r="R11" s="410"/>
      <c r="S11" s="410"/>
      <c r="T11" s="410"/>
      <c r="U11" s="410"/>
      <c r="V11" s="410"/>
      <c r="W11" s="410"/>
      <c r="X11" s="410"/>
      <c r="Y11" s="410"/>
      <c r="Z11" s="410"/>
      <c r="AA11" s="411"/>
      <c r="AB11" s="433"/>
      <c r="AC11" s="410"/>
      <c r="AD11" s="410"/>
      <c r="AE11" s="410"/>
      <c r="AF11" s="410"/>
      <c r="AG11" s="410"/>
      <c r="AH11" s="410"/>
      <c r="AI11" s="410"/>
      <c r="AJ11" s="410"/>
      <c r="AK11" s="410"/>
      <c r="AL11" s="410"/>
      <c r="AM11" s="410"/>
    </row>
    <row r="12" spans="2:39" s="409" customFormat="1">
      <c r="B12" s="460" t="s">
        <v>92</v>
      </c>
      <c r="C12" s="637"/>
      <c r="D12" s="638"/>
      <c r="E12" s="638"/>
      <c r="F12" s="638"/>
      <c r="G12" s="638"/>
      <c r="H12" s="638"/>
      <c r="I12" s="638"/>
      <c r="J12" s="638"/>
      <c r="K12" s="638"/>
      <c r="L12" s="638"/>
      <c r="M12" s="638"/>
      <c r="N12" s="638"/>
      <c r="O12" s="639"/>
      <c r="P12" s="638"/>
      <c r="Q12" s="638"/>
      <c r="R12" s="638"/>
      <c r="S12" s="638"/>
      <c r="T12" s="638"/>
      <c r="U12" s="638"/>
      <c r="V12" s="638"/>
      <c r="W12" s="638"/>
      <c r="X12" s="638"/>
      <c r="Y12" s="638"/>
      <c r="Z12" s="638"/>
      <c r="AA12" s="639"/>
      <c r="AB12" s="638"/>
      <c r="AC12" s="638"/>
      <c r="AD12" s="638"/>
      <c r="AE12" s="638"/>
      <c r="AF12" s="638"/>
      <c r="AG12" s="638"/>
      <c r="AH12" s="638"/>
      <c r="AI12" s="638"/>
      <c r="AJ12" s="638"/>
      <c r="AK12" s="638"/>
      <c r="AL12" s="638"/>
      <c r="AM12" s="638"/>
    </row>
    <row r="13" spans="2:39">
      <c r="B13" s="640" t="s">
        <v>93</v>
      </c>
      <c r="D13" s="641">
        <f>D74</f>
        <v>0</v>
      </c>
      <c r="E13" s="641">
        <f t="shared" ref="E13:AM13" si="1">E74</f>
        <v>23997.14</v>
      </c>
      <c r="F13" s="641">
        <f t="shared" si="1"/>
        <v>25816.7968</v>
      </c>
      <c r="G13" s="641">
        <f t="shared" si="1"/>
        <v>28200.318000000003</v>
      </c>
      <c r="H13" s="641">
        <f t="shared" si="1"/>
        <v>29940.089200000002</v>
      </c>
      <c r="I13" s="641">
        <f t="shared" si="1"/>
        <v>31901.110399999998</v>
      </c>
      <c r="J13" s="641">
        <f t="shared" si="1"/>
        <v>34080.652800000003</v>
      </c>
      <c r="K13" s="641">
        <f t="shared" si="1"/>
        <v>36288.038399999998</v>
      </c>
      <c r="L13" s="641">
        <f t="shared" si="1"/>
        <v>37442.695200000002</v>
      </c>
      <c r="M13" s="641">
        <f t="shared" si="1"/>
        <v>39826.445199999995</v>
      </c>
      <c r="N13" s="641">
        <f t="shared" si="1"/>
        <v>42023.101999999999</v>
      </c>
      <c r="O13" s="642">
        <f t="shared" si="1"/>
        <v>44571.4876</v>
      </c>
      <c r="P13" s="641">
        <f t="shared" si="1"/>
        <v>46409.873200000002</v>
      </c>
      <c r="Q13" s="641">
        <f t="shared" si="1"/>
        <v>50607.470176000003</v>
      </c>
      <c r="R13" s="641">
        <f t="shared" si="1"/>
        <v>53656.294271999999</v>
      </c>
      <c r="S13" s="641">
        <f t="shared" si="1"/>
        <v>60798.361440000008</v>
      </c>
      <c r="T13" s="641">
        <f t="shared" si="1"/>
        <v>65422.761440000009</v>
      </c>
      <c r="U13" s="641">
        <f t="shared" si="1"/>
        <v>66979.766559999989</v>
      </c>
      <c r="V13" s="641">
        <f t="shared" si="1"/>
        <v>69833.428607999987</v>
      </c>
      <c r="W13" s="641">
        <f t="shared" si="1"/>
        <v>72857.212192000006</v>
      </c>
      <c r="X13" s="641">
        <f t="shared" si="1"/>
        <v>75445.955264000004</v>
      </c>
      <c r="Y13" s="641">
        <f t="shared" si="1"/>
        <v>95421.545656888906</v>
      </c>
      <c r="Z13" s="641">
        <f t="shared" si="1"/>
        <v>96802.318816000014</v>
      </c>
      <c r="AA13" s="642">
        <f t="shared" si="1"/>
        <v>100639.94035200001</v>
      </c>
      <c r="AB13" s="641">
        <f t="shared" si="1"/>
        <v>104058.1024</v>
      </c>
      <c r="AC13" s="641">
        <f t="shared" si="1"/>
        <v>111262.58068704</v>
      </c>
      <c r="AD13" s="641">
        <f t="shared" si="1"/>
        <v>114132.36863832</v>
      </c>
      <c r="AE13" s="641">
        <f t="shared" si="1"/>
        <v>117425.25257335999</v>
      </c>
      <c r="AF13" s="641">
        <f t="shared" si="1"/>
        <v>121847.54052464</v>
      </c>
      <c r="AG13" s="641">
        <f t="shared" si="1"/>
        <v>125519.92445968</v>
      </c>
      <c r="AH13" s="641">
        <f t="shared" si="1"/>
        <v>128886.71241095998</v>
      </c>
      <c r="AI13" s="641">
        <f t="shared" si="1"/>
        <v>132116.09634600001</v>
      </c>
      <c r="AJ13" s="641">
        <f t="shared" si="1"/>
        <v>134961.38429727999</v>
      </c>
      <c r="AK13" s="641">
        <f t="shared" si="1"/>
        <v>137838.26823232</v>
      </c>
      <c r="AL13" s="641">
        <f t="shared" si="1"/>
        <v>139686.05618359998</v>
      </c>
      <c r="AM13" s="641">
        <f t="shared" si="1"/>
        <v>143969.94011864002</v>
      </c>
    </row>
    <row r="14" spans="2:39" ht="12" customHeight="1">
      <c r="B14" s="457"/>
      <c r="D14" s="641"/>
      <c r="E14" s="641"/>
      <c r="F14" s="641"/>
      <c r="G14" s="641"/>
      <c r="H14" s="641"/>
      <c r="I14" s="641"/>
      <c r="J14" s="641"/>
      <c r="K14" s="641"/>
      <c r="L14" s="641"/>
      <c r="M14" s="641"/>
      <c r="N14" s="641"/>
      <c r="O14" s="642"/>
      <c r="P14" s="641"/>
      <c r="Q14" s="641"/>
      <c r="R14" s="641"/>
      <c r="S14" s="641"/>
      <c r="T14" s="641"/>
      <c r="U14" s="641"/>
      <c r="V14" s="641"/>
      <c r="W14" s="641"/>
      <c r="X14" s="641"/>
      <c r="Y14" s="641"/>
      <c r="Z14" s="641"/>
      <c r="AA14" s="642"/>
      <c r="AB14" s="641"/>
      <c r="AC14" s="641"/>
      <c r="AD14" s="641"/>
      <c r="AE14" s="641"/>
      <c r="AF14" s="641"/>
      <c r="AG14" s="641"/>
      <c r="AH14" s="641"/>
      <c r="AI14" s="641"/>
      <c r="AJ14" s="641"/>
      <c r="AK14" s="641"/>
      <c r="AL14" s="641"/>
      <c r="AM14" s="641"/>
    </row>
    <row r="15" spans="2:39" s="409" customFormat="1">
      <c r="B15" s="460" t="s">
        <v>94</v>
      </c>
      <c r="C15" s="637"/>
      <c r="D15" s="638"/>
      <c r="E15" s="638"/>
      <c r="F15" s="638"/>
      <c r="G15" s="638"/>
      <c r="H15" s="638"/>
      <c r="I15" s="638"/>
      <c r="J15" s="638"/>
      <c r="K15" s="638"/>
      <c r="L15" s="638"/>
      <c r="M15" s="638"/>
      <c r="N15" s="638"/>
      <c r="O15" s="639"/>
      <c r="P15" s="638"/>
      <c r="Q15" s="638"/>
      <c r="R15" s="638"/>
      <c r="S15" s="638"/>
      <c r="T15" s="638"/>
      <c r="U15" s="638"/>
      <c r="V15" s="638"/>
      <c r="W15" s="638"/>
      <c r="X15" s="638"/>
      <c r="Y15" s="638"/>
      <c r="Z15" s="638"/>
      <c r="AA15" s="639"/>
      <c r="AB15" s="638"/>
      <c r="AC15" s="638"/>
      <c r="AD15" s="638"/>
      <c r="AE15" s="638"/>
      <c r="AF15" s="638"/>
      <c r="AG15" s="638"/>
      <c r="AH15" s="638"/>
      <c r="AI15" s="638"/>
      <c r="AJ15" s="638"/>
      <c r="AK15" s="638"/>
      <c r="AL15" s="638"/>
      <c r="AM15" s="638"/>
    </row>
    <row r="16" spans="2:39" s="409" customFormat="1">
      <c r="B16" s="640" t="s">
        <v>95</v>
      </c>
      <c r="D16" s="422">
        <f>-D83</f>
        <v>0</v>
      </c>
      <c r="E16" s="422">
        <f t="shared" ref="E16:AM16" si="2">-E83</f>
        <v>-63110.223401085706</v>
      </c>
      <c r="F16" s="422">
        <f t="shared" si="2"/>
        <v>-3327.5220169874256</v>
      </c>
      <c r="G16" s="422">
        <f t="shared" si="2"/>
        <v>-3645.8878855885732</v>
      </c>
      <c r="H16" s="422">
        <f t="shared" si="2"/>
        <v>-3879.4506681897183</v>
      </c>
      <c r="I16" s="422">
        <f t="shared" si="2"/>
        <v>-4135.4573687908587</v>
      </c>
      <c r="J16" s="422">
        <f t="shared" si="2"/>
        <v>-4407.0981865645736</v>
      </c>
      <c r="K16" s="422">
        <f t="shared" si="2"/>
        <v>-4709.9946678651449</v>
      </c>
      <c r="L16" s="422">
        <f t="shared" si="2"/>
        <v>-4840.6515717668608</v>
      </c>
      <c r="M16" s="422">
        <f t="shared" si="2"/>
        <v>-5402.6753137668511</v>
      </c>
      <c r="N16" s="422">
        <f t="shared" si="2"/>
        <v>-5685.2327165257129</v>
      </c>
      <c r="O16" s="423">
        <f t="shared" si="2"/>
        <v>-6066.7111269691377</v>
      </c>
      <c r="P16" s="421">
        <f t="shared" si="2"/>
        <v>-6328.7501248411427</v>
      </c>
      <c r="Q16" s="422">
        <f t="shared" si="2"/>
        <v>-18972.008449769091</v>
      </c>
      <c r="R16" s="422">
        <f t="shared" si="2"/>
        <v>-7390.1128891265662</v>
      </c>
      <c r="S16" s="422">
        <f t="shared" si="2"/>
        <v>-8422.8550820193013</v>
      </c>
      <c r="T16" s="422">
        <f t="shared" si="2"/>
        <v>-9082.6902523964345</v>
      </c>
      <c r="U16" s="422">
        <f t="shared" si="2"/>
        <v>-8940.5430572104087</v>
      </c>
      <c r="V16" s="422">
        <f t="shared" si="2"/>
        <v>-9353.8835630948706</v>
      </c>
      <c r="W16" s="422">
        <f t="shared" si="2"/>
        <v>-9791.6379317583778</v>
      </c>
      <c r="X16" s="422">
        <f t="shared" si="2"/>
        <v>-10125.753261087904</v>
      </c>
      <c r="Y16" s="422">
        <f t="shared" si="2"/>
        <v>-14652.243145449926</v>
      </c>
      <c r="Z16" s="422">
        <f t="shared" si="2"/>
        <v>-13412.484543113405</v>
      </c>
      <c r="AA16" s="423">
        <f t="shared" si="2"/>
        <v>-13928.632222692459</v>
      </c>
      <c r="AB16" s="421">
        <f t="shared" si="2"/>
        <v>-14386.941600005486</v>
      </c>
      <c r="AC16" s="422">
        <f t="shared" si="2"/>
        <v>-27623.25330768224</v>
      </c>
      <c r="AD16" s="422">
        <f t="shared" si="2"/>
        <v>-16076.568914480444</v>
      </c>
      <c r="AE16" s="422">
        <f t="shared" si="2"/>
        <v>-16569.247995980368</v>
      </c>
      <c r="AF16" s="422">
        <f t="shared" si="2"/>
        <v>-17188.860214193635</v>
      </c>
      <c r="AG16" s="422">
        <f t="shared" si="2"/>
        <v>-17701.812154966698</v>
      </c>
      <c r="AH16" s="422">
        <f t="shared" si="2"/>
        <v>-18198.292795317091</v>
      </c>
      <c r="AI16" s="422">
        <f t="shared" si="2"/>
        <v>-18656.576053658762</v>
      </c>
      <c r="AJ16" s="422">
        <f t="shared" si="2"/>
        <v>-19080.195885785739</v>
      </c>
      <c r="AK16" s="422">
        <f t="shared" si="2"/>
        <v>-19483.186600057088</v>
      </c>
      <c r="AL16" s="422">
        <f t="shared" si="2"/>
        <v>-19765.42668925094</v>
      </c>
      <c r="AM16" s="422">
        <f t="shared" si="2"/>
        <v>-20293.956849470862</v>
      </c>
    </row>
    <row r="17" spans="2:39" s="390" customFormat="1">
      <c r="B17" s="640" t="s">
        <v>96</v>
      </c>
      <c r="D17" s="422">
        <f>'Profit &amp; Loss'!D88</f>
        <v>-18726.666666666668</v>
      </c>
      <c r="E17" s="422">
        <f>'Profit &amp; Loss'!E88</f>
        <v>-18726.666666666668</v>
      </c>
      <c r="F17" s="422">
        <f>'Profit &amp; Loss'!F88</f>
        <v>-18726.666666666668</v>
      </c>
      <c r="G17" s="422">
        <f>'Profit &amp; Loss'!G88</f>
        <v>-18726.666666666668</v>
      </c>
      <c r="H17" s="422">
        <f>'Profit &amp; Loss'!H88</f>
        <v>-18726.666666666668</v>
      </c>
      <c r="I17" s="422">
        <f>'Profit &amp; Loss'!I88</f>
        <v>-18726.666666666668</v>
      </c>
      <c r="J17" s="422">
        <f>'Profit &amp; Loss'!J88</f>
        <v>-18726.666666666668</v>
      </c>
      <c r="K17" s="422">
        <f>'Profit &amp; Loss'!K88</f>
        <v>-18726.666666666668</v>
      </c>
      <c r="L17" s="422">
        <f>'Profit &amp; Loss'!L88</f>
        <v>-18726.666666666668</v>
      </c>
      <c r="M17" s="422">
        <f>'Profit &amp; Loss'!M88</f>
        <v>-18726.666666666668</v>
      </c>
      <c r="N17" s="422">
        <f>'Profit &amp; Loss'!N88</f>
        <v>-18726.666666666668</v>
      </c>
      <c r="O17" s="423">
        <f>'Profit &amp; Loss'!O88</f>
        <v>-18726.666666666668</v>
      </c>
      <c r="P17" s="421">
        <f>'Profit &amp; Loss'!P88</f>
        <v>-26602.333333333332</v>
      </c>
      <c r="Q17" s="422">
        <f>'Profit &amp; Loss'!Q88</f>
        <v>-26602.333333333332</v>
      </c>
      <c r="R17" s="422">
        <f>'Profit &amp; Loss'!R88</f>
        <v>-26602.333333333332</v>
      </c>
      <c r="S17" s="422">
        <f>'Profit &amp; Loss'!S88</f>
        <v>-26602.333333333332</v>
      </c>
      <c r="T17" s="422">
        <f>'Profit &amp; Loss'!T88</f>
        <v>-26602.333333333332</v>
      </c>
      <c r="U17" s="422">
        <f>'Profit &amp; Loss'!U88</f>
        <v>-26602.333333333332</v>
      </c>
      <c r="V17" s="422">
        <f>'Profit &amp; Loss'!V88</f>
        <v>-26602.333333333332</v>
      </c>
      <c r="W17" s="422">
        <f>'Profit &amp; Loss'!W88</f>
        <v>-26602.333333333332</v>
      </c>
      <c r="X17" s="422">
        <f>'Profit &amp; Loss'!X88</f>
        <v>-44951.4</v>
      </c>
      <c r="Y17" s="422">
        <f>'Profit &amp; Loss'!Y88</f>
        <v>-44951.4</v>
      </c>
      <c r="Z17" s="422">
        <f>'Profit &amp; Loss'!Z88</f>
        <v>-44951.4</v>
      </c>
      <c r="AA17" s="423">
        <f>'Profit &amp; Loss'!AA88</f>
        <v>-44951.4</v>
      </c>
      <c r="AB17" s="421">
        <f>'Profit &amp; Loss'!AB88</f>
        <v>-54393.410499999998</v>
      </c>
      <c r="AC17" s="422">
        <f>'Profit &amp; Loss'!AC88</f>
        <v>-54393.410499999998</v>
      </c>
      <c r="AD17" s="422">
        <f>'Profit &amp; Loss'!AD88</f>
        <v>-54393.410499999998</v>
      </c>
      <c r="AE17" s="422">
        <f>'Profit &amp; Loss'!AE88</f>
        <v>-54393.410499999998</v>
      </c>
      <c r="AF17" s="422">
        <f>'Profit &amp; Loss'!AF88</f>
        <v>-54393.410499999998</v>
      </c>
      <c r="AG17" s="422">
        <f>'Profit &amp; Loss'!AG88</f>
        <v>-54393.410499999998</v>
      </c>
      <c r="AH17" s="422">
        <f>'Profit &amp; Loss'!AH88</f>
        <v>-54393.410499999998</v>
      </c>
      <c r="AI17" s="422">
        <f>'Profit &amp; Loss'!AI88</f>
        <v>-54393.410499999998</v>
      </c>
      <c r="AJ17" s="422">
        <f>'Profit &amp; Loss'!AJ88</f>
        <v>-54393.410499999998</v>
      </c>
      <c r="AK17" s="422">
        <f>'Profit &amp; Loss'!AK88</f>
        <v>-54393.410499999998</v>
      </c>
      <c r="AL17" s="422">
        <f>'Profit &amp; Loss'!AL88</f>
        <v>-54393.410499999998</v>
      </c>
      <c r="AM17" s="422">
        <f>'Profit &amp; Loss'!AM88</f>
        <v>-54393.410499999998</v>
      </c>
    </row>
    <row r="18" spans="2:39" s="390" customFormat="1">
      <c r="B18" s="640" t="s">
        <v>97</v>
      </c>
      <c r="D18" s="422">
        <f t="shared" ref="D18:AM18" si="3">-D100</f>
        <v>-16683.973125000004</v>
      </c>
      <c r="E18" s="422">
        <f t="shared" si="3"/>
        <v>-3740.8374000000022</v>
      </c>
      <c r="F18" s="422">
        <f t="shared" si="3"/>
        <v>-7540.3224374999972</v>
      </c>
      <c r="G18" s="422">
        <f t="shared" si="3"/>
        <v>-16069.690287500001</v>
      </c>
      <c r="H18" s="422">
        <f t="shared" si="3"/>
        <v>-3130.972200000002</v>
      </c>
      <c r="I18" s="422">
        <f t="shared" si="3"/>
        <v>-7424.0828999999994</v>
      </c>
      <c r="J18" s="422">
        <f t="shared" si="3"/>
        <v>-16368.063699999999</v>
      </c>
      <c r="K18" s="422">
        <f t="shared" si="3"/>
        <v>-3344.1467249999969</v>
      </c>
      <c r="L18" s="422">
        <f t="shared" si="3"/>
        <v>-7543.6389124999969</v>
      </c>
      <c r="M18" s="422">
        <f t="shared" si="3"/>
        <v>-16487.284437499999</v>
      </c>
      <c r="N18" s="422">
        <f t="shared" si="3"/>
        <v>-3566.9214875000016</v>
      </c>
      <c r="O18" s="423">
        <f t="shared" si="3"/>
        <v>-7749.3710374999991</v>
      </c>
      <c r="P18" s="421">
        <f t="shared" si="3"/>
        <v>-22713.650109666669</v>
      </c>
      <c r="Q18" s="422">
        <f t="shared" si="3"/>
        <v>-4705.5925293333357</v>
      </c>
      <c r="R18" s="422">
        <f t="shared" si="3"/>
        <v>-10648.782128333334</v>
      </c>
      <c r="S18" s="422">
        <f t="shared" si="3"/>
        <v>-23176.627961666672</v>
      </c>
      <c r="T18" s="422">
        <f t="shared" si="3"/>
        <v>-5161.9510383333336</v>
      </c>
      <c r="U18" s="422">
        <f t="shared" si="3"/>
        <v>-10971.127977333332</v>
      </c>
      <c r="V18" s="422">
        <f t="shared" si="3"/>
        <v>-23908.954547666668</v>
      </c>
      <c r="W18" s="422">
        <f t="shared" si="3"/>
        <v>-6186.5194353333291</v>
      </c>
      <c r="X18" s="422">
        <f t="shared" si="3"/>
        <v>-12530.756635111115</v>
      </c>
      <c r="Y18" s="422">
        <f t="shared" si="3"/>
        <v>-24457.239129666665</v>
      </c>
      <c r="Z18" s="422">
        <f t="shared" si="3"/>
        <v>-6213.831469333335</v>
      </c>
      <c r="AA18" s="423">
        <f t="shared" si="3"/>
        <v>-12040.649033333333</v>
      </c>
      <c r="AB18" s="421">
        <f t="shared" si="3"/>
        <v>-35619.513979803349</v>
      </c>
      <c r="AC18" s="422">
        <f t="shared" si="3"/>
        <v>-7314.5948532808416</v>
      </c>
      <c r="AD18" s="422">
        <f t="shared" si="3"/>
        <v>-16362.147476250839</v>
      </c>
      <c r="AE18" s="422">
        <f t="shared" si="3"/>
        <v>-36070.293974728353</v>
      </c>
      <c r="AF18" s="422">
        <f t="shared" si="3"/>
        <v>-7790.4559726983443</v>
      </c>
      <c r="AG18" s="422">
        <f t="shared" si="3"/>
        <v>-16840.318096175841</v>
      </c>
      <c r="AH18" s="422">
        <f t="shared" si="3"/>
        <v>-36391.186344145855</v>
      </c>
      <c r="AI18" s="422">
        <f t="shared" si="3"/>
        <v>-8085.5015926233482</v>
      </c>
      <c r="AJ18" s="422">
        <f t="shared" si="3"/>
        <v>-17080.054215593344</v>
      </c>
      <c r="AK18" s="422">
        <f t="shared" si="3"/>
        <v>-36587.747589070845</v>
      </c>
      <c r="AL18" s="422">
        <f t="shared" si="3"/>
        <v>-8287.0189620408364</v>
      </c>
      <c r="AM18" s="422">
        <f t="shared" si="3"/>
        <v>-17365.115460518347</v>
      </c>
    </row>
    <row r="19" spans="2:39" s="390" customFormat="1">
      <c r="B19" s="640" t="s">
        <v>98</v>
      </c>
      <c r="D19" s="422">
        <f>-D106</f>
        <v>0</v>
      </c>
      <c r="E19" s="422">
        <f t="shared" ref="E19:AM19" si="4">-E106</f>
        <v>0</v>
      </c>
      <c r="F19" s="422">
        <f t="shared" si="4"/>
        <v>-1321.7702493897159</v>
      </c>
      <c r="G19" s="422">
        <f t="shared" si="4"/>
        <v>0</v>
      </c>
      <c r="H19" s="422">
        <f t="shared" si="4"/>
        <v>0</v>
      </c>
      <c r="I19" s="422">
        <f t="shared" si="4"/>
        <v>-13916.641029409144</v>
      </c>
      <c r="J19" s="422">
        <f t="shared" si="4"/>
        <v>0</v>
      </c>
      <c r="K19" s="422">
        <f t="shared" si="4"/>
        <v>0</v>
      </c>
      <c r="L19" s="422">
        <f t="shared" si="4"/>
        <v>-16433.97620776686</v>
      </c>
      <c r="M19" s="422">
        <f t="shared" si="4"/>
        <v>0</v>
      </c>
      <c r="N19" s="422">
        <f t="shared" si="4"/>
        <v>0</v>
      </c>
      <c r="O19" s="423">
        <f t="shared" si="4"/>
        <v>-19153.961471944003</v>
      </c>
      <c r="P19" s="422">
        <f t="shared" si="4"/>
        <v>0</v>
      </c>
      <c r="Q19" s="422">
        <f t="shared" si="4"/>
        <v>0</v>
      </c>
      <c r="R19" s="422">
        <f t="shared" si="4"/>
        <v>-21712.858244514176</v>
      </c>
      <c r="S19" s="422">
        <f t="shared" si="4"/>
        <v>0</v>
      </c>
      <c r="T19" s="422">
        <f t="shared" si="4"/>
        <v>0</v>
      </c>
      <c r="U19" s="422">
        <f t="shared" si="4"/>
        <v>-29143.139955883053</v>
      </c>
      <c r="V19" s="422">
        <f t="shared" si="4"/>
        <v>0</v>
      </c>
      <c r="W19" s="422">
        <f t="shared" si="4"/>
        <v>0</v>
      </c>
      <c r="X19" s="422">
        <f t="shared" si="4"/>
        <v>-34859.179795765456</v>
      </c>
      <c r="Y19" s="422">
        <f t="shared" si="4"/>
        <v>0</v>
      </c>
      <c r="Z19" s="422">
        <f t="shared" si="4"/>
        <v>0</v>
      </c>
      <c r="AA19" s="423">
        <f t="shared" si="4"/>
        <v>-43295.383867031444</v>
      </c>
      <c r="AB19" s="422">
        <f t="shared" si="4"/>
        <v>0</v>
      </c>
      <c r="AC19" s="422">
        <f t="shared" si="4"/>
        <v>0</v>
      </c>
      <c r="AD19" s="422">
        <f t="shared" si="4"/>
        <v>-47091.855280096155</v>
      </c>
      <c r="AE19" s="422">
        <f t="shared" si="4"/>
        <v>0</v>
      </c>
      <c r="AF19" s="422">
        <f t="shared" si="4"/>
        <v>0</v>
      </c>
      <c r="AG19" s="422">
        <f t="shared" si="4"/>
        <v>-53860.868705133762</v>
      </c>
      <c r="AH19" s="422">
        <f t="shared" si="4"/>
        <v>0</v>
      </c>
      <c r="AI19" s="422">
        <f t="shared" si="4"/>
        <v>0</v>
      </c>
      <c r="AJ19" s="422">
        <f t="shared" si="4"/>
        <v>-57949.298389349744</v>
      </c>
      <c r="AK19" s="422">
        <f t="shared" si="4"/>
        <v>0</v>
      </c>
      <c r="AL19" s="422">
        <f t="shared" si="4"/>
        <v>0</v>
      </c>
      <c r="AM19" s="422">
        <f t="shared" si="4"/>
        <v>-61833.438501206831</v>
      </c>
    </row>
    <row r="20" spans="2:39">
      <c r="B20" s="640" t="s">
        <v>99</v>
      </c>
      <c r="D20" s="641">
        <f>'Profit &amp; Loss'!D105</f>
        <v>-329.16666666666669</v>
      </c>
      <c r="E20" s="641">
        <f>'Profit &amp; Loss'!E105</f>
        <v>-324.67510969529582</v>
      </c>
      <c r="F20" s="641">
        <f>'Profit &amp; Loss'!F105</f>
        <v>-320.15398330719682</v>
      </c>
      <c r="G20" s="641">
        <f>'Profit &amp; Loss'!G105</f>
        <v>-315.60309283704282</v>
      </c>
      <c r="H20" s="641">
        <f>'Profit &amp; Loss'!H105</f>
        <v>-311.02224233796028</v>
      </c>
      <c r="I20" s="641">
        <f>'Profit &amp; Loss'!I105</f>
        <v>-306.41123457309209</v>
      </c>
      <c r="J20" s="641">
        <f>'Profit &amp; Loss'!J105</f>
        <v>-301.76987100710517</v>
      </c>
      <c r="K20" s="641">
        <f>'Profit &amp; Loss'!K105</f>
        <v>-297.09795179764217</v>
      </c>
      <c r="L20" s="641">
        <f>'Profit &amp; Loss'!L105</f>
        <v>-292.39527578671698</v>
      </c>
      <c r="M20" s="641">
        <f>'Profit &amp; Loss'!M105</f>
        <v>-287.66164049205315</v>
      </c>
      <c r="N20" s="641">
        <f>'Profit &amp; Loss'!N105</f>
        <v>-282.89684209836611</v>
      </c>
      <c r="O20" s="642">
        <f>'Profit &amp; Loss'!O105</f>
        <v>-278.1006754485872</v>
      </c>
      <c r="P20" s="641">
        <f>'Profit &amp; Loss'!P105</f>
        <v>-273.27293403503063</v>
      </c>
      <c r="Q20" s="641">
        <f>'Profit &amp; Loss'!Q105</f>
        <v>-268.41340999050158</v>
      </c>
      <c r="R20" s="641">
        <f>'Profit &amp; Loss'!R105</f>
        <v>-263.52189407934594</v>
      </c>
      <c r="S20" s="641">
        <f>'Profit &amp; Loss'!S105</f>
        <v>-258.59817568844187</v>
      </c>
      <c r="T20" s="641">
        <f>'Profit &amp; Loss'!T105</f>
        <v>-253.64204281813105</v>
      </c>
      <c r="U20" s="641">
        <f>'Profit &amp; Loss'!U105</f>
        <v>-248.65328207309068</v>
      </c>
      <c r="V20" s="641">
        <f>'Profit &amp; Loss'!V105</f>
        <v>-243.63167865314543</v>
      </c>
      <c r="W20" s="641">
        <f>'Profit &amp; Loss'!W105</f>
        <v>-238.57701634401892</v>
      </c>
      <c r="X20" s="641">
        <f>'Profit &amp; Loss'!X105</f>
        <v>-233.48907750802394</v>
      </c>
      <c r="Y20" s="641">
        <f>'Profit &amp; Loss'!Y105</f>
        <v>-228.3676430746921</v>
      </c>
      <c r="Z20" s="641">
        <f>'Profit &amp; Loss'!Z105</f>
        <v>-223.21249253134073</v>
      </c>
      <c r="AA20" s="642">
        <f>'Profit &amp; Loss'!AA105</f>
        <v>-218.02340391357896</v>
      </c>
      <c r="AB20" s="641">
        <f>'Profit &amp; Loss'!AB105</f>
        <v>-212.80015379575028</v>
      </c>
      <c r="AC20" s="641">
        <f>'Profit &amp; Loss'!AC105</f>
        <v>-207.54251728131257</v>
      </c>
      <c r="AD20" s="641">
        <f>'Profit &amp; Loss'!AD105</f>
        <v>-202.25026799315478</v>
      </c>
      <c r="AE20" s="641">
        <f>'Profit &amp; Loss'!AE105</f>
        <v>-196.92317806384997</v>
      </c>
      <c r="AF20" s="641">
        <f>'Profit &amp; Loss'!AF105</f>
        <v>-191.56101812584396</v>
      </c>
      <c r="AG20" s="641">
        <f>'Profit &amp; Loss'!AG105</f>
        <v>-186.16355730157932</v>
      </c>
      <c r="AH20" s="641">
        <f>'Profit &amp; Loss'!AH105</f>
        <v>-180.73056319355501</v>
      </c>
      <c r="AI20" s="641">
        <f>'Profit &amp; Loss'!AI105</f>
        <v>-175.2618018743195</v>
      </c>
      <c r="AJ20" s="641">
        <f>'Profit &amp; Loss'!AJ105</f>
        <v>-169.75703787639904</v>
      </c>
      <c r="AK20" s="641">
        <f>'Profit &amp; Loss'!AK105</f>
        <v>-164.21603418215889</v>
      </c>
      <c r="AL20" s="641">
        <f>'Profit &amp; Loss'!AL105</f>
        <v>-158.63855221359836</v>
      </c>
      <c r="AM20" s="641">
        <f>'Profit &amp; Loss'!AM105</f>
        <v>-153.02435182207816</v>
      </c>
    </row>
    <row r="21" spans="2:39">
      <c r="B21" s="643" t="s">
        <v>100</v>
      </c>
      <c r="C21" s="461"/>
      <c r="D21" s="644">
        <f>-D116</f>
        <v>0</v>
      </c>
      <c r="E21" s="644">
        <f t="shared" ref="E21:AM21" si="5">-E116</f>
        <v>0</v>
      </c>
      <c r="F21" s="644">
        <f t="shared" si="5"/>
        <v>0</v>
      </c>
      <c r="G21" s="644">
        <f t="shared" si="5"/>
        <v>0</v>
      </c>
      <c r="H21" s="644">
        <f t="shared" si="5"/>
        <v>0</v>
      </c>
      <c r="I21" s="644">
        <f t="shared" si="5"/>
        <v>0</v>
      </c>
      <c r="J21" s="644">
        <f t="shared" si="5"/>
        <v>0</v>
      </c>
      <c r="K21" s="644">
        <f t="shared" si="5"/>
        <v>0</v>
      </c>
      <c r="L21" s="644">
        <f t="shared" si="5"/>
        <v>0</v>
      </c>
      <c r="M21" s="644">
        <f t="shared" si="5"/>
        <v>0</v>
      </c>
      <c r="N21" s="644">
        <f t="shared" si="5"/>
        <v>0</v>
      </c>
      <c r="O21" s="645">
        <f t="shared" si="5"/>
        <v>0</v>
      </c>
      <c r="P21" s="644">
        <f t="shared" si="5"/>
        <v>0</v>
      </c>
      <c r="Q21" s="644">
        <f t="shared" si="5"/>
        <v>0</v>
      </c>
      <c r="R21" s="644">
        <f t="shared" si="5"/>
        <v>0</v>
      </c>
      <c r="S21" s="644">
        <f t="shared" si="5"/>
        <v>0</v>
      </c>
      <c r="T21" s="644">
        <f t="shared" si="5"/>
        <v>0</v>
      </c>
      <c r="U21" s="644">
        <f t="shared" si="5"/>
        <v>0</v>
      </c>
      <c r="V21" s="644">
        <f t="shared" si="5"/>
        <v>0</v>
      </c>
      <c r="W21" s="644">
        <f t="shared" si="5"/>
        <v>0</v>
      </c>
      <c r="X21" s="644">
        <f ca="1">-X116</f>
        <v>0</v>
      </c>
      <c r="Y21" s="644">
        <f t="shared" si="5"/>
        <v>0</v>
      </c>
      <c r="Z21" s="644">
        <f t="shared" si="5"/>
        <v>0</v>
      </c>
      <c r="AA21" s="645">
        <f t="shared" si="5"/>
        <v>0</v>
      </c>
      <c r="AB21" s="644">
        <f t="shared" si="5"/>
        <v>0</v>
      </c>
      <c r="AC21" s="644">
        <f t="shared" si="5"/>
        <v>0</v>
      </c>
      <c r="AD21" s="644">
        <f t="shared" si="5"/>
        <v>0</v>
      </c>
      <c r="AE21" s="644">
        <f t="shared" si="5"/>
        <v>0</v>
      </c>
      <c r="AF21" s="644">
        <f t="shared" si="5"/>
        <v>0</v>
      </c>
      <c r="AG21" s="644">
        <f t="shared" si="5"/>
        <v>0</v>
      </c>
      <c r="AH21" s="644">
        <f t="shared" si="5"/>
        <v>0</v>
      </c>
      <c r="AI21" s="644">
        <f t="shared" si="5"/>
        <v>0</v>
      </c>
      <c r="AJ21" s="644">
        <f ca="1">-AJ116</f>
        <v>-4241.6550888651727</v>
      </c>
      <c r="AK21" s="644">
        <f t="shared" si="5"/>
        <v>0</v>
      </c>
      <c r="AL21" s="644">
        <f t="shared" si="5"/>
        <v>0</v>
      </c>
      <c r="AM21" s="644">
        <f t="shared" si="5"/>
        <v>0</v>
      </c>
    </row>
    <row r="22" spans="2:39">
      <c r="D22" s="641">
        <f t="shared" ref="D22:AM22" si="6">SUM(D16:D21)</f>
        <v>-35739.80645833334</v>
      </c>
      <c r="E22" s="641">
        <f t="shared" si="6"/>
        <v>-85902.402577447676</v>
      </c>
      <c r="F22" s="641">
        <f t="shared" si="6"/>
        <v>-31236.435353851008</v>
      </c>
      <c r="G22" s="641">
        <f t="shared" si="6"/>
        <v>-38757.847932592289</v>
      </c>
      <c r="H22" s="641">
        <f t="shared" si="6"/>
        <v>-26048.111777194346</v>
      </c>
      <c r="I22" s="641">
        <f t="shared" si="6"/>
        <v>-44509.259199439759</v>
      </c>
      <c r="J22" s="641">
        <f t="shared" si="6"/>
        <v>-39803.598424238349</v>
      </c>
      <c r="K22" s="641">
        <f t="shared" si="6"/>
        <v>-27077.906011329451</v>
      </c>
      <c r="L22" s="641">
        <f t="shared" si="6"/>
        <v>-47837.328634487109</v>
      </c>
      <c r="M22" s="641">
        <f t="shared" si="6"/>
        <v>-40904.288058425569</v>
      </c>
      <c r="N22" s="641">
        <f t="shared" si="6"/>
        <v>-28261.717712790749</v>
      </c>
      <c r="O22" s="642">
        <f t="shared" si="6"/>
        <v>-51974.810978528389</v>
      </c>
      <c r="P22" s="641">
        <f t="shared" si="6"/>
        <v>-55918.006501876167</v>
      </c>
      <c r="Q22" s="641">
        <f t="shared" si="6"/>
        <v>-50548.347722426261</v>
      </c>
      <c r="R22" s="641">
        <f t="shared" si="6"/>
        <v>-66617.608489386752</v>
      </c>
      <c r="S22" s="641">
        <f t="shared" si="6"/>
        <v>-58460.414552707749</v>
      </c>
      <c r="T22" s="641">
        <f t="shared" si="6"/>
        <v>-41100.616666881229</v>
      </c>
      <c r="U22" s="641">
        <f t="shared" si="6"/>
        <v>-75905.797605833213</v>
      </c>
      <c r="V22" s="641">
        <f t="shared" si="6"/>
        <v>-60108.803122748017</v>
      </c>
      <c r="W22" s="641">
        <f t="shared" si="6"/>
        <v>-42819.067716769052</v>
      </c>
      <c r="X22" s="641">
        <f t="shared" ca="1" si="6"/>
        <v>-102700.5787694725</v>
      </c>
      <c r="Y22" s="641">
        <f t="shared" si="6"/>
        <v>-84289.249918191272</v>
      </c>
      <c r="Z22" s="641">
        <f t="shared" si="6"/>
        <v>-64800.928504978088</v>
      </c>
      <c r="AA22" s="642">
        <f t="shared" si="6"/>
        <v>-114434.08852697082</v>
      </c>
      <c r="AB22" s="641">
        <f t="shared" si="6"/>
        <v>-104612.66623360458</v>
      </c>
      <c r="AC22" s="641">
        <f t="shared" si="6"/>
        <v>-89538.801178244394</v>
      </c>
      <c r="AD22" s="641">
        <f t="shared" si="6"/>
        <v>-134126.23243882062</v>
      </c>
      <c r="AE22" s="641">
        <f t="shared" si="6"/>
        <v>-107229.87564877258</v>
      </c>
      <c r="AF22" s="641">
        <f t="shared" si="6"/>
        <v>-79564.287705017821</v>
      </c>
      <c r="AG22" s="641">
        <f t="shared" si="6"/>
        <v>-142982.57301357787</v>
      </c>
      <c r="AH22" s="641">
        <f t="shared" si="6"/>
        <v>-109163.6202026565</v>
      </c>
      <c r="AI22" s="641">
        <f t="shared" si="6"/>
        <v>-81310.74994815643</v>
      </c>
      <c r="AJ22" s="641">
        <f t="shared" ca="1" si="6"/>
        <v>-152914.37111747041</v>
      </c>
      <c r="AK22" s="641">
        <f t="shared" si="6"/>
        <v>-110628.56072331009</v>
      </c>
      <c r="AL22" s="641">
        <f t="shared" si="6"/>
        <v>-82604.494703505377</v>
      </c>
      <c r="AM22" s="641">
        <f t="shared" si="6"/>
        <v>-154038.94566301812</v>
      </c>
    </row>
    <row r="23" spans="2:39">
      <c r="D23" s="641"/>
      <c r="E23" s="641"/>
      <c r="F23" s="641"/>
      <c r="G23" s="641"/>
      <c r="H23" s="641"/>
      <c r="I23" s="641"/>
      <c r="J23" s="641"/>
      <c r="K23" s="641"/>
      <c r="L23" s="641"/>
      <c r="M23" s="641"/>
      <c r="N23" s="641"/>
      <c r="O23" s="642"/>
      <c r="P23" s="641"/>
      <c r="Q23" s="641"/>
      <c r="R23" s="641"/>
      <c r="S23" s="641"/>
      <c r="T23" s="641"/>
      <c r="U23" s="641"/>
      <c r="V23" s="641"/>
      <c r="W23" s="641"/>
      <c r="X23" s="641"/>
      <c r="Y23" s="641"/>
      <c r="Z23" s="641"/>
      <c r="AA23" s="642"/>
      <c r="AB23" s="641"/>
      <c r="AC23" s="641"/>
      <c r="AD23" s="641"/>
      <c r="AE23" s="641"/>
      <c r="AF23" s="641"/>
      <c r="AG23" s="641"/>
      <c r="AH23" s="641"/>
      <c r="AI23" s="641"/>
      <c r="AJ23" s="641"/>
      <c r="AK23" s="641"/>
      <c r="AL23" s="641"/>
      <c r="AM23" s="641"/>
    </row>
    <row r="24" spans="2:39" ht="17" thickBot="1">
      <c r="B24" s="646" t="s">
        <v>101</v>
      </c>
      <c r="C24" s="646"/>
      <c r="D24" s="646">
        <f t="shared" ref="D24:AM24" si="7">D13+D22</f>
        <v>-35739.80645833334</v>
      </c>
      <c r="E24" s="646">
        <f t="shared" si="7"/>
        <v>-61905.262577447676</v>
      </c>
      <c r="F24" s="646">
        <f t="shared" si="7"/>
        <v>-5419.6385538510076</v>
      </c>
      <c r="G24" s="646">
        <f t="shared" si="7"/>
        <v>-10557.529932592286</v>
      </c>
      <c r="H24" s="646">
        <f t="shared" si="7"/>
        <v>3891.9774228056558</v>
      </c>
      <c r="I24" s="646">
        <f t="shared" si="7"/>
        <v>-12608.148799439761</v>
      </c>
      <c r="J24" s="646">
        <f t="shared" si="7"/>
        <v>-5722.9456242383458</v>
      </c>
      <c r="K24" s="646">
        <f t="shared" si="7"/>
        <v>9210.1323886705468</v>
      </c>
      <c r="L24" s="646">
        <f t="shared" si="7"/>
        <v>-10394.633434487107</v>
      </c>
      <c r="M24" s="646">
        <f t="shared" si="7"/>
        <v>-1077.8428584255744</v>
      </c>
      <c r="N24" s="646">
        <f t="shared" si="7"/>
        <v>13761.38428720925</v>
      </c>
      <c r="O24" s="647">
        <f t="shared" si="7"/>
        <v>-7403.3233785283883</v>
      </c>
      <c r="P24" s="646">
        <f t="shared" si="7"/>
        <v>-9508.1333018761652</v>
      </c>
      <c r="Q24" s="646">
        <f t="shared" si="7"/>
        <v>59.12245357374195</v>
      </c>
      <c r="R24" s="646">
        <f t="shared" si="7"/>
        <v>-12961.314217386753</v>
      </c>
      <c r="S24" s="646">
        <f t="shared" si="7"/>
        <v>2337.9468872922589</v>
      </c>
      <c r="T24" s="646">
        <f t="shared" si="7"/>
        <v>24322.14477311878</v>
      </c>
      <c r="U24" s="646">
        <f t="shared" si="7"/>
        <v>-8926.0310458332242</v>
      </c>
      <c r="V24" s="646">
        <f t="shared" si="7"/>
        <v>9724.6254852519705</v>
      </c>
      <c r="W24" s="646">
        <f t="shared" si="7"/>
        <v>30038.144475230954</v>
      </c>
      <c r="X24" s="646">
        <f t="shared" ca="1" si="7"/>
        <v>-27254.623505472497</v>
      </c>
      <c r="Y24" s="646">
        <f t="shared" si="7"/>
        <v>11132.295738697634</v>
      </c>
      <c r="Z24" s="646">
        <f t="shared" si="7"/>
        <v>32001.390311021925</v>
      </c>
      <c r="AA24" s="647">
        <f t="shared" si="7"/>
        <v>-13794.148174970818</v>
      </c>
      <c r="AB24" s="646">
        <f t="shared" si="7"/>
        <v>-554.5638336045813</v>
      </c>
      <c r="AC24" s="646">
        <f t="shared" si="7"/>
        <v>21723.779508795604</v>
      </c>
      <c r="AD24" s="646">
        <f t="shared" si="7"/>
        <v>-19993.863800500621</v>
      </c>
      <c r="AE24" s="646">
        <f t="shared" si="7"/>
        <v>10195.376924587414</v>
      </c>
      <c r="AF24" s="646">
        <f t="shared" si="7"/>
        <v>42283.252819622183</v>
      </c>
      <c r="AG24" s="646">
        <f t="shared" si="7"/>
        <v>-17462.648553897874</v>
      </c>
      <c r="AH24" s="646">
        <f t="shared" si="7"/>
        <v>19723.092208303482</v>
      </c>
      <c r="AI24" s="646">
        <f t="shared" si="7"/>
        <v>50805.346397843576</v>
      </c>
      <c r="AJ24" s="646">
        <f t="shared" ca="1" si="7"/>
        <v>-17952.986820190417</v>
      </c>
      <c r="AK24" s="646">
        <f t="shared" si="7"/>
        <v>27209.70750900991</v>
      </c>
      <c r="AL24" s="646">
        <f t="shared" si="7"/>
        <v>57081.561480094606</v>
      </c>
      <c r="AM24" s="646">
        <f t="shared" si="7"/>
        <v>-10069.005544378102</v>
      </c>
    </row>
    <row r="25" spans="2:39" ht="17" thickTop="1">
      <c r="D25" s="641"/>
      <c r="E25" s="641"/>
      <c r="F25" s="641"/>
      <c r="G25" s="641"/>
      <c r="H25" s="641"/>
      <c r="I25" s="641"/>
      <c r="J25" s="641"/>
      <c r="K25" s="641"/>
      <c r="L25" s="641"/>
      <c r="M25" s="641"/>
      <c r="N25" s="641"/>
      <c r="O25" s="642"/>
      <c r="P25" s="641"/>
      <c r="Q25" s="641"/>
      <c r="R25" s="641"/>
      <c r="S25" s="641"/>
      <c r="T25" s="641"/>
      <c r="U25" s="641"/>
      <c r="V25" s="641"/>
      <c r="W25" s="641"/>
      <c r="X25" s="641"/>
      <c r="Y25" s="641"/>
      <c r="Z25" s="641"/>
      <c r="AA25" s="642"/>
      <c r="AB25" s="641"/>
      <c r="AC25" s="641"/>
      <c r="AD25" s="641"/>
      <c r="AE25" s="641"/>
      <c r="AF25" s="641"/>
      <c r="AG25" s="641"/>
      <c r="AH25" s="641"/>
      <c r="AI25" s="641"/>
      <c r="AJ25" s="641"/>
      <c r="AK25" s="641"/>
      <c r="AL25" s="641"/>
      <c r="AM25" s="641"/>
    </row>
    <row r="26" spans="2:39" s="409" customFormat="1" ht="18">
      <c r="B26" s="636" t="s">
        <v>35</v>
      </c>
      <c r="D26" s="410"/>
      <c r="E26" s="410"/>
      <c r="F26" s="410"/>
      <c r="G26" s="410"/>
      <c r="H26" s="410"/>
      <c r="I26" s="410"/>
      <c r="J26" s="410"/>
      <c r="K26" s="410"/>
      <c r="L26" s="410"/>
      <c r="M26" s="410"/>
      <c r="N26" s="410"/>
      <c r="O26" s="411"/>
      <c r="P26" s="433"/>
      <c r="Q26" s="410"/>
      <c r="R26" s="410"/>
      <c r="S26" s="410"/>
      <c r="T26" s="410"/>
      <c r="U26" s="410"/>
      <c r="V26" s="410"/>
      <c r="W26" s="410"/>
      <c r="X26" s="410"/>
      <c r="Y26" s="410"/>
      <c r="Z26" s="410"/>
      <c r="AA26" s="411"/>
      <c r="AB26" s="433"/>
      <c r="AC26" s="410"/>
      <c r="AD26" s="410"/>
      <c r="AE26" s="410"/>
      <c r="AF26" s="410"/>
      <c r="AG26" s="410"/>
      <c r="AH26" s="410"/>
      <c r="AI26" s="410"/>
      <c r="AJ26" s="410"/>
      <c r="AK26" s="410"/>
      <c r="AL26" s="410"/>
      <c r="AM26" s="410"/>
    </row>
    <row r="27" spans="2:39" ht="12" customHeight="1">
      <c r="D27" s="641"/>
      <c r="E27" s="641"/>
      <c r="F27" s="641"/>
      <c r="G27" s="641"/>
      <c r="H27" s="641"/>
      <c r="I27" s="641"/>
      <c r="J27" s="641"/>
      <c r="K27" s="641"/>
      <c r="L27" s="641"/>
      <c r="M27" s="641"/>
      <c r="N27" s="641"/>
      <c r="O27" s="642"/>
      <c r="P27" s="641"/>
      <c r="Q27" s="641"/>
      <c r="R27" s="641"/>
      <c r="S27" s="641"/>
      <c r="T27" s="641"/>
      <c r="U27" s="641"/>
      <c r="V27" s="641"/>
      <c r="W27" s="641"/>
      <c r="X27" s="641"/>
      <c r="Y27" s="641"/>
      <c r="Z27" s="641"/>
      <c r="AA27" s="642"/>
      <c r="AB27" s="641"/>
      <c r="AC27" s="641"/>
      <c r="AD27" s="641"/>
      <c r="AE27" s="641"/>
      <c r="AF27" s="641"/>
      <c r="AG27" s="641"/>
      <c r="AH27" s="641"/>
      <c r="AI27" s="641"/>
      <c r="AJ27" s="641"/>
      <c r="AK27" s="641"/>
      <c r="AL27" s="641"/>
      <c r="AM27" s="641"/>
    </row>
    <row r="28" spans="2:39">
      <c r="B28" s="460" t="s">
        <v>92</v>
      </c>
      <c r="C28" s="461"/>
      <c r="D28" s="644"/>
      <c r="E28" s="644"/>
      <c r="F28" s="644"/>
      <c r="G28" s="644"/>
      <c r="H28" s="644"/>
      <c r="I28" s="644"/>
      <c r="J28" s="644"/>
      <c r="K28" s="644"/>
      <c r="L28" s="644"/>
      <c r="M28" s="644"/>
      <c r="N28" s="644"/>
      <c r="O28" s="645"/>
      <c r="P28" s="644"/>
      <c r="Q28" s="644"/>
      <c r="R28" s="644"/>
      <c r="S28" s="644"/>
      <c r="T28" s="644"/>
      <c r="U28" s="644"/>
      <c r="V28" s="644"/>
      <c r="W28" s="644"/>
      <c r="X28" s="644"/>
      <c r="Y28" s="644"/>
      <c r="Z28" s="644"/>
      <c r="AA28" s="645"/>
      <c r="AB28" s="644"/>
      <c r="AC28" s="644"/>
      <c r="AD28" s="644"/>
      <c r="AE28" s="644"/>
      <c r="AF28" s="644"/>
      <c r="AG28" s="644"/>
      <c r="AH28" s="644"/>
      <c r="AI28" s="644"/>
      <c r="AJ28" s="644"/>
      <c r="AK28" s="644"/>
      <c r="AL28" s="644"/>
      <c r="AM28" s="644"/>
    </row>
    <row r="29" spans="2:39">
      <c r="B29" s="640" t="s">
        <v>102</v>
      </c>
      <c r="D29" s="641">
        <v>0</v>
      </c>
      <c r="E29" s="641">
        <v>0</v>
      </c>
      <c r="F29" s="641">
        <v>0</v>
      </c>
      <c r="G29" s="641">
        <v>0</v>
      </c>
      <c r="H29" s="641">
        <v>0</v>
      </c>
      <c r="I29" s="641">
        <v>0</v>
      </c>
      <c r="J29" s="641">
        <v>0</v>
      </c>
      <c r="K29" s="641">
        <v>0</v>
      </c>
      <c r="L29" s="641">
        <v>0</v>
      </c>
      <c r="M29" s="641">
        <v>0</v>
      </c>
      <c r="N29" s="641">
        <v>0</v>
      </c>
      <c r="O29" s="642">
        <v>0</v>
      </c>
      <c r="P29" s="641">
        <v>0</v>
      </c>
      <c r="Q29" s="641">
        <v>0</v>
      </c>
      <c r="R29" s="641">
        <v>0</v>
      </c>
      <c r="S29" s="641">
        <v>0</v>
      </c>
      <c r="T29" s="641">
        <v>0</v>
      </c>
      <c r="U29" s="641">
        <v>0</v>
      </c>
      <c r="V29" s="641">
        <v>0</v>
      </c>
      <c r="W29" s="641">
        <v>0</v>
      </c>
      <c r="X29" s="641">
        <v>0</v>
      </c>
      <c r="Y29" s="641">
        <v>0</v>
      </c>
      <c r="Z29" s="641">
        <v>0</v>
      </c>
      <c r="AA29" s="642">
        <v>0</v>
      </c>
      <c r="AB29" s="641">
        <v>0</v>
      </c>
      <c r="AC29" s="641">
        <v>0</v>
      </c>
      <c r="AD29" s="641">
        <v>0</v>
      </c>
      <c r="AE29" s="641">
        <v>0</v>
      </c>
      <c r="AF29" s="641">
        <v>0</v>
      </c>
      <c r="AG29" s="641">
        <v>0</v>
      </c>
      <c r="AH29" s="641">
        <v>0</v>
      </c>
      <c r="AI29" s="641">
        <v>0</v>
      </c>
      <c r="AJ29" s="641">
        <v>0</v>
      </c>
      <c r="AK29" s="641">
        <v>0</v>
      </c>
      <c r="AL29" s="641">
        <v>0</v>
      </c>
      <c r="AM29" s="641">
        <v>0</v>
      </c>
    </row>
    <row r="30" spans="2:39">
      <c r="B30" s="643" t="s">
        <v>103</v>
      </c>
      <c r="C30" s="461"/>
      <c r="D30" s="644">
        <f t="shared" ref="D30:AM30" si="8">-D110</f>
        <v>0</v>
      </c>
      <c r="E30" s="644">
        <f t="shared" si="8"/>
        <v>0</v>
      </c>
      <c r="F30" s="644">
        <f t="shared" si="8"/>
        <v>4246</v>
      </c>
      <c r="G30" s="644">
        <f t="shared" si="8"/>
        <v>0</v>
      </c>
      <c r="H30" s="644">
        <f t="shared" si="8"/>
        <v>0</v>
      </c>
      <c r="I30" s="644">
        <f t="shared" si="8"/>
        <v>0</v>
      </c>
      <c r="J30" s="644">
        <f t="shared" si="8"/>
        <v>0</v>
      </c>
      <c r="K30" s="644">
        <f t="shared" si="8"/>
        <v>0</v>
      </c>
      <c r="L30" s="644">
        <f t="shared" si="8"/>
        <v>60</v>
      </c>
      <c r="M30" s="644">
        <f t="shared" si="8"/>
        <v>0</v>
      </c>
      <c r="N30" s="644">
        <f t="shared" si="8"/>
        <v>0</v>
      </c>
      <c r="O30" s="645">
        <f t="shared" si="8"/>
        <v>0</v>
      </c>
      <c r="P30" s="644">
        <f t="shared" si="8"/>
        <v>0</v>
      </c>
      <c r="Q30" s="644">
        <f t="shared" si="8"/>
        <v>0</v>
      </c>
      <c r="R30" s="644">
        <f t="shared" si="8"/>
        <v>0</v>
      </c>
      <c r="S30" s="644">
        <f t="shared" si="8"/>
        <v>0</v>
      </c>
      <c r="T30" s="644">
        <f t="shared" si="8"/>
        <v>0</v>
      </c>
      <c r="U30" s="644">
        <f t="shared" si="8"/>
        <v>0</v>
      </c>
      <c r="V30" s="644">
        <f t="shared" si="8"/>
        <v>0</v>
      </c>
      <c r="W30" s="644">
        <f t="shared" si="8"/>
        <v>0</v>
      </c>
      <c r="X30" s="644">
        <f t="shared" si="8"/>
        <v>4478.2400000000007</v>
      </c>
      <c r="Y30" s="644">
        <f t="shared" si="8"/>
        <v>0</v>
      </c>
      <c r="Z30" s="644">
        <f t="shared" si="8"/>
        <v>0</v>
      </c>
      <c r="AA30" s="645">
        <f t="shared" si="8"/>
        <v>0</v>
      </c>
      <c r="AB30" s="644">
        <f t="shared" si="8"/>
        <v>0</v>
      </c>
      <c r="AC30" s="644">
        <f t="shared" si="8"/>
        <v>0</v>
      </c>
      <c r="AD30" s="644">
        <f t="shared" si="8"/>
        <v>0</v>
      </c>
      <c r="AE30" s="644">
        <f t="shared" si="8"/>
        <v>0</v>
      </c>
      <c r="AF30" s="644">
        <f t="shared" si="8"/>
        <v>0</v>
      </c>
      <c r="AG30" s="644">
        <f t="shared" si="8"/>
        <v>0</v>
      </c>
      <c r="AH30" s="644">
        <f t="shared" si="8"/>
        <v>0</v>
      </c>
      <c r="AI30" s="644">
        <f t="shared" si="8"/>
        <v>0</v>
      </c>
      <c r="AJ30" s="644">
        <f t="shared" si="8"/>
        <v>0</v>
      </c>
      <c r="AK30" s="644">
        <f t="shared" si="8"/>
        <v>0</v>
      </c>
      <c r="AL30" s="644">
        <f t="shared" si="8"/>
        <v>0</v>
      </c>
      <c r="AM30" s="644">
        <f t="shared" si="8"/>
        <v>0</v>
      </c>
    </row>
    <row r="31" spans="2:39">
      <c r="B31" s="640"/>
      <c r="D31" s="641">
        <f t="shared" ref="D31:AM31" si="9">SUM(D29:D30)</f>
        <v>0</v>
      </c>
      <c r="E31" s="641">
        <f t="shared" si="9"/>
        <v>0</v>
      </c>
      <c r="F31" s="641">
        <f t="shared" si="9"/>
        <v>4246</v>
      </c>
      <c r="G31" s="641">
        <f t="shared" si="9"/>
        <v>0</v>
      </c>
      <c r="H31" s="641">
        <f t="shared" si="9"/>
        <v>0</v>
      </c>
      <c r="I31" s="641">
        <f t="shared" si="9"/>
        <v>0</v>
      </c>
      <c r="J31" s="641">
        <f t="shared" si="9"/>
        <v>0</v>
      </c>
      <c r="K31" s="641">
        <f t="shared" si="9"/>
        <v>0</v>
      </c>
      <c r="L31" s="641">
        <f t="shared" si="9"/>
        <v>60</v>
      </c>
      <c r="M31" s="641">
        <f t="shared" si="9"/>
        <v>0</v>
      </c>
      <c r="N31" s="641">
        <f t="shared" si="9"/>
        <v>0</v>
      </c>
      <c r="O31" s="642">
        <f t="shared" si="9"/>
        <v>0</v>
      </c>
      <c r="P31" s="641">
        <f t="shared" si="9"/>
        <v>0</v>
      </c>
      <c r="Q31" s="641">
        <f t="shared" si="9"/>
        <v>0</v>
      </c>
      <c r="R31" s="641">
        <f t="shared" si="9"/>
        <v>0</v>
      </c>
      <c r="S31" s="641">
        <f t="shared" si="9"/>
        <v>0</v>
      </c>
      <c r="T31" s="641">
        <f t="shared" si="9"/>
        <v>0</v>
      </c>
      <c r="U31" s="641">
        <f t="shared" si="9"/>
        <v>0</v>
      </c>
      <c r="V31" s="641">
        <f t="shared" si="9"/>
        <v>0</v>
      </c>
      <c r="W31" s="641">
        <f t="shared" si="9"/>
        <v>0</v>
      </c>
      <c r="X31" s="641">
        <f t="shared" si="9"/>
        <v>4478.2400000000007</v>
      </c>
      <c r="Y31" s="641">
        <f t="shared" si="9"/>
        <v>0</v>
      </c>
      <c r="Z31" s="641">
        <f t="shared" si="9"/>
        <v>0</v>
      </c>
      <c r="AA31" s="642">
        <f t="shared" si="9"/>
        <v>0</v>
      </c>
      <c r="AB31" s="641">
        <f t="shared" si="9"/>
        <v>0</v>
      </c>
      <c r="AC31" s="641">
        <f t="shared" si="9"/>
        <v>0</v>
      </c>
      <c r="AD31" s="641">
        <f t="shared" si="9"/>
        <v>0</v>
      </c>
      <c r="AE31" s="641">
        <f t="shared" si="9"/>
        <v>0</v>
      </c>
      <c r="AF31" s="641">
        <f t="shared" si="9"/>
        <v>0</v>
      </c>
      <c r="AG31" s="641">
        <f t="shared" si="9"/>
        <v>0</v>
      </c>
      <c r="AH31" s="641">
        <f t="shared" si="9"/>
        <v>0</v>
      </c>
      <c r="AI31" s="641">
        <f t="shared" si="9"/>
        <v>0</v>
      </c>
      <c r="AJ31" s="641">
        <f t="shared" si="9"/>
        <v>0</v>
      </c>
      <c r="AK31" s="641">
        <f t="shared" si="9"/>
        <v>0</v>
      </c>
      <c r="AL31" s="641">
        <f t="shared" si="9"/>
        <v>0</v>
      </c>
      <c r="AM31" s="641">
        <f t="shared" si="9"/>
        <v>0</v>
      </c>
    </row>
    <row r="32" spans="2:39" ht="12" customHeight="1">
      <c r="B32" s="640"/>
      <c r="D32" s="641"/>
      <c r="E32" s="641"/>
      <c r="F32" s="641"/>
      <c r="G32" s="641"/>
      <c r="H32" s="641"/>
      <c r="I32" s="641"/>
      <c r="J32" s="641"/>
      <c r="K32" s="641"/>
      <c r="L32" s="641"/>
      <c r="M32" s="641"/>
      <c r="N32" s="641"/>
      <c r="O32" s="642"/>
      <c r="P32" s="641"/>
      <c r="Q32" s="641"/>
      <c r="R32" s="641"/>
      <c r="S32" s="641"/>
      <c r="T32" s="641"/>
      <c r="U32" s="641"/>
      <c r="V32" s="641"/>
      <c r="W32" s="641"/>
      <c r="X32" s="641"/>
      <c r="Y32" s="641"/>
      <c r="Z32" s="641"/>
      <c r="AA32" s="642"/>
      <c r="AB32" s="641"/>
      <c r="AC32" s="641"/>
      <c r="AD32" s="641"/>
      <c r="AE32" s="641"/>
      <c r="AF32" s="641"/>
      <c r="AG32" s="641"/>
      <c r="AH32" s="641"/>
      <c r="AI32" s="641"/>
      <c r="AJ32" s="641"/>
      <c r="AK32" s="641"/>
      <c r="AL32" s="641"/>
      <c r="AM32" s="641"/>
    </row>
    <row r="33" spans="2:39">
      <c r="B33" s="460" t="s">
        <v>94</v>
      </c>
      <c r="C33" s="461"/>
      <c r="D33" s="644"/>
      <c r="E33" s="644"/>
      <c r="F33" s="644"/>
      <c r="G33" s="644"/>
      <c r="H33" s="644"/>
      <c r="I33" s="644"/>
      <c r="J33" s="644"/>
      <c r="K33" s="644"/>
      <c r="L33" s="644"/>
      <c r="M33" s="644"/>
      <c r="N33" s="644"/>
      <c r="O33" s="645"/>
      <c r="P33" s="644"/>
      <c r="Q33" s="644"/>
      <c r="R33" s="644"/>
      <c r="S33" s="644"/>
      <c r="T33" s="644"/>
      <c r="U33" s="644"/>
      <c r="V33" s="644"/>
      <c r="W33" s="644"/>
      <c r="X33" s="644"/>
      <c r="Y33" s="644"/>
      <c r="Z33" s="644"/>
      <c r="AA33" s="645"/>
      <c r="AB33" s="644"/>
      <c r="AC33" s="644"/>
      <c r="AD33" s="644"/>
      <c r="AE33" s="644"/>
      <c r="AF33" s="644"/>
      <c r="AG33" s="644"/>
      <c r="AH33" s="644"/>
      <c r="AI33" s="644"/>
      <c r="AJ33" s="644"/>
      <c r="AK33" s="644"/>
      <c r="AL33" s="644"/>
      <c r="AM33" s="644"/>
    </row>
    <row r="34" spans="2:39">
      <c r="B34" s="640" t="s">
        <v>46</v>
      </c>
      <c r="D34" s="641">
        <f>-D125</f>
        <v>0</v>
      </c>
      <c r="E34" s="641">
        <f>-E125</f>
        <v>0</v>
      </c>
      <c r="F34" s="641">
        <f>-F125</f>
        <v>-25476</v>
      </c>
      <c r="G34" s="641">
        <f t="shared" ref="G34:AM34" si="10">-G125</f>
        <v>0</v>
      </c>
      <c r="H34" s="641">
        <f t="shared" si="10"/>
        <v>0</v>
      </c>
      <c r="I34" s="641">
        <f t="shared" si="10"/>
        <v>0</v>
      </c>
      <c r="J34" s="641">
        <f t="shared" si="10"/>
        <v>0</v>
      </c>
      <c r="K34" s="641">
        <f t="shared" si="10"/>
        <v>0</v>
      </c>
      <c r="L34" s="641">
        <f t="shared" si="10"/>
        <v>0</v>
      </c>
      <c r="M34" s="641">
        <f t="shared" si="10"/>
        <v>0</v>
      </c>
      <c r="N34" s="641">
        <f t="shared" si="10"/>
        <v>-360</v>
      </c>
      <c r="O34" s="642">
        <f t="shared" si="10"/>
        <v>0</v>
      </c>
      <c r="P34" s="641">
        <f t="shared" si="10"/>
        <v>0</v>
      </c>
      <c r="Q34" s="641">
        <f t="shared" si="10"/>
        <v>0</v>
      </c>
      <c r="R34" s="641">
        <f t="shared" si="10"/>
        <v>0</v>
      </c>
      <c r="S34" s="641">
        <f t="shared" si="10"/>
        <v>0</v>
      </c>
      <c r="T34" s="641">
        <f t="shared" si="10"/>
        <v>0</v>
      </c>
      <c r="U34" s="641">
        <f t="shared" si="10"/>
        <v>0</v>
      </c>
      <c r="V34" s="641">
        <f t="shared" si="10"/>
        <v>0</v>
      </c>
      <c r="W34" s="641">
        <f t="shared" si="10"/>
        <v>0</v>
      </c>
      <c r="X34" s="641">
        <f t="shared" si="10"/>
        <v>-26869.440000000002</v>
      </c>
      <c r="Y34" s="641">
        <f t="shared" si="10"/>
        <v>0</v>
      </c>
      <c r="Z34" s="641">
        <f t="shared" si="10"/>
        <v>0</v>
      </c>
      <c r="AA34" s="642">
        <f t="shared" si="10"/>
        <v>0</v>
      </c>
      <c r="AB34" s="641">
        <f t="shared" si="10"/>
        <v>0</v>
      </c>
      <c r="AC34" s="641">
        <f t="shared" si="10"/>
        <v>0</v>
      </c>
      <c r="AD34" s="641">
        <f t="shared" si="10"/>
        <v>0</v>
      </c>
      <c r="AE34" s="641">
        <f t="shared" si="10"/>
        <v>0</v>
      </c>
      <c r="AF34" s="641">
        <f t="shared" si="10"/>
        <v>0</v>
      </c>
      <c r="AG34" s="641">
        <f t="shared" si="10"/>
        <v>0</v>
      </c>
      <c r="AH34" s="641">
        <f t="shared" si="10"/>
        <v>0</v>
      </c>
      <c r="AI34" s="641">
        <f t="shared" si="10"/>
        <v>0</v>
      </c>
      <c r="AJ34" s="641">
        <f t="shared" si="10"/>
        <v>0</v>
      </c>
      <c r="AK34" s="641">
        <f t="shared" si="10"/>
        <v>0</v>
      </c>
      <c r="AL34" s="641">
        <f t="shared" si="10"/>
        <v>0</v>
      </c>
      <c r="AM34" s="641">
        <f t="shared" si="10"/>
        <v>0</v>
      </c>
    </row>
    <row r="35" spans="2:39">
      <c r="D35" s="641"/>
      <c r="E35" s="641"/>
      <c r="F35" s="641"/>
      <c r="G35" s="641"/>
      <c r="H35" s="641"/>
      <c r="I35" s="641"/>
      <c r="J35" s="641"/>
      <c r="K35" s="641"/>
      <c r="L35" s="641"/>
      <c r="M35" s="641"/>
      <c r="N35" s="641"/>
      <c r="O35" s="642"/>
      <c r="P35" s="641"/>
      <c r="Q35" s="641"/>
      <c r="R35" s="641"/>
      <c r="S35" s="641"/>
      <c r="T35" s="641"/>
      <c r="U35" s="641"/>
      <c r="V35" s="641"/>
      <c r="W35" s="641"/>
      <c r="X35" s="641"/>
      <c r="Y35" s="641"/>
      <c r="Z35" s="641"/>
      <c r="AA35" s="642"/>
      <c r="AB35" s="641"/>
      <c r="AC35" s="641"/>
      <c r="AD35" s="641"/>
      <c r="AE35" s="641"/>
      <c r="AF35" s="641"/>
      <c r="AG35" s="641"/>
      <c r="AH35" s="641"/>
      <c r="AI35" s="641"/>
      <c r="AJ35" s="641"/>
      <c r="AK35" s="641"/>
      <c r="AL35" s="641"/>
      <c r="AM35" s="641"/>
    </row>
    <row r="36" spans="2:39" ht="17" thickBot="1">
      <c r="B36" s="646" t="s">
        <v>104</v>
      </c>
      <c r="C36" s="646"/>
      <c r="D36" s="646">
        <f t="shared" ref="D36:AM36" si="11">D31+D34</f>
        <v>0</v>
      </c>
      <c r="E36" s="646">
        <f t="shared" si="11"/>
        <v>0</v>
      </c>
      <c r="F36" s="646">
        <f t="shared" si="11"/>
        <v>-21230</v>
      </c>
      <c r="G36" s="646">
        <f t="shared" si="11"/>
        <v>0</v>
      </c>
      <c r="H36" s="646">
        <f t="shared" si="11"/>
        <v>0</v>
      </c>
      <c r="I36" s="646">
        <f t="shared" si="11"/>
        <v>0</v>
      </c>
      <c r="J36" s="646">
        <f t="shared" si="11"/>
        <v>0</v>
      </c>
      <c r="K36" s="646">
        <f t="shared" si="11"/>
        <v>0</v>
      </c>
      <c r="L36" s="646">
        <f t="shared" si="11"/>
        <v>60</v>
      </c>
      <c r="M36" s="646">
        <f t="shared" si="11"/>
        <v>0</v>
      </c>
      <c r="N36" s="646">
        <f t="shared" si="11"/>
        <v>-360</v>
      </c>
      <c r="O36" s="647">
        <f t="shared" si="11"/>
        <v>0</v>
      </c>
      <c r="P36" s="646">
        <f t="shared" si="11"/>
        <v>0</v>
      </c>
      <c r="Q36" s="646">
        <f t="shared" si="11"/>
        <v>0</v>
      </c>
      <c r="R36" s="646">
        <f t="shared" si="11"/>
        <v>0</v>
      </c>
      <c r="S36" s="646">
        <f t="shared" si="11"/>
        <v>0</v>
      </c>
      <c r="T36" s="646">
        <f t="shared" si="11"/>
        <v>0</v>
      </c>
      <c r="U36" s="646">
        <f t="shared" si="11"/>
        <v>0</v>
      </c>
      <c r="V36" s="646">
        <f t="shared" si="11"/>
        <v>0</v>
      </c>
      <c r="W36" s="646">
        <f t="shared" si="11"/>
        <v>0</v>
      </c>
      <c r="X36" s="646">
        <f t="shared" si="11"/>
        <v>-22391.200000000001</v>
      </c>
      <c r="Y36" s="646">
        <f t="shared" si="11"/>
        <v>0</v>
      </c>
      <c r="Z36" s="646">
        <f t="shared" si="11"/>
        <v>0</v>
      </c>
      <c r="AA36" s="647">
        <f t="shared" si="11"/>
        <v>0</v>
      </c>
      <c r="AB36" s="646">
        <f t="shared" si="11"/>
        <v>0</v>
      </c>
      <c r="AC36" s="646">
        <f t="shared" si="11"/>
        <v>0</v>
      </c>
      <c r="AD36" s="646">
        <f t="shared" si="11"/>
        <v>0</v>
      </c>
      <c r="AE36" s="646">
        <f t="shared" si="11"/>
        <v>0</v>
      </c>
      <c r="AF36" s="646">
        <f t="shared" si="11"/>
        <v>0</v>
      </c>
      <c r="AG36" s="646">
        <f t="shared" si="11"/>
        <v>0</v>
      </c>
      <c r="AH36" s="646">
        <f t="shared" si="11"/>
        <v>0</v>
      </c>
      <c r="AI36" s="646">
        <f t="shared" si="11"/>
        <v>0</v>
      </c>
      <c r="AJ36" s="646">
        <f t="shared" si="11"/>
        <v>0</v>
      </c>
      <c r="AK36" s="646">
        <f t="shared" si="11"/>
        <v>0</v>
      </c>
      <c r="AL36" s="646">
        <f t="shared" si="11"/>
        <v>0</v>
      </c>
      <c r="AM36" s="646">
        <f t="shared" si="11"/>
        <v>0</v>
      </c>
    </row>
    <row r="37" spans="2:39" ht="17" thickTop="1">
      <c r="D37" s="641"/>
      <c r="E37" s="641"/>
      <c r="F37" s="641"/>
      <c r="G37" s="641"/>
      <c r="H37" s="641"/>
      <c r="I37" s="641"/>
      <c r="J37" s="641"/>
      <c r="K37" s="641"/>
      <c r="L37" s="641"/>
      <c r="M37" s="641"/>
      <c r="N37" s="641"/>
      <c r="O37" s="642"/>
      <c r="P37" s="641"/>
      <c r="Q37" s="641"/>
      <c r="R37" s="641"/>
      <c r="S37" s="641"/>
      <c r="T37" s="641"/>
      <c r="U37" s="641"/>
      <c r="V37" s="641"/>
      <c r="W37" s="641"/>
      <c r="X37" s="641"/>
      <c r="Y37" s="641"/>
      <c r="Z37" s="641"/>
      <c r="AA37" s="642"/>
      <c r="AB37" s="641"/>
      <c r="AC37" s="641"/>
      <c r="AD37" s="641"/>
      <c r="AE37" s="641"/>
      <c r="AF37" s="641"/>
      <c r="AG37" s="641"/>
      <c r="AH37" s="641"/>
      <c r="AI37" s="641"/>
      <c r="AJ37" s="641"/>
      <c r="AK37" s="641"/>
      <c r="AL37" s="641"/>
      <c r="AM37" s="641"/>
    </row>
    <row r="38" spans="2:39" s="409" customFormat="1" ht="18">
      <c r="B38" s="636" t="s">
        <v>38</v>
      </c>
      <c r="D38" s="410"/>
      <c r="E38" s="410"/>
      <c r="F38" s="410"/>
      <c r="G38" s="410"/>
      <c r="H38" s="410"/>
      <c r="I38" s="410"/>
      <c r="J38" s="410"/>
      <c r="K38" s="410"/>
      <c r="L38" s="410"/>
      <c r="M38" s="410"/>
      <c r="N38" s="410"/>
      <c r="O38" s="411"/>
      <c r="P38" s="433"/>
      <c r="Q38" s="410"/>
      <c r="R38" s="410"/>
      <c r="S38" s="410"/>
      <c r="T38" s="410"/>
      <c r="U38" s="410"/>
      <c r="V38" s="410"/>
      <c r="W38" s="410"/>
      <c r="X38" s="410"/>
      <c r="Y38" s="410"/>
      <c r="Z38" s="410"/>
      <c r="AA38" s="411"/>
      <c r="AB38" s="433"/>
      <c r="AC38" s="410"/>
      <c r="AD38" s="410"/>
      <c r="AE38" s="410"/>
      <c r="AF38" s="410"/>
      <c r="AG38" s="410"/>
      <c r="AH38" s="410"/>
      <c r="AI38" s="410"/>
      <c r="AJ38" s="410"/>
      <c r="AK38" s="410"/>
      <c r="AL38" s="410"/>
      <c r="AM38" s="410"/>
    </row>
    <row r="39" spans="2:39" s="390" customFormat="1" ht="12" customHeight="1">
      <c r="D39" s="422"/>
      <c r="E39" s="422"/>
      <c r="F39" s="422"/>
      <c r="G39" s="422"/>
      <c r="H39" s="422"/>
      <c r="I39" s="422"/>
      <c r="J39" s="422"/>
      <c r="K39" s="422"/>
      <c r="L39" s="422"/>
      <c r="M39" s="422"/>
      <c r="N39" s="422"/>
      <c r="O39" s="423"/>
      <c r="P39" s="421"/>
      <c r="Q39" s="422"/>
      <c r="R39" s="422"/>
      <c r="S39" s="422"/>
      <c r="T39" s="422"/>
      <c r="U39" s="422"/>
      <c r="V39" s="422"/>
      <c r="W39" s="422"/>
      <c r="X39" s="422"/>
      <c r="Y39" s="422"/>
      <c r="Z39" s="422"/>
      <c r="AA39" s="423"/>
      <c r="AB39" s="421"/>
      <c r="AC39" s="422"/>
      <c r="AD39" s="422"/>
      <c r="AE39" s="422"/>
      <c r="AF39" s="422"/>
      <c r="AG39" s="422"/>
      <c r="AH39" s="422"/>
      <c r="AI39" s="422"/>
      <c r="AJ39" s="422"/>
      <c r="AK39" s="422"/>
      <c r="AL39" s="422"/>
      <c r="AM39" s="422"/>
    </row>
    <row r="40" spans="2:39" s="390" customFormat="1">
      <c r="B40" s="457" t="s">
        <v>92</v>
      </c>
      <c r="C40" s="358"/>
      <c r="D40" s="421"/>
      <c r="E40" s="421"/>
      <c r="F40" s="421"/>
      <c r="G40" s="421"/>
      <c r="H40" s="421"/>
      <c r="I40" s="421"/>
      <c r="J40" s="421"/>
      <c r="K40" s="421"/>
      <c r="L40" s="421"/>
      <c r="M40" s="421"/>
      <c r="N40" s="421"/>
      <c r="O40" s="423"/>
      <c r="P40" s="421"/>
      <c r="Q40" s="421"/>
      <c r="R40" s="421"/>
      <c r="S40" s="421"/>
      <c r="T40" s="421"/>
      <c r="U40" s="421"/>
      <c r="V40" s="421"/>
      <c r="W40" s="421"/>
      <c r="X40" s="421"/>
      <c r="Y40" s="421"/>
      <c r="Z40" s="421"/>
      <c r="AA40" s="423"/>
      <c r="AB40" s="421"/>
      <c r="AC40" s="421"/>
      <c r="AD40" s="421"/>
      <c r="AE40" s="421"/>
      <c r="AF40" s="421"/>
      <c r="AG40" s="421"/>
      <c r="AH40" s="421"/>
      <c r="AI40" s="421"/>
      <c r="AJ40" s="421"/>
      <c r="AK40" s="421"/>
      <c r="AL40" s="421"/>
      <c r="AM40" s="421"/>
    </row>
    <row r="41" spans="2:39" s="390" customFormat="1">
      <c r="B41" s="648" t="s">
        <v>150</v>
      </c>
      <c r="C41" s="649"/>
      <c r="D41" s="650">
        <f t="shared" ref="D41:AM41" si="12">D130</f>
        <v>60000</v>
      </c>
      <c r="E41" s="650">
        <f t="shared" si="12"/>
        <v>0</v>
      </c>
      <c r="F41" s="650">
        <f t="shared" si="12"/>
        <v>0</v>
      </c>
      <c r="G41" s="650">
        <f t="shared" si="12"/>
        <v>0</v>
      </c>
      <c r="H41" s="650">
        <f t="shared" si="12"/>
        <v>0</v>
      </c>
      <c r="I41" s="650">
        <f t="shared" si="12"/>
        <v>0</v>
      </c>
      <c r="J41" s="650">
        <f t="shared" si="12"/>
        <v>0</v>
      </c>
      <c r="K41" s="650">
        <f t="shared" si="12"/>
        <v>0</v>
      </c>
      <c r="L41" s="650">
        <f t="shared" si="12"/>
        <v>0</v>
      </c>
      <c r="M41" s="650">
        <f t="shared" si="12"/>
        <v>0</v>
      </c>
      <c r="N41" s="650">
        <f t="shared" si="12"/>
        <v>0</v>
      </c>
      <c r="O41" s="651">
        <f t="shared" si="12"/>
        <v>0</v>
      </c>
      <c r="P41" s="650">
        <f t="shared" si="12"/>
        <v>0</v>
      </c>
      <c r="Q41" s="650">
        <f t="shared" si="12"/>
        <v>0</v>
      </c>
      <c r="R41" s="650">
        <f t="shared" si="12"/>
        <v>0</v>
      </c>
      <c r="S41" s="650">
        <f t="shared" si="12"/>
        <v>0</v>
      </c>
      <c r="T41" s="650">
        <f t="shared" si="12"/>
        <v>252000</v>
      </c>
      <c r="U41" s="650">
        <f t="shared" si="12"/>
        <v>0</v>
      </c>
      <c r="V41" s="650">
        <f t="shared" si="12"/>
        <v>0</v>
      </c>
      <c r="W41" s="650">
        <f t="shared" si="12"/>
        <v>0</v>
      </c>
      <c r="X41" s="650">
        <f t="shared" si="12"/>
        <v>0</v>
      </c>
      <c r="Y41" s="650">
        <f t="shared" si="12"/>
        <v>0</v>
      </c>
      <c r="Z41" s="650">
        <f t="shared" si="12"/>
        <v>0</v>
      </c>
      <c r="AA41" s="651">
        <f t="shared" si="12"/>
        <v>0</v>
      </c>
      <c r="AB41" s="650">
        <f t="shared" si="12"/>
        <v>0</v>
      </c>
      <c r="AC41" s="650">
        <f t="shared" si="12"/>
        <v>0</v>
      </c>
      <c r="AD41" s="650">
        <f t="shared" si="12"/>
        <v>0</v>
      </c>
      <c r="AE41" s="650">
        <f t="shared" si="12"/>
        <v>0</v>
      </c>
      <c r="AF41" s="650">
        <f t="shared" si="12"/>
        <v>0</v>
      </c>
      <c r="AG41" s="650">
        <f t="shared" si="12"/>
        <v>0</v>
      </c>
      <c r="AH41" s="650">
        <f t="shared" si="12"/>
        <v>0</v>
      </c>
      <c r="AI41" s="650">
        <f t="shared" si="12"/>
        <v>0</v>
      </c>
      <c r="AJ41" s="650">
        <f t="shared" si="12"/>
        <v>0</v>
      </c>
      <c r="AK41" s="650">
        <f t="shared" si="12"/>
        <v>0</v>
      </c>
      <c r="AL41" s="650">
        <f t="shared" si="12"/>
        <v>0</v>
      </c>
      <c r="AM41" s="650">
        <f t="shared" si="12"/>
        <v>0</v>
      </c>
    </row>
    <row r="42" spans="2:39" s="390" customFormat="1">
      <c r="B42" s="652" t="s">
        <v>147</v>
      </c>
      <c r="C42" s="358"/>
      <c r="D42" s="421">
        <f t="shared" ref="D42:AM42" si="13">D134</f>
        <v>250000</v>
      </c>
      <c r="E42" s="421">
        <f t="shared" si="13"/>
        <v>0</v>
      </c>
      <c r="F42" s="421">
        <f t="shared" si="13"/>
        <v>0</v>
      </c>
      <c r="G42" s="421">
        <f t="shared" si="13"/>
        <v>0</v>
      </c>
      <c r="H42" s="421">
        <f t="shared" si="13"/>
        <v>0</v>
      </c>
      <c r="I42" s="421">
        <f t="shared" si="13"/>
        <v>0</v>
      </c>
      <c r="J42" s="421">
        <f t="shared" si="13"/>
        <v>0</v>
      </c>
      <c r="K42" s="421">
        <f t="shared" si="13"/>
        <v>0</v>
      </c>
      <c r="L42" s="421">
        <f t="shared" si="13"/>
        <v>0</v>
      </c>
      <c r="M42" s="421">
        <f t="shared" si="13"/>
        <v>0</v>
      </c>
      <c r="N42" s="421">
        <f t="shared" si="13"/>
        <v>0</v>
      </c>
      <c r="O42" s="423">
        <f t="shared" si="13"/>
        <v>0</v>
      </c>
      <c r="P42" s="421">
        <f t="shared" si="13"/>
        <v>0</v>
      </c>
      <c r="Q42" s="421">
        <f t="shared" si="13"/>
        <v>0</v>
      </c>
      <c r="R42" s="421">
        <f t="shared" si="13"/>
        <v>0</v>
      </c>
      <c r="S42" s="421">
        <f t="shared" si="13"/>
        <v>0</v>
      </c>
      <c r="T42" s="421">
        <f t="shared" si="13"/>
        <v>0</v>
      </c>
      <c r="U42" s="421">
        <f t="shared" si="13"/>
        <v>0</v>
      </c>
      <c r="V42" s="421">
        <f t="shared" si="13"/>
        <v>0</v>
      </c>
      <c r="W42" s="421">
        <f t="shared" si="13"/>
        <v>0</v>
      </c>
      <c r="X42" s="421">
        <f t="shared" si="13"/>
        <v>0</v>
      </c>
      <c r="Y42" s="421">
        <f t="shared" si="13"/>
        <v>0</v>
      </c>
      <c r="Z42" s="421">
        <f t="shared" si="13"/>
        <v>0</v>
      </c>
      <c r="AA42" s="423">
        <f t="shared" si="13"/>
        <v>0</v>
      </c>
      <c r="AB42" s="421">
        <f t="shared" si="13"/>
        <v>0</v>
      </c>
      <c r="AC42" s="421">
        <f t="shared" si="13"/>
        <v>0</v>
      </c>
      <c r="AD42" s="421">
        <f t="shared" si="13"/>
        <v>0</v>
      </c>
      <c r="AE42" s="421">
        <f t="shared" si="13"/>
        <v>0</v>
      </c>
      <c r="AF42" s="421">
        <f t="shared" si="13"/>
        <v>0</v>
      </c>
      <c r="AG42" s="421">
        <f t="shared" si="13"/>
        <v>0</v>
      </c>
      <c r="AH42" s="421">
        <f t="shared" si="13"/>
        <v>0</v>
      </c>
      <c r="AI42" s="421">
        <f t="shared" si="13"/>
        <v>0</v>
      </c>
      <c r="AJ42" s="421">
        <f t="shared" si="13"/>
        <v>0</v>
      </c>
      <c r="AK42" s="421">
        <f t="shared" si="13"/>
        <v>0</v>
      </c>
      <c r="AL42" s="421">
        <f t="shared" si="13"/>
        <v>0</v>
      </c>
      <c r="AM42" s="421">
        <f t="shared" si="13"/>
        <v>0</v>
      </c>
    </row>
    <row r="43" spans="2:39" s="390" customFormat="1">
      <c r="B43" s="643" t="s">
        <v>148</v>
      </c>
      <c r="C43" s="653"/>
      <c r="D43" s="430">
        <f>D139</f>
        <v>50000</v>
      </c>
      <c r="E43" s="430"/>
      <c r="F43" s="430"/>
      <c r="G43" s="430"/>
      <c r="H43" s="430"/>
      <c r="I43" s="430"/>
      <c r="J43" s="430"/>
      <c r="K43" s="430"/>
      <c r="L43" s="430"/>
      <c r="M43" s="430"/>
      <c r="N43" s="430"/>
      <c r="O43" s="431"/>
      <c r="P43" s="430"/>
      <c r="Q43" s="430"/>
      <c r="R43" s="430"/>
      <c r="S43" s="430"/>
      <c r="T43" s="430"/>
      <c r="U43" s="430"/>
      <c r="V43" s="430"/>
      <c r="W43" s="430"/>
      <c r="X43" s="430"/>
      <c r="Y43" s="430"/>
      <c r="Z43" s="430"/>
      <c r="AA43" s="431"/>
      <c r="AB43" s="430"/>
      <c r="AC43" s="430"/>
      <c r="AD43" s="430"/>
      <c r="AE43" s="430"/>
      <c r="AF43" s="430"/>
      <c r="AG43" s="430"/>
      <c r="AH43" s="430"/>
      <c r="AI43" s="430"/>
      <c r="AJ43" s="430"/>
      <c r="AK43" s="430"/>
      <c r="AL43" s="430"/>
      <c r="AM43" s="430"/>
    </row>
    <row r="44" spans="2:39" s="390" customFormat="1">
      <c r="B44" s="640"/>
      <c r="D44" s="421">
        <f t="shared" ref="D44:AM44" si="14">SUM(D41:D43)</f>
        <v>360000</v>
      </c>
      <c r="E44" s="421">
        <f t="shared" si="14"/>
        <v>0</v>
      </c>
      <c r="F44" s="421">
        <f t="shared" si="14"/>
        <v>0</v>
      </c>
      <c r="G44" s="421">
        <f t="shared" si="14"/>
        <v>0</v>
      </c>
      <c r="H44" s="421">
        <f t="shared" si="14"/>
        <v>0</v>
      </c>
      <c r="I44" s="421">
        <f t="shared" si="14"/>
        <v>0</v>
      </c>
      <c r="J44" s="421">
        <f t="shared" si="14"/>
        <v>0</v>
      </c>
      <c r="K44" s="421">
        <f t="shared" si="14"/>
        <v>0</v>
      </c>
      <c r="L44" s="421">
        <f t="shared" si="14"/>
        <v>0</v>
      </c>
      <c r="M44" s="421">
        <f t="shared" si="14"/>
        <v>0</v>
      </c>
      <c r="N44" s="421">
        <f t="shared" si="14"/>
        <v>0</v>
      </c>
      <c r="O44" s="423">
        <f t="shared" si="14"/>
        <v>0</v>
      </c>
      <c r="P44" s="421">
        <f t="shared" si="14"/>
        <v>0</v>
      </c>
      <c r="Q44" s="421">
        <f t="shared" si="14"/>
        <v>0</v>
      </c>
      <c r="R44" s="421">
        <f t="shared" si="14"/>
        <v>0</v>
      </c>
      <c r="S44" s="421">
        <f t="shared" si="14"/>
        <v>0</v>
      </c>
      <c r="T44" s="421">
        <f t="shared" si="14"/>
        <v>252000</v>
      </c>
      <c r="U44" s="421">
        <f t="shared" si="14"/>
        <v>0</v>
      </c>
      <c r="V44" s="421">
        <f t="shared" si="14"/>
        <v>0</v>
      </c>
      <c r="W44" s="421">
        <f t="shared" si="14"/>
        <v>0</v>
      </c>
      <c r="X44" s="421">
        <f t="shared" si="14"/>
        <v>0</v>
      </c>
      <c r="Y44" s="421">
        <f t="shared" si="14"/>
        <v>0</v>
      </c>
      <c r="Z44" s="421">
        <f t="shared" si="14"/>
        <v>0</v>
      </c>
      <c r="AA44" s="423">
        <f t="shared" si="14"/>
        <v>0</v>
      </c>
      <c r="AB44" s="421">
        <f t="shared" si="14"/>
        <v>0</v>
      </c>
      <c r="AC44" s="421">
        <f t="shared" si="14"/>
        <v>0</v>
      </c>
      <c r="AD44" s="421">
        <f t="shared" si="14"/>
        <v>0</v>
      </c>
      <c r="AE44" s="421">
        <f t="shared" si="14"/>
        <v>0</v>
      </c>
      <c r="AF44" s="421">
        <f t="shared" si="14"/>
        <v>0</v>
      </c>
      <c r="AG44" s="421">
        <f t="shared" si="14"/>
        <v>0</v>
      </c>
      <c r="AH44" s="421">
        <f t="shared" si="14"/>
        <v>0</v>
      </c>
      <c r="AI44" s="421">
        <f t="shared" si="14"/>
        <v>0</v>
      </c>
      <c r="AJ44" s="421">
        <f t="shared" si="14"/>
        <v>0</v>
      </c>
      <c r="AK44" s="421">
        <f t="shared" si="14"/>
        <v>0</v>
      </c>
      <c r="AL44" s="421">
        <f t="shared" si="14"/>
        <v>0</v>
      </c>
      <c r="AM44" s="421">
        <f t="shared" si="14"/>
        <v>0</v>
      </c>
    </row>
    <row r="45" spans="2:39" s="390" customFormat="1" ht="12" customHeight="1">
      <c r="B45" s="457"/>
      <c r="D45" s="422"/>
      <c r="E45" s="422"/>
      <c r="F45" s="422"/>
      <c r="G45" s="422"/>
      <c r="H45" s="422"/>
      <c r="I45" s="422"/>
      <c r="J45" s="422"/>
      <c r="K45" s="422"/>
      <c r="L45" s="422"/>
      <c r="M45" s="422"/>
      <c r="N45" s="422"/>
      <c r="O45" s="423"/>
      <c r="P45" s="421"/>
      <c r="Q45" s="422"/>
      <c r="R45" s="422"/>
      <c r="S45" s="422"/>
      <c r="T45" s="422"/>
      <c r="U45" s="422"/>
      <c r="V45" s="422"/>
      <c r="W45" s="422"/>
      <c r="X45" s="422"/>
      <c r="Y45" s="422"/>
      <c r="Z45" s="422"/>
      <c r="AA45" s="423"/>
      <c r="AB45" s="421"/>
      <c r="AC45" s="422"/>
      <c r="AD45" s="422"/>
      <c r="AE45" s="422"/>
      <c r="AF45" s="422"/>
      <c r="AG45" s="422"/>
      <c r="AH45" s="422"/>
      <c r="AI45" s="422"/>
      <c r="AJ45" s="422"/>
      <c r="AK45" s="422"/>
      <c r="AL45" s="422"/>
      <c r="AM45" s="422"/>
    </row>
    <row r="46" spans="2:39" s="390" customFormat="1">
      <c r="B46" s="457" t="s">
        <v>94</v>
      </c>
      <c r="C46" s="358"/>
      <c r="D46" s="421"/>
      <c r="E46" s="421"/>
      <c r="F46" s="421"/>
      <c r="G46" s="421"/>
      <c r="H46" s="421"/>
      <c r="I46" s="421"/>
      <c r="J46" s="421"/>
      <c r="K46" s="421"/>
      <c r="L46" s="421"/>
      <c r="M46" s="421"/>
      <c r="N46" s="421"/>
      <c r="O46" s="423"/>
      <c r="P46" s="421"/>
      <c r="Q46" s="421"/>
      <c r="R46" s="421"/>
      <c r="S46" s="421"/>
      <c r="T46" s="421"/>
      <c r="U46" s="421"/>
      <c r="V46" s="421"/>
      <c r="W46" s="421"/>
      <c r="X46" s="421"/>
      <c r="Y46" s="421"/>
      <c r="Z46" s="421"/>
      <c r="AA46" s="423"/>
      <c r="AB46" s="421"/>
      <c r="AC46" s="421"/>
      <c r="AD46" s="421"/>
      <c r="AE46" s="421"/>
      <c r="AF46" s="421"/>
      <c r="AG46" s="421"/>
      <c r="AH46" s="421"/>
      <c r="AI46" s="421"/>
      <c r="AJ46" s="421"/>
      <c r="AK46" s="421"/>
      <c r="AL46" s="421"/>
      <c r="AM46" s="421"/>
    </row>
    <row r="47" spans="2:39" s="390" customFormat="1">
      <c r="B47" s="654" t="s">
        <v>149</v>
      </c>
      <c r="C47" s="649"/>
      <c r="D47" s="650">
        <f t="shared" ref="D47:AM47" si="15">-D140</f>
        <v>-682.26181843607878</v>
      </c>
      <c r="E47" s="650">
        <f t="shared" si="15"/>
        <v>-686.75337540744954</v>
      </c>
      <c r="F47" s="650">
        <f t="shared" si="15"/>
        <v>-691.27450179554864</v>
      </c>
      <c r="G47" s="650">
        <f t="shared" si="15"/>
        <v>-695.8253922657027</v>
      </c>
      <c r="H47" s="650">
        <f t="shared" si="15"/>
        <v>-700.40624276478525</v>
      </c>
      <c r="I47" s="650">
        <f t="shared" si="15"/>
        <v>-705.01725052965344</v>
      </c>
      <c r="J47" s="650">
        <f t="shared" si="15"/>
        <v>-709.65861409564025</v>
      </c>
      <c r="K47" s="650">
        <f t="shared" si="15"/>
        <v>-714.33053330510324</v>
      </c>
      <c r="L47" s="650">
        <f t="shared" si="15"/>
        <v>-719.03320931602855</v>
      </c>
      <c r="M47" s="650">
        <f t="shared" si="15"/>
        <v>-723.76684461069237</v>
      </c>
      <c r="N47" s="650">
        <f t="shared" si="15"/>
        <v>-728.53164300437948</v>
      </c>
      <c r="O47" s="651">
        <f t="shared" si="15"/>
        <v>-733.32780965415827</v>
      </c>
      <c r="P47" s="650">
        <f t="shared" si="15"/>
        <v>-738.15555106771467</v>
      </c>
      <c r="Q47" s="650">
        <f t="shared" si="15"/>
        <v>-743.01507511224395</v>
      </c>
      <c r="R47" s="650">
        <f t="shared" si="15"/>
        <v>-747.90659102339953</v>
      </c>
      <c r="S47" s="650">
        <f t="shared" si="15"/>
        <v>-752.83030941430354</v>
      </c>
      <c r="T47" s="650">
        <f t="shared" si="15"/>
        <v>-757.7864422846144</v>
      </c>
      <c r="U47" s="650">
        <f t="shared" si="15"/>
        <v>-762.77520302965479</v>
      </c>
      <c r="V47" s="650">
        <f t="shared" si="15"/>
        <v>-767.79680644960001</v>
      </c>
      <c r="W47" s="650">
        <f t="shared" si="15"/>
        <v>-772.85146875872647</v>
      </c>
      <c r="X47" s="650">
        <f t="shared" si="15"/>
        <v>-777.9394075947215</v>
      </c>
      <c r="Y47" s="650">
        <f t="shared" si="15"/>
        <v>-783.06084202805334</v>
      </c>
      <c r="Z47" s="650">
        <f t="shared" si="15"/>
        <v>-788.21599257140474</v>
      </c>
      <c r="AA47" s="651">
        <f t="shared" si="15"/>
        <v>-793.40508118916648</v>
      </c>
      <c r="AB47" s="650">
        <f t="shared" si="15"/>
        <v>-798.62833130699516</v>
      </c>
      <c r="AC47" s="650">
        <f t="shared" si="15"/>
        <v>-803.88596782143281</v>
      </c>
      <c r="AD47" s="650">
        <f t="shared" si="15"/>
        <v>-809.17821710959061</v>
      </c>
      <c r="AE47" s="650">
        <f t="shared" si="15"/>
        <v>-814.50530703889547</v>
      </c>
      <c r="AF47" s="650">
        <f t="shared" si="15"/>
        <v>-819.86746697690148</v>
      </c>
      <c r="AG47" s="650">
        <f t="shared" si="15"/>
        <v>-825.2649278011661</v>
      </c>
      <c r="AH47" s="650">
        <f t="shared" si="15"/>
        <v>-830.69792190919043</v>
      </c>
      <c r="AI47" s="650">
        <f t="shared" si="15"/>
        <v>-836.166683228426</v>
      </c>
      <c r="AJ47" s="650">
        <f t="shared" si="15"/>
        <v>-841.67144722634646</v>
      </c>
      <c r="AK47" s="650">
        <f t="shared" si="15"/>
        <v>-847.21245092058655</v>
      </c>
      <c r="AL47" s="650">
        <f t="shared" si="15"/>
        <v>-852.78993288914705</v>
      </c>
      <c r="AM47" s="650">
        <f t="shared" si="15"/>
        <v>-858.40413328066722</v>
      </c>
    </row>
    <row r="48" spans="2:39" s="390" customFormat="1">
      <c r="B48" s="640" t="s">
        <v>145</v>
      </c>
      <c r="C48" s="358"/>
      <c r="D48" s="421">
        <f t="shared" ref="D48:AM48" si="16">D135</f>
        <v>0</v>
      </c>
      <c r="E48" s="421">
        <f t="shared" si="16"/>
        <v>0</v>
      </c>
      <c r="F48" s="421">
        <f t="shared" si="16"/>
        <v>0</v>
      </c>
      <c r="G48" s="421">
        <f t="shared" si="16"/>
        <v>0</v>
      </c>
      <c r="H48" s="421">
        <f t="shared" si="16"/>
        <v>0</v>
      </c>
      <c r="I48" s="421">
        <f t="shared" si="16"/>
        <v>0</v>
      </c>
      <c r="J48" s="421">
        <f t="shared" si="16"/>
        <v>0</v>
      </c>
      <c r="K48" s="421">
        <f t="shared" si="16"/>
        <v>0</v>
      </c>
      <c r="L48" s="421">
        <f t="shared" si="16"/>
        <v>0</v>
      </c>
      <c r="M48" s="421">
        <f t="shared" si="16"/>
        <v>0</v>
      </c>
      <c r="N48" s="421">
        <f t="shared" si="16"/>
        <v>0</v>
      </c>
      <c r="O48" s="423">
        <f t="shared" si="16"/>
        <v>0</v>
      </c>
      <c r="P48" s="421">
        <f t="shared" si="16"/>
        <v>0</v>
      </c>
      <c r="Q48" s="421">
        <f t="shared" si="16"/>
        <v>-50000</v>
      </c>
      <c r="R48" s="421">
        <f t="shared" si="16"/>
        <v>0</v>
      </c>
      <c r="S48" s="421">
        <f t="shared" si="16"/>
        <v>0</v>
      </c>
      <c r="T48" s="421">
        <f t="shared" si="16"/>
        <v>0</v>
      </c>
      <c r="U48" s="421">
        <f t="shared" si="16"/>
        <v>0</v>
      </c>
      <c r="V48" s="421">
        <f t="shared" si="16"/>
        <v>0</v>
      </c>
      <c r="W48" s="421">
        <f t="shared" si="16"/>
        <v>0</v>
      </c>
      <c r="X48" s="421">
        <f t="shared" si="16"/>
        <v>0</v>
      </c>
      <c r="Y48" s="421">
        <f t="shared" si="16"/>
        <v>0</v>
      </c>
      <c r="Z48" s="421">
        <f t="shared" si="16"/>
        <v>0</v>
      </c>
      <c r="AA48" s="423">
        <f t="shared" si="16"/>
        <v>0</v>
      </c>
      <c r="AB48" s="421">
        <f t="shared" si="16"/>
        <v>0</v>
      </c>
      <c r="AC48" s="421">
        <f t="shared" si="16"/>
        <v>-75000</v>
      </c>
      <c r="AD48" s="421">
        <f t="shared" si="16"/>
        <v>0</v>
      </c>
      <c r="AE48" s="421">
        <f t="shared" si="16"/>
        <v>0</v>
      </c>
      <c r="AF48" s="421">
        <f t="shared" si="16"/>
        <v>0</v>
      </c>
      <c r="AG48" s="421">
        <f t="shared" si="16"/>
        <v>0</v>
      </c>
      <c r="AH48" s="421">
        <f t="shared" si="16"/>
        <v>0</v>
      </c>
      <c r="AI48" s="421">
        <f t="shared" si="16"/>
        <v>0</v>
      </c>
      <c r="AJ48" s="421">
        <f t="shared" si="16"/>
        <v>-25000</v>
      </c>
      <c r="AK48" s="421">
        <f t="shared" si="16"/>
        <v>0</v>
      </c>
      <c r="AL48" s="421">
        <f t="shared" si="16"/>
        <v>0</v>
      </c>
      <c r="AM48" s="421">
        <f t="shared" si="16"/>
        <v>-50000</v>
      </c>
    </row>
    <row r="49" spans="2:39" s="390" customFormat="1">
      <c r="B49" s="643" t="s">
        <v>146</v>
      </c>
      <c r="C49" s="653"/>
      <c r="D49" s="430">
        <f>D143</f>
        <v>0</v>
      </c>
      <c r="E49" s="430">
        <f t="shared" ref="E49:AM49" si="17">E143</f>
        <v>0</v>
      </c>
      <c r="F49" s="430">
        <f t="shared" si="17"/>
        <v>0</v>
      </c>
      <c r="G49" s="430">
        <f t="shared" si="17"/>
        <v>0</v>
      </c>
      <c r="H49" s="430">
        <f t="shared" si="17"/>
        <v>0</v>
      </c>
      <c r="I49" s="430">
        <f t="shared" si="17"/>
        <v>0</v>
      </c>
      <c r="J49" s="430">
        <f t="shared" si="17"/>
        <v>0</v>
      </c>
      <c r="K49" s="430">
        <f t="shared" si="17"/>
        <v>0</v>
      </c>
      <c r="L49" s="430">
        <f t="shared" si="17"/>
        <v>0</v>
      </c>
      <c r="M49" s="430">
        <f t="shared" si="17"/>
        <v>0</v>
      </c>
      <c r="N49" s="430">
        <f t="shared" si="17"/>
        <v>0</v>
      </c>
      <c r="O49" s="431">
        <f t="shared" si="17"/>
        <v>0</v>
      </c>
      <c r="P49" s="430">
        <f t="shared" si="17"/>
        <v>0</v>
      </c>
      <c r="Q49" s="430">
        <f t="shared" si="17"/>
        <v>0</v>
      </c>
      <c r="R49" s="430">
        <f t="shared" si="17"/>
        <v>0</v>
      </c>
      <c r="S49" s="430">
        <f t="shared" si="17"/>
        <v>0</v>
      </c>
      <c r="T49" s="430">
        <f t="shared" si="17"/>
        <v>0</v>
      </c>
      <c r="U49" s="430">
        <f t="shared" si="17"/>
        <v>0</v>
      </c>
      <c r="V49" s="430">
        <f t="shared" si="17"/>
        <v>0</v>
      </c>
      <c r="W49" s="430">
        <f t="shared" si="17"/>
        <v>0</v>
      </c>
      <c r="X49" s="430">
        <f t="shared" si="17"/>
        <v>0</v>
      </c>
      <c r="Y49" s="430">
        <f t="shared" si="17"/>
        <v>0</v>
      </c>
      <c r="Z49" s="430">
        <f t="shared" si="17"/>
        <v>0</v>
      </c>
      <c r="AA49" s="431">
        <f t="shared" si="17"/>
        <v>-10000</v>
      </c>
      <c r="AB49" s="430">
        <f t="shared" si="17"/>
        <v>0</v>
      </c>
      <c r="AC49" s="430">
        <f t="shared" si="17"/>
        <v>0</v>
      </c>
      <c r="AD49" s="430">
        <f t="shared" si="17"/>
        <v>0</v>
      </c>
      <c r="AE49" s="430">
        <f t="shared" si="17"/>
        <v>0</v>
      </c>
      <c r="AF49" s="430">
        <f t="shared" si="17"/>
        <v>0</v>
      </c>
      <c r="AG49" s="430">
        <f t="shared" si="17"/>
        <v>0</v>
      </c>
      <c r="AH49" s="430">
        <f t="shared" si="17"/>
        <v>0</v>
      </c>
      <c r="AI49" s="430">
        <f t="shared" si="17"/>
        <v>0</v>
      </c>
      <c r="AJ49" s="430">
        <f t="shared" si="17"/>
        <v>0</v>
      </c>
      <c r="AK49" s="430">
        <f t="shared" si="17"/>
        <v>0</v>
      </c>
      <c r="AL49" s="430">
        <f t="shared" si="17"/>
        <v>0</v>
      </c>
      <c r="AM49" s="430">
        <f t="shared" si="17"/>
        <v>-10000</v>
      </c>
    </row>
    <row r="50" spans="2:39" s="390" customFormat="1">
      <c r="B50" s="457"/>
      <c r="D50" s="421">
        <f t="shared" ref="D50:AM50" si="18">SUM(D47:D49)</f>
        <v>-682.26181843607878</v>
      </c>
      <c r="E50" s="421">
        <f t="shared" si="18"/>
        <v>-686.75337540744954</v>
      </c>
      <c r="F50" s="421">
        <f t="shared" si="18"/>
        <v>-691.27450179554864</v>
      </c>
      <c r="G50" s="421">
        <f t="shared" si="18"/>
        <v>-695.8253922657027</v>
      </c>
      <c r="H50" s="421">
        <f t="shared" si="18"/>
        <v>-700.40624276478525</v>
      </c>
      <c r="I50" s="421">
        <f t="shared" si="18"/>
        <v>-705.01725052965344</v>
      </c>
      <c r="J50" s="421">
        <f t="shared" si="18"/>
        <v>-709.65861409564025</v>
      </c>
      <c r="K50" s="421">
        <f t="shared" si="18"/>
        <v>-714.33053330510324</v>
      </c>
      <c r="L50" s="421">
        <f t="shared" si="18"/>
        <v>-719.03320931602855</v>
      </c>
      <c r="M50" s="421">
        <f t="shared" si="18"/>
        <v>-723.76684461069237</v>
      </c>
      <c r="N50" s="421">
        <f t="shared" si="18"/>
        <v>-728.53164300437948</v>
      </c>
      <c r="O50" s="423">
        <f t="shared" si="18"/>
        <v>-733.32780965415827</v>
      </c>
      <c r="P50" s="421">
        <f t="shared" si="18"/>
        <v>-738.15555106771467</v>
      </c>
      <c r="Q50" s="421">
        <f t="shared" si="18"/>
        <v>-50743.015075112242</v>
      </c>
      <c r="R50" s="421">
        <f t="shared" si="18"/>
        <v>-747.90659102339953</v>
      </c>
      <c r="S50" s="421">
        <f t="shared" si="18"/>
        <v>-752.83030941430354</v>
      </c>
      <c r="T50" s="421">
        <f t="shared" si="18"/>
        <v>-757.7864422846144</v>
      </c>
      <c r="U50" s="421">
        <f t="shared" si="18"/>
        <v>-762.77520302965479</v>
      </c>
      <c r="V50" s="421">
        <f t="shared" si="18"/>
        <v>-767.79680644960001</v>
      </c>
      <c r="W50" s="421">
        <f t="shared" si="18"/>
        <v>-772.85146875872647</v>
      </c>
      <c r="X50" s="421">
        <f t="shared" si="18"/>
        <v>-777.9394075947215</v>
      </c>
      <c r="Y50" s="421">
        <f t="shared" si="18"/>
        <v>-783.06084202805334</v>
      </c>
      <c r="Z50" s="421">
        <f t="shared" si="18"/>
        <v>-788.21599257140474</v>
      </c>
      <c r="AA50" s="423">
        <f t="shared" si="18"/>
        <v>-10793.405081189167</v>
      </c>
      <c r="AB50" s="421">
        <f t="shared" si="18"/>
        <v>-798.62833130699516</v>
      </c>
      <c r="AC50" s="421">
        <f t="shared" si="18"/>
        <v>-75803.885967821436</v>
      </c>
      <c r="AD50" s="421">
        <f t="shared" si="18"/>
        <v>-809.17821710959061</v>
      </c>
      <c r="AE50" s="421">
        <f t="shared" si="18"/>
        <v>-814.50530703889547</v>
      </c>
      <c r="AF50" s="421">
        <f t="shared" si="18"/>
        <v>-819.86746697690148</v>
      </c>
      <c r="AG50" s="421">
        <f t="shared" si="18"/>
        <v>-825.2649278011661</v>
      </c>
      <c r="AH50" s="421">
        <f t="shared" si="18"/>
        <v>-830.69792190919043</v>
      </c>
      <c r="AI50" s="421">
        <f t="shared" si="18"/>
        <v>-836.166683228426</v>
      </c>
      <c r="AJ50" s="421">
        <f t="shared" si="18"/>
        <v>-25841.671447226345</v>
      </c>
      <c r="AK50" s="421">
        <f t="shared" si="18"/>
        <v>-847.21245092058655</v>
      </c>
      <c r="AL50" s="421">
        <f t="shared" si="18"/>
        <v>-852.78993288914705</v>
      </c>
      <c r="AM50" s="421">
        <f t="shared" si="18"/>
        <v>-60858.404133280666</v>
      </c>
    </row>
    <row r="51" spans="2:39" s="390" customFormat="1">
      <c r="B51" s="457"/>
      <c r="C51" s="358"/>
      <c r="D51" s="422"/>
      <c r="E51" s="422"/>
      <c r="F51" s="422"/>
      <c r="G51" s="422"/>
      <c r="H51" s="422"/>
      <c r="I51" s="422"/>
      <c r="J51" s="422"/>
      <c r="K51" s="422"/>
      <c r="L51" s="422"/>
      <c r="M51" s="422"/>
      <c r="N51" s="422"/>
      <c r="O51" s="423"/>
      <c r="P51" s="421"/>
      <c r="Q51" s="422"/>
      <c r="R51" s="422"/>
      <c r="S51" s="422"/>
      <c r="T51" s="422"/>
      <c r="U51" s="422"/>
      <c r="V51" s="422"/>
      <c r="W51" s="422"/>
      <c r="X51" s="422"/>
      <c r="Y51" s="422"/>
      <c r="Z51" s="422"/>
      <c r="AA51" s="423"/>
      <c r="AB51" s="421"/>
      <c r="AC51" s="422"/>
      <c r="AD51" s="422"/>
      <c r="AE51" s="422"/>
      <c r="AF51" s="422"/>
      <c r="AG51" s="422"/>
      <c r="AH51" s="422"/>
      <c r="AI51" s="422"/>
      <c r="AJ51" s="422"/>
      <c r="AK51" s="422"/>
      <c r="AL51" s="422"/>
      <c r="AM51" s="422"/>
    </row>
    <row r="52" spans="2:39" s="390" customFormat="1" ht="17" thickBot="1">
      <c r="B52" s="655" t="s">
        <v>105</v>
      </c>
      <c r="C52" s="655"/>
      <c r="D52" s="646">
        <f t="shared" ref="D52:AM52" si="19">D44+D50</f>
        <v>359317.73818156391</v>
      </c>
      <c r="E52" s="646">
        <f t="shared" si="19"/>
        <v>-686.75337540744954</v>
      </c>
      <c r="F52" s="646">
        <f t="shared" si="19"/>
        <v>-691.27450179554864</v>
      </c>
      <c r="G52" s="646">
        <f t="shared" si="19"/>
        <v>-695.8253922657027</v>
      </c>
      <c r="H52" s="646">
        <f t="shared" si="19"/>
        <v>-700.40624276478525</v>
      </c>
      <c r="I52" s="646">
        <f t="shared" si="19"/>
        <v>-705.01725052965344</v>
      </c>
      <c r="J52" s="646">
        <f t="shared" si="19"/>
        <v>-709.65861409564025</v>
      </c>
      <c r="K52" s="646">
        <f t="shared" si="19"/>
        <v>-714.33053330510324</v>
      </c>
      <c r="L52" s="646">
        <f t="shared" si="19"/>
        <v>-719.03320931602855</v>
      </c>
      <c r="M52" s="646">
        <f t="shared" si="19"/>
        <v>-723.76684461069237</v>
      </c>
      <c r="N52" s="646">
        <f t="shared" si="19"/>
        <v>-728.53164300437948</v>
      </c>
      <c r="O52" s="647">
        <f t="shared" si="19"/>
        <v>-733.32780965415827</v>
      </c>
      <c r="P52" s="646">
        <f t="shared" si="19"/>
        <v>-738.15555106771467</v>
      </c>
      <c r="Q52" s="646">
        <f t="shared" si="19"/>
        <v>-50743.015075112242</v>
      </c>
      <c r="R52" s="646">
        <f t="shared" si="19"/>
        <v>-747.90659102339953</v>
      </c>
      <c r="S52" s="646">
        <f t="shared" si="19"/>
        <v>-752.83030941430354</v>
      </c>
      <c r="T52" s="646">
        <f t="shared" si="19"/>
        <v>251242.21355771538</v>
      </c>
      <c r="U52" s="646">
        <f t="shared" si="19"/>
        <v>-762.77520302965479</v>
      </c>
      <c r="V52" s="646">
        <f t="shared" si="19"/>
        <v>-767.79680644960001</v>
      </c>
      <c r="W52" s="646">
        <f t="shared" si="19"/>
        <v>-772.85146875872647</v>
      </c>
      <c r="X52" s="646">
        <f t="shared" si="19"/>
        <v>-777.9394075947215</v>
      </c>
      <c r="Y52" s="646">
        <f t="shared" si="19"/>
        <v>-783.06084202805334</v>
      </c>
      <c r="Z52" s="646">
        <f t="shared" si="19"/>
        <v>-788.21599257140474</v>
      </c>
      <c r="AA52" s="647">
        <f t="shared" si="19"/>
        <v>-10793.405081189167</v>
      </c>
      <c r="AB52" s="646">
        <f t="shared" si="19"/>
        <v>-798.62833130699516</v>
      </c>
      <c r="AC52" s="646">
        <f t="shared" si="19"/>
        <v>-75803.885967821436</v>
      </c>
      <c r="AD52" s="646">
        <f t="shared" si="19"/>
        <v>-809.17821710959061</v>
      </c>
      <c r="AE52" s="646">
        <f t="shared" si="19"/>
        <v>-814.50530703889547</v>
      </c>
      <c r="AF52" s="646">
        <f t="shared" si="19"/>
        <v>-819.86746697690148</v>
      </c>
      <c r="AG52" s="646">
        <f t="shared" si="19"/>
        <v>-825.2649278011661</v>
      </c>
      <c r="AH52" s="646">
        <f t="shared" si="19"/>
        <v>-830.69792190919043</v>
      </c>
      <c r="AI52" s="646">
        <f t="shared" si="19"/>
        <v>-836.166683228426</v>
      </c>
      <c r="AJ52" s="646">
        <f t="shared" si="19"/>
        <v>-25841.671447226345</v>
      </c>
      <c r="AK52" s="646">
        <f t="shared" si="19"/>
        <v>-847.21245092058655</v>
      </c>
      <c r="AL52" s="646">
        <f t="shared" si="19"/>
        <v>-852.78993288914705</v>
      </c>
      <c r="AM52" s="646">
        <f t="shared" si="19"/>
        <v>-60858.404133280666</v>
      </c>
    </row>
    <row r="53" spans="2:39" s="390" customFormat="1" ht="17" thickTop="1">
      <c r="B53" s="457"/>
      <c r="D53" s="421"/>
      <c r="E53" s="421"/>
      <c r="F53" s="421"/>
      <c r="G53" s="421"/>
      <c r="H53" s="421"/>
      <c r="I53" s="421"/>
      <c r="J53" s="421"/>
      <c r="K53" s="421"/>
      <c r="L53" s="421"/>
      <c r="M53" s="421"/>
      <c r="N53" s="421"/>
      <c r="O53" s="423"/>
      <c r="P53" s="421"/>
      <c r="Q53" s="421"/>
      <c r="R53" s="421"/>
      <c r="S53" s="421"/>
      <c r="T53" s="421"/>
      <c r="U53" s="421"/>
      <c r="V53" s="421"/>
      <c r="W53" s="421"/>
      <c r="X53" s="421"/>
      <c r="Y53" s="421"/>
      <c r="Z53" s="421"/>
      <c r="AA53" s="423"/>
      <c r="AB53" s="421"/>
      <c r="AC53" s="421"/>
      <c r="AD53" s="421"/>
      <c r="AE53" s="421"/>
      <c r="AF53" s="421"/>
      <c r="AG53" s="421"/>
      <c r="AH53" s="421"/>
      <c r="AI53" s="421"/>
      <c r="AJ53" s="421"/>
      <c r="AK53" s="421"/>
      <c r="AL53" s="421"/>
      <c r="AM53" s="421"/>
    </row>
    <row r="54" spans="2:39" s="390" customFormat="1">
      <c r="B54" s="457"/>
      <c r="D54" s="422"/>
      <c r="E54" s="422"/>
      <c r="F54" s="422"/>
      <c r="G54" s="422"/>
      <c r="H54" s="422"/>
      <c r="I54" s="422"/>
      <c r="J54" s="422"/>
      <c r="K54" s="422"/>
      <c r="L54" s="422"/>
      <c r="M54" s="422"/>
      <c r="N54" s="422"/>
      <c r="O54" s="423"/>
      <c r="P54" s="421"/>
      <c r="Q54" s="422"/>
      <c r="R54" s="422"/>
      <c r="S54" s="422"/>
      <c r="T54" s="422"/>
      <c r="U54" s="422"/>
      <c r="V54" s="422"/>
      <c r="W54" s="422"/>
      <c r="X54" s="422"/>
      <c r="Y54" s="422"/>
      <c r="Z54" s="422"/>
      <c r="AA54" s="423"/>
      <c r="AB54" s="421"/>
      <c r="AC54" s="422"/>
      <c r="AD54" s="422"/>
      <c r="AE54" s="422"/>
      <c r="AF54" s="422"/>
      <c r="AG54" s="422"/>
      <c r="AH54" s="422"/>
      <c r="AI54" s="422"/>
      <c r="AJ54" s="422"/>
      <c r="AK54" s="422"/>
      <c r="AL54" s="422"/>
      <c r="AM54" s="422"/>
    </row>
    <row r="55" spans="2:39" s="409" customFormat="1" ht="17" thickBot="1">
      <c r="B55" s="656" t="s">
        <v>106</v>
      </c>
      <c r="C55" s="657"/>
      <c r="D55" s="658">
        <f t="shared" ref="D55:AM55" si="20">D24+D36+D52</f>
        <v>323577.93172323058</v>
      </c>
      <c r="E55" s="658">
        <f t="shared" si="20"/>
        <v>-62592.015952855123</v>
      </c>
      <c r="F55" s="658">
        <f t="shared" si="20"/>
        <v>-27340.913055646557</v>
      </c>
      <c r="G55" s="658">
        <f t="shared" si="20"/>
        <v>-11253.355324857988</v>
      </c>
      <c r="H55" s="658">
        <f t="shared" si="20"/>
        <v>3191.5711800408708</v>
      </c>
      <c r="I55" s="658">
        <f t="shared" si="20"/>
        <v>-13313.166049969415</v>
      </c>
      <c r="J55" s="658">
        <f t="shared" si="20"/>
        <v>-6432.6042383339864</v>
      </c>
      <c r="K55" s="658">
        <f t="shared" si="20"/>
        <v>8495.8018553654438</v>
      </c>
      <c r="L55" s="658">
        <f t="shared" si="20"/>
        <v>-11053.666643803135</v>
      </c>
      <c r="M55" s="658">
        <f t="shared" si="20"/>
        <v>-1801.6097030362666</v>
      </c>
      <c r="N55" s="658">
        <f t="shared" si="20"/>
        <v>12672.852644204871</v>
      </c>
      <c r="O55" s="659">
        <f t="shared" si="20"/>
        <v>-8136.6511881825463</v>
      </c>
      <c r="P55" s="658">
        <f t="shared" si="20"/>
        <v>-10246.288852943881</v>
      </c>
      <c r="Q55" s="658">
        <f t="shared" si="20"/>
        <v>-50683.8926215385</v>
      </c>
      <c r="R55" s="658">
        <f t="shared" si="20"/>
        <v>-13709.220808410153</v>
      </c>
      <c r="S55" s="658">
        <f t="shared" si="20"/>
        <v>1585.1165778779555</v>
      </c>
      <c r="T55" s="658">
        <f t="shared" si="20"/>
        <v>275564.35833083419</v>
      </c>
      <c r="U55" s="658">
        <f t="shared" si="20"/>
        <v>-9688.8062488628784</v>
      </c>
      <c r="V55" s="658">
        <f t="shared" si="20"/>
        <v>8956.8286788023706</v>
      </c>
      <c r="W55" s="658">
        <f t="shared" si="20"/>
        <v>29265.293006472228</v>
      </c>
      <c r="X55" s="658">
        <f t="shared" ca="1" si="20"/>
        <v>-50423.762913067214</v>
      </c>
      <c r="Y55" s="658">
        <f t="shared" si="20"/>
        <v>10349.234896669581</v>
      </c>
      <c r="Z55" s="658">
        <f t="shared" si="20"/>
        <v>31213.174318450521</v>
      </c>
      <c r="AA55" s="659">
        <f t="shared" si="20"/>
        <v>-24587.553256159983</v>
      </c>
      <c r="AB55" s="658">
        <f t="shared" si="20"/>
        <v>-1353.1921649115766</v>
      </c>
      <c r="AC55" s="658">
        <f t="shared" si="20"/>
        <v>-54080.106459025832</v>
      </c>
      <c r="AD55" s="658">
        <f t="shared" si="20"/>
        <v>-20803.042017610212</v>
      </c>
      <c r="AE55" s="658">
        <f t="shared" si="20"/>
        <v>9380.8716175485188</v>
      </c>
      <c r="AF55" s="658">
        <f t="shared" si="20"/>
        <v>41463.38535264528</v>
      </c>
      <c r="AG55" s="658">
        <f t="shared" si="20"/>
        <v>-18287.913481699041</v>
      </c>
      <c r="AH55" s="658">
        <f t="shared" si="20"/>
        <v>18892.39428639429</v>
      </c>
      <c r="AI55" s="658">
        <f t="shared" si="20"/>
        <v>49969.179714615151</v>
      </c>
      <c r="AJ55" s="658">
        <f t="shared" ca="1" si="20"/>
        <v>-43794.658267416758</v>
      </c>
      <c r="AK55" s="658">
        <f t="shared" si="20"/>
        <v>26362.495058089324</v>
      </c>
      <c r="AL55" s="658">
        <f t="shared" si="20"/>
        <v>56228.771547205462</v>
      </c>
      <c r="AM55" s="658">
        <f t="shared" si="20"/>
        <v>-70927.409677658768</v>
      </c>
    </row>
    <row r="56" spans="2:39" s="390" customFormat="1" ht="17" thickTop="1">
      <c r="B56" s="382"/>
      <c r="C56" s="425"/>
      <c r="D56" s="422"/>
      <c r="E56" s="422"/>
      <c r="F56" s="422"/>
      <c r="G56" s="422"/>
      <c r="H56" s="422"/>
      <c r="I56" s="422"/>
      <c r="J56" s="422"/>
      <c r="K56" s="422"/>
      <c r="L56" s="422"/>
      <c r="M56" s="422"/>
      <c r="N56" s="422"/>
      <c r="O56" s="423"/>
      <c r="P56" s="421"/>
      <c r="Q56" s="422"/>
      <c r="R56" s="422"/>
      <c r="S56" s="422"/>
      <c r="T56" s="422"/>
      <c r="U56" s="422"/>
      <c r="V56" s="422"/>
      <c r="W56" s="422"/>
      <c r="X56" s="422"/>
      <c r="Y56" s="422"/>
      <c r="Z56" s="422"/>
      <c r="AA56" s="423"/>
      <c r="AB56" s="421"/>
      <c r="AC56" s="422"/>
      <c r="AD56" s="422"/>
      <c r="AE56" s="422"/>
      <c r="AF56" s="422"/>
      <c r="AG56" s="422"/>
      <c r="AH56" s="422"/>
      <c r="AI56" s="422"/>
      <c r="AJ56" s="422"/>
      <c r="AK56" s="422"/>
      <c r="AL56" s="422"/>
      <c r="AM56" s="422"/>
    </row>
    <row r="57" spans="2:39" s="390" customFormat="1">
      <c r="B57" s="382" t="s">
        <v>107</v>
      </c>
      <c r="D57" s="422">
        <v>0</v>
      </c>
      <c r="E57" s="422">
        <f t="shared" ref="E57:AM57" si="21">D58</f>
        <v>323577.93172323058</v>
      </c>
      <c r="F57" s="422">
        <f t="shared" si="21"/>
        <v>260985.91577037546</v>
      </c>
      <c r="G57" s="422">
        <f t="shared" si="21"/>
        <v>233645.00271472891</v>
      </c>
      <c r="H57" s="422">
        <f t="shared" si="21"/>
        <v>222391.64738987092</v>
      </c>
      <c r="I57" s="422">
        <f t="shared" si="21"/>
        <v>225583.21856991178</v>
      </c>
      <c r="J57" s="422">
        <f t="shared" si="21"/>
        <v>212270.05251994237</v>
      </c>
      <c r="K57" s="422">
        <f t="shared" si="21"/>
        <v>205837.44828160838</v>
      </c>
      <c r="L57" s="422">
        <f t="shared" si="21"/>
        <v>214333.25013697383</v>
      </c>
      <c r="M57" s="422">
        <f t="shared" si="21"/>
        <v>203279.58349317071</v>
      </c>
      <c r="N57" s="422">
        <f t="shared" si="21"/>
        <v>201477.97379013445</v>
      </c>
      <c r="O57" s="423">
        <f t="shared" si="21"/>
        <v>214150.82643433931</v>
      </c>
      <c r="P57" s="421">
        <f t="shared" si="21"/>
        <v>206014.17524615675</v>
      </c>
      <c r="Q57" s="422">
        <f t="shared" si="21"/>
        <v>195767.88639321286</v>
      </c>
      <c r="R57" s="422">
        <f t="shared" si="21"/>
        <v>145083.99377167434</v>
      </c>
      <c r="S57" s="422">
        <f t="shared" si="21"/>
        <v>131374.7729632642</v>
      </c>
      <c r="T57" s="422">
        <f t="shared" si="21"/>
        <v>132959.88954114215</v>
      </c>
      <c r="U57" s="422">
        <f t="shared" si="21"/>
        <v>408524.24787197635</v>
      </c>
      <c r="V57" s="422">
        <f t="shared" si="21"/>
        <v>398835.44162311347</v>
      </c>
      <c r="W57" s="422">
        <f t="shared" si="21"/>
        <v>407792.27030191582</v>
      </c>
      <c r="X57" s="422">
        <f t="shared" si="21"/>
        <v>437057.56330838805</v>
      </c>
      <c r="Y57" s="422">
        <f t="shared" ca="1" si="21"/>
        <v>386633.80039532087</v>
      </c>
      <c r="Z57" s="422">
        <f t="shared" ca="1" si="21"/>
        <v>396983.03529199044</v>
      </c>
      <c r="AA57" s="423">
        <f t="shared" ca="1" si="21"/>
        <v>428196.20961044094</v>
      </c>
      <c r="AB57" s="421">
        <f t="shared" ca="1" si="21"/>
        <v>403608.65635428095</v>
      </c>
      <c r="AC57" s="422">
        <f t="shared" ca="1" si="21"/>
        <v>402255.46418936935</v>
      </c>
      <c r="AD57" s="422">
        <f t="shared" ca="1" si="21"/>
        <v>348175.35773034353</v>
      </c>
      <c r="AE57" s="422">
        <f t="shared" ca="1" si="21"/>
        <v>327372.31571273331</v>
      </c>
      <c r="AF57" s="422">
        <f t="shared" ca="1" si="21"/>
        <v>336753.18733028183</v>
      </c>
      <c r="AG57" s="422">
        <f t="shared" ca="1" si="21"/>
        <v>378216.57268292713</v>
      </c>
      <c r="AH57" s="422">
        <f t="shared" ca="1" si="21"/>
        <v>359928.65920122806</v>
      </c>
      <c r="AI57" s="422">
        <f t="shared" ca="1" si="21"/>
        <v>378821.05348762235</v>
      </c>
      <c r="AJ57" s="422">
        <f t="shared" ca="1" si="21"/>
        <v>428790.23320223752</v>
      </c>
      <c r="AK57" s="422">
        <f t="shared" ca="1" si="21"/>
        <v>384995.57493482076</v>
      </c>
      <c r="AL57" s="422">
        <f t="shared" ca="1" si="21"/>
        <v>411358.06999291008</v>
      </c>
      <c r="AM57" s="422">
        <f t="shared" ca="1" si="21"/>
        <v>467586.84154011554</v>
      </c>
    </row>
    <row r="58" spans="2:39" s="409" customFormat="1" ht="20" customHeight="1" thickBot="1">
      <c r="B58" s="440" t="s">
        <v>437</v>
      </c>
      <c r="C58" s="660"/>
      <c r="D58" s="442">
        <f t="shared" ref="D58:AM58" si="22">D57+D55</f>
        <v>323577.93172323058</v>
      </c>
      <c r="E58" s="442">
        <f t="shared" si="22"/>
        <v>260985.91577037546</v>
      </c>
      <c r="F58" s="442">
        <f t="shared" si="22"/>
        <v>233645.00271472891</v>
      </c>
      <c r="G58" s="442">
        <f t="shared" si="22"/>
        <v>222391.64738987092</v>
      </c>
      <c r="H58" s="442">
        <f t="shared" si="22"/>
        <v>225583.21856991178</v>
      </c>
      <c r="I58" s="442">
        <f t="shared" si="22"/>
        <v>212270.05251994237</v>
      </c>
      <c r="J58" s="442">
        <f t="shared" si="22"/>
        <v>205837.44828160838</v>
      </c>
      <c r="K58" s="442">
        <f t="shared" si="22"/>
        <v>214333.25013697383</v>
      </c>
      <c r="L58" s="442">
        <f t="shared" si="22"/>
        <v>203279.58349317071</v>
      </c>
      <c r="M58" s="442">
        <f t="shared" si="22"/>
        <v>201477.97379013445</v>
      </c>
      <c r="N58" s="442">
        <f t="shared" si="22"/>
        <v>214150.82643433931</v>
      </c>
      <c r="O58" s="443">
        <f t="shared" si="22"/>
        <v>206014.17524615675</v>
      </c>
      <c r="P58" s="442">
        <f t="shared" si="22"/>
        <v>195767.88639321286</v>
      </c>
      <c r="Q58" s="442">
        <f t="shared" si="22"/>
        <v>145083.99377167434</v>
      </c>
      <c r="R58" s="442">
        <f t="shared" si="22"/>
        <v>131374.7729632642</v>
      </c>
      <c r="S58" s="442">
        <f t="shared" si="22"/>
        <v>132959.88954114215</v>
      </c>
      <c r="T58" s="442">
        <f t="shared" si="22"/>
        <v>408524.24787197635</v>
      </c>
      <c r="U58" s="442">
        <f t="shared" si="22"/>
        <v>398835.44162311347</v>
      </c>
      <c r="V58" s="442">
        <f t="shared" si="22"/>
        <v>407792.27030191582</v>
      </c>
      <c r="W58" s="442">
        <f t="shared" si="22"/>
        <v>437057.56330838805</v>
      </c>
      <c r="X58" s="442">
        <f t="shared" ca="1" si="22"/>
        <v>386633.80039532087</v>
      </c>
      <c r="Y58" s="442">
        <f t="shared" ca="1" si="22"/>
        <v>396983.03529199044</v>
      </c>
      <c r="Z58" s="442">
        <f t="shared" ca="1" si="22"/>
        <v>428196.20961044094</v>
      </c>
      <c r="AA58" s="443">
        <f t="shared" ca="1" si="22"/>
        <v>403608.65635428095</v>
      </c>
      <c r="AB58" s="442">
        <f t="shared" ca="1" si="22"/>
        <v>402255.46418936935</v>
      </c>
      <c r="AC58" s="442">
        <f t="shared" ca="1" si="22"/>
        <v>348175.35773034353</v>
      </c>
      <c r="AD58" s="442">
        <f t="shared" ca="1" si="22"/>
        <v>327372.31571273331</v>
      </c>
      <c r="AE58" s="442">
        <f t="shared" ca="1" si="22"/>
        <v>336753.18733028183</v>
      </c>
      <c r="AF58" s="442">
        <f t="shared" ca="1" si="22"/>
        <v>378216.57268292713</v>
      </c>
      <c r="AG58" s="442">
        <f t="shared" ca="1" si="22"/>
        <v>359928.65920122806</v>
      </c>
      <c r="AH58" s="442">
        <f t="shared" ca="1" si="22"/>
        <v>378821.05348762235</v>
      </c>
      <c r="AI58" s="442">
        <f t="shared" ca="1" si="22"/>
        <v>428790.23320223752</v>
      </c>
      <c r="AJ58" s="442">
        <f t="shared" ca="1" si="22"/>
        <v>384995.57493482076</v>
      </c>
      <c r="AK58" s="442">
        <f t="shared" ca="1" si="22"/>
        <v>411358.06999291008</v>
      </c>
      <c r="AL58" s="442">
        <f t="shared" ca="1" si="22"/>
        <v>467586.84154011554</v>
      </c>
      <c r="AM58" s="442">
        <f t="shared" ca="1" si="22"/>
        <v>396659.43186245678</v>
      </c>
    </row>
    <row r="59" spans="2:39" s="409" customFormat="1" ht="17" thickTop="1">
      <c r="B59" s="385"/>
      <c r="C59" s="390"/>
      <c r="D59" s="410"/>
      <c r="E59" s="410"/>
      <c r="F59" s="410"/>
      <c r="G59" s="410"/>
      <c r="H59" s="410"/>
      <c r="I59" s="410"/>
      <c r="J59" s="410"/>
      <c r="K59" s="410"/>
      <c r="L59" s="410"/>
      <c r="M59" s="410"/>
      <c r="N59" s="410"/>
      <c r="O59" s="411"/>
      <c r="P59" s="433"/>
      <c r="Q59" s="410"/>
      <c r="R59" s="410"/>
      <c r="S59" s="410"/>
      <c r="T59" s="410"/>
      <c r="U59" s="410"/>
      <c r="V59" s="410"/>
      <c r="W59" s="410"/>
      <c r="X59" s="410"/>
      <c r="Y59" s="410"/>
      <c r="Z59" s="410"/>
      <c r="AA59" s="411"/>
      <c r="AB59" s="433"/>
      <c r="AC59" s="410"/>
      <c r="AD59" s="410"/>
      <c r="AE59" s="410"/>
      <c r="AF59" s="410"/>
      <c r="AG59" s="410"/>
      <c r="AH59" s="410"/>
      <c r="AI59" s="410"/>
      <c r="AJ59" s="410"/>
      <c r="AK59" s="410"/>
      <c r="AL59" s="410"/>
      <c r="AM59" s="410"/>
    </row>
    <row r="60" spans="2:39" s="667" customFormat="1">
      <c r="B60" s="661" t="s">
        <v>5</v>
      </c>
      <c r="C60" s="662"/>
      <c r="D60" s="663">
        <f>'Balance Sheet'!D43</f>
        <v>0</v>
      </c>
      <c r="E60" s="663">
        <f>'Balance Sheet'!E43</f>
        <v>5.8207660913467407E-11</v>
      </c>
      <c r="F60" s="664">
        <f>'Balance Sheet'!F43</f>
        <v>-4.3655745685100555E-11</v>
      </c>
      <c r="G60" s="664">
        <f>'Balance Sheet'!G43</f>
        <v>0</v>
      </c>
      <c r="H60" s="664">
        <f>'Balance Sheet'!H43</f>
        <v>0</v>
      </c>
      <c r="I60" s="664">
        <f>'Balance Sheet'!I43</f>
        <v>6.5483618527650833E-11</v>
      </c>
      <c r="J60" s="664">
        <f>'Balance Sheet'!J43</f>
        <v>-3.637978807091713E-11</v>
      </c>
      <c r="K60" s="664">
        <f>'Balance Sheet'!K43</f>
        <v>-9.4587448984384537E-11</v>
      </c>
      <c r="L60" s="664">
        <f>'Balance Sheet'!L43</f>
        <v>0</v>
      </c>
      <c r="M60" s="664">
        <f>'Balance Sheet'!M43</f>
        <v>7.2759576141834259E-11</v>
      </c>
      <c r="N60" s="664">
        <f>'Balance Sheet'!N43</f>
        <v>0</v>
      </c>
      <c r="O60" s="665">
        <f>'Balance Sheet'!O43</f>
        <v>0</v>
      </c>
      <c r="P60" s="666">
        <f>'Balance Sheet'!P43</f>
        <v>0</v>
      </c>
      <c r="Q60" s="664">
        <f>'Balance Sheet'!Q43</f>
        <v>2.9103830456733704E-11</v>
      </c>
      <c r="R60" s="664">
        <f>'Balance Sheet'!R43</f>
        <v>0</v>
      </c>
      <c r="S60" s="664">
        <f>'Balance Sheet'!S43</f>
        <v>0</v>
      </c>
      <c r="T60" s="664">
        <f>'Balance Sheet'!T43</f>
        <v>0</v>
      </c>
      <c r="U60" s="664">
        <f>'Balance Sheet'!U43</f>
        <v>0</v>
      </c>
      <c r="V60" s="664">
        <f>'Balance Sheet'!V43</f>
        <v>0</v>
      </c>
      <c r="W60" s="664">
        <f>'Balance Sheet'!W43</f>
        <v>0</v>
      </c>
      <c r="X60" s="664">
        <f ca="1">'Balance Sheet'!X43</f>
        <v>0</v>
      </c>
      <c r="Y60" s="664">
        <f ca="1">'Balance Sheet'!Y43</f>
        <v>0</v>
      </c>
      <c r="Z60" s="664">
        <f ca="1">'Balance Sheet'!Z43</f>
        <v>0</v>
      </c>
      <c r="AA60" s="665">
        <f ca="1">'Balance Sheet'!AA43</f>
        <v>0</v>
      </c>
      <c r="AB60" s="666">
        <f ca="1">'Balance Sheet'!AB43</f>
        <v>0</v>
      </c>
      <c r="AC60" s="664">
        <f ca="1">'Balance Sheet'!AC43</f>
        <v>0</v>
      </c>
      <c r="AD60" s="664">
        <f ca="1">'Balance Sheet'!AD43</f>
        <v>0</v>
      </c>
      <c r="AE60" s="664">
        <f ca="1">'Balance Sheet'!AE43</f>
        <v>0</v>
      </c>
      <c r="AF60" s="664">
        <f ca="1">'Balance Sheet'!AF43</f>
        <v>0</v>
      </c>
      <c r="AG60" s="664">
        <f ca="1">'Balance Sheet'!AG43</f>
        <v>0</v>
      </c>
      <c r="AH60" s="664">
        <f ca="1">'Balance Sheet'!AH43</f>
        <v>0</v>
      </c>
      <c r="AI60" s="664">
        <f ca="1">'Balance Sheet'!AI43</f>
        <v>0</v>
      </c>
      <c r="AJ60" s="664">
        <f ca="1">'Balance Sheet'!AJ43</f>
        <v>0</v>
      </c>
      <c r="AK60" s="664">
        <f ca="1">'Balance Sheet'!AK43</f>
        <v>0</v>
      </c>
      <c r="AL60" s="664">
        <f ca="1">'Balance Sheet'!AL43</f>
        <v>0</v>
      </c>
      <c r="AM60" s="664">
        <f ca="1">'Balance Sheet'!AM43</f>
        <v>0</v>
      </c>
    </row>
    <row r="61" spans="2:39" s="667" customFormat="1">
      <c r="B61" s="668"/>
      <c r="C61" s="662"/>
      <c r="D61" s="663"/>
      <c r="E61" s="663"/>
      <c r="F61" s="664"/>
      <c r="G61" s="664"/>
      <c r="H61" s="664"/>
      <c r="I61" s="664"/>
      <c r="J61" s="664"/>
      <c r="K61" s="664"/>
      <c r="L61" s="664"/>
      <c r="M61" s="664"/>
      <c r="N61" s="664"/>
      <c r="O61" s="665"/>
      <c r="P61" s="666"/>
      <c r="Q61" s="664"/>
      <c r="R61" s="664"/>
      <c r="S61" s="664"/>
      <c r="T61" s="664"/>
      <c r="U61" s="664"/>
      <c r="V61" s="664"/>
      <c r="W61" s="664"/>
      <c r="X61" s="664"/>
      <c r="Y61" s="664"/>
      <c r="Z61" s="664"/>
      <c r="AA61" s="665"/>
      <c r="AB61" s="666"/>
      <c r="AC61" s="664"/>
      <c r="AD61" s="664"/>
      <c r="AE61" s="664"/>
      <c r="AF61" s="664"/>
      <c r="AG61" s="664"/>
      <c r="AH61" s="664"/>
      <c r="AI61" s="664"/>
      <c r="AJ61" s="664"/>
      <c r="AK61" s="664"/>
      <c r="AL61" s="664"/>
      <c r="AM61" s="664"/>
    </row>
    <row r="62" spans="2:39" s="667" customFormat="1">
      <c r="B62" s="668"/>
      <c r="C62" s="662"/>
      <c r="D62" s="663"/>
      <c r="E62" s="663"/>
      <c r="F62" s="664"/>
      <c r="G62" s="664"/>
      <c r="H62" s="664"/>
      <c r="I62" s="664"/>
      <c r="J62" s="664"/>
      <c r="K62" s="664"/>
      <c r="L62" s="664"/>
      <c r="M62" s="664"/>
      <c r="N62" s="664"/>
      <c r="O62" s="665"/>
      <c r="P62" s="666"/>
      <c r="Q62" s="664"/>
      <c r="R62" s="664"/>
      <c r="S62" s="664"/>
      <c r="T62" s="664"/>
      <c r="U62" s="664"/>
      <c r="V62" s="664"/>
      <c r="W62" s="664"/>
      <c r="X62" s="664"/>
      <c r="Y62" s="664"/>
      <c r="Z62" s="664"/>
      <c r="AA62" s="665"/>
      <c r="AB62" s="666"/>
      <c r="AC62" s="664"/>
      <c r="AD62" s="664"/>
      <c r="AE62" s="664"/>
      <c r="AF62" s="664"/>
      <c r="AG62" s="664"/>
      <c r="AH62" s="664"/>
      <c r="AI62" s="664"/>
      <c r="AJ62" s="664"/>
      <c r="AK62" s="664"/>
      <c r="AL62" s="664"/>
      <c r="AM62" s="664"/>
    </row>
    <row r="63" spans="2:39" s="667" customFormat="1">
      <c r="B63" s="668"/>
      <c r="C63" s="662"/>
      <c r="D63" s="663"/>
      <c r="E63" s="663"/>
      <c r="F63" s="664"/>
      <c r="G63" s="664"/>
      <c r="H63" s="664"/>
      <c r="I63" s="664"/>
      <c r="J63" s="664"/>
      <c r="K63" s="664"/>
      <c r="L63" s="664"/>
      <c r="M63" s="664"/>
      <c r="N63" s="664"/>
      <c r="O63" s="665"/>
      <c r="P63" s="666"/>
      <c r="Q63" s="664"/>
      <c r="R63" s="664"/>
      <c r="S63" s="664"/>
      <c r="T63" s="664"/>
      <c r="U63" s="664"/>
      <c r="V63" s="664"/>
      <c r="W63" s="664"/>
      <c r="X63" s="664"/>
      <c r="Y63" s="664"/>
      <c r="Z63" s="664"/>
      <c r="AA63" s="665"/>
      <c r="AB63" s="666"/>
      <c r="AC63" s="664"/>
      <c r="AD63" s="664"/>
      <c r="AE63" s="664"/>
      <c r="AF63" s="664"/>
      <c r="AG63" s="664"/>
      <c r="AH63" s="664"/>
      <c r="AI63" s="664"/>
      <c r="AJ63" s="664"/>
      <c r="AK63" s="664"/>
      <c r="AL63" s="664"/>
      <c r="AM63" s="664"/>
    </row>
    <row r="64" spans="2:39" s="675" customFormat="1" ht="4" customHeight="1">
      <c r="B64" s="669"/>
      <c r="C64" s="670"/>
      <c r="D64" s="671"/>
      <c r="E64" s="671"/>
      <c r="F64" s="672"/>
      <c r="G64" s="672"/>
      <c r="H64" s="672"/>
      <c r="I64" s="672"/>
      <c r="J64" s="672"/>
      <c r="K64" s="672"/>
      <c r="L64" s="672"/>
      <c r="M64" s="672"/>
      <c r="N64" s="672"/>
      <c r="O64" s="673"/>
      <c r="P64" s="674"/>
      <c r="Q64" s="672"/>
      <c r="R64" s="672"/>
      <c r="S64" s="672"/>
      <c r="T64" s="672"/>
      <c r="U64" s="672"/>
      <c r="V64" s="672"/>
      <c r="W64" s="672"/>
      <c r="X64" s="672"/>
      <c r="Y64" s="672"/>
      <c r="Z64" s="672"/>
      <c r="AA64" s="673"/>
      <c r="AB64" s="674"/>
      <c r="AC64" s="672"/>
      <c r="AD64" s="672"/>
      <c r="AE64" s="672"/>
      <c r="AF64" s="672"/>
      <c r="AG64" s="672"/>
      <c r="AH64" s="672"/>
      <c r="AI64" s="672"/>
      <c r="AJ64" s="672"/>
      <c r="AK64" s="672"/>
      <c r="AL64" s="672"/>
      <c r="AM64" s="672"/>
    </row>
    <row r="65" spans="2:40" s="182" customFormat="1">
      <c r="B65" s="382"/>
      <c r="O65" s="389"/>
      <c r="P65" s="358"/>
      <c r="Q65" s="390"/>
      <c r="R65" s="390"/>
      <c r="S65" s="390"/>
      <c r="T65" s="390"/>
      <c r="U65" s="390"/>
      <c r="V65" s="390"/>
      <c r="W65" s="390"/>
      <c r="X65" s="390"/>
      <c r="Y65" s="390"/>
      <c r="Z65" s="390"/>
      <c r="AA65" s="391"/>
      <c r="AB65" s="358"/>
    </row>
    <row r="66" spans="2:40" s="58" customFormat="1" ht="24" thickBot="1">
      <c r="B66" s="179" t="s">
        <v>13</v>
      </c>
      <c r="C66" s="400" t="str">
        <f t="shared" ref="C66:AM66" si="23">C7</f>
        <v>Month:</v>
      </c>
      <c r="D66" s="676">
        <f t="shared" si="23"/>
        <v>45658</v>
      </c>
      <c r="E66" s="676">
        <f t="shared" si="23"/>
        <v>45689</v>
      </c>
      <c r="F66" s="676">
        <f t="shared" si="23"/>
        <v>45717</v>
      </c>
      <c r="G66" s="676">
        <f t="shared" si="23"/>
        <v>45748</v>
      </c>
      <c r="H66" s="676">
        <f t="shared" si="23"/>
        <v>45778</v>
      </c>
      <c r="I66" s="676">
        <f t="shared" si="23"/>
        <v>45809</v>
      </c>
      <c r="J66" s="676">
        <f t="shared" si="23"/>
        <v>45839</v>
      </c>
      <c r="K66" s="676">
        <f t="shared" si="23"/>
        <v>45870</v>
      </c>
      <c r="L66" s="676">
        <f t="shared" si="23"/>
        <v>45901</v>
      </c>
      <c r="M66" s="676">
        <f t="shared" si="23"/>
        <v>45931</v>
      </c>
      <c r="N66" s="676">
        <f t="shared" si="23"/>
        <v>45962</v>
      </c>
      <c r="O66" s="677">
        <f t="shared" si="23"/>
        <v>45992</v>
      </c>
      <c r="P66" s="676">
        <f t="shared" si="23"/>
        <v>46023</v>
      </c>
      <c r="Q66" s="676">
        <f t="shared" si="23"/>
        <v>46054</v>
      </c>
      <c r="R66" s="676">
        <f t="shared" si="23"/>
        <v>46082</v>
      </c>
      <c r="S66" s="676">
        <f t="shared" si="23"/>
        <v>46113</v>
      </c>
      <c r="T66" s="676">
        <f t="shared" si="23"/>
        <v>46143</v>
      </c>
      <c r="U66" s="676">
        <f t="shared" si="23"/>
        <v>46174</v>
      </c>
      <c r="V66" s="676">
        <f t="shared" si="23"/>
        <v>46204</v>
      </c>
      <c r="W66" s="676">
        <f t="shared" si="23"/>
        <v>46235</v>
      </c>
      <c r="X66" s="676">
        <f t="shared" si="23"/>
        <v>46266</v>
      </c>
      <c r="Y66" s="676">
        <f t="shared" si="23"/>
        <v>46296</v>
      </c>
      <c r="Z66" s="676">
        <f t="shared" si="23"/>
        <v>46327</v>
      </c>
      <c r="AA66" s="677">
        <f t="shared" si="23"/>
        <v>46357</v>
      </c>
      <c r="AB66" s="676">
        <f t="shared" si="23"/>
        <v>46388</v>
      </c>
      <c r="AC66" s="676">
        <f t="shared" si="23"/>
        <v>46419</v>
      </c>
      <c r="AD66" s="676">
        <f t="shared" si="23"/>
        <v>46447</v>
      </c>
      <c r="AE66" s="676">
        <f t="shared" si="23"/>
        <v>46478</v>
      </c>
      <c r="AF66" s="676">
        <f t="shared" si="23"/>
        <v>46508</v>
      </c>
      <c r="AG66" s="676">
        <f t="shared" si="23"/>
        <v>46539</v>
      </c>
      <c r="AH66" s="676">
        <f t="shared" si="23"/>
        <v>46569</v>
      </c>
      <c r="AI66" s="676">
        <f t="shared" si="23"/>
        <v>46600</v>
      </c>
      <c r="AJ66" s="676">
        <f t="shared" si="23"/>
        <v>46631</v>
      </c>
      <c r="AK66" s="676">
        <f t="shared" si="23"/>
        <v>46661</v>
      </c>
      <c r="AL66" s="676">
        <f t="shared" si="23"/>
        <v>46692</v>
      </c>
      <c r="AM66" s="676">
        <f t="shared" si="23"/>
        <v>46722</v>
      </c>
    </row>
    <row r="67" spans="2:40" s="58" customFormat="1" ht="20" customHeight="1">
      <c r="B67" s="678"/>
      <c r="C67" s="207"/>
      <c r="D67" s="455"/>
      <c r="E67" s="455"/>
      <c r="F67" s="455"/>
      <c r="G67" s="455"/>
      <c r="H67" s="455"/>
      <c r="I67" s="455"/>
      <c r="J67" s="455"/>
      <c r="K67" s="455"/>
      <c r="L67" s="455"/>
      <c r="M67" s="455"/>
      <c r="N67" s="455"/>
      <c r="O67" s="456"/>
      <c r="P67" s="455"/>
      <c r="Q67" s="455"/>
      <c r="R67" s="455"/>
      <c r="S67" s="455"/>
      <c r="T67" s="455"/>
      <c r="U67" s="455"/>
      <c r="V67" s="455"/>
      <c r="W67" s="455"/>
      <c r="X67" s="455"/>
      <c r="Y67" s="455"/>
      <c r="Z67" s="455"/>
      <c r="AA67" s="456"/>
      <c r="AB67" s="455"/>
      <c r="AC67" s="455"/>
      <c r="AD67" s="455"/>
      <c r="AE67" s="455"/>
      <c r="AF67" s="455"/>
      <c r="AG67" s="455"/>
      <c r="AH67" s="455"/>
      <c r="AI67" s="455"/>
      <c r="AJ67" s="455"/>
      <c r="AK67" s="455"/>
      <c r="AL67" s="455"/>
      <c r="AM67" s="455"/>
    </row>
    <row r="68" spans="2:40" s="404" customFormat="1" ht="19" thickBot="1">
      <c r="B68" s="384" t="s">
        <v>34</v>
      </c>
      <c r="C68" s="679"/>
      <c r="D68" s="679"/>
      <c r="E68" s="679"/>
      <c r="F68" s="679"/>
      <c r="G68" s="679"/>
      <c r="H68" s="679"/>
      <c r="I68" s="679"/>
      <c r="J68" s="679"/>
      <c r="K68" s="679"/>
      <c r="L68" s="679"/>
      <c r="M68" s="679"/>
      <c r="N68" s="679"/>
      <c r="O68" s="680"/>
      <c r="P68" s="681"/>
      <c r="Q68" s="681"/>
      <c r="R68" s="681"/>
      <c r="S68" s="681"/>
      <c r="T68" s="681"/>
      <c r="U68" s="681"/>
      <c r="V68" s="681"/>
      <c r="W68" s="681"/>
      <c r="X68" s="681"/>
      <c r="Y68" s="681"/>
      <c r="Z68" s="681"/>
      <c r="AA68" s="682"/>
      <c r="AB68" s="681"/>
      <c r="AC68" s="679"/>
      <c r="AD68" s="679"/>
      <c r="AE68" s="679"/>
      <c r="AF68" s="679"/>
      <c r="AG68" s="679"/>
      <c r="AH68" s="679"/>
      <c r="AI68" s="679"/>
      <c r="AJ68" s="679"/>
      <c r="AK68" s="679"/>
      <c r="AL68" s="679"/>
      <c r="AM68" s="679"/>
    </row>
    <row r="69" spans="2:40" s="404" customFormat="1">
      <c r="B69" s="382" t="s">
        <v>108</v>
      </c>
      <c r="D69" s="419">
        <f>'Profit &amp; Loss'!D81</f>
        <v>19997.616666666665</v>
      </c>
      <c r="E69" s="419">
        <f>'Profit &amp; Loss'!E81</f>
        <v>21513.997333333333</v>
      </c>
      <c r="F69" s="419">
        <f>'Profit &amp; Loss'!F81</f>
        <v>23500.265000000003</v>
      </c>
      <c r="G69" s="419">
        <f>'Profit &amp; Loss'!G81</f>
        <v>24950.074333333334</v>
      </c>
      <c r="H69" s="419">
        <f>'Profit &amp; Loss'!H81</f>
        <v>26584.258666666665</v>
      </c>
      <c r="I69" s="419">
        <f>'Profit &amp; Loss'!I81</f>
        <v>28400.544000000002</v>
      </c>
      <c r="J69" s="419">
        <f>'Profit &amp; Loss'!J81</f>
        <v>30240.031999999999</v>
      </c>
      <c r="K69" s="419">
        <f>'Profit &amp; Loss'!K81</f>
        <v>31202.245999999999</v>
      </c>
      <c r="L69" s="419">
        <f>'Profit &amp; Loss'!L81</f>
        <v>33188.704333333328</v>
      </c>
      <c r="M69" s="419">
        <f>'Profit &amp; Loss'!M81</f>
        <v>35019.251666666663</v>
      </c>
      <c r="N69" s="419">
        <f>'Profit &amp; Loss'!N81</f>
        <v>37142.906333333332</v>
      </c>
      <c r="O69" s="420">
        <f>'Profit &amp; Loss'!O81</f>
        <v>38674.894333333337</v>
      </c>
      <c r="P69" s="683">
        <f>'Profit &amp; Loss'!P81</f>
        <v>42172.891813333335</v>
      </c>
      <c r="Q69" s="419">
        <f>'Profit &amp; Loss'!Q81</f>
        <v>44713.578560000002</v>
      </c>
      <c r="R69" s="419">
        <f>'Profit &amp; Loss'!R81</f>
        <v>50665.301200000009</v>
      </c>
      <c r="S69" s="419">
        <f>'Profit &amp; Loss'!S81</f>
        <v>54518.967866666673</v>
      </c>
      <c r="T69" s="419">
        <f>'Profit &amp; Loss'!T81</f>
        <v>55816.472133333329</v>
      </c>
      <c r="U69" s="419">
        <f>'Profit &amp; Loss'!U81</f>
        <v>58194.523839999994</v>
      </c>
      <c r="V69" s="419">
        <f>'Profit &amp; Loss'!V81</f>
        <v>60714.343493333334</v>
      </c>
      <c r="W69" s="419">
        <f>'Profit &amp; Loss'!W81</f>
        <v>62871.629386666667</v>
      </c>
      <c r="X69" s="419">
        <f>'Profit &amp; Loss'!X81</f>
        <v>79517.954714074091</v>
      </c>
      <c r="Y69" s="419">
        <f>'Profit &amp; Loss'!Y81</f>
        <v>80668.59901333334</v>
      </c>
      <c r="Z69" s="419">
        <f>'Profit &amp; Loss'!Z81</f>
        <v>83866.616959999999</v>
      </c>
      <c r="AA69" s="420">
        <f>'Profit &amp; Loss'!AA81</f>
        <v>86715.085333333336</v>
      </c>
      <c r="AB69" s="683">
        <f>'Profit &amp; Loss'!AB81</f>
        <v>92718.817239199998</v>
      </c>
      <c r="AC69" s="419">
        <f>'Profit &amp; Loss'!AC81</f>
        <v>95110.3071986</v>
      </c>
      <c r="AD69" s="419">
        <f>'Profit &amp; Loss'!AD81</f>
        <v>97854.377144466664</v>
      </c>
      <c r="AE69" s="419">
        <f>'Profit &amp; Loss'!AE81</f>
        <v>101539.61710386667</v>
      </c>
      <c r="AF69" s="419">
        <f>'Profit &amp; Loss'!AF81</f>
        <v>104599.93704973333</v>
      </c>
      <c r="AG69" s="419">
        <f>'Profit &amp; Loss'!AG81</f>
        <v>107405.59367579999</v>
      </c>
      <c r="AH69" s="419">
        <f>'Profit &amp; Loss'!AH81</f>
        <v>110096.74695500001</v>
      </c>
      <c r="AI69" s="419">
        <f>'Profit &amp; Loss'!AI81</f>
        <v>112467.82024773333</v>
      </c>
      <c r="AJ69" s="419">
        <f>'Profit &amp; Loss'!AJ81</f>
        <v>114865.22352693333</v>
      </c>
      <c r="AK69" s="419">
        <f>'Profit &amp; Loss'!AK81</f>
        <v>116405.04681966666</v>
      </c>
      <c r="AL69" s="419">
        <f>'Profit &amp; Loss'!AL81</f>
        <v>119974.95009886667</v>
      </c>
      <c r="AM69" s="419">
        <f>'Profit &amp; Loss'!AM81</f>
        <v>123533.5233916</v>
      </c>
    </row>
    <row r="70" spans="2:40" s="409" customFormat="1">
      <c r="B70" s="457" t="s">
        <v>438</v>
      </c>
      <c r="D70" s="641">
        <f>-D69</f>
        <v>-19997.616666666665</v>
      </c>
      <c r="E70" s="641">
        <f>-E69</f>
        <v>-21513.997333333333</v>
      </c>
      <c r="F70" s="641">
        <f t="shared" ref="F70:AM70" si="24">-F69</f>
        <v>-23500.265000000003</v>
      </c>
      <c r="G70" s="641">
        <f t="shared" si="24"/>
        <v>-24950.074333333334</v>
      </c>
      <c r="H70" s="641">
        <f t="shared" si="24"/>
        <v>-26584.258666666665</v>
      </c>
      <c r="I70" s="641">
        <f t="shared" si="24"/>
        <v>-28400.544000000002</v>
      </c>
      <c r="J70" s="641">
        <f t="shared" si="24"/>
        <v>-30240.031999999999</v>
      </c>
      <c r="K70" s="641">
        <f t="shared" si="24"/>
        <v>-31202.245999999999</v>
      </c>
      <c r="L70" s="641">
        <f t="shared" si="24"/>
        <v>-33188.704333333328</v>
      </c>
      <c r="M70" s="641">
        <f t="shared" si="24"/>
        <v>-35019.251666666663</v>
      </c>
      <c r="N70" s="641">
        <f t="shared" si="24"/>
        <v>-37142.906333333332</v>
      </c>
      <c r="O70" s="642">
        <f t="shared" si="24"/>
        <v>-38674.894333333337</v>
      </c>
      <c r="P70" s="641">
        <f t="shared" si="24"/>
        <v>-42172.891813333335</v>
      </c>
      <c r="Q70" s="641">
        <f t="shared" si="24"/>
        <v>-44713.578560000002</v>
      </c>
      <c r="R70" s="641">
        <f t="shared" si="24"/>
        <v>-50665.301200000009</v>
      </c>
      <c r="S70" s="641">
        <f t="shared" si="24"/>
        <v>-54518.967866666673</v>
      </c>
      <c r="T70" s="641">
        <f t="shared" si="24"/>
        <v>-55816.472133333329</v>
      </c>
      <c r="U70" s="641">
        <f t="shared" si="24"/>
        <v>-58194.523839999994</v>
      </c>
      <c r="V70" s="641">
        <f t="shared" si="24"/>
        <v>-60714.343493333334</v>
      </c>
      <c r="W70" s="641">
        <f t="shared" si="24"/>
        <v>-62871.629386666667</v>
      </c>
      <c r="X70" s="641">
        <f t="shared" si="24"/>
        <v>-79517.954714074091</v>
      </c>
      <c r="Y70" s="641">
        <f t="shared" si="24"/>
        <v>-80668.59901333334</v>
      </c>
      <c r="Z70" s="641">
        <f t="shared" si="24"/>
        <v>-83866.616959999999</v>
      </c>
      <c r="AA70" s="642">
        <f t="shared" si="24"/>
        <v>-86715.085333333336</v>
      </c>
      <c r="AB70" s="641">
        <f t="shared" si="24"/>
        <v>-92718.817239199998</v>
      </c>
      <c r="AC70" s="641">
        <f t="shared" si="24"/>
        <v>-95110.3071986</v>
      </c>
      <c r="AD70" s="641">
        <f t="shared" si="24"/>
        <v>-97854.377144466664</v>
      </c>
      <c r="AE70" s="641">
        <f t="shared" si="24"/>
        <v>-101539.61710386667</v>
      </c>
      <c r="AF70" s="641">
        <f t="shared" si="24"/>
        <v>-104599.93704973333</v>
      </c>
      <c r="AG70" s="641">
        <f t="shared" si="24"/>
        <v>-107405.59367579999</v>
      </c>
      <c r="AH70" s="641">
        <f t="shared" si="24"/>
        <v>-110096.74695500001</v>
      </c>
      <c r="AI70" s="641">
        <f t="shared" si="24"/>
        <v>-112467.82024773333</v>
      </c>
      <c r="AJ70" s="641">
        <f t="shared" si="24"/>
        <v>-114865.22352693333</v>
      </c>
      <c r="AK70" s="641">
        <f t="shared" si="24"/>
        <v>-116405.04681966666</v>
      </c>
      <c r="AL70" s="641">
        <f t="shared" si="24"/>
        <v>-119974.95009886667</v>
      </c>
      <c r="AM70" s="641">
        <f t="shared" si="24"/>
        <v>-123533.5233916</v>
      </c>
    </row>
    <row r="71" spans="2:40" s="404" customFormat="1">
      <c r="B71" s="457" t="s">
        <v>439</v>
      </c>
      <c r="C71" s="375"/>
      <c r="D71" s="683">
        <f>-C70</f>
        <v>0</v>
      </c>
      <c r="E71" s="419">
        <f>D69</f>
        <v>19997.616666666665</v>
      </c>
      <c r="F71" s="419">
        <f t="shared" ref="F71:AM71" si="25">E69</f>
        <v>21513.997333333333</v>
      </c>
      <c r="G71" s="419">
        <f t="shared" si="25"/>
        <v>23500.265000000003</v>
      </c>
      <c r="H71" s="419">
        <f t="shared" si="25"/>
        <v>24950.074333333334</v>
      </c>
      <c r="I71" s="419">
        <f t="shared" si="25"/>
        <v>26584.258666666665</v>
      </c>
      <c r="J71" s="419">
        <f t="shared" si="25"/>
        <v>28400.544000000002</v>
      </c>
      <c r="K71" s="419">
        <f t="shared" si="25"/>
        <v>30240.031999999999</v>
      </c>
      <c r="L71" s="419">
        <f t="shared" si="25"/>
        <v>31202.245999999999</v>
      </c>
      <c r="M71" s="419">
        <f t="shared" si="25"/>
        <v>33188.704333333328</v>
      </c>
      <c r="N71" s="419">
        <f t="shared" si="25"/>
        <v>35019.251666666663</v>
      </c>
      <c r="O71" s="420">
        <f t="shared" si="25"/>
        <v>37142.906333333332</v>
      </c>
      <c r="P71" s="419">
        <f t="shared" si="25"/>
        <v>38674.894333333337</v>
      </c>
      <c r="Q71" s="419">
        <f t="shared" si="25"/>
        <v>42172.891813333335</v>
      </c>
      <c r="R71" s="419">
        <f t="shared" si="25"/>
        <v>44713.578560000002</v>
      </c>
      <c r="S71" s="419">
        <f t="shared" si="25"/>
        <v>50665.301200000009</v>
      </c>
      <c r="T71" s="419">
        <f t="shared" si="25"/>
        <v>54518.967866666673</v>
      </c>
      <c r="U71" s="419">
        <f t="shared" si="25"/>
        <v>55816.472133333329</v>
      </c>
      <c r="V71" s="419">
        <f t="shared" si="25"/>
        <v>58194.523839999994</v>
      </c>
      <c r="W71" s="419">
        <f t="shared" si="25"/>
        <v>60714.343493333334</v>
      </c>
      <c r="X71" s="419">
        <f t="shared" si="25"/>
        <v>62871.629386666667</v>
      </c>
      <c r="Y71" s="419">
        <f t="shared" si="25"/>
        <v>79517.954714074091</v>
      </c>
      <c r="Z71" s="419">
        <f t="shared" si="25"/>
        <v>80668.59901333334</v>
      </c>
      <c r="AA71" s="420">
        <f t="shared" si="25"/>
        <v>83866.616959999999</v>
      </c>
      <c r="AB71" s="419">
        <f t="shared" si="25"/>
        <v>86715.085333333336</v>
      </c>
      <c r="AC71" s="419">
        <f t="shared" si="25"/>
        <v>92718.817239199998</v>
      </c>
      <c r="AD71" s="419">
        <f t="shared" si="25"/>
        <v>95110.3071986</v>
      </c>
      <c r="AE71" s="419">
        <f t="shared" si="25"/>
        <v>97854.377144466664</v>
      </c>
      <c r="AF71" s="419">
        <f t="shared" si="25"/>
        <v>101539.61710386667</v>
      </c>
      <c r="AG71" s="419">
        <f t="shared" si="25"/>
        <v>104599.93704973333</v>
      </c>
      <c r="AH71" s="419">
        <f t="shared" si="25"/>
        <v>107405.59367579999</v>
      </c>
      <c r="AI71" s="419">
        <f t="shared" si="25"/>
        <v>110096.74695500001</v>
      </c>
      <c r="AJ71" s="419">
        <f t="shared" si="25"/>
        <v>112467.82024773333</v>
      </c>
      <c r="AK71" s="419">
        <f t="shared" si="25"/>
        <v>114865.22352693333</v>
      </c>
      <c r="AL71" s="419">
        <f t="shared" si="25"/>
        <v>116405.04681966666</v>
      </c>
      <c r="AM71" s="419">
        <f t="shared" si="25"/>
        <v>119974.95009886667</v>
      </c>
      <c r="AN71" s="419"/>
    </row>
    <row r="72" spans="2:40" s="404" customFormat="1">
      <c r="B72" s="684" t="s">
        <v>109</v>
      </c>
      <c r="C72" s="685"/>
      <c r="D72" s="594">
        <f>SUM(D69:D71)</f>
        <v>0</v>
      </c>
      <c r="E72" s="594">
        <f t="shared" ref="E72:AM72" si="26">SUM(E69:E71)</f>
        <v>19997.616666666665</v>
      </c>
      <c r="F72" s="594">
        <f>SUM(F69:F71)</f>
        <v>21513.997333333333</v>
      </c>
      <c r="G72" s="594">
        <f t="shared" si="26"/>
        <v>23500.265000000003</v>
      </c>
      <c r="H72" s="594">
        <f t="shared" si="26"/>
        <v>24950.074333333334</v>
      </c>
      <c r="I72" s="594">
        <f t="shared" si="26"/>
        <v>26584.258666666665</v>
      </c>
      <c r="J72" s="594">
        <f t="shared" si="26"/>
        <v>28400.544000000002</v>
      </c>
      <c r="K72" s="594">
        <f t="shared" si="26"/>
        <v>30240.031999999999</v>
      </c>
      <c r="L72" s="594">
        <f t="shared" si="26"/>
        <v>31202.245999999999</v>
      </c>
      <c r="M72" s="594">
        <f t="shared" si="26"/>
        <v>33188.704333333328</v>
      </c>
      <c r="N72" s="594">
        <f t="shared" si="26"/>
        <v>35019.251666666663</v>
      </c>
      <c r="O72" s="686">
        <f t="shared" si="26"/>
        <v>37142.906333333332</v>
      </c>
      <c r="P72" s="594">
        <f t="shared" si="26"/>
        <v>38674.894333333337</v>
      </c>
      <c r="Q72" s="594">
        <f>SUM(Q69:Q71)</f>
        <v>42172.891813333335</v>
      </c>
      <c r="R72" s="594">
        <f t="shared" si="26"/>
        <v>44713.578560000002</v>
      </c>
      <c r="S72" s="594">
        <f t="shared" si="26"/>
        <v>50665.301200000009</v>
      </c>
      <c r="T72" s="594">
        <f t="shared" si="26"/>
        <v>54518.967866666673</v>
      </c>
      <c r="U72" s="594">
        <f t="shared" si="26"/>
        <v>55816.472133333329</v>
      </c>
      <c r="V72" s="594">
        <f t="shared" si="26"/>
        <v>58194.523839999994</v>
      </c>
      <c r="W72" s="594">
        <f t="shared" si="26"/>
        <v>60714.343493333334</v>
      </c>
      <c r="X72" s="594">
        <f t="shared" si="26"/>
        <v>62871.629386666667</v>
      </c>
      <c r="Y72" s="594">
        <f t="shared" si="26"/>
        <v>79517.954714074091</v>
      </c>
      <c r="Z72" s="594">
        <f t="shared" si="26"/>
        <v>80668.59901333334</v>
      </c>
      <c r="AA72" s="686">
        <f t="shared" si="26"/>
        <v>83866.616959999999</v>
      </c>
      <c r="AB72" s="594">
        <f t="shared" si="26"/>
        <v>86715.085333333336</v>
      </c>
      <c r="AC72" s="594">
        <f t="shared" si="26"/>
        <v>92718.817239199998</v>
      </c>
      <c r="AD72" s="594">
        <f t="shared" si="26"/>
        <v>95110.3071986</v>
      </c>
      <c r="AE72" s="594">
        <f t="shared" si="26"/>
        <v>97854.377144466664</v>
      </c>
      <c r="AF72" s="594">
        <f t="shared" si="26"/>
        <v>101539.61710386667</v>
      </c>
      <c r="AG72" s="594">
        <f t="shared" si="26"/>
        <v>104599.93704973333</v>
      </c>
      <c r="AH72" s="594">
        <f t="shared" si="26"/>
        <v>107405.59367579999</v>
      </c>
      <c r="AI72" s="594">
        <f t="shared" si="26"/>
        <v>110096.74695500001</v>
      </c>
      <c r="AJ72" s="594">
        <f t="shared" si="26"/>
        <v>112467.82024773333</v>
      </c>
      <c r="AK72" s="594">
        <f t="shared" si="26"/>
        <v>114865.22352693333</v>
      </c>
      <c r="AL72" s="594">
        <f t="shared" si="26"/>
        <v>116405.04681966666</v>
      </c>
      <c r="AM72" s="594">
        <f t="shared" si="26"/>
        <v>119974.95009886667</v>
      </c>
    </row>
    <row r="73" spans="2:40" s="404" customFormat="1">
      <c r="B73" s="460" t="s">
        <v>110</v>
      </c>
      <c r="C73" s="687"/>
      <c r="D73" s="414">
        <f>D72*'Pricing Model'!$C$9</f>
        <v>0</v>
      </c>
      <c r="E73" s="414">
        <f>E72*'Pricing Model'!$C$9</f>
        <v>3999.5233333333331</v>
      </c>
      <c r="F73" s="414">
        <f>F72*'Pricing Model'!$C$9</f>
        <v>4302.7994666666664</v>
      </c>
      <c r="G73" s="414">
        <f>G72*'Pricing Model'!$C$9</f>
        <v>4700.0530000000008</v>
      </c>
      <c r="H73" s="414">
        <f>H72*'Pricing Model'!$C$9</f>
        <v>4990.0148666666673</v>
      </c>
      <c r="I73" s="414">
        <f>I72*'Pricing Model'!$C$9</f>
        <v>5316.851733333333</v>
      </c>
      <c r="J73" s="414">
        <f>J72*'Pricing Model'!$C$9</f>
        <v>5680.1088000000009</v>
      </c>
      <c r="K73" s="414">
        <f>K72*'Pricing Model'!$C$9</f>
        <v>6048.0064000000002</v>
      </c>
      <c r="L73" s="414">
        <f>L72*'Pricing Model'!$C$9</f>
        <v>6240.4492</v>
      </c>
      <c r="M73" s="414">
        <f>M72*'Pricing Model'!$C$9</f>
        <v>6637.7408666666661</v>
      </c>
      <c r="N73" s="414">
        <f>N72*'Pricing Model'!$C$9</f>
        <v>7003.8503333333329</v>
      </c>
      <c r="O73" s="415">
        <f>O72*'Pricing Model'!$C$9</f>
        <v>7428.581266666667</v>
      </c>
      <c r="P73" s="414">
        <f>P72*'Pricing Model'!$C$9</f>
        <v>7734.9788666666682</v>
      </c>
      <c r="Q73" s="414">
        <f>Q72*'Pricing Model'!$C$9</f>
        <v>8434.5783626666671</v>
      </c>
      <c r="R73" s="414">
        <f>R72*'Pricing Model'!$C$9</f>
        <v>8942.7157120000011</v>
      </c>
      <c r="S73" s="414">
        <f>S72*'Pricing Model'!$C$9</f>
        <v>10133.060240000003</v>
      </c>
      <c r="T73" s="414">
        <f>T72*'Pricing Model'!$C$9</f>
        <v>10903.793573333336</v>
      </c>
      <c r="U73" s="414">
        <f>U72*'Pricing Model'!$C$9</f>
        <v>11163.294426666667</v>
      </c>
      <c r="V73" s="414">
        <f>V72*'Pricing Model'!$C$9</f>
        <v>11638.904768</v>
      </c>
      <c r="W73" s="414">
        <f>W72*'Pricing Model'!$C$9</f>
        <v>12142.868698666667</v>
      </c>
      <c r="X73" s="414">
        <f>X72*'Pricing Model'!$C$9</f>
        <v>12574.325877333335</v>
      </c>
      <c r="Y73" s="414">
        <f>Y72*'Pricing Model'!$C$9</f>
        <v>15903.590942814819</v>
      </c>
      <c r="Z73" s="414">
        <f>Z72*'Pricing Model'!$C$9</f>
        <v>16133.719802666668</v>
      </c>
      <c r="AA73" s="415">
        <f>AA72*'Pricing Model'!$C$9</f>
        <v>16773.323392000002</v>
      </c>
      <c r="AB73" s="414">
        <f>AB72*'Pricing Model'!$C$9</f>
        <v>17343.017066666667</v>
      </c>
      <c r="AC73" s="414">
        <f>AC72*'Pricing Model'!$C$9</f>
        <v>18543.76344784</v>
      </c>
      <c r="AD73" s="414">
        <f>AD72*'Pricing Model'!$C$9</f>
        <v>19022.061439720001</v>
      </c>
      <c r="AE73" s="414">
        <f>AE72*'Pricing Model'!$C$9</f>
        <v>19570.875428893334</v>
      </c>
      <c r="AF73" s="414">
        <f>AF72*'Pricing Model'!$C$9</f>
        <v>20307.923420773335</v>
      </c>
      <c r="AG73" s="414">
        <f>AG72*'Pricing Model'!$C$9</f>
        <v>20919.987409946669</v>
      </c>
      <c r="AH73" s="414">
        <f>AH72*'Pricing Model'!$C$9</f>
        <v>21481.118735159998</v>
      </c>
      <c r="AI73" s="414">
        <f>AI72*'Pricing Model'!$C$9</f>
        <v>22019.349391000003</v>
      </c>
      <c r="AJ73" s="414">
        <f>AJ72*'Pricing Model'!$C$9</f>
        <v>22493.564049546665</v>
      </c>
      <c r="AK73" s="414">
        <f>AK72*'Pricing Model'!$C$9</f>
        <v>22973.044705386666</v>
      </c>
      <c r="AL73" s="414">
        <f>AL72*'Pricing Model'!$C$9</f>
        <v>23281.009363933335</v>
      </c>
      <c r="AM73" s="414">
        <f>AM72*'Pricing Model'!$C$9</f>
        <v>23994.990019773337</v>
      </c>
    </row>
    <row r="74" spans="2:40" s="691" customFormat="1" ht="21" customHeight="1" thickBot="1">
      <c r="B74" s="440" t="s">
        <v>440</v>
      </c>
      <c r="C74" s="688"/>
      <c r="D74" s="689">
        <f>D72+D73</f>
        <v>0</v>
      </c>
      <c r="E74" s="689">
        <f t="shared" ref="E74:AM74" si="27">E72+E73</f>
        <v>23997.14</v>
      </c>
      <c r="F74" s="689">
        <f t="shared" si="27"/>
        <v>25816.7968</v>
      </c>
      <c r="G74" s="689">
        <f t="shared" si="27"/>
        <v>28200.318000000003</v>
      </c>
      <c r="H74" s="689">
        <f t="shared" si="27"/>
        <v>29940.089200000002</v>
      </c>
      <c r="I74" s="689">
        <f t="shared" si="27"/>
        <v>31901.110399999998</v>
      </c>
      <c r="J74" s="689">
        <f t="shared" si="27"/>
        <v>34080.652800000003</v>
      </c>
      <c r="K74" s="689">
        <f t="shared" si="27"/>
        <v>36288.038399999998</v>
      </c>
      <c r="L74" s="689">
        <f t="shared" si="27"/>
        <v>37442.695200000002</v>
      </c>
      <c r="M74" s="689">
        <f t="shared" si="27"/>
        <v>39826.445199999995</v>
      </c>
      <c r="N74" s="689">
        <f t="shared" si="27"/>
        <v>42023.101999999999</v>
      </c>
      <c r="O74" s="690">
        <f t="shared" si="27"/>
        <v>44571.4876</v>
      </c>
      <c r="P74" s="689">
        <f t="shared" si="27"/>
        <v>46409.873200000002</v>
      </c>
      <c r="Q74" s="689">
        <f t="shared" si="27"/>
        <v>50607.470176000003</v>
      </c>
      <c r="R74" s="689">
        <f t="shared" si="27"/>
        <v>53656.294271999999</v>
      </c>
      <c r="S74" s="689">
        <f t="shared" si="27"/>
        <v>60798.361440000008</v>
      </c>
      <c r="T74" s="689">
        <f t="shared" si="27"/>
        <v>65422.761440000009</v>
      </c>
      <c r="U74" s="689">
        <f t="shared" si="27"/>
        <v>66979.766559999989</v>
      </c>
      <c r="V74" s="689">
        <f t="shared" si="27"/>
        <v>69833.428607999987</v>
      </c>
      <c r="W74" s="689">
        <f t="shared" si="27"/>
        <v>72857.212192000006</v>
      </c>
      <c r="X74" s="689">
        <f t="shared" si="27"/>
        <v>75445.955264000004</v>
      </c>
      <c r="Y74" s="689">
        <f t="shared" si="27"/>
        <v>95421.545656888906</v>
      </c>
      <c r="Z74" s="689">
        <f t="shared" si="27"/>
        <v>96802.318816000014</v>
      </c>
      <c r="AA74" s="690">
        <f t="shared" si="27"/>
        <v>100639.94035200001</v>
      </c>
      <c r="AB74" s="689">
        <f t="shared" si="27"/>
        <v>104058.1024</v>
      </c>
      <c r="AC74" s="689">
        <f t="shared" si="27"/>
        <v>111262.58068704</v>
      </c>
      <c r="AD74" s="689">
        <f t="shared" si="27"/>
        <v>114132.36863832</v>
      </c>
      <c r="AE74" s="689">
        <f t="shared" si="27"/>
        <v>117425.25257335999</v>
      </c>
      <c r="AF74" s="689">
        <f t="shared" si="27"/>
        <v>121847.54052464</v>
      </c>
      <c r="AG74" s="689">
        <f t="shared" si="27"/>
        <v>125519.92445968</v>
      </c>
      <c r="AH74" s="689">
        <f t="shared" si="27"/>
        <v>128886.71241095998</v>
      </c>
      <c r="AI74" s="689">
        <f t="shared" si="27"/>
        <v>132116.09634600001</v>
      </c>
      <c r="AJ74" s="689">
        <f t="shared" si="27"/>
        <v>134961.38429727999</v>
      </c>
      <c r="AK74" s="689">
        <f t="shared" si="27"/>
        <v>137838.26823232</v>
      </c>
      <c r="AL74" s="689">
        <f t="shared" si="27"/>
        <v>139686.05618359998</v>
      </c>
      <c r="AM74" s="689">
        <f t="shared" si="27"/>
        <v>143969.94011864002</v>
      </c>
    </row>
    <row r="75" spans="2:40" s="404" customFormat="1" ht="17" thickTop="1">
      <c r="B75" s="382" t="s">
        <v>144</v>
      </c>
      <c r="D75" s="419">
        <f>-(D70+D71)*(1+'Pricing Model'!$C$9)</f>
        <v>23997.139999999996</v>
      </c>
      <c r="E75" s="419">
        <f>-(E70+E71)*(1+'Pricing Model'!$C$9)</f>
        <v>1819.6568000000013</v>
      </c>
      <c r="F75" s="419">
        <f>-(F70+F71)*(1+'Pricing Model'!$C$9)</f>
        <v>2383.5212000000042</v>
      </c>
      <c r="G75" s="419">
        <f>-(G70+G71)*(1+'Pricing Model'!$C$9)</f>
        <v>1739.771199999997</v>
      </c>
      <c r="H75" s="419">
        <f>-(H70+H71)*(1+'Pricing Model'!$C$9)</f>
        <v>1961.021199999997</v>
      </c>
      <c r="I75" s="419">
        <f>-(I70+I71)*(1+'Pricing Model'!$C$9)</f>
        <v>2179.5424000000044</v>
      </c>
      <c r="J75" s="419">
        <f>-(J70+J71)*(1+'Pricing Model'!$C$9)</f>
        <v>2207.3855999999969</v>
      </c>
      <c r="K75" s="419">
        <f>-(K70+K71)*(1+'Pricing Model'!$C$9)</f>
        <v>1154.6568</v>
      </c>
      <c r="L75" s="419">
        <f>-(L70+L71)*(1+'Pricing Model'!$C$9)</f>
        <v>2383.7499999999941</v>
      </c>
      <c r="M75" s="419">
        <f>-(M70+M71)*(1+'Pricing Model'!$C$9)</f>
        <v>2196.6568000000029</v>
      </c>
      <c r="N75" s="419">
        <f>-(N70+N71)*(1+'Pricing Model'!$C$9)</f>
        <v>2548.3856000000028</v>
      </c>
      <c r="O75" s="420">
        <f>-(O70+O71)*(1+'Pricing Model'!$C$9)</f>
        <v>1838.3856000000058</v>
      </c>
      <c r="P75" s="419">
        <f>-(P70+P71)*(1+'Pricing Model'!$C$9)</f>
        <v>4197.596975999998</v>
      </c>
      <c r="Q75" s="419">
        <f>-(Q70+Q71)*(1+'Pricing Model'!$C$9)</f>
        <v>3048.8240959999994</v>
      </c>
      <c r="R75" s="419">
        <f>-(R70+R71)*(1+'Pricing Model'!$C$9)</f>
        <v>7142.0671680000087</v>
      </c>
      <c r="S75" s="419">
        <f>-(S70+S71)*(1+'Pricing Model'!$C$9)</f>
        <v>4624.3999999999969</v>
      </c>
      <c r="T75" s="419">
        <f>-(T70+T71)*(1+'Pricing Model'!$C$9)</f>
        <v>1557.0051199999871</v>
      </c>
      <c r="U75" s="419">
        <f>-(U70+U71)*(1+'Pricing Model'!$C$9)</f>
        <v>2853.6620479999983</v>
      </c>
      <c r="V75" s="419">
        <f>-(V70+V71)*(1+'Pricing Model'!$C$9)</f>
        <v>3023.7835840000071</v>
      </c>
      <c r="W75" s="419">
        <f>-(W70+W71)*(1+'Pricing Model'!$C$9)</f>
        <v>2588.7430720000002</v>
      </c>
      <c r="X75" s="419">
        <f>-(X70+X71)*(1+'Pricing Model'!$C$9)</f>
        <v>19975.590392888906</v>
      </c>
      <c r="Y75" s="419">
        <f>-(Y70+Y71)*(1+'Pricing Model'!$C$9)</f>
        <v>1380.7731591110989</v>
      </c>
      <c r="Z75" s="419">
        <f>-(Z70+Z71)*(1+'Pricing Model'!$C$9)</f>
        <v>3837.6215359999915</v>
      </c>
      <c r="AA75" s="420">
        <f>-(AA70+AA71)*(1+'Pricing Model'!$C$9)</f>
        <v>3418.1620480000042</v>
      </c>
      <c r="AB75" s="419">
        <f>-(AB70+AB71)*(1+'Pricing Model'!$C$9)</f>
        <v>7204.478287039994</v>
      </c>
      <c r="AC75" s="419">
        <f>-(AC70+AC71)*(1+'Pricing Model'!$C$9)</f>
        <v>2869.7879512800018</v>
      </c>
      <c r="AD75" s="419">
        <f>-(AD70+AD71)*(1+'Pricing Model'!$C$9)</f>
        <v>3292.8839350399967</v>
      </c>
      <c r="AE75" s="419">
        <f>-(AE70+AE71)*(1+'Pricing Model'!$C$9)</f>
        <v>4422.2879512800018</v>
      </c>
      <c r="AF75" s="419">
        <f>-(AF70+AF71)*(1+'Pricing Model'!$C$9)</f>
        <v>3672.3839350399967</v>
      </c>
      <c r="AG75" s="419">
        <f>-(AG70+AG71)*(1+'Pricing Model'!$C$9)</f>
        <v>3366.7879512799905</v>
      </c>
      <c r="AH75" s="419">
        <f>-(AH70+AH71)*(1+'Pricing Model'!$C$9)</f>
        <v>3229.3839350400258</v>
      </c>
      <c r="AI75" s="419">
        <f>-(AI70+AI71)*(1+'Pricing Model'!$C$9)</f>
        <v>2845.2879512799786</v>
      </c>
      <c r="AJ75" s="419">
        <f>-(AJ70+AJ71)*(1+'Pricing Model'!$C$9)</f>
        <v>2876.8839350400085</v>
      </c>
      <c r="AK75" s="419">
        <f>-(AK70+AK71)*(1+'Pricing Model'!$C$9)</f>
        <v>1847.7879512799962</v>
      </c>
      <c r="AL75" s="419">
        <f>-(AL70+AL71)*(1+'Pricing Model'!$C$9)</f>
        <v>4283.8839350400085</v>
      </c>
      <c r="AM75" s="419">
        <f>-(AM70+AM71)*(1+'Pricing Model'!$C$9)</f>
        <v>4270.2879512799964</v>
      </c>
    </row>
    <row r="76" spans="2:40" s="404" customFormat="1" ht="20" customHeight="1">
      <c r="B76" s="457"/>
      <c r="D76" s="436"/>
      <c r="E76" s="436"/>
      <c r="F76" s="436"/>
      <c r="G76" s="436"/>
      <c r="H76" s="436"/>
      <c r="I76" s="436"/>
      <c r="J76" s="436"/>
      <c r="K76" s="436"/>
      <c r="L76" s="436"/>
      <c r="M76" s="436"/>
      <c r="N76" s="436"/>
      <c r="O76" s="437"/>
      <c r="P76" s="433"/>
      <c r="Q76" s="410"/>
      <c r="R76" s="410"/>
      <c r="S76" s="410"/>
      <c r="T76" s="410"/>
      <c r="U76" s="410"/>
      <c r="V76" s="410"/>
      <c r="W76" s="410"/>
      <c r="X76" s="410"/>
      <c r="Y76" s="410"/>
      <c r="Z76" s="410"/>
      <c r="AA76" s="411"/>
      <c r="AB76" s="433"/>
      <c r="AC76" s="436"/>
      <c r="AD76" s="436"/>
      <c r="AE76" s="436"/>
      <c r="AF76" s="436"/>
      <c r="AG76" s="436"/>
      <c r="AH76" s="436"/>
      <c r="AI76" s="436"/>
      <c r="AJ76" s="436"/>
      <c r="AK76" s="436"/>
      <c r="AL76" s="436"/>
      <c r="AM76" s="436"/>
    </row>
    <row r="77" spans="2:40" s="404" customFormat="1" ht="19" thickBot="1">
      <c r="B77" s="384" t="s">
        <v>31</v>
      </c>
      <c r="C77" s="679"/>
      <c r="D77" s="692"/>
      <c r="E77" s="692"/>
      <c r="F77" s="692"/>
      <c r="G77" s="692"/>
      <c r="H77" s="692"/>
      <c r="I77" s="692"/>
      <c r="J77" s="692"/>
      <c r="K77" s="692"/>
      <c r="L77" s="692"/>
      <c r="M77" s="692"/>
      <c r="N77" s="692"/>
      <c r="O77" s="693"/>
      <c r="P77" s="694"/>
      <c r="Q77" s="694"/>
      <c r="R77" s="694"/>
      <c r="S77" s="694"/>
      <c r="T77" s="694"/>
      <c r="U77" s="694"/>
      <c r="V77" s="694"/>
      <c r="W77" s="694"/>
      <c r="X77" s="694"/>
      <c r="Y77" s="694"/>
      <c r="Z77" s="694"/>
      <c r="AA77" s="695"/>
      <c r="AB77" s="694"/>
      <c r="AC77" s="692"/>
      <c r="AD77" s="692"/>
      <c r="AE77" s="692"/>
      <c r="AF77" s="692"/>
      <c r="AG77" s="692"/>
      <c r="AH77" s="692"/>
      <c r="AI77" s="692"/>
      <c r="AJ77" s="692"/>
      <c r="AK77" s="692"/>
      <c r="AL77" s="692"/>
      <c r="AM77" s="692"/>
    </row>
    <row r="78" spans="2:40" s="404" customFormat="1">
      <c r="B78" s="382" t="s">
        <v>111</v>
      </c>
      <c r="D78" s="419">
        <f>-'Profit &amp; Loss'!D83</f>
        <v>2591.8528342380923</v>
      </c>
      <c r="E78" s="419">
        <f>-'Profit &amp; Loss'!E83</f>
        <v>2772.9350141561881</v>
      </c>
      <c r="F78" s="419">
        <f>-'Profit &amp; Loss'!F83</f>
        <v>3038.2399046571445</v>
      </c>
      <c r="G78" s="419">
        <f>-'Profit &amp; Loss'!G83</f>
        <v>3232.8755568247652</v>
      </c>
      <c r="H78" s="419">
        <f>-'Profit &amp; Loss'!H83</f>
        <v>3446.2144739923824</v>
      </c>
      <c r="I78" s="419">
        <f>-'Profit &amp; Loss'!I83</f>
        <v>3672.5818221371446</v>
      </c>
      <c r="J78" s="419">
        <f>-'Profit &amp; Loss'!J83</f>
        <v>3924.9955565542878</v>
      </c>
      <c r="K78" s="419">
        <f>-'Profit &amp; Loss'!K83</f>
        <v>4033.876309805717</v>
      </c>
      <c r="L78" s="419">
        <f>-'Profit &amp; Loss'!L83</f>
        <v>4502.2294281390423</v>
      </c>
      <c r="M78" s="419">
        <f>-'Profit &amp; Loss'!M83</f>
        <v>4737.693930438094</v>
      </c>
      <c r="N78" s="419">
        <f>-'Profit &amp; Loss'!N83</f>
        <v>5055.5926058076147</v>
      </c>
      <c r="O78" s="420">
        <f>-'Profit &amp; Loss'!O83</f>
        <v>5273.9584373676189</v>
      </c>
      <c r="P78" s="683">
        <f>-'Profit &amp; Loss'!P83</f>
        <v>5810.007041474244</v>
      </c>
      <c r="Q78" s="419">
        <f>-'Profit &amp; Loss'!Q83</f>
        <v>6158.4274076054717</v>
      </c>
      <c r="R78" s="419">
        <f>-'Profit &amp; Loss'!R83</f>
        <v>7019.0459016827517</v>
      </c>
      <c r="S78" s="419">
        <f>-'Profit &amp; Loss'!S83</f>
        <v>7568.908543663696</v>
      </c>
      <c r="T78" s="419">
        <f>-'Profit &amp; Loss'!T83</f>
        <v>7450.4525476753406</v>
      </c>
      <c r="U78" s="419">
        <f>-'Profit &amp; Loss'!U83</f>
        <v>7794.9029692457261</v>
      </c>
      <c r="V78" s="419">
        <f>-'Profit &amp; Loss'!V83</f>
        <v>8159.6982764653148</v>
      </c>
      <c r="W78" s="419">
        <f>-'Profit &amp; Loss'!W83</f>
        <v>8438.1277175732539</v>
      </c>
      <c r="X78" s="419">
        <f>-'Profit &amp; Loss'!X83</f>
        <v>12210.202621208271</v>
      </c>
      <c r="Y78" s="419">
        <f>-'Profit &amp; Loss'!Y83</f>
        <v>11177.070452594504</v>
      </c>
      <c r="Z78" s="419">
        <f>-'Profit &amp; Loss'!Z83</f>
        <v>11607.193518910382</v>
      </c>
      <c r="AA78" s="420">
        <f>-'Profit &amp; Loss'!AA83</f>
        <v>11989.118000004572</v>
      </c>
      <c r="AB78" s="683">
        <f>-'Profit &amp; Loss'!AB83</f>
        <v>13019.377756401867</v>
      </c>
      <c r="AC78" s="419">
        <f>-'Profit &amp; Loss'!AC83</f>
        <v>13397.140762067036</v>
      </c>
      <c r="AD78" s="419">
        <f>-'Profit &amp; Loss'!AD83</f>
        <v>13807.706663316974</v>
      </c>
      <c r="AE78" s="419">
        <f>-'Profit &amp; Loss'!AE83</f>
        <v>14324.050178494697</v>
      </c>
      <c r="AF78" s="419">
        <f>-'Profit &amp; Loss'!AF83</f>
        <v>14751.510129138915</v>
      </c>
      <c r="AG78" s="419">
        <f>-'Profit &amp; Loss'!AG83</f>
        <v>15165.243996097575</v>
      </c>
      <c r="AH78" s="419">
        <f>-'Profit &amp; Loss'!AH83</f>
        <v>15547.146711382302</v>
      </c>
      <c r="AI78" s="419">
        <f>-'Profit &amp; Loss'!AI83</f>
        <v>15900.163238154782</v>
      </c>
      <c r="AJ78" s="419">
        <f>-'Profit &amp; Loss'!AJ83</f>
        <v>16235.988833380907</v>
      </c>
      <c r="AK78" s="419">
        <f>-'Profit &amp; Loss'!AK83</f>
        <v>16471.188907709118</v>
      </c>
      <c r="AL78" s="419">
        <f>-'Profit &amp; Loss'!AL83</f>
        <v>16911.630707892386</v>
      </c>
      <c r="AM78" s="419">
        <f>-'Profit &amp; Loss'!AM83</f>
        <v>17363.508188497741</v>
      </c>
    </row>
    <row r="79" spans="2:40" s="404" customFormat="1">
      <c r="B79" s="457" t="s">
        <v>112</v>
      </c>
      <c r="D79" s="696">
        <v>50000</v>
      </c>
      <c r="E79" s="696"/>
      <c r="F79" s="696"/>
      <c r="G79" s="696"/>
      <c r="H79" s="696"/>
      <c r="I79" s="696"/>
      <c r="J79" s="696"/>
      <c r="K79" s="696"/>
      <c r="L79" s="696"/>
      <c r="M79" s="696"/>
      <c r="N79" s="696"/>
      <c r="O79" s="697"/>
      <c r="P79" s="696">
        <v>10000</v>
      </c>
      <c r="Q79" s="696"/>
      <c r="R79" s="696"/>
      <c r="S79" s="696"/>
      <c r="T79" s="696"/>
      <c r="U79" s="696"/>
      <c r="V79" s="696"/>
      <c r="W79" s="696"/>
      <c r="X79" s="696"/>
      <c r="Y79" s="696"/>
      <c r="Z79" s="696"/>
      <c r="AA79" s="697"/>
      <c r="AB79" s="696">
        <v>10000</v>
      </c>
      <c r="AC79" s="696"/>
      <c r="AD79" s="696"/>
      <c r="AE79" s="696"/>
      <c r="AF79" s="696"/>
      <c r="AG79" s="696"/>
      <c r="AH79" s="696"/>
      <c r="AI79" s="696"/>
      <c r="AJ79" s="696"/>
      <c r="AK79" s="696"/>
      <c r="AL79" s="696"/>
      <c r="AM79" s="696"/>
    </row>
    <row r="80" spans="2:40" s="404" customFormat="1">
      <c r="B80" s="684" t="s">
        <v>113</v>
      </c>
      <c r="C80" s="685"/>
      <c r="D80" s="594">
        <f>D78+D79</f>
        <v>52591.852834238089</v>
      </c>
      <c r="E80" s="594">
        <f t="shared" ref="E80:K80" si="28">E78+E79</f>
        <v>2772.9350141561881</v>
      </c>
      <c r="F80" s="594">
        <f t="shared" si="28"/>
        <v>3038.2399046571445</v>
      </c>
      <c r="G80" s="594">
        <f t="shared" si="28"/>
        <v>3232.8755568247652</v>
      </c>
      <c r="H80" s="594">
        <f t="shared" si="28"/>
        <v>3446.2144739923824</v>
      </c>
      <c r="I80" s="594">
        <f t="shared" si="28"/>
        <v>3672.5818221371446</v>
      </c>
      <c r="J80" s="594">
        <f t="shared" si="28"/>
        <v>3924.9955565542878</v>
      </c>
      <c r="K80" s="594">
        <f t="shared" si="28"/>
        <v>4033.876309805717</v>
      </c>
      <c r="L80" s="594">
        <f t="shared" ref="L80:AM80" si="29">L78+L79</f>
        <v>4502.2294281390423</v>
      </c>
      <c r="M80" s="594">
        <f t="shared" si="29"/>
        <v>4737.693930438094</v>
      </c>
      <c r="N80" s="594">
        <f t="shared" si="29"/>
        <v>5055.5926058076147</v>
      </c>
      <c r="O80" s="686">
        <f t="shared" si="29"/>
        <v>5273.9584373676189</v>
      </c>
      <c r="P80" s="594">
        <f t="shared" si="29"/>
        <v>15810.007041474244</v>
      </c>
      <c r="Q80" s="594">
        <f t="shared" si="29"/>
        <v>6158.4274076054717</v>
      </c>
      <c r="R80" s="594">
        <f t="shared" si="29"/>
        <v>7019.0459016827517</v>
      </c>
      <c r="S80" s="594">
        <f t="shared" si="29"/>
        <v>7568.908543663696</v>
      </c>
      <c r="T80" s="594">
        <f t="shared" si="29"/>
        <v>7450.4525476753406</v>
      </c>
      <c r="U80" s="594">
        <f t="shared" si="29"/>
        <v>7794.9029692457261</v>
      </c>
      <c r="V80" s="594">
        <f t="shared" si="29"/>
        <v>8159.6982764653148</v>
      </c>
      <c r="W80" s="594">
        <f t="shared" si="29"/>
        <v>8438.1277175732539</v>
      </c>
      <c r="X80" s="594">
        <f t="shared" si="29"/>
        <v>12210.202621208271</v>
      </c>
      <c r="Y80" s="594">
        <f t="shared" si="29"/>
        <v>11177.070452594504</v>
      </c>
      <c r="Z80" s="594">
        <f t="shared" si="29"/>
        <v>11607.193518910382</v>
      </c>
      <c r="AA80" s="686">
        <f t="shared" si="29"/>
        <v>11989.118000004572</v>
      </c>
      <c r="AB80" s="594">
        <f t="shared" si="29"/>
        <v>23019.377756401867</v>
      </c>
      <c r="AC80" s="594">
        <f t="shared" si="29"/>
        <v>13397.140762067036</v>
      </c>
      <c r="AD80" s="594">
        <f t="shared" si="29"/>
        <v>13807.706663316974</v>
      </c>
      <c r="AE80" s="594">
        <f t="shared" si="29"/>
        <v>14324.050178494697</v>
      </c>
      <c r="AF80" s="594">
        <f t="shared" si="29"/>
        <v>14751.510129138915</v>
      </c>
      <c r="AG80" s="594">
        <f t="shared" si="29"/>
        <v>15165.243996097575</v>
      </c>
      <c r="AH80" s="594">
        <f t="shared" si="29"/>
        <v>15547.146711382302</v>
      </c>
      <c r="AI80" s="594">
        <f t="shared" si="29"/>
        <v>15900.163238154782</v>
      </c>
      <c r="AJ80" s="594">
        <f t="shared" si="29"/>
        <v>16235.988833380907</v>
      </c>
      <c r="AK80" s="594">
        <f t="shared" si="29"/>
        <v>16471.188907709118</v>
      </c>
      <c r="AL80" s="594">
        <f t="shared" si="29"/>
        <v>16911.630707892386</v>
      </c>
      <c r="AM80" s="594">
        <f t="shared" si="29"/>
        <v>17363.508188497741</v>
      </c>
    </row>
    <row r="81" spans="2:39" s="404" customFormat="1">
      <c r="B81" s="698" t="s">
        <v>114</v>
      </c>
      <c r="C81" s="687"/>
      <c r="D81" s="414">
        <f>D80*'Pricing Model'!$C$9</f>
        <v>10518.370566847618</v>
      </c>
      <c r="E81" s="414">
        <f>E80*'Pricing Model'!$C$9</f>
        <v>554.58700283123767</v>
      </c>
      <c r="F81" s="414">
        <f>F80*'Pricing Model'!$C$9</f>
        <v>607.64798093142895</v>
      </c>
      <c r="G81" s="414">
        <f>G80*'Pricing Model'!$C$9</f>
        <v>646.57511136495305</v>
      </c>
      <c r="H81" s="414">
        <f>H80*'Pricing Model'!$C$9</f>
        <v>689.24289479847653</v>
      </c>
      <c r="I81" s="414">
        <f>I80*'Pricing Model'!$C$9</f>
        <v>734.51636442742893</v>
      </c>
      <c r="J81" s="414">
        <f>J80*'Pricing Model'!$C$9</f>
        <v>784.99911131085764</v>
      </c>
      <c r="K81" s="414">
        <f>K80*'Pricing Model'!$C$9</f>
        <v>806.77526196114343</v>
      </c>
      <c r="L81" s="414">
        <f>L80*'Pricing Model'!$C$9</f>
        <v>900.44588562780848</v>
      </c>
      <c r="M81" s="414">
        <f>M80*'Pricing Model'!$C$9</f>
        <v>947.53878608761886</v>
      </c>
      <c r="N81" s="414">
        <f>N80*'Pricing Model'!$C$9</f>
        <v>1011.1185211615229</v>
      </c>
      <c r="O81" s="415">
        <f>O80*'Pricing Model'!$C$9</f>
        <v>1054.7916874735238</v>
      </c>
      <c r="P81" s="414">
        <f>P80*'Pricing Model'!$C$9</f>
        <v>3162.0014082948492</v>
      </c>
      <c r="Q81" s="414">
        <f>Q80*'Pricing Model'!$C$9</f>
        <v>1231.6854815210945</v>
      </c>
      <c r="R81" s="414">
        <f>R80*'Pricing Model'!$C$9</f>
        <v>1403.8091803365505</v>
      </c>
      <c r="S81" s="414">
        <f>S80*'Pricing Model'!$C$9</f>
        <v>1513.7817087327394</v>
      </c>
      <c r="T81" s="414">
        <f>T80*'Pricing Model'!$C$9</f>
        <v>1490.0905095350681</v>
      </c>
      <c r="U81" s="414">
        <f>U80*'Pricing Model'!$C$9</f>
        <v>1558.9805938491454</v>
      </c>
      <c r="V81" s="414">
        <f>V80*'Pricing Model'!$C$9</f>
        <v>1631.939655293063</v>
      </c>
      <c r="W81" s="414">
        <f>W80*'Pricing Model'!$C$9</f>
        <v>1687.6255435146509</v>
      </c>
      <c r="X81" s="414">
        <f>X80*'Pricing Model'!$C$9</f>
        <v>2442.0405242416541</v>
      </c>
      <c r="Y81" s="414">
        <f>Y80*'Pricing Model'!$C$9</f>
        <v>2235.414090518901</v>
      </c>
      <c r="Z81" s="414">
        <f>Z80*'Pricing Model'!$C$9</f>
        <v>2321.4387037820766</v>
      </c>
      <c r="AA81" s="415">
        <f>AA80*'Pricing Model'!$C$9</f>
        <v>2397.8236000009142</v>
      </c>
      <c r="AB81" s="414">
        <f>AB80*'Pricing Model'!$C$9</f>
        <v>4603.8755512803737</v>
      </c>
      <c r="AC81" s="414">
        <f>AC80*'Pricing Model'!$C$9</f>
        <v>2679.4281524134076</v>
      </c>
      <c r="AD81" s="414">
        <f>AD80*'Pricing Model'!$C$9</f>
        <v>2761.5413326633952</v>
      </c>
      <c r="AE81" s="414">
        <f>AE80*'Pricing Model'!$C$9</f>
        <v>2864.8100356989398</v>
      </c>
      <c r="AF81" s="414">
        <f>AF80*'Pricing Model'!$C$9</f>
        <v>2950.3020258277829</v>
      </c>
      <c r="AG81" s="414">
        <f>AG80*'Pricing Model'!$C$9</f>
        <v>3033.0487992195153</v>
      </c>
      <c r="AH81" s="414">
        <f>AH80*'Pricing Model'!$C$9</f>
        <v>3109.4293422764604</v>
      </c>
      <c r="AI81" s="414">
        <f>AI80*'Pricing Model'!$C$9</f>
        <v>3180.0326476309565</v>
      </c>
      <c r="AJ81" s="414">
        <f>AJ80*'Pricing Model'!$C$9</f>
        <v>3247.1977666761813</v>
      </c>
      <c r="AK81" s="414">
        <f>AK80*'Pricing Model'!$C$9</f>
        <v>3294.237781541824</v>
      </c>
      <c r="AL81" s="414">
        <f>AL80*'Pricing Model'!$C$9</f>
        <v>3382.3261415784773</v>
      </c>
      <c r="AM81" s="414">
        <f>AM80*'Pricing Model'!$C$9</f>
        <v>3472.7016376995484</v>
      </c>
    </row>
    <row r="82" spans="2:39" s="703" customFormat="1" ht="25" customHeight="1">
      <c r="B82" s="699" t="s">
        <v>115</v>
      </c>
      <c r="C82" s="700"/>
      <c r="D82" s="701">
        <f>D80+D81</f>
        <v>63110.223401085706</v>
      </c>
      <c r="E82" s="701">
        <f t="shared" ref="E82:AM82" si="30">E80+E81</f>
        <v>3327.5220169874256</v>
      </c>
      <c r="F82" s="701">
        <f t="shared" si="30"/>
        <v>3645.8878855885732</v>
      </c>
      <c r="G82" s="701">
        <f t="shared" si="30"/>
        <v>3879.4506681897183</v>
      </c>
      <c r="H82" s="701">
        <f t="shared" si="30"/>
        <v>4135.4573687908587</v>
      </c>
      <c r="I82" s="701">
        <f t="shared" si="30"/>
        <v>4407.0981865645736</v>
      </c>
      <c r="J82" s="701">
        <f t="shared" si="30"/>
        <v>4709.9946678651449</v>
      </c>
      <c r="K82" s="701">
        <f t="shared" si="30"/>
        <v>4840.6515717668608</v>
      </c>
      <c r="L82" s="701">
        <f t="shared" si="30"/>
        <v>5402.6753137668511</v>
      </c>
      <c r="M82" s="701">
        <f t="shared" si="30"/>
        <v>5685.2327165257129</v>
      </c>
      <c r="N82" s="701">
        <f t="shared" si="30"/>
        <v>6066.7111269691377</v>
      </c>
      <c r="O82" s="702">
        <f t="shared" si="30"/>
        <v>6328.7501248411427</v>
      </c>
      <c r="P82" s="701">
        <f t="shared" si="30"/>
        <v>18972.008449769091</v>
      </c>
      <c r="Q82" s="701">
        <f t="shared" si="30"/>
        <v>7390.1128891265662</v>
      </c>
      <c r="R82" s="701">
        <f t="shared" si="30"/>
        <v>8422.8550820193013</v>
      </c>
      <c r="S82" s="701">
        <f t="shared" si="30"/>
        <v>9082.6902523964345</v>
      </c>
      <c r="T82" s="701">
        <f t="shared" si="30"/>
        <v>8940.5430572104087</v>
      </c>
      <c r="U82" s="701">
        <f t="shared" si="30"/>
        <v>9353.8835630948706</v>
      </c>
      <c r="V82" s="701">
        <f t="shared" si="30"/>
        <v>9791.6379317583778</v>
      </c>
      <c r="W82" s="701">
        <f t="shared" si="30"/>
        <v>10125.753261087904</v>
      </c>
      <c r="X82" s="701">
        <f t="shared" si="30"/>
        <v>14652.243145449926</v>
      </c>
      <c r="Y82" s="701">
        <f t="shared" si="30"/>
        <v>13412.484543113405</v>
      </c>
      <c r="Z82" s="701">
        <f t="shared" si="30"/>
        <v>13928.632222692459</v>
      </c>
      <c r="AA82" s="702">
        <f t="shared" si="30"/>
        <v>14386.941600005486</v>
      </c>
      <c r="AB82" s="701">
        <f t="shared" si="30"/>
        <v>27623.25330768224</v>
      </c>
      <c r="AC82" s="701">
        <f t="shared" si="30"/>
        <v>16076.568914480444</v>
      </c>
      <c r="AD82" s="701">
        <f t="shared" si="30"/>
        <v>16569.247995980368</v>
      </c>
      <c r="AE82" s="701">
        <f t="shared" si="30"/>
        <v>17188.860214193635</v>
      </c>
      <c r="AF82" s="701">
        <f t="shared" si="30"/>
        <v>17701.812154966698</v>
      </c>
      <c r="AG82" s="701">
        <f t="shared" si="30"/>
        <v>18198.292795317091</v>
      </c>
      <c r="AH82" s="701">
        <f t="shared" si="30"/>
        <v>18656.576053658762</v>
      </c>
      <c r="AI82" s="701">
        <f t="shared" si="30"/>
        <v>19080.195885785739</v>
      </c>
      <c r="AJ82" s="701">
        <f t="shared" si="30"/>
        <v>19483.186600057088</v>
      </c>
      <c r="AK82" s="701">
        <f t="shared" si="30"/>
        <v>19765.42668925094</v>
      </c>
      <c r="AL82" s="701">
        <f t="shared" si="30"/>
        <v>20293.956849470862</v>
      </c>
      <c r="AM82" s="701">
        <f t="shared" si="30"/>
        <v>20836.20982619729</v>
      </c>
    </row>
    <row r="83" spans="2:39" s="691" customFormat="1" ht="21" customHeight="1" thickBot="1">
      <c r="B83" s="440" t="s">
        <v>441</v>
      </c>
      <c r="C83" s="688"/>
      <c r="D83" s="689">
        <f>C82</f>
        <v>0</v>
      </c>
      <c r="E83" s="689">
        <f t="shared" ref="E83:AM83" si="31">D82</f>
        <v>63110.223401085706</v>
      </c>
      <c r="F83" s="689">
        <f t="shared" si="31"/>
        <v>3327.5220169874256</v>
      </c>
      <c r="G83" s="689">
        <f t="shared" si="31"/>
        <v>3645.8878855885732</v>
      </c>
      <c r="H83" s="689">
        <f t="shared" si="31"/>
        <v>3879.4506681897183</v>
      </c>
      <c r="I83" s="689">
        <f t="shared" si="31"/>
        <v>4135.4573687908587</v>
      </c>
      <c r="J83" s="689">
        <f t="shared" si="31"/>
        <v>4407.0981865645736</v>
      </c>
      <c r="K83" s="689">
        <f t="shared" si="31"/>
        <v>4709.9946678651449</v>
      </c>
      <c r="L83" s="689">
        <f t="shared" si="31"/>
        <v>4840.6515717668608</v>
      </c>
      <c r="M83" s="689">
        <f t="shared" si="31"/>
        <v>5402.6753137668511</v>
      </c>
      <c r="N83" s="689">
        <f t="shared" si="31"/>
        <v>5685.2327165257129</v>
      </c>
      <c r="O83" s="690">
        <f t="shared" si="31"/>
        <v>6066.7111269691377</v>
      </c>
      <c r="P83" s="689">
        <f t="shared" si="31"/>
        <v>6328.7501248411427</v>
      </c>
      <c r="Q83" s="689">
        <f t="shared" si="31"/>
        <v>18972.008449769091</v>
      </c>
      <c r="R83" s="689">
        <f t="shared" si="31"/>
        <v>7390.1128891265662</v>
      </c>
      <c r="S83" s="689">
        <f t="shared" si="31"/>
        <v>8422.8550820193013</v>
      </c>
      <c r="T83" s="689">
        <f t="shared" si="31"/>
        <v>9082.6902523964345</v>
      </c>
      <c r="U83" s="689">
        <f t="shared" si="31"/>
        <v>8940.5430572104087</v>
      </c>
      <c r="V83" s="689">
        <f t="shared" si="31"/>
        <v>9353.8835630948706</v>
      </c>
      <c r="W83" s="689">
        <f t="shared" si="31"/>
        <v>9791.6379317583778</v>
      </c>
      <c r="X83" s="689">
        <f t="shared" si="31"/>
        <v>10125.753261087904</v>
      </c>
      <c r="Y83" s="689">
        <f t="shared" si="31"/>
        <v>14652.243145449926</v>
      </c>
      <c r="Z83" s="689">
        <f t="shared" si="31"/>
        <v>13412.484543113405</v>
      </c>
      <c r="AA83" s="690">
        <f t="shared" si="31"/>
        <v>13928.632222692459</v>
      </c>
      <c r="AB83" s="689">
        <f t="shared" si="31"/>
        <v>14386.941600005486</v>
      </c>
      <c r="AC83" s="689">
        <f t="shared" si="31"/>
        <v>27623.25330768224</v>
      </c>
      <c r="AD83" s="689">
        <f t="shared" si="31"/>
        <v>16076.568914480444</v>
      </c>
      <c r="AE83" s="689">
        <f t="shared" si="31"/>
        <v>16569.247995980368</v>
      </c>
      <c r="AF83" s="689">
        <f t="shared" si="31"/>
        <v>17188.860214193635</v>
      </c>
      <c r="AG83" s="689">
        <f t="shared" si="31"/>
        <v>17701.812154966698</v>
      </c>
      <c r="AH83" s="689">
        <f t="shared" si="31"/>
        <v>18198.292795317091</v>
      </c>
      <c r="AI83" s="689">
        <f t="shared" si="31"/>
        <v>18656.576053658762</v>
      </c>
      <c r="AJ83" s="689">
        <f t="shared" si="31"/>
        <v>19080.195885785739</v>
      </c>
      <c r="AK83" s="689">
        <f t="shared" si="31"/>
        <v>19483.186600057088</v>
      </c>
      <c r="AL83" s="689">
        <f t="shared" si="31"/>
        <v>19765.42668925094</v>
      </c>
      <c r="AM83" s="689">
        <f t="shared" si="31"/>
        <v>20293.956849470862</v>
      </c>
    </row>
    <row r="84" spans="2:39" s="404" customFormat="1" ht="17" thickTop="1">
      <c r="B84" s="382" t="s">
        <v>182</v>
      </c>
      <c r="D84" s="419">
        <f>D82-D83</f>
        <v>63110.223401085706</v>
      </c>
      <c r="E84" s="419">
        <f t="shared" ref="E84:J84" si="32">E82-E83</f>
        <v>-59782.701384098284</v>
      </c>
      <c r="F84" s="419">
        <f t="shared" si="32"/>
        <v>318.36586860114767</v>
      </c>
      <c r="G84" s="419">
        <f t="shared" si="32"/>
        <v>233.56278260114505</v>
      </c>
      <c r="H84" s="419">
        <f t="shared" si="32"/>
        <v>256.00670060114044</v>
      </c>
      <c r="I84" s="419">
        <f t="shared" si="32"/>
        <v>271.64081777371484</v>
      </c>
      <c r="J84" s="419">
        <f t="shared" si="32"/>
        <v>302.89648130057139</v>
      </c>
      <c r="K84" s="419">
        <f t="shared" ref="K84:AM84" si="33">K82-K83</f>
        <v>130.65690390171585</v>
      </c>
      <c r="L84" s="419">
        <f t="shared" si="33"/>
        <v>562.02374199999031</v>
      </c>
      <c r="M84" s="419">
        <f t="shared" si="33"/>
        <v>282.55740275886183</v>
      </c>
      <c r="N84" s="419">
        <f t="shared" si="33"/>
        <v>381.47841044342476</v>
      </c>
      <c r="O84" s="420">
        <f t="shared" si="33"/>
        <v>262.03899787200498</v>
      </c>
      <c r="P84" s="683">
        <f t="shared" si="33"/>
        <v>12643.258324927949</v>
      </c>
      <c r="Q84" s="419">
        <f t="shared" si="33"/>
        <v>-11581.895560642526</v>
      </c>
      <c r="R84" s="419">
        <f t="shared" si="33"/>
        <v>1032.7421928927351</v>
      </c>
      <c r="S84" s="419">
        <f t="shared" si="33"/>
        <v>659.83517037713318</v>
      </c>
      <c r="T84" s="419">
        <f t="shared" si="33"/>
        <v>-142.14719518602578</v>
      </c>
      <c r="U84" s="419">
        <f t="shared" si="33"/>
        <v>413.34050588446189</v>
      </c>
      <c r="V84" s="419">
        <f t="shared" si="33"/>
        <v>437.75436866350719</v>
      </c>
      <c r="W84" s="419">
        <f t="shared" si="33"/>
        <v>334.1153293295265</v>
      </c>
      <c r="X84" s="419">
        <f t="shared" si="33"/>
        <v>4526.4898843620213</v>
      </c>
      <c r="Y84" s="419">
        <f t="shared" si="33"/>
        <v>-1239.7586023365202</v>
      </c>
      <c r="Z84" s="419">
        <f t="shared" si="33"/>
        <v>516.14767957905315</v>
      </c>
      <c r="AA84" s="420">
        <f t="shared" si="33"/>
        <v>458.30937731302765</v>
      </c>
      <c r="AB84" s="683">
        <f t="shared" si="33"/>
        <v>13236.311707676754</v>
      </c>
      <c r="AC84" s="419">
        <f t="shared" si="33"/>
        <v>-11546.684393201796</v>
      </c>
      <c r="AD84" s="419">
        <f t="shared" si="33"/>
        <v>492.679081499924</v>
      </c>
      <c r="AE84" s="419">
        <f t="shared" si="33"/>
        <v>619.61221821326762</v>
      </c>
      <c r="AF84" s="419">
        <f t="shared" si="33"/>
        <v>512.95194077306223</v>
      </c>
      <c r="AG84" s="419">
        <f t="shared" si="33"/>
        <v>496.48064035039351</v>
      </c>
      <c r="AH84" s="419">
        <f t="shared" si="33"/>
        <v>458.28325834167117</v>
      </c>
      <c r="AI84" s="419">
        <f t="shared" si="33"/>
        <v>423.61983212697669</v>
      </c>
      <c r="AJ84" s="419">
        <f t="shared" si="33"/>
        <v>402.99071427134913</v>
      </c>
      <c r="AK84" s="419">
        <f t="shared" si="33"/>
        <v>282.24008919385233</v>
      </c>
      <c r="AL84" s="419">
        <f t="shared" si="33"/>
        <v>528.53016021992153</v>
      </c>
      <c r="AM84" s="419">
        <f t="shared" si="33"/>
        <v>542.25297672642773</v>
      </c>
    </row>
    <row r="85" spans="2:39" s="404" customFormat="1" ht="24" customHeight="1">
      <c r="B85" s="457"/>
      <c r="D85" s="436"/>
      <c r="E85" s="436"/>
      <c r="F85" s="436"/>
      <c r="G85" s="436"/>
      <c r="H85" s="436"/>
      <c r="I85" s="436"/>
      <c r="J85" s="436"/>
      <c r="K85" s="436"/>
      <c r="L85" s="436"/>
      <c r="M85" s="436"/>
      <c r="N85" s="436"/>
      <c r="O85" s="437"/>
      <c r="P85" s="438"/>
      <c r="Q85" s="436"/>
      <c r="R85" s="410"/>
      <c r="S85" s="410"/>
      <c r="T85" s="410"/>
      <c r="U85" s="410"/>
      <c r="V85" s="410"/>
      <c r="W85" s="410"/>
      <c r="X85" s="410"/>
      <c r="Y85" s="410"/>
      <c r="Z85" s="410"/>
      <c r="AA85" s="411"/>
      <c r="AB85" s="433"/>
      <c r="AC85" s="436"/>
      <c r="AD85" s="436"/>
      <c r="AE85" s="436"/>
      <c r="AF85" s="436"/>
      <c r="AG85" s="436"/>
      <c r="AH85" s="436"/>
      <c r="AI85" s="436"/>
      <c r="AJ85" s="436"/>
      <c r="AK85" s="436"/>
      <c r="AL85" s="436"/>
      <c r="AM85" s="436"/>
    </row>
    <row r="86" spans="2:39" s="404" customFormat="1" ht="19" thickBot="1">
      <c r="B86" s="384" t="s">
        <v>32</v>
      </c>
      <c r="C86" s="679"/>
      <c r="D86" s="692"/>
      <c r="E86" s="692"/>
      <c r="F86" s="692"/>
      <c r="G86" s="692"/>
      <c r="H86" s="692"/>
      <c r="I86" s="692"/>
      <c r="J86" s="692"/>
      <c r="K86" s="692"/>
      <c r="L86" s="692"/>
      <c r="M86" s="692"/>
      <c r="N86" s="692"/>
      <c r="O86" s="693"/>
      <c r="P86" s="694"/>
      <c r="Q86" s="694"/>
      <c r="R86" s="694"/>
      <c r="S86" s="694"/>
      <c r="T86" s="694"/>
      <c r="U86" s="694"/>
      <c r="V86" s="694"/>
      <c r="W86" s="694"/>
      <c r="X86" s="694"/>
      <c r="Y86" s="694"/>
      <c r="Z86" s="694"/>
      <c r="AA86" s="695"/>
      <c r="AB86" s="694"/>
      <c r="AC86" s="692"/>
      <c r="AD86" s="692"/>
      <c r="AE86" s="692"/>
      <c r="AF86" s="692"/>
      <c r="AG86" s="692"/>
      <c r="AH86" s="692"/>
      <c r="AI86" s="692"/>
      <c r="AJ86" s="692"/>
      <c r="AK86" s="692"/>
      <c r="AL86" s="692"/>
      <c r="AM86" s="692"/>
    </row>
    <row r="87" spans="2:39" s="404" customFormat="1" ht="16" customHeight="1">
      <c r="B87" s="704"/>
      <c r="C87" s="375"/>
      <c r="D87" s="438"/>
      <c r="E87" s="438"/>
      <c r="F87" s="438"/>
      <c r="G87" s="438"/>
      <c r="H87" s="438"/>
      <c r="I87" s="438"/>
      <c r="J87" s="438"/>
      <c r="K87" s="438"/>
      <c r="L87" s="438"/>
      <c r="M87" s="438"/>
      <c r="N87" s="438"/>
      <c r="O87" s="437"/>
      <c r="P87" s="433"/>
      <c r="Q87" s="433"/>
      <c r="R87" s="433"/>
      <c r="S87" s="433"/>
      <c r="T87" s="433"/>
      <c r="U87" s="433"/>
      <c r="V87" s="433"/>
      <c r="W87" s="433"/>
      <c r="X87" s="433"/>
      <c r="Y87" s="433"/>
      <c r="Z87" s="433"/>
      <c r="AA87" s="411"/>
      <c r="AB87" s="433"/>
      <c r="AC87" s="438"/>
      <c r="AD87" s="438"/>
      <c r="AE87" s="438"/>
      <c r="AF87" s="438"/>
      <c r="AG87" s="438"/>
      <c r="AH87" s="438"/>
      <c r="AI87" s="438"/>
      <c r="AJ87" s="438"/>
      <c r="AK87" s="438"/>
      <c r="AL87" s="438"/>
      <c r="AM87" s="438"/>
    </row>
    <row r="88" spans="2:39" s="404" customFormat="1">
      <c r="B88" s="385" t="s">
        <v>33</v>
      </c>
      <c r="D88" s="436"/>
      <c r="E88" s="436"/>
      <c r="F88" s="436"/>
      <c r="G88" s="436"/>
      <c r="H88" s="436"/>
      <c r="I88" s="436"/>
      <c r="J88" s="436"/>
      <c r="K88" s="436"/>
      <c r="L88" s="436"/>
      <c r="M88" s="436"/>
      <c r="N88" s="436"/>
      <c r="O88" s="437"/>
      <c r="P88" s="433"/>
      <c r="Q88" s="410"/>
      <c r="R88" s="410"/>
      <c r="S88" s="410"/>
      <c r="T88" s="410"/>
      <c r="U88" s="410"/>
      <c r="V88" s="410"/>
      <c r="W88" s="410"/>
      <c r="X88" s="410"/>
      <c r="Y88" s="410"/>
      <c r="Z88" s="410"/>
      <c r="AA88" s="411"/>
      <c r="AB88" s="433"/>
      <c r="AC88" s="436"/>
      <c r="AD88" s="436"/>
      <c r="AE88" s="436"/>
      <c r="AF88" s="436"/>
      <c r="AG88" s="436"/>
      <c r="AH88" s="436"/>
      <c r="AI88" s="436"/>
      <c r="AJ88" s="436"/>
      <c r="AK88" s="436"/>
      <c r="AL88" s="436"/>
      <c r="AM88" s="436"/>
    </row>
    <row r="89" spans="2:39" s="404" customFormat="1">
      <c r="B89" s="457" t="s">
        <v>116</v>
      </c>
      <c r="D89" s="419">
        <f>-'Profit &amp; Loss'!D90</f>
        <v>4333.3333333333339</v>
      </c>
      <c r="E89" s="419">
        <f>-'Profit &amp; Loss'!E90</f>
        <v>4333.3333333333339</v>
      </c>
      <c r="F89" s="419">
        <f>-'Profit &amp; Loss'!F90</f>
        <v>4333.3333333333339</v>
      </c>
      <c r="G89" s="419">
        <f>-'Profit &amp; Loss'!G90</f>
        <v>4333.3333333333339</v>
      </c>
      <c r="H89" s="419">
        <f>-'Profit &amp; Loss'!H90</f>
        <v>4333.3333333333339</v>
      </c>
      <c r="I89" s="419">
        <f>-'Profit &amp; Loss'!I90</f>
        <v>4333.3333333333339</v>
      </c>
      <c r="J89" s="419">
        <f>-'Profit &amp; Loss'!J90</f>
        <v>4333.3333333333339</v>
      </c>
      <c r="K89" s="419">
        <f>-'Profit &amp; Loss'!K90</f>
        <v>4333.3333333333339</v>
      </c>
      <c r="L89" s="419">
        <f>-'Profit &amp; Loss'!L90</f>
        <v>4333.3333333333339</v>
      </c>
      <c r="M89" s="419">
        <f>-'Profit &amp; Loss'!M90</f>
        <v>4333.3333333333339</v>
      </c>
      <c r="N89" s="419">
        <f>-'Profit &amp; Loss'!N90</f>
        <v>4333.3333333333339</v>
      </c>
      <c r="O89" s="420">
        <f>-'Profit &amp; Loss'!O90</f>
        <v>4333.3333333333339</v>
      </c>
      <c r="P89" s="683">
        <f>-'Profit &amp; Loss'!P90</f>
        <v>6034.4444444444453</v>
      </c>
      <c r="Q89" s="419">
        <f>-'Profit &amp; Loss'!Q90</f>
        <v>6034.4444444444453</v>
      </c>
      <c r="R89" s="419">
        <f>-'Profit &amp; Loss'!R90</f>
        <v>6034.4444444444453</v>
      </c>
      <c r="S89" s="419">
        <f>-'Profit &amp; Loss'!S90</f>
        <v>6034.4444444444453</v>
      </c>
      <c r="T89" s="419">
        <f>-'Profit &amp; Loss'!T90</f>
        <v>6034.4444444444453</v>
      </c>
      <c r="U89" s="419">
        <f>-'Profit &amp; Loss'!U90</f>
        <v>6034.4444444444453</v>
      </c>
      <c r="V89" s="419">
        <f>-'Profit &amp; Loss'!V90</f>
        <v>6034.4444444444453</v>
      </c>
      <c r="W89" s="419">
        <f>-'Profit &amp; Loss'!W90</f>
        <v>6034.4444444444453</v>
      </c>
      <c r="X89" s="419">
        <f>-'Profit &amp; Loss'!X90</f>
        <v>6034.4444444444453</v>
      </c>
      <c r="Y89" s="419">
        <f>-'Profit &amp; Loss'!Y90</f>
        <v>6034.4444444444453</v>
      </c>
      <c r="Z89" s="419">
        <f>-'Profit &amp; Loss'!Z90</f>
        <v>6034.4444444444453</v>
      </c>
      <c r="AA89" s="420">
        <f>-'Profit &amp; Loss'!AA90</f>
        <v>6034.4444444444453</v>
      </c>
      <c r="AB89" s="683">
        <f>-'Profit &amp; Loss'!AB90</f>
        <v>9464.8666666666686</v>
      </c>
      <c r="AC89" s="419">
        <f>-'Profit &amp; Loss'!AC90</f>
        <v>9464.8666666666686</v>
      </c>
      <c r="AD89" s="419">
        <f>-'Profit &amp; Loss'!AD90</f>
        <v>9464.8666666666686</v>
      </c>
      <c r="AE89" s="419">
        <f>-'Profit &amp; Loss'!AE90</f>
        <v>9464.8666666666686</v>
      </c>
      <c r="AF89" s="419">
        <f>-'Profit &amp; Loss'!AF90</f>
        <v>9464.8666666666686</v>
      </c>
      <c r="AG89" s="419">
        <f>-'Profit &amp; Loss'!AG90</f>
        <v>9464.8666666666686</v>
      </c>
      <c r="AH89" s="419">
        <f>-'Profit &amp; Loss'!AH90</f>
        <v>9464.8666666666686</v>
      </c>
      <c r="AI89" s="419">
        <f>-'Profit &amp; Loss'!AI90</f>
        <v>9464.8666666666686</v>
      </c>
      <c r="AJ89" s="419">
        <f>-'Profit &amp; Loss'!AJ90</f>
        <v>9464.8666666666686</v>
      </c>
      <c r="AK89" s="419">
        <f>-'Profit &amp; Loss'!AK90</f>
        <v>9464.8666666666686</v>
      </c>
      <c r="AL89" s="419">
        <f>-'Profit &amp; Loss'!AL90</f>
        <v>9464.8666666666686</v>
      </c>
      <c r="AM89" s="419">
        <f>-'Profit &amp; Loss'!AM90</f>
        <v>9464.8666666666686</v>
      </c>
    </row>
    <row r="90" spans="2:39" s="404" customFormat="1">
      <c r="B90" s="457" t="s">
        <v>117</v>
      </c>
      <c r="C90" s="375"/>
      <c r="D90" s="683">
        <f>SUM(D89:F89)</f>
        <v>13000.000000000002</v>
      </c>
      <c r="E90" s="683"/>
      <c r="F90" s="683"/>
      <c r="G90" s="683">
        <f>SUM(G89:I89)</f>
        <v>13000.000000000002</v>
      </c>
      <c r="H90" s="683"/>
      <c r="I90" s="683"/>
      <c r="J90" s="683">
        <f>SUM(J89:L89)</f>
        <v>13000.000000000002</v>
      </c>
      <c r="K90" s="683"/>
      <c r="L90" s="683"/>
      <c r="M90" s="683">
        <f>SUM(M89:O89)</f>
        <v>13000.000000000002</v>
      </c>
      <c r="N90" s="683"/>
      <c r="O90" s="420"/>
      <c r="P90" s="683">
        <f>SUM(P89:R89)</f>
        <v>18103.333333333336</v>
      </c>
      <c r="Q90" s="683"/>
      <c r="R90" s="683"/>
      <c r="S90" s="683">
        <f>SUM(S89:U89)</f>
        <v>18103.333333333336</v>
      </c>
      <c r="T90" s="683"/>
      <c r="U90" s="683"/>
      <c r="V90" s="683">
        <f>SUM(V89:X89)</f>
        <v>18103.333333333336</v>
      </c>
      <c r="W90" s="683"/>
      <c r="X90" s="683"/>
      <c r="Y90" s="683">
        <f>SUM(Y89:AA89)</f>
        <v>18103.333333333336</v>
      </c>
      <c r="Z90" s="683"/>
      <c r="AA90" s="420"/>
      <c r="AB90" s="683">
        <f>SUM(AB89:AD89)</f>
        <v>28394.600000000006</v>
      </c>
      <c r="AC90" s="683"/>
      <c r="AD90" s="683"/>
      <c r="AE90" s="683">
        <f>SUM(AE89:AG89)</f>
        <v>28394.600000000006</v>
      </c>
      <c r="AF90" s="683"/>
      <c r="AG90" s="683"/>
      <c r="AH90" s="683">
        <f>SUM(AH89:AJ89)</f>
        <v>28394.600000000006</v>
      </c>
      <c r="AI90" s="683"/>
      <c r="AJ90" s="683"/>
      <c r="AK90" s="683">
        <f>SUM(AK89:AM89)</f>
        <v>28394.600000000006</v>
      </c>
      <c r="AL90" s="683"/>
      <c r="AM90" s="683"/>
    </row>
    <row r="91" spans="2:39" s="404" customFormat="1">
      <c r="B91" s="705" t="s">
        <v>138</v>
      </c>
      <c r="C91" s="685"/>
      <c r="D91" s="594">
        <f>D90-D89</f>
        <v>8666.6666666666679</v>
      </c>
      <c r="E91" s="594">
        <f t="shared" ref="E91:AM91" si="34">E90-E89</f>
        <v>-4333.3333333333339</v>
      </c>
      <c r="F91" s="594">
        <f t="shared" si="34"/>
        <v>-4333.3333333333339</v>
      </c>
      <c r="G91" s="594">
        <f t="shared" si="34"/>
        <v>8666.6666666666679</v>
      </c>
      <c r="H91" s="594">
        <f t="shared" si="34"/>
        <v>-4333.3333333333339</v>
      </c>
      <c r="I91" s="594">
        <f t="shared" si="34"/>
        <v>-4333.3333333333339</v>
      </c>
      <c r="J91" s="594">
        <f t="shared" si="34"/>
        <v>8666.6666666666679</v>
      </c>
      <c r="K91" s="594">
        <f t="shared" si="34"/>
        <v>-4333.3333333333339</v>
      </c>
      <c r="L91" s="594">
        <f t="shared" si="34"/>
        <v>-4333.3333333333339</v>
      </c>
      <c r="M91" s="594">
        <f t="shared" si="34"/>
        <v>8666.6666666666679</v>
      </c>
      <c r="N91" s="594">
        <f t="shared" si="34"/>
        <v>-4333.3333333333339</v>
      </c>
      <c r="O91" s="686">
        <f t="shared" si="34"/>
        <v>-4333.3333333333339</v>
      </c>
      <c r="P91" s="594">
        <f t="shared" si="34"/>
        <v>12068.888888888891</v>
      </c>
      <c r="Q91" s="594">
        <f t="shared" si="34"/>
        <v>-6034.4444444444453</v>
      </c>
      <c r="R91" s="594">
        <f t="shared" si="34"/>
        <v>-6034.4444444444453</v>
      </c>
      <c r="S91" s="594">
        <f t="shared" si="34"/>
        <v>12068.888888888891</v>
      </c>
      <c r="T91" s="594">
        <f t="shared" si="34"/>
        <v>-6034.4444444444453</v>
      </c>
      <c r="U91" s="594">
        <f t="shared" si="34"/>
        <v>-6034.4444444444453</v>
      </c>
      <c r="V91" s="594">
        <f t="shared" si="34"/>
        <v>12068.888888888891</v>
      </c>
      <c r="W91" s="594">
        <f t="shared" si="34"/>
        <v>-6034.4444444444453</v>
      </c>
      <c r="X91" s="594">
        <f t="shared" si="34"/>
        <v>-6034.4444444444453</v>
      </c>
      <c r="Y91" s="594">
        <f t="shared" si="34"/>
        <v>12068.888888888891</v>
      </c>
      <c r="Z91" s="594">
        <f t="shared" si="34"/>
        <v>-6034.4444444444453</v>
      </c>
      <c r="AA91" s="686">
        <f t="shared" si="34"/>
        <v>-6034.4444444444453</v>
      </c>
      <c r="AB91" s="594">
        <f t="shared" si="34"/>
        <v>18929.733333333337</v>
      </c>
      <c r="AC91" s="594">
        <f t="shared" si="34"/>
        <v>-9464.8666666666686</v>
      </c>
      <c r="AD91" s="594">
        <f t="shared" si="34"/>
        <v>-9464.8666666666686</v>
      </c>
      <c r="AE91" s="594">
        <f t="shared" si="34"/>
        <v>18929.733333333337</v>
      </c>
      <c r="AF91" s="594">
        <f t="shared" si="34"/>
        <v>-9464.8666666666686</v>
      </c>
      <c r="AG91" s="594">
        <f t="shared" si="34"/>
        <v>-9464.8666666666686</v>
      </c>
      <c r="AH91" s="594">
        <f t="shared" si="34"/>
        <v>18929.733333333337</v>
      </c>
      <c r="AI91" s="594">
        <f t="shared" si="34"/>
        <v>-9464.8666666666686</v>
      </c>
      <c r="AJ91" s="594">
        <f t="shared" si="34"/>
        <v>-9464.8666666666686</v>
      </c>
      <c r="AK91" s="594">
        <f t="shared" si="34"/>
        <v>18929.733333333337</v>
      </c>
      <c r="AL91" s="594">
        <f t="shared" si="34"/>
        <v>-9464.8666666666686</v>
      </c>
      <c r="AM91" s="594">
        <f t="shared" si="34"/>
        <v>-9464.8666666666686</v>
      </c>
    </row>
    <row r="92" spans="2:39" s="404" customFormat="1">
      <c r="B92" s="457"/>
      <c r="C92" s="375"/>
      <c r="D92" s="683"/>
      <c r="E92" s="683"/>
      <c r="F92" s="683"/>
      <c r="G92" s="683"/>
      <c r="H92" s="683"/>
      <c r="I92" s="683"/>
      <c r="J92" s="683"/>
      <c r="K92" s="683"/>
      <c r="L92" s="683"/>
      <c r="M92" s="683"/>
      <c r="N92" s="683"/>
      <c r="O92" s="420"/>
      <c r="P92" s="683"/>
      <c r="Q92" s="683"/>
      <c r="R92" s="683"/>
      <c r="S92" s="683"/>
      <c r="T92" s="683"/>
      <c r="U92" s="683"/>
      <c r="V92" s="683"/>
      <c r="W92" s="683"/>
      <c r="X92" s="683"/>
      <c r="Y92" s="683"/>
      <c r="Z92" s="683"/>
      <c r="AA92" s="420"/>
      <c r="AB92" s="683"/>
      <c r="AC92" s="683"/>
      <c r="AD92" s="683"/>
      <c r="AE92" s="683"/>
      <c r="AF92" s="683"/>
      <c r="AG92" s="683"/>
      <c r="AH92" s="683"/>
      <c r="AI92" s="683"/>
      <c r="AJ92" s="683"/>
      <c r="AK92" s="683"/>
      <c r="AL92" s="683"/>
      <c r="AM92" s="683"/>
    </row>
    <row r="93" spans="2:39" s="404" customFormat="1">
      <c r="B93" s="376" t="s">
        <v>118</v>
      </c>
      <c r="C93" s="375"/>
      <c r="D93" s="438"/>
      <c r="E93" s="438"/>
      <c r="F93" s="438"/>
      <c r="G93" s="438"/>
      <c r="H93" s="438"/>
      <c r="I93" s="438"/>
      <c r="J93" s="438"/>
      <c r="K93" s="438"/>
      <c r="L93" s="438"/>
      <c r="M93" s="438"/>
      <c r="N93" s="438"/>
      <c r="O93" s="437"/>
      <c r="P93" s="433"/>
      <c r="Q93" s="433"/>
      <c r="R93" s="433"/>
      <c r="S93" s="433"/>
      <c r="T93" s="433"/>
      <c r="U93" s="433"/>
      <c r="V93" s="433"/>
      <c r="W93" s="433"/>
      <c r="X93" s="433"/>
      <c r="Y93" s="433"/>
      <c r="Z93" s="433"/>
      <c r="AA93" s="411"/>
      <c r="AB93" s="433"/>
      <c r="AC93" s="438"/>
      <c r="AD93" s="438"/>
      <c r="AE93" s="438"/>
      <c r="AF93" s="438"/>
      <c r="AG93" s="438"/>
      <c r="AH93" s="438"/>
      <c r="AI93" s="438"/>
      <c r="AJ93" s="438"/>
      <c r="AK93" s="438"/>
      <c r="AL93" s="438"/>
      <c r="AM93" s="438"/>
    </row>
    <row r="94" spans="2:39" s="404" customFormat="1">
      <c r="B94" s="457" t="s">
        <v>119</v>
      </c>
      <c r="C94" s="375"/>
      <c r="D94" s="683">
        <f>-'Profit &amp; Loss'!D92</f>
        <v>1375</v>
      </c>
      <c r="E94" s="683">
        <f>-'Profit &amp; Loss'!E92</f>
        <v>1375</v>
      </c>
      <c r="F94" s="683">
        <f>-'Profit &amp; Loss'!F92</f>
        <v>1375</v>
      </c>
      <c r="G94" s="683">
        <f>-'Profit &amp; Loss'!G92</f>
        <v>1375</v>
      </c>
      <c r="H94" s="683">
        <f>-'Profit &amp; Loss'!H92</f>
        <v>1375</v>
      </c>
      <c r="I94" s="683">
        <f>-'Profit &amp; Loss'!I92</f>
        <v>1375</v>
      </c>
      <c r="J94" s="683">
        <f>-'Profit &amp; Loss'!J92</f>
        <v>1375</v>
      </c>
      <c r="K94" s="683">
        <f>-'Profit &amp; Loss'!K92</f>
        <v>1375</v>
      </c>
      <c r="L94" s="683">
        <f>-'Profit &amp; Loss'!L92</f>
        <v>1375</v>
      </c>
      <c r="M94" s="683">
        <f>-'Profit &amp; Loss'!M92</f>
        <v>1375</v>
      </c>
      <c r="N94" s="683">
        <f>-'Profit &amp; Loss'!N92</f>
        <v>1375</v>
      </c>
      <c r="O94" s="420">
        <f>-'Profit &amp; Loss'!O92</f>
        <v>1375</v>
      </c>
      <c r="P94" s="683">
        <f>-'Profit &amp; Loss'!P92</f>
        <v>1906.666666666667</v>
      </c>
      <c r="Q94" s="683">
        <f>-'Profit &amp; Loss'!Q92</f>
        <v>1906.666666666667</v>
      </c>
      <c r="R94" s="683">
        <f>-'Profit &amp; Loss'!R92</f>
        <v>1906.666666666667</v>
      </c>
      <c r="S94" s="683">
        <f>-'Profit &amp; Loss'!S92</f>
        <v>1906.666666666667</v>
      </c>
      <c r="T94" s="683">
        <f>-'Profit &amp; Loss'!T92</f>
        <v>1906.666666666667</v>
      </c>
      <c r="U94" s="683">
        <f>-'Profit &amp; Loss'!U92</f>
        <v>1906.666666666667</v>
      </c>
      <c r="V94" s="683">
        <f>-'Profit &amp; Loss'!V92</f>
        <v>1906.666666666667</v>
      </c>
      <c r="W94" s="683">
        <f>-'Profit &amp; Loss'!W92</f>
        <v>1906.666666666667</v>
      </c>
      <c r="X94" s="683">
        <f>-'Profit &amp; Loss'!X92</f>
        <v>1906.666666666667</v>
      </c>
      <c r="Y94" s="683">
        <f>-'Profit &amp; Loss'!Y92</f>
        <v>1906.666666666667</v>
      </c>
      <c r="Z94" s="683">
        <f>-'Profit &amp; Loss'!Z92</f>
        <v>1906.666666666667</v>
      </c>
      <c r="AA94" s="420">
        <f>-'Profit &amp; Loss'!AA92</f>
        <v>1906.666666666667</v>
      </c>
      <c r="AB94" s="683">
        <f>-'Profit &amp; Loss'!AB92</f>
        <v>2981.5500000000006</v>
      </c>
      <c r="AC94" s="683">
        <f>-'Profit &amp; Loss'!AC92</f>
        <v>2981.5500000000006</v>
      </c>
      <c r="AD94" s="683">
        <f>-'Profit &amp; Loss'!AD92</f>
        <v>2981.5500000000006</v>
      </c>
      <c r="AE94" s="683">
        <f>-'Profit &amp; Loss'!AE92</f>
        <v>2981.5500000000006</v>
      </c>
      <c r="AF94" s="683">
        <f>-'Profit &amp; Loss'!AF92</f>
        <v>2981.5500000000006</v>
      </c>
      <c r="AG94" s="683">
        <f>-'Profit &amp; Loss'!AG92</f>
        <v>2981.5500000000006</v>
      </c>
      <c r="AH94" s="683">
        <f>-'Profit &amp; Loss'!AH92</f>
        <v>2981.5500000000006</v>
      </c>
      <c r="AI94" s="683">
        <f>-'Profit &amp; Loss'!AI92</f>
        <v>2981.5500000000006</v>
      </c>
      <c r="AJ94" s="683">
        <f>-'Profit &amp; Loss'!AJ92</f>
        <v>2981.5500000000006</v>
      </c>
      <c r="AK94" s="683">
        <f>-'Profit &amp; Loss'!AK92</f>
        <v>2981.5500000000006</v>
      </c>
      <c r="AL94" s="683">
        <f>-'Profit &amp; Loss'!AL92</f>
        <v>2981.5500000000006</v>
      </c>
      <c r="AM94" s="683">
        <f>-'Profit &amp; Loss'!AM92</f>
        <v>2981.5500000000006</v>
      </c>
    </row>
    <row r="95" spans="2:39" s="404" customFormat="1">
      <c r="B95" s="460" t="s">
        <v>120</v>
      </c>
      <c r="C95" s="687"/>
      <c r="D95" s="414"/>
      <c r="E95" s="414"/>
      <c r="F95" s="414">
        <f>SUM(D94:F94)</f>
        <v>4125</v>
      </c>
      <c r="G95" s="414"/>
      <c r="H95" s="414"/>
      <c r="I95" s="414">
        <f>SUM(G94:I94)</f>
        <v>4125</v>
      </c>
      <c r="J95" s="414"/>
      <c r="K95" s="414"/>
      <c r="L95" s="414">
        <f>SUM(J94:L94)</f>
        <v>4125</v>
      </c>
      <c r="M95" s="414"/>
      <c r="N95" s="414"/>
      <c r="O95" s="415">
        <f>SUM(M94:O94)</f>
        <v>4125</v>
      </c>
      <c r="P95" s="414"/>
      <c r="Q95" s="414"/>
      <c r="R95" s="414">
        <f>SUM(P94:R94)</f>
        <v>5720.0000000000009</v>
      </c>
      <c r="S95" s="414"/>
      <c r="T95" s="414"/>
      <c r="U95" s="414">
        <f>SUM(S94:U94)</f>
        <v>5720.0000000000009</v>
      </c>
      <c r="V95" s="414"/>
      <c r="W95" s="414"/>
      <c r="X95" s="414">
        <f>SUM(V94:X94)</f>
        <v>5720.0000000000009</v>
      </c>
      <c r="Y95" s="414"/>
      <c r="Z95" s="414"/>
      <c r="AA95" s="415">
        <f>SUM(Y94:AA94)</f>
        <v>5720.0000000000009</v>
      </c>
      <c r="AB95" s="414"/>
      <c r="AC95" s="414"/>
      <c r="AD95" s="414">
        <f>SUM(AB94:AD94)</f>
        <v>8944.6500000000015</v>
      </c>
      <c r="AE95" s="414"/>
      <c r="AF95" s="414"/>
      <c r="AG95" s="414">
        <f>SUM(AE94:AG94)</f>
        <v>8944.6500000000015</v>
      </c>
      <c r="AH95" s="414"/>
      <c r="AI95" s="414"/>
      <c r="AJ95" s="414">
        <f>SUM(AH94:AJ94)</f>
        <v>8944.6500000000015</v>
      </c>
      <c r="AK95" s="414"/>
      <c r="AL95" s="414"/>
      <c r="AM95" s="414">
        <f>SUM(AK94:AM94)</f>
        <v>8944.6500000000015</v>
      </c>
    </row>
    <row r="96" spans="2:39" s="404" customFormat="1">
      <c r="B96" s="457" t="s">
        <v>137</v>
      </c>
      <c r="D96" s="419">
        <f>D94-D95</f>
        <v>1375</v>
      </c>
      <c r="E96" s="419">
        <f t="shared" ref="E96:AM96" si="35">E94-E95</f>
        <v>1375</v>
      </c>
      <c r="F96" s="419">
        <f t="shared" si="35"/>
        <v>-2750</v>
      </c>
      <c r="G96" s="419">
        <f t="shared" si="35"/>
        <v>1375</v>
      </c>
      <c r="H96" s="419">
        <f t="shared" si="35"/>
        <v>1375</v>
      </c>
      <c r="I96" s="419">
        <f t="shared" si="35"/>
        <v>-2750</v>
      </c>
      <c r="J96" s="419">
        <f t="shared" si="35"/>
        <v>1375</v>
      </c>
      <c r="K96" s="419">
        <f t="shared" si="35"/>
        <v>1375</v>
      </c>
      <c r="L96" s="419">
        <f t="shared" si="35"/>
        <v>-2750</v>
      </c>
      <c r="M96" s="419">
        <f t="shared" si="35"/>
        <v>1375</v>
      </c>
      <c r="N96" s="419">
        <f t="shared" si="35"/>
        <v>1375</v>
      </c>
      <c r="O96" s="420">
        <f t="shared" si="35"/>
        <v>-2750</v>
      </c>
      <c r="P96" s="683">
        <f t="shared" si="35"/>
        <v>1906.666666666667</v>
      </c>
      <c r="Q96" s="419">
        <f t="shared" si="35"/>
        <v>1906.666666666667</v>
      </c>
      <c r="R96" s="419">
        <f t="shared" si="35"/>
        <v>-3813.3333333333339</v>
      </c>
      <c r="S96" s="419">
        <f t="shared" si="35"/>
        <v>1906.666666666667</v>
      </c>
      <c r="T96" s="419">
        <f t="shared" si="35"/>
        <v>1906.666666666667</v>
      </c>
      <c r="U96" s="419">
        <f t="shared" si="35"/>
        <v>-3813.3333333333339</v>
      </c>
      <c r="V96" s="419">
        <f t="shared" si="35"/>
        <v>1906.666666666667</v>
      </c>
      <c r="W96" s="419">
        <f t="shared" si="35"/>
        <v>1906.666666666667</v>
      </c>
      <c r="X96" s="419">
        <f t="shared" si="35"/>
        <v>-3813.3333333333339</v>
      </c>
      <c r="Y96" s="419">
        <f t="shared" si="35"/>
        <v>1906.666666666667</v>
      </c>
      <c r="Z96" s="419">
        <f t="shared" si="35"/>
        <v>1906.666666666667</v>
      </c>
      <c r="AA96" s="420">
        <f t="shared" si="35"/>
        <v>-3813.3333333333339</v>
      </c>
      <c r="AB96" s="683">
        <f t="shared" si="35"/>
        <v>2981.5500000000006</v>
      </c>
      <c r="AC96" s="419">
        <f t="shared" si="35"/>
        <v>2981.5500000000006</v>
      </c>
      <c r="AD96" s="419">
        <f t="shared" si="35"/>
        <v>-5963.1</v>
      </c>
      <c r="AE96" s="419">
        <f t="shared" si="35"/>
        <v>2981.5500000000006</v>
      </c>
      <c r="AF96" s="419">
        <f t="shared" si="35"/>
        <v>2981.5500000000006</v>
      </c>
      <c r="AG96" s="419">
        <f t="shared" si="35"/>
        <v>-5963.1</v>
      </c>
      <c r="AH96" s="419">
        <f t="shared" si="35"/>
        <v>2981.5500000000006</v>
      </c>
      <c r="AI96" s="419">
        <f t="shared" si="35"/>
        <v>2981.5500000000006</v>
      </c>
      <c r="AJ96" s="419">
        <f t="shared" si="35"/>
        <v>-5963.1</v>
      </c>
      <c r="AK96" s="419">
        <f t="shared" si="35"/>
        <v>2981.5500000000006</v>
      </c>
      <c r="AL96" s="419">
        <f t="shared" si="35"/>
        <v>2981.5500000000006</v>
      </c>
      <c r="AM96" s="419">
        <f t="shared" si="35"/>
        <v>-5963.1</v>
      </c>
    </row>
    <row r="97" spans="2:39" s="404" customFormat="1">
      <c r="B97" s="457"/>
      <c r="D97" s="419"/>
      <c r="E97" s="419"/>
      <c r="F97" s="419"/>
      <c r="G97" s="419"/>
      <c r="H97" s="419"/>
      <c r="I97" s="419"/>
      <c r="J97" s="419"/>
      <c r="K97" s="419"/>
      <c r="L97" s="419"/>
      <c r="M97" s="419"/>
      <c r="N97" s="419"/>
      <c r="O97" s="420"/>
      <c r="P97" s="683"/>
      <c r="Q97" s="419"/>
      <c r="R97" s="419"/>
      <c r="S97" s="419"/>
      <c r="T97" s="419"/>
      <c r="U97" s="419"/>
      <c r="V97" s="419"/>
      <c r="W97" s="419"/>
      <c r="X97" s="419"/>
      <c r="Y97" s="419"/>
      <c r="Z97" s="419"/>
      <c r="AA97" s="420"/>
      <c r="AB97" s="683"/>
      <c r="AC97" s="419"/>
      <c r="AD97" s="419"/>
      <c r="AE97" s="419"/>
      <c r="AF97" s="419"/>
      <c r="AG97" s="419"/>
      <c r="AH97" s="419"/>
      <c r="AI97" s="419"/>
      <c r="AJ97" s="419"/>
      <c r="AK97" s="419"/>
      <c r="AL97" s="419"/>
      <c r="AM97" s="419"/>
    </row>
    <row r="98" spans="2:39" s="404" customFormat="1">
      <c r="B98" s="706" t="s">
        <v>133</v>
      </c>
      <c r="D98" s="419">
        <f>-('Profit &amp; Loss'!D98-'Profit &amp; Loss'!D88-'Profit &amp; Loss'!D90-'Profit &amp; Loss'!D92)</f>
        <v>3683.9731250000023</v>
      </c>
      <c r="E98" s="419">
        <f>-('Profit &amp; Loss'!E98-'Profit &amp; Loss'!E88-'Profit &amp; Loss'!E90-'Profit &amp; Loss'!E92)</f>
        <v>3740.8374000000022</v>
      </c>
      <c r="F98" s="419">
        <f>-('Profit &amp; Loss'!F98-'Profit &amp; Loss'!F88-'Profit &amp; Loss'!F90-'Profit &amp; Loss'!F92)</f>
        <v>3415.3224374999972</v>
      </c>
      <c r="G98" s="419">
        <f>-('Profit &amp; Loss'!G98-'Profit &amp; Loss'!G88-'Profit &amp; Loss'!G90-'Profit &amp; Loss'!G92)</f>
        <v>3069.6902874999996</v>
      </c>
      <c r="H98" s="419">
        <f>-('Profit &amp; Loss'!H98-'Profit &amp; Loss'!H88-'Profit &amp; Loss'!H90-'Profit &amp; Loss'!H92)</f>
        <v>3130.972200000002</v>
      </c>
      <c r="I98" s="419">
        <f>-('Profit &amp; Loss'!I98-'Profit &amp; Loss'!I88-'Profit &amp; Loss'!I90-'Profit &amp; Loss'!I92)</f>
        <v>3299.0828999999994</v>
      </c>
      <c r="J98" s="419">
        <f>-('Profit &amp; Loss'!J98-'Profit &amp; Loss'!J88-'Profit &amp; Loss'!J90-'Profit &amp; Loss'!J92)</f>
        <v>3368.063699999997</v>
      </c>
      <c r="K98" s="419">
        <f>-('Profit &amp; Loss'!K98-'Profit &amp; Loss'!K88-'Profit &amp; Loss'!K90-'Profit &amp; Loss'!K92)</f>
        <v>3344.1467249999969</v>
      </c>
      <c r="L98" s="419">
        <f>-('Profit &amp; Loss'!L98-'Profit &amp; Loss'!L88-'Profit &amp; Loss'!L90-'Profit &amp; Loss'!L92)</f>
        <v>3418.6389124999969</v>
      </c>
      <c r="M98" s="419">
        <f>-('Profit &amp; Loss'!M98-'Profit &amp; Loss'!M88-'Profit &amp; Loss'!M90-'Profit &amp; Loss'!M92)</f>
        <v>3487.2844374999968</v>
      </c>
      <c r="N98" s="419">
        <f>-('Profit &amp; Loss'!N98-'Profit &amp; Loss'!N88-'Profit &amp; Loss'!N90-'Profit &amp; Loss'!N92)</f>
        <v>3566.9214875000016</v>
      </c>
      <c r="O98" s="420">
        <f>-('Profit &amp; Loss'!O98-'Profit &amp; Loss'!O88-'Profit &amp; Loss'!O90-'Profit &amp; Loss'!O92)</f>
        <v>3624.3710374999991</v>
      </c>
      <c r="P98" s="683">
        <f>-('Profit &amp; Loss'!P98-'Profit &amp; Loss'!P88-'Profit &amp; Loss'!P90-'Profit &amp; Loss'!P92)</f>
        <v>4610.316776333334</v>
      </c>
      <c r="Q98" s="419">
        <f>-('Profit &amp; Loss'!Q98-'Profit &amp; Loss'!Q88-'Profit &amp; Loss'!Q90-'Profit &amp; Loss'!Q92)</f>
        <v>4705.5925293333357</v>
      </c>
      <c r="R98" s="419">
        <f>-('Profit &amp; Loss'!R98-'Profit &amp; Loss'!R88-'Profit &amp; Loss'!R90-'Profit &amp; Loss'!R92)</f>
        <v>4928.7821283333333</v>
      </c>
      <c r="S98" s="419">
        <f>-('Profit &amp; Loss'!S98-'Profit &amp; Loss'!S88-'Profit &amp; Loss'!S90-'Profit &amp; Loss'!S92)</f>
        <v>5073.2946283333376</v>
      </c>
      <c r="T98" s="419">
        <f>-('Profit &amp; Loss'!T98-'Profit &amp; Loss'!T88-'Profit &amp; Loss'!T90-'Profit &amp; Loss'!T92)</f>
        <v>5161.9510383333336</v>
      </c>
      <c r="U98" s="419">
        <f>-('Profit &amp; Loss'!U98-'Profit &amp; Loss'!U88-'Profit &amp; Loss'!U90-'Profit &amp; Loss'!U92)</f>
        <v>5251.1279773333308</v>
      </c>
      <c r="V98" s="419">
        <f>-('Profit &amp; Loss'!V98-'Profit &amp; Loss'!V88-'Profit &amp; Loss'!V90-'Profit &amp; Loss'!V92)</f>
        <v>5805.6212143333332</v>
      </c>
      <c r="W98" s="419">
        <f>-('Profit &amp; Loss'!W98-'Profit &amp; Loss'!W88-'Profit &amp; Loss'!W90-'Profit &amp; Loss'!W92)</f>
        <v>6186.5194353333291</v>
      </c>
      <c r="X98" s="419">
        <f>-('Profit &amp; Loss'!X98-'Profit &amp; Loss'!X88-'Profit &amp; Loss'!X90-'Profit &amp; Loss'!X92)</f>
        <v>6810.7566351111136</v>
      </c>
      <c r="Y98" s="419">
        <f>-('Profit &amp; Loss'!Y98-'Profit &amp; Loss'!Y88-'Profit &amp; Loss'!Y90-'Profit &amp; Loss'!Y92)</f>
        <v>6353.9057963333298</v>
      </c>
      <c r="Z98" s="419">
        <f>-('Profit &amp; Loss'!Z98-'Profit &amp; Loss'!Z88-'Profit &amp; Loss'!Z90-'Profit &amp; Loss'!Z92)</f>
        <v>6213.831469333335</v>
      </c>
      <c r="AA98" s="420">
        <f>-('Profit &amp; Loss'!AA98-'Profit &amp; Loss'!AA88-'Profit &amp; Loss'!AA90-'Profit &amp; Loss'!AA92)</f>
        <v>6320.6490333333322</v>
      </c>
      <c r="AB98" s="683">
        <f>-('Profit &amp; Loss'!AB98-'Profit &amp; Loss'!AB88-'Profit &amp; Loss'!AB90-'Profit &amp; Loss'!AB92)</f>
        <v>7224.9139798033448</v>
      </c>
      <c r="AC98" s="419">
        <f>-('Profit &amp; Loss'!AC98-'Profit &amp; Loss'!AC88-'Profit &amp; Loss'!AC90-'Profit &amp; Loss'!AC92)</f>
        <v>7314.5948532808416</v>
      </c>
      <c r="AD98" s="419">
        <f>-('Profit &amp; Loss'!AD98-'Profit &amp; Loss'!AD88-'Profit &amp; Loss'!AD90-'Profit &amp; Loss'!AD92)</f>
        <v>7417.4974762508373</v>
      </c>
      <c r="AE98" s="419">
        <f>-('Profit &amp; Loss'!AE98-'Profit &amp; Loss'!AE88-'Profit &amp; Loss'!AE90-'Profit &amp; Loss'!AE92)</f>
        <v>7675.6939747283486</v>
      </c>
      <c r="AF98" s="419">
        <f>-('Profit &amp; Loss'!AF98-'Profit &amp; Loss'!AF88-'Profit &amp; Loss'!AF90-'Profit &amp; Loss'!AF92)</f>
        <v>7790.4559726983443</v>
      </c>
      <c r="AG98" s="419">
        <f>-('Profit &amp; Loss'!AG98-'Profit &amp; Loss'!AG88-'Profit &amp; Loss'!AG90-'Profit &amp; Loss'!AG92)</f>
        <v>7895.6680961758411</v>
      </c>
      <c r="AH98" s="419">
        <f>-('Profit &amp; Loss'!AH98-'Profit &amp; Loss'!AH88-'Profit &amp; Loss'!AH90-'Profit &amp; Loss'!AH92)</f>
        <v>7996.5863441458514</v>
      </c>
      <c r="AI98" s="419">
        <f>-('Profit &amp; Loss'!AI98-'Profit &amp; Loss'!AI88-'Profit &amp; Loss'!AI90-'Profit &amp; Loss'!AI92)</f>
        <v>8085.5015926233482</v>
      </c>
      <c r="AJ98" s="419">
        <f>-('Profit &amp; Loss'!AJ98-'Profit &amp; Loss'!AJ88-'Profit &amp; Loss'!AJ90-'Profit &amp; Loss'!AJ92)</f>
        <v>8135.4042155933439</v>
      </c>
      <c r="AK98" s="419">
        <f>-('Profit &amp; Loss'!AK98-'Profit &amp; Loss'!AK88-'Profit &amp; Loss'!AK90-'Profit &amp; Loss'!AK92)</f>
        <v>8193.1475890708407</v>
      </c>
      <c r="AL98" s="419">
        <f>-('Profit &amp; Loss'!AL98-'Profit &amp; Loss'!AL88-'Profit &amp; Loss'!AL90-'Profit &amp; Loss'!AL92)</f>
        <v>8287.0189620408364</v>
      </c>
      <c r="AM98" s="419">
        <f>-('Profit &amp; Loss'!AM98-'Profit &amp; Loss'!AM88-'Profit &amp; Loss'!AM90-'Profit &amp; Loss'!AM92)</f>
        <v>8420.4654605183478</v>
      </c>
    </row>
    <row r="99" spans="2:39" s="404" customFormat="1">
      <c r="B99" s="503"/>
      <c r="D99" s="419"/>
      <c r="E99" s="419"/>
      <c r="F99" s="419"/>
      <c r="G99" s="419"/>
      <c r="H99" s="419"/>
      <c r="I99" s="419"/>
      <c r="J99" s="419"/>
      <c r="K99" s="419"/>
      <c r="L99" s="419"/>
      <c r="M99" s="419"/>
      <c r="N99" s="419"/>
      <c r="O99" s="420"/>
      <c r="P99" s="683"/>
      <c r="Q99" s="419"/>
      <c r="R99" s="419"/>
      <c r="S99" s="419"/>
      <c r="T99" s="419"/>
      <c r="U99" s="419"/>
      <c r="V99" s="419"/>
      <c r="W99" s="419"/>
      <c r="X99" s="419"/>
      <c r="Y99" s="419"/>
      <c r="Z99" s="419"/>
      <c r="AA99" s="420"/>
      <c r="AB99" s="683"/>
      <c r="AC99" s="419"/>
      <c r="AD99" s="419"/>
      <c r="AE99" s="419"/>
      <c r="AF99" s="419"/>
      <c r="AG99" s="419"/>
      <c r="AH99" s="419"/>
      <c r="AI99" s="419"/>
      <c r="AJ99" s="419"/>
      <c r="AK99" s="419"/>
      <c r="AL99" s="419"/>
      <c r="AM99" s="419"/>
    </row>
    <row r="100" spans="2:39" s="691" customFormat="1" ht="20" customHeight="1" thickBot="1">
      <c r="B100" s="440" t="s">
        <v>442</v>
      </c>
      <c r="C100" s="688"/>
      <c r="D100" s="689">
        <f t="shared" ref="D100:AM100" si="36">D90+D95+D98</f>
        <v>16683.973125000004</v>
      </c>
      <c r="E100" s="689">
        <f t="shared" si="36"/>
        <v>3740.8374000000022</v>
      </c>
      <c r="F100" s="689">
        <f t="shared" si="36"/>
        <v>7540.3224374999972</v>
      </c>
      <c r="G100" s="689">
        <f t="shared" si="36"/>
        <v>16069.690287500001</v>
      </c>
      <c r="H100" s="689">
        <f t="shared" si="36"/>
        <v>3130.972200000002</v>
      </c>
      <c r="I100" s="689">
        <f t="shared" si="36"/>
        <v>7424.0828999999994</v>
      </c>
      <c r="J100" s="689">
        <f t="shared" si="36"/>
        <v>16368.063699999999</v>
      </c>
      <c r="K100" s="689">
        <f t="shared" si="36"/>
        <v>3344.1467249999969</v>
      </c>
      <c r="L100" s="689">
        <f t="shared" si="36"/>
        <v>7543.6389124999969</v>
      </c>
      <c r="M100" s="689">
        <f t="shared" si="36"/>
        <v>16487.284437499999</v>
      </c>
      <c r="N100" s="689">
        <f t="shared" si="36"/>
        <v>3566.9214875000016</v>
      </c>
      <c r="O100" s="690">
        <f t="shared" si="36"/>
        <v>7749.3710374999991</v>
      </c>
      <c r="P100" s="689">
        <f t="shared" si="36"/>
        <v>22713.650109666669</v>
      </c>
      <c r="Q100" s="689">
        <f t="shared" si="36"/>
        <v>4705.5925293333357</v>
      </c>
      <c r="R100" s="689">
        <f t="shared" si="36"/>
        <v>10648.782128333334</v>
      </c>
      <c r="S100" s="689">
        <f t="shared" si="36"/>
        <v>23176.627961666672</v>
      </c>
      <c r="T100" s="689">
        <f t="shared" si="36"/>
        <v>5161.9510383333336</v>
      </c>
      <c r="U100" s="689">
        <f t="shared" si="36"/>
        <v>10971.127977333332</v>
      </c>
      <c r="V100" s="689">
        <f t="shared" si="36"/>
        <v>23908.954547666668</v>
      </c>
      <c r="W100" s="689">
        <f t="shared" si="36"/>
        <v>6186.5194353333291</v>
      </c>
      <c r="X100" s="689">
        <f t="shared" si="36"/>
        <v>12530.756635111115</v>
      </c>
      <c r="Y100" s="689">
        <f t="shared" si="36"/>
        <v>24457.239129666665</v>
      </c>
      <c r="Z100" s="689">
        <f t="shared" si="36"/>
        <v>6213.831469333335</v>
      </c>
      <c r="AA100" s="690">
        <f t="shared" si="36"/>
        <v>12040.649033333333</v>
      </c>
      <c r="AB100" s="689">
        <f t="shared" si="36"/>
        <v>35619.513979803349</v>
      </c>
      <c r="AC100" s="689">
        <f t="shared" si="36"/>
        <v>7314.5948532808416</v>
      </c>
      <c r="AD100" s="689">
        <f t="shared" si="36"/>
        <v>16362.147476250839</v>
      </c>
      <c r="AE100" s="689">
        <f t="shared" si="36"/>
        <v>36070.293974728353</v>
      </c>
      <c r="AF100" s="689">
        <f t="shared" si="36"/>
        <v>7790.4559726983443</v>
      </c>
      <c r="AG100" s="689">
        <f t="shared" si="36"/>
        <v>16840.318096175841</v>
      </c>
      <c r="AH100" s="689">
        <f t="shared" si="36"/>
        <v>36391.186344145855</v>
      </c>
      <c r="AI100" s="689">
        <f t="shared" si="36"/>
        <v>8085.5015926233482</v>
      </c>
      <c r="AJ100" s="689">
        <f t="shared" si="36"/>
        <v>17080.054215593344</v>
      </c>
      <c r="AK100" s="689">
        <f t="shared" si="36"/>
        <v>36587.747589070845</v>
      </c>
      <c r="AL100" s="689">
        <f t="shared" si="36"/>
        <v>8287.0189620408364</v>
      </c>
      <c r="AM100" s="689">
        <f t="shared" si="36"/>
        <v>17365.115460518347</v>
      </c>
    </row>
    <row r="101" spans="2:39" s="404" customFormat="1" ht="24" customHeight="1" thickTop="1">
      <c r="B101" s="385"/>
      <c r="D101" s="436"/>
      <c r="E101" s="436"/>
      <c r="F101" s="436"/>
      <c r="G101" s="436"/>
      <c r="H101" s="436"/>
      <c r="I101" s="436"/>
      <c r="J101" s="436"/>
      <c r="K101" s="436"/>
      <c r="L101" s="436"/>
      <c r="M101" s="436"/>
      <c r="N101" s="436"/>
      <c r="O101" s="437"/>
      <c r="P101" s="438"/>
      <c r="Q101" s="436"/>
      <c r="R101" s="436"/>
      <c r="S101" s="436"/>
      <c r="T101" s="436"/>
      <c r="U101" s="436"/>
      <c r="V101" s="436"/>
      <c r="W101" s="436"/>
      <c r="X101" s="436"/>
      <c r="Y101" s="436"/>
      <c r="Z101" s="436"/>
      <c r="AA101" s="437"/>
      <c r="AB101" s="438"/>
      <c r="AC101" s="436"/>
      <c r="AD101" s="436"/>
      <c r="AE101" s="436"/>
      <c r="AF101" s="436"/>
      <c r="AG101" s="436"/>
      <c r="AH101" s="436"/>
      <c r="AI101" s="436"/>
      <c r="AJ101" s="436"/>
      <c r="AK101" s="436"/>
      <c r="AL101" s="436"/>
      <c r="AM101" s="436"/>
    </row>
    <row r="102" spans="2:39" s="404" customFormat="1" ht="19" thickBot="1">
      <c r="B102" s="384" t="s">
        <v>11</v>
      </c>
      <c r="C102" s="679"/>
      <c r="D102" s="692"/>
      <c r="E102" s="692"/>
      <c r="F102" s="692"/>
      <c r="G102" s="692"/>
      <c r="H102" s="692"/>
      <c r="I102" s="692"/>
      <c r="J102" s="692"/>
      <c r="K102" s="692"/>
      <c r="L102" s="692"/>
      <c r="M102" s="692"/>
      <c r="N102" s="692"/>
      <c r="O102" s="693"/>
      <c r="P102" s="694"/>
      <c r="Q102" s="694"/>
      <c r="R102" s="694"/>
      <c r="S102" s="694"/>
      <c r="T102" s="694"/>
      <c r="U102" s="694"/>
      <c r="V102" s="694"/>
      <c r="W102" s="694"/>
      <c r="X102" s="694"/>
      <c r="Y102" s="694"/>
      <c r="Z102" s="694"/>
      <c r="AA102" s="695"/>
      <c r="AB102" s="694"/>
      <c r="AC102" s="692"/>
      <c r="AD102" s="692"/>
      <c r="AE102" s="692"/>
      <c r="AF102" s="692"/>
      <c r="AG102" s="692"/>
      <c r="AH102" s="692"/>
      <c r="AI102" s="692"/>
      <c r="AJ102" s="692"/>
      <c r="AK102" s="692"/>
      <c r="AL102" s="692"/>
      <c r="AM102" s="692"/>
    </row>
    <row r="103" spans="2:39" s="404" customFormat="1" ht="18">
      <c r="B103" s="704"/>
      <c r="C103" s="375"/>
      <c r="D103" s="438"/>
      <c r="E103" s="438"/>
      <c r="F103" s="438"/>
      <c r="G103" s="438"/>
      <c r="H103" s="438"/>
      <c r="I103" s="438"/>
      <c r="J103" s="438"/>
      <c r="K103" s="438"/>
      <c r="L103" s="438"/>
      <c r="M103" s="438"/>
      <c r="N103" s="438"/>
      <c r="O103" s="437"/>
      <c r="P103" s="433"/>
      <c r="Q103" s="433"/>
      <c r="R103" s="433"/>
      <c r="S103" s="433"/>
      <c r="T103" s="433"/>
      <c r="U103" s="433"/>
      <c r="V103" s="433"/>
      <c r="W103" s="433"/>
      <c r="X103" s="433"/>
      <c r="Y103" s="433"/>
      <c r="Z103" s="433"/>
      <c r="AA103" s="411"/>
      <c r="AB103" s="433"/>
      <c r="AC103" s="438"/>
      <c r="AD103" s="438"/>
      <c r="AE103" s="438"/>
      <c r="AF103" s="438"/>
      <c r="AG103" s="438"/>
      <c r="AH103" s="438"/>
      <c r="AI103" s="438"/>
      <c r="AJ103" s="438"/>
      <c r="AK103" s="438"/>
      <c r="AL103" s="438"/>
      <c r="AM103" s="438"/>
    </row>
    <row r="104" spans="2:39" s="404" customFormat="1">
      <c r="B104" s="382" t="s">
        <v>134</v>
      </c>
      <c r="D104" s="419">
        <f>D69*'Pricing Model'!$C$9</f>
        <v>3999.5233333333331</v>
      </c>
      <c r="E104" s="419">
        <f>E69*'Pricing Model'!$C$9</f>
        <v>4302.7994666666664</v>
      </c>
      <c r="F104" s="419">
        <f>F69*'Pricing Model'!$C$9</f>
        <v>4700.0530000000008</v>
      </c>
      <c r="G104" s="419">
        <f>G69*'Pricing Model'!$C$9</f>
        <v>4990.0148666666673</v>
      </c>
      <c r="H104" s="419">
        <f>H69*'Pricing Model'!$C$9</f>
        <v>5316.851733333333</v>
      </c>
      <c r="I104" s="419">
        <f>I69*'Pricing Model'!$C$9</f>
        <v>5680.1088000000009</v>
      </c>
      <c r="J104" s="419">
        <f>J69*'Pricing Model'!$C$9</f>
        <v>6048.0064000000002</v>
      </c>
      <c r="K104" s="419">
        <f>K69*'Pricing Model'!$C$9</f>
        <v>6240.4492</v>
      </c>
      <c r="L104" s="419">
        <f>L69*'Pricing Model'!$C$9</f>
        <v>6637.7408666666661</v>
      </c>
      <c r="M104" s="419">
        <f>M69*'Pricing Model'!$C$9</f>
        <v>7003.8503333333329</v>
      </c>
      <c r="N104" s="419">
        <f>N69*'Pricing Model'!$C$9</f>
        <v>7428.581266666667</v>
      </c>
      <c r="O104" s="420">
        <f>O69*'Pricing Model'!$C$9</f>
        <v>7734.9788666666682</v>
      </c>
      <c r="P104" s="683">
        <f>P69*'Pricing Model'!$C$9</f>
        <v>8434.5783626666671</v>
      </c>
      <c r="Q104" s="419">
        <f>Q69*'Pricing Model'!$C$9</f>
        <v>8942.7157120000011</v>
      </c>
      <c r="R104" s="419">
        <f>R69*'Pricing Model'!$C$9</f>
        <v>10133.060240000003</v>
      </c>
      <c r="S104" s="419">
        <f>S69*'Pricing Model'!$C$9</f>
        <v>10903.793573333336</v>
      </c>
      <c r="T104" s="419">
        <f>T69*'Pricing Model'!$C$9</f>
        <v>11163.294426666667</v>
      </c>
      <c r="U104" s="419">
        <f>U69*'Pricing Model'!$C$9</f>
        <v>11638.904768</v>
      </c>
      <c r="V104" s="419">
        <f>V69*'Pricing Model'!$C$9</f>
        <v>12142.868698666667</v>
      </c>
      <c r="W104" s="419">
        <f>W69*'Pricing Model'!$C$9</f>
        <v>12574.325877333335</v>
      </c>
      <c r="X104" s="419">
        <f>X69*'Pricing Model'!$C$9</f>
        <v>15903.590942814819</v>
      </c>
      <c r="Y104" s="419">
        <f>Y69*'Pricing Model'!$C$9</f>
        <v>16133.719802666668</v>
      </c>
      <c r="Z104" s="419">
        <f>Z69*'Pricing Model'!$C$9</f>
        <v>16773.323392000002</v>
      </c>
      <c r="AA104" s="420">
        <f>AA69*'Pricing Model'!$C$9</f>
        <v>17343.017066666667</v>
      </c>
      <c r="AB104" s="683">
        <f>AB69*'Pricing Model'!$C$9</f>
        <v>18543.76344784</v>
      </c>
      <c r="AC104" s="419">
        <f>AC69*'Pricing Model'!$C$9</f>
        <v>19022.061439720001</v>
      </c>
      <c r="AD104" s="419">
        <f>AD69*'Pricing Model'!$C$9</f>
        <v>19570.875428893334</v>
      </c>
      <c r="AE104" s="419">
        <f>AE69*'Pricing Model'!$C$9</f>
        <v>20307.923420773335</v>
      </c>
      <c r="AF104" s="419">
        <f>AF69*'Pricing Model'!$C$9</f>
        <v>20919.987409946669</v>
      </c>
      <c r="AG104" s="419">
        <f>AG69*'Pricing Model'!$C$9</f>
        <v>21481.118735159998</v>
      </c>
      <c r="AH104" s="419">
        <f>AH69*'Pricing Model'!$C$9</f>
        <v>22019.349391000003</v>
      </c>
      <c r="AI104" s="419">
        <f>AI69*'Pricing Model'!$C$9</f>
        <v>22493.564049546665</v>
      </c>
      <c r="AJ104" s="419">
        <f>AJ69*'Pricing Model'!$C$9</f>
        <v>22973.044705386666</v>
      </c>
      <c r="AK104" s="419">
        <f>AK69*'Pricing Model'!$C$9</f>
        <v>23281.009363933335</v>
      </c>
      <c r="AL104" s="419">
        <f>AL69*'Pricing Model'!$C$9</f>
        <v>23994.990019773337</v>
      </c>
      <c r="AM104" s="419">
        <f>AM69*'Pricing Model'!$C$9</f>
        <v>24706.704678320002</v>
      </c>
    </row>
    <row r="105" spans="2:39" s="404" customFormat="1">
      <c r="B105" s="382" t="s">
        <v>135</v>
      </c>
      <c r="D105" s="419">
        <f t="shared" ref="D105:AM105" si="37">D81</f>
        <v>10518.370566847618</v>
      </c>
      <c r="E105" s="419">
        <f t="shared" si="37"/>
        <v>554.58700283123767</v>
      </c>
      <c r="F105" s="419">
        <f t="shared" si="37"/>
        <v>607.64798093142895</v>
      </c>
      <c r="G105" s="419">
        <f t="shared" si="37"/>
        <v>646.57511136495305</v>
      </c>
      <c r="H105" s="419">
        <f t="shared" si="37"/>
        <v>689.24289479847653</v>
      </c>
      <c r="I105" s="419">
        <f t="shared" si="37"/>
        <v>734.51636442742893</v>
      </c>
      <c r="J105" s="419">
        <f t="shared" si="37"/>
        <v>784.99911131085764</v>
      </c>
      <c r="K105" s="419">
        <f t="shared" si="37"/>
        <v>806.77526196114343</v>
      </c>
      <c r="L105" s="419">
        <f t="shared" si="37"/>
        <v>900.44588562780848</v>
      </c>
      <c r="M105" s="419">
        <f t="shared" si="37"/>
        <v>947.53878608761886</v>
      </c>
      <c r="N105" s="419">
        <f t="shared" si="37"/>
        <v>1011.1185211615229</v>
      </c>
      <c r="O105" s="420">
        <f t="shared" si="37"/>
        <v>1054.7916874735238</v>
      </c>
      <c r="P105" s="683">
        <f t="shared" si="37"/>
        <v>3162.0014082948492</v>
      </c>
      <c r="Q105" s="419">
        <f t="shared" si="37"/>
        <v>1231.6854815210945</v>
      </c>
      <c r="R105" s="419">
        <f t="shared" si="37"/>
        <v>1403.8091803365505</v>
      </c>
      <c r="S105" s="419">
        <f t="shared" si="37"/>
        <v>1513.7817087327394</v>
      </c>
      <c r="T105" s="419">
        <f t="shared" si="37"/>
        <v>1490.0905095350681</v>
      </c>
      <c r="U105" s="419">
        <f t="shared" si="37"/>
        <v>1558.9805938491454</v>
      </c>
      <c r="V105" s="419">
        <f t="shared" si="37"/>
        <v>1631.939655293063</v>
      </c>
      <c r="W105" s="419">
        <f t="shared" si="37"/>
        <v>1687.6255435146509</v>
      </c>
      <c r="X105" s="419">
        <f t="shared" si="37"/>
        <v>2442.0405242416541</v>
      </c>
      <c r="Y105" s="419">
        <f t="shared" si="37"/>
        <v>2235.414090518901</v>
      </c>
      <c r="Z105" s="419">
        <f t="shared" si="37"/>
        <v>2321.4387037820766</v>
      </c>
      <c r="AA105" s="420">
        <f t="shared" si="37"/>
        <v>2397.8236000009142</v>
      </c>
      <c r="AB105" s="683">
        <f t="shared" si="37"/>
        <v>4603.8755512803737</v>
      </c>
      <c r="AC105" s="419">
        <f t="shared" si="37"/>
        <v>2679.4281524134076</v>
      </c>
      <c r="AD105" s="419">
        <f t="shared" si="37"/>
        <v>2761.5413326633952</v>
      </c>
      <c r="AE105" s="419">
        <f t="shared" si="37"/>
        <v>2864.8100356989398</v>
      </c>
      <c r="AF105" s="419">
        <f t="shared" si="37"/>
        <v>2950.3020258277829</v>
      </c>
      <c r="AG105" s="419">
        <f t="shared" si="37"/>
        <v>3033.0487992195153</v>
      </c>
      <c r="AH105" s="419">
        <f t="shared" si="37"/>
        <v>3109.4293422764604</v>
      </c>
      <c r="AI105" s="419">
        <f t="shared" si="37"/>
        <v>3180.0326476309565</v>
      </c>
      <c r="AJ105" s="419">
        <f t="shared" si="37"/>
        <v>3247.1977666761813</v>
      </c>
      <c r="AK105" s="419">
        <f t="shared" si="37"/>
        <v>3294.237781541824</v>
      </c>
      <c r="AL105" s="419">
        <f t="shared" si="37"/>
        <v>3382.3261415784773</v>
      </c>
      <c r="AM105" s="419">
        <f t="shared" si="37"/>
        <v>3472.7016376995484</v>
      </c>
    </row>
    <row r="106" spans="2:39" s="404" customFormat="1" ht="20" customHeight="1" thickBot="1">
      <c r="B106" s="440" t="s">
        <v>443</v>
      </c>
      <c r="C106" s="688"/>
      <c r="D106" s="689"/>
      <c r="E106" s="689"/>
      <c r="F106" s="689">
        <f>SUM(D104:F104)-SUM(D105:F105)</f>
        <v>1321.7702493897159</v>
      </c>
      <c r="G106" s="689"/>
      <c r="H106" s="689"/>
      <c r="I106" s="689">
        <f>SUM(G104:I104)-SUM(G105:I105)</f>
        <v>13916.641029409144</v>
      </c>
      <c r="J106" s="689"/>
      <c r="K106" s="689"/>
      <c r="L106" s="689">
        <f>SUM(J104:L104)-SUM(J105:L105)</f>
        <v>16433.97620776686</v>
      </c>
      <c r="M106" s="689"/>
      <c r="N106" s="689"/>
      <c r="O106" s="690">
        <f>SUM(M104:O104)-SUM(M105:O105)</f>
        <v>19153.961471944003</v>
      </c>
      <c r="P106" s="689"/>
      <c r="Q106" s="689"/>
      <c r="R106" s="689">
        <f>SUM(P104:R104)-SUM(P105:R105)</f>
        <v>21712.858244514176</v>
      </c>
      <c r="S106" s="689"/>
      <c r="T106" s="689"/>
      <c r="U106" s="689">
        <f>SUM(S104:U104)-SUM(S105:U105)</f>
        <v>29143.139955883053</v>
      </c>
      <c r="V106" s="689"/>
      <c r="W106" s="689"/>
      <c r="X106" s="689">
        <f>SUM(V104:X104)-SUM(V105:X105)</f>
        <v>34859.179795765456</v>
      </c>
      <c r="Y106" s="689"/>
      <c r="Z106" s="689"/>
      <c r="AA106" s="690">
        <f>SUM(Y104:AA104)-SUM(Y105:AA105)</f>
        <v>43295.383867031444</v>
      </c>
      <c r="AB106" s="689"/>
      <c r="AC106" s="689"/>
      <c r="AD106" s="689">
        <f>SUM(AB104:AD104)-SUM(AB105:AD105)</f>
        <v>47091.855280096155</v>
      </c>
      <c r="AE106" s="689"/>
      <c r="AF106" s="689"/>
      <c r="AG106" s="689">
        <f>SUM(AE104:AG104)-SUM(AE105:AG105)</f>
        <v>53860.868705133762</v>
      </c>
      <c r="AH106" s="689"/>
      <c r="AI106" s="689"/>
      <c r="AJ106" s="689">
        <f>SUM(AH104:AJ104)-SUM(AH105:AJ105)</f>
        <v>57949.298389349744</v>
      </c>
      <c r="AK106" s="689"/>
      <c r="AL106" s="689"/>
      <c r="AM106" s="689">
        <f>SUM(AK104:AM104)-SUM(AK105:AM105)</f>
        <v>61833.438501206831</v>
      </c>
    </row>
    <row r="107" spans="2:39" s="404" customFormat="1" ht="17" thickTop="1">
      <c r="B107" s="382" t="s">
        <v>139</v>
      </c>
      <c r="D107" s="419">
        <f t="shared" ref="D107:AM107" si="38">(D104-D105)-D106</f>
        <v>-6518.8472335142851</v>
      </c>
      <c r="E107" s="419">
        <f t="shared" si="38"/>
        <v>3748.2124638354289</v>
      </c>
      <c r="F107" s="419">
        <f t="shared" si="38"/>
        <v>2770.6347696788562</v>
      </c>
      <c r="G107" s="419">
        <f t="shared" si="38"/>
        <v>4343.4397553017143</v>
      </c>
      <c r="H107" s="419">
        <f t="shared" si="38"/>
        <v>4627.6088385348567</v>
      </c>
      <c r="I107" s="419">
        <f t="shared" si="38"/>
        <v>-8971.0485938365709</v>
      </c>
      <c r="J107" s="419">
        <f t="shared" si="38"/>
        <v>5263.007288689143</v>
      </c>
      <c r="K107" s="419">
        <f t="shared" si="38"/>
        <v>5433.6739380388562</v>
      </c>
      <c r="L107" s="419">
        <f t="shared" si="38"/>
        <v>-10696.681226728004</v>
      </c>
      <c r="M107" s="419">
        <f t="shared" si="38"/>
        <v>6056.3115472457139</v>
      </c>
      <c r="N107" s="419">
        <f t="shared" si="38"/>
        <v>6417.4627455051441</v>
      </c>
      <c r="O107" s="420">
        <f t="shared" si="38"/>
        <v>-12473.774292750859</v>
      </c>
      <c r="P107" s="419">
        <f t="shared" si="38"/>
        <v>5272.5769543718179</v>
      </c>
      <c r="Q107" s="419">
        <f t="shared" si="38"/>
        <v>7711.0302304789066</v>
      </c>
      <c r="R107" s="419">
        <f t="shared" si="38"/>
        <v>-12983.607184850724</v>
      </c>
      <c r="S107" s="419">
        <f t="shared" si="38"/>
        <v>9390.0118646005976</v>
      </c>
      <c r="T107" s="419">
        <f t="shared" si="38"/>
        <v>9673.2039171315992</v>
      </c>
      <c r="U107" s="419">
        <f t="shared" si="38"/>
        <v>-19063.215781732197</v>
      </c>
      <c r="V107" s="419">
        <f t="shared" si="38"/>
        <v>10510.929043373604</v>
      </c>
      <c r="W107" s="419">
        <f t="shared" si="38"/>
        <v>10886.700333818684</v>
      </c>
      <c r="X107" s="419">
        <f t="shared" si="38"/>
        <v>-21397.629377192294</v>
      </c>
      <c r="Y107" s="419">
        <f t="shared" si="38"/>
        <v>13898.305712147767</v>
      </c>
      <c r="Z107" s="419">
        <f t="shared" si="38"/>
        <v>14451.884688217926</v>
      </c>
      <c r="AA107" s="420">
        <f t="shared" si="38"/>
        <v>-28350.190400365689</v>
      </c>
      <c r="AB107" s="419">
        <f t="shared" si="38"/>
        <v>13939.887896559627</v>
      </c>
      <c r="AC107" s="419">
        <f t="shared" si="38"/>
        <v>16342.633287306593</v>
      </c>
      <c r="AD107" s="419">
        <f t="shared" si="38"/>
        <v>-30282.521183866214</v>
      </c>
      <c r="AE107" s="419">
        <f t="shared" si="38"/>
        <v>17443.113385074394</v>
      </c>
      <c r="AF107" s="419">
        <f t="shared" si="38"/>
        <v>17969.685384118886</v>
      </c>
      <c r="AG107" s="419">
        <f t="shared" si="38"/>
        <v>-35412.798769193279</v>
      </c>
      <c r="AH107" s="419">
        <f t="shared" si="38"/>
        <v>18909.920048723543</v>
      </c>
      <c r="AI107" s="419">
        <f t="shared" si="38"/>
        <v>19313.531401915709</v>
      </c>
      <c r="AJ107" s="419">
        <f t="shared" si="38"/>
        <v>-38223.451450639259</v>
      </c>
      <c r="AK107" s="419">
        <f t="shared" si="38"/>
        <v>19986.771582391513</v>
      </c>
      <c r="AL107" s="419">
        <f t="shared" si="38"/>
        <v>20612.66387819486</v>
      </c>
      <c r="AM107" s="419">
        <f t="shared" si="38"/>
        <v>-40599.435460586377</v>
      </c>
    </row>
    <row r="108" spans="2:39" s="404" customFormat="1">
      <c r="B108" s="382"/>
      <c r="D108" s="419"/>
      <c r="E108" s="419"/>
      <c r="F108" s="419"/>
      <c r="G108" s="419"/>
      <c r="H108" s="419"/>
      <c r="I108" s="419"/>
      <c r="J108" s="419"/>
      <c r="K108" s="419"/>
      <c r="L108" s="419"/>
      <c r="M108" s="419"/>
      <c r="N108" s="419"/>
      <c r="O108" s="420"/>
      <c r="P108" s="683"/>
      <c r="Q108" s="419"/>
      <c r="R108" s="419"/>
      <c r="S108" s="419"/>
      <c r="T108" s="419"/>
      <c r="U108" s="419"/>
      <c r="V108" s="419"/>
      <c r="W108" s="419"/>
      <c r="X108" s="419"/>
      <c r="Y108" s="419"/>
      <c r="Z108" s="419"/>
      <c r="AA108" s="420"/>
      <c r="AB108" s="683"/>
      <c r="AC108" s="419"/>
      <c r="AD108" s="419"/>
      <c r="AE108" s="419"/>
      <c r="AF108" s="419"/>
      <c r="AG108" s="419"/>
      <c r="AH108" s="419"/>
      <c r="AI108" s="419"/>
      <c r="AJ108" s="419"/>
      <c r="AK108" s="419"/>
      <c r="AL108" s="419"/>
      <c r="AM108" s="419"/>
    </row>
    <row r="109" spans="2:39" s="404" customFormat="1">
      <c r="B109" s="382" t="s">
        <v>136</v>
      </c>
      <c r="D109" s="419">
        <f>D122</f>
        <v>4246</v>
      </c>
      <c r="E109" s="419">
        <f t="shared" ref="E109:R109" si="39">E122</f>
        <v>0</v>
      </c>
      <c r="F109" s="419">
        <f t="shared" si="39"/>
        <v>0</v>
      </c>
      <c r="G109" s="419">
        <f t="shared" si="39"/>
        <v>0</v>
      </c>
      <c r="H109" s="419">
        <f t="shared" si="39"/>
        <v>0</v>
      </c>
      <c r="I109" s="419">
        <f t="shared" si="39"/>
        <v>0</v>
      </c>
      <c r="J109" s="419">
        <f t="shared" si="39"/>
        <v>0</v>
      </c>
      <c r="K109" s="419">
        <f t="shared" si="39"/>
        <v>0</v>
      </c>
      <c r="L109" s="419">
        <f t="shared" si="39"/>
        <v>60</v>
      </c>
      <c r="M109" s="419">
        <f t="shared" si="39"/>
        <v>0</v>
      </c>
      <c r="N109" s="419">
        <f t="shared" si="39"/>
        <v>0</v>
      </c>
      <c r="O109" s="420">
        <f t="shared" si="39"/>
        <v>0</v>
      </c>
      <c r="P109" s="683">
        <f t="shared" si="39"/>
        <v>0</v>
      </c>
      <c r="Q109" s="419">
        <f t="shared" si="39"/>
        <v>0</v>
      </c>
      <c r="R109" s="419">
        <f t="shared" si="39"/>
        <v>0</v>
      </c>
      <c r="S109" s="419">
        <f t="shared" ref="S109:AM109" si="40">S122</f>
        <v>0</v>
      </c>
      <c r="T109" s="419">
        <f t="shared" si="40"/>
        <v>0</v>
      </c>
      <c r="U109" s="419">
        <f t="shared" si="40"/>
        <v>0</v>
      </c>
      <c r="V109" s="419">
        <f t="shared" si="40"/>
        <v>0</v>
      </c>
      <c r="W109" s="419">
        <f t="shared" si="40"/>
        <v>0</v>
      </c>
      <c r="X109" s="419">
        <f t="shared" si="40"/>
        <v>4478.2400000000007</v>
      </c>
      <c r="Y109" s="419">
        <f t="shared" si="40"/>
        <v>0</v>
      </c>
      <c r="Z109" s="419">
        <f t="shared" si="40"/>
        <v>0</v>
      </c>
      <c r="AA109" s="420">
        <f t="shared" si="40"/>
        <v>0</v>
      </c>
      <c r="AB109" s="683">
        <f t="shared" si="40"/>
        <v>0</v>
      </c>
      <c r="AC109" s="419">
        <f t="shared" si="40"/>
        <v>0</v>
      </c>
      <c r="AD109" s="419">
        <f t="shared" si="40"/>
        <v>0</v>
      </c>
      <c r="AE109" s="419">
        <f t="shared" si="40"/>
        <v>0</v>
      </c>
      <c r="AF109" s="419">
        <f t="shared" si="40"/>
        <v>0</v>
      </c>
      <c r="AG109" s="419">
        <f t="shared" si="40"/>
        <v>0</v>
      </c>
      <c r="AH109" s="419">
        <f t="shared" si="40"/>
        <v>0</v>
      </c>
      <c r="AI109" s="419">
        <f t="shared" si="40"/>
        <v>0</v>
      </c>
      <c r="AJ109" s="419">
        <f t="shared" si="40"/>
        <v>0</v>
      </c>
      <c r="AK109" s="419">
        <f t="shared" si="40"/>
        <v>0</v>
      </c>
      <c r="AL109" s="419">
        <f t="shared" si="40"/>
        <v>0</v>
      </c>
      <c r="AM109" s="419">
        <f t="shared" si="40"/>
        <v>0</v>
      </c>
    </row>
    <row r="110" spans="2:39" s="707" customFormat="1" ht="20" customHeight="1" thickBot="1">
      <c r="B110" s="440" t="s">
        <v>444</v>
      </c>
      <c r="C110" s="688"/>
      <c r="D110" s="689"/>
      <c r="E110" s="689"/>
      <c r="F110" s="689">
        <f>-SUM(D109:F109)</f>
        <v>-4246</v>
      </c>
      <c r="G110" s="689"/>
      <c r="H110" s="689"/>
      <c r="I110" s="689">
        <f>-SUM(G109:I109)</f>
        <v>0</v>
      </c>
      <c r="J110" s="689"/>
      <c r="K110" s="689"/>
      <c r="L110" s="689">
        <f>-SUM(J109:L109)</f>
        <v>-60</v>
      </c>
      <c r="M110" s="689"/>
      <c r="N110" s="689"/>
      <c r="O110" s="690">
        <f>-SUM(M109:O109)</f>
        <v>0</v>
      </c>
      <c r="P110" s="689"/>
      <c r="Q110" s="689"/>
      <c r="R110" s="689">
        <f>-SUM(P109:R109)</f>
        <v>0</v>
      </c>
      <c r="S110" s="689"/>
      <c r="T110" s="689"/>
      <c r="U110" s="689">
        <f>-SUM(S109:U109)</f>
        <v>0</v>
      </c>
      <c r="V110" s="689"/>
      <c r="W110" s="689"/>
      <c r="X110" s="689">
        <f>-SUM(V109:X109)</f>
        <v>-4478.2400000000007</v>
      </c>
      <c r="Y110" s="689"/>
      <c r="Z110" s="689"/>
      <c r="AA110" s="690">
        <f>-SUM(Y109:AA109)</f>
        <v>0</v>
      </c>
      <c r="AB110" s="689"/>
      <c r="AC110" s="689"/>
      <c r="AD110" s="689">
        <f>-SUM(AB109:AD109)</f>
        <v>0</v>
      </c>
      <c r="AE110" s="689"/>
      <c r="AF110" s="689"/>
      <c r="AG110" s="689">
        <f>-SUM(AE109:AG109)</f>
        <v>0</v>
      </c>
      <c r="AH110" s="689"/>
      <c r="AI110" s="689"/>
      <c r="AJ110" s="689">
        <f>-SUM(AH109:AJ109)</f>
        <v>0</v>
      </c>
      <c r="AK110" s="689"/>
      <c r="AL110" s="689"/>
      <c r="AM110" s="689">
        <f>-SUM(AK109:AM109)</f>
        <v>0</v>
      </c>
    </row>
    <row r="111" spans="2:39" s="404" customFormat="1" ht="17" thickTop="1">
      <c r="B111" s="382" t="s">
        <v>140</v>
      </c>
      <c r="D111" s="419">
        <f>-D109-D110</f>
        <v>-4246</v>
      </c>
      <c r="E111" s="419">
        <f t="shared" ref="E111:AM111" si="41">-E109-E110</f>
        <v>0</v>
      </c>
      <c r="F111" s="419">
        <f t="shared" si="41"/>
        <v>4246</v>
      </c>
      <c r="G111" s="419">
        <f t="shared" si="41"/>
        <v>0</v>
      </c>
      <c r="H111" s="419">
        <f t="shared" si="41"/>
        <v>0</v>
      </c>
      <c r="I111" s="419">
        <f t="shared" si="41"/>
        <v>0</v>
      </c>
      <c r="J111" s="419">
        <f t="shared" si="41"/>
        <v>0</v>
      </c>
      <c r="K111" s="419">
        <f t="shared" si="41"/>
        <v>0</v>
      </c>
      <c r="L111" s="419">
        <f t="shared" si="41"/>
        <v>0</v>
      </c>
      <c r="M111" s="419">
        <f t="shared" si="41"/>
        <v>0</v>
      </c>
      <c r="N111" s="419">
        <f t="shared" si="41"/>
        <v>0</v>
      </c>
      <c r="O111" s="420">
        <f t="shared" si="41"/>
        <v>0</v>
      </c>
      <c r="P111" s="419">
        <f t="shared" si="41"/>
        <v>0</v>
      </c>
      <c r="Q111" s="419">
        <f t="shared" si="41"/>
        <v>0</v>
      </c>
      <c r="R111" s="419">
        <f t="shared" si="41"/>
        <v>0</v>
      </c>
      <c r="S111" s="419">
        <f t="shared" si="41"/>
        <v>0</v>
      </c>
      <c r="T111" s="419">
        <f t="shared" si="41"/>
        <v>0</v>
      </c>
      <c r="U111" s="419">
        <f t="shared" si="41"/>
        <v>0</v>
      </c>
      <c r="V111" s="419">
        <f t="shared" si="41"/>
        <v>0</v>
      </c>
      <c r="W111" s="419">
        <f t="shared" si="41"/>
        <v>0</v>
      </c>
      <c r="X111" s="419">
        <f t="shared" si="41"/>
        <v>0</v>
      </c>
      <c r="Y111" s="419">
        <f t="shared" si="41"/>
        <v>0</v>
      </c>
      <c r="Z111" s="419">
        <f t="shared" si="41"/>
        <v>0</v>
      </c>
      <c r="AA111" s="420">
        <f t="shared" si="41"/>
        <v>0</v>
      </c>
      <c r="AB111" s="419">
        <f t="shared" si="41"/>
        <v>0</v>
      </c>
      <c r="AC111" s="419">
        <f t="shared" si="41"/>
        <v>0</v>
      </c>
      <c r="AD111" s="419">
        <f t="shared" si="41"/>
        <v>0</v>
      </c>
      <c r="AE111" s="419">
        <f t="shared" si="41"/>
        <v>0</v>
      </c>
      <c r="AF111" s="419">
        <f t="shared" si="41"/>
        <v>0</v>
      </c>
      <c r="AG111" s="419">
        <f t="shared" si="41"/>
        <v>0</v>
      </c>
      <c r="AH111" s="419">
        <f t="shared" si="41"/>
        <v>0</v>
      </c>
      <c r="AI111" s="419">
        <f t="shared" si="41"/>
        <v>0</v>
      </c>
      <c r="AJ111" s="419">
        <f t="shared" si="41"/>
        <v>0</v>
      </c>
      <c r="AK111" s="419">
        <f t="shared" si="41"/>
        <v>0</v>
      </c>
      <c r="AL111" s="419">
        <f t="shared" si="41"/>
        <v>0</v>
      </c>
      <c r="AM111" s="419">
        <f t="shared" si="41"/>
        <v>0</v>
      </c>
    </row>
    <row r="112" spans="2:39" s="404" customFormat="1" ht="24" customHeight="1">
      <c r="B112" s="382"/>
      <c r="D112" s="419"/>
      <c r="E112" s="419"/>
      <c r="F112" s="419"/>
      <c r="G112" s="419"/>
      <c r="H112" s="419"/>
      <c r="I112" s="419"/>
      <c r="J112" s="419"/>
      <c r="K112" s="419"/>
      <c r="L112" s="419"/>
      <c r="M112" s="419"/>
      <c r="N112" s="419"/>
      <c r="O112" s="420"/>
      <c r="P112" s="683"/>
      <c r="Q112" s="419"/>
      <c r="R112" s="419"/>
      <c r="S112" s="419"/>
      <c r="T112" s="419"/>
      <c r="U112" s="419"/>
      <c r="V112" s="419"/>
      <c r="W112" s="419"/>
      <c r="X112" s="419"/>
      <c r="Y112" s="419"/>
      <c r="Z112" s="419"/>
      <c r="AA112" s="420"/>
      <c r="AB112" s="683"/>
      <c r="AC112" s="419"/>
      <c r="AD112" s="419"/>
      <c r="AE112" s="419"/>
      <c r="AF112" s="419"/>
      <c r="AG112" s="419"/>
      <c r="AH112" s="419"/>
      <c r="AI112" s="419"/>
      <c r="AJ112" s="419"/>
      <c r="AK112" s="419"/>
      <c r="AL112" s="419"/>
      <c r="AM112" s="419"/>
    </row>
    <row r="113" spans="2:70" s="404" customFormat="1" ht="19" thickBot="1">
      <c r="B113" s="708" t="s">
        <v>0</v>
      </c>
      <c r="C113" s="679"/>
      <c r="D113" s="692"/>
      <c r="E113" s="692"/>
      <c r="F113" s="692"/>
      <c r="G113" s="692"/>
      <c r="H113" s="692"/>
      <c r="I113" s="692"/>
      <c r="J113" s="692"/>
      <c r="K113" s="692"/>
      <c r="L113" s="692"/>
      <c r="M113" s="692"/>
      <c r="N113" s="692"/>
      <c r="O113" s="693"/>
      <c r="P113" s="692"/>
      <c r="Q113" s="692"/>
      <c r="R113" s="692"/>
      <c r="S113" s="692"/>
      <c r="T113" s="692"/>
      <c r="U113" s="692"/>
      <c r="V113" s="692"/>
      <c r="W113" s="692"/>
      <c r="X113" s="692"/>
      <c r="Y113" s="692"/>
      <c r="Z113" s="692"/>
      <c r="AA113" s="693"/>
      <c r="AB113" s="692"/>
      <c r="AC113" s="692"/>
      <c r="AD113" s="692"/>
      <c r="AE113" s="692"/>
      <c r="AF113" s="692"/>
      <c r="AG113" s="692"/>
      <c r="AH113" s="692"/>
      <c r="AI113" s="692"/>
      <c r="AJ113" s="692"/>
      <c r="AK113" s="692"/>
      <c r="AL113" s="692"/>
      <c r="AM113" s="692"/>
    </row>
    <row r="114" spans="2:70" s="404" customFormat="1">
      <c r="B114" s="382" t="s">
        <v>141</v>
      </c>
      <c r="D114" s="419">
        <f>'Profit &amp; Loss'!D176</f>
        <v>0</v>
      </c>
      <c r="E114" s="419">
        <f>'Profit &amp; Loss'!E176</f>
        <v>0</v>
      </c>
      <c r="F114" s="419">
        <f>'Profit &amp; Loss'!F176</f>
        <v>0</v>
      </c>
      <c r="G114" s="419">
        <f>'Profit &amp; Loss'!G176</f>
        <v>0</v>
      </c>
      <c r="H114" s="419">
        <f>'Profit &amp; Loss'!H176</f>
        <v>0</v>
      </c>
      <c r="I114" s="419">
        <f>'Profit &amp; Loss'!I176</f>
        <v>0</v>
      </c>
      <c r="J114" s="419">
        <f>'Profit &amp; Loss'!J176</f>
        <v>0</v>
      </c>
      <c r="K114" s="419">
        <f>'Profit &amp; Loss'!K176</f>
        <v>0</v>
      </c>
      <c r="L114" s="419">
        <f>'Profit &amp; Loss'!L176</f>
        <v>0</v>
      </c>
      <c r="M114" s="419">
        <f>'Profit &amp; Loss'!M176</f>
        <v>0</v>
      </c>
      <c r="N114" s="419">
        <f>'Profit &amp; Loss'!N176</f>
        <v>0</v>
      </c>
      <c r="O114" s="420">
        <f>'Profit &amp; Loss'!O176</f>
        <v>0</v>
      </c>
      <c r="P114" s="683">
        <f>'Profit &amp; Loss'!P176</f>
        <v>0</v>
      </c>
      <c r="Q114" s="419">
        <f>'Profit &amp; Loss'!Q176</f>
        <v>0</v>
      </c>
      <c r="R114" s="419">
        <f>'Profit &amp; Loss'!R176</f>
        <v>0</v>
      </c>
      <c r="S114" s="419">
        <f>'Profit &amp; Loss'!S176</f>
        <v>0</v>
      </c>
      <c r="T114" s="419">
        <f>'Profit &amp; Loss'!T176</f>
        <v>0</v>
      </c>
      <c r="U114" s="419">
        <f>'Profit &amp; Loss'!U176</f>
        <v>0</v>
      </c>
      <c r="V114" s="419">
        <f>'Profit &amp; Loss'!V176</f>
        <v>0</v>
      </c>
      <c r="W114" s="419">
        <f>'Profit &amp; Loss'!W176</f>
        <v>0</v>
      </c>
      <c r="X114" s="419">
        <f>'Profit &amp; Loss'!X176</f>
        <v>0</v>
      </c>
      <c r="Y114" s="419">
        <f>'Profit &amp; Loss'!Y176</f>
        <v>0</v>
      </c>
      <c r="Z114" s="419">
        <f>'Profit &amp; Loss'!Z176</f>
        <v>819.19905920310907</v>
      </c>
      <c r="AA114" s="420">
        <f>'Profit &amp; Loss'!AA176</f>
        <v>3422.4560296620634</v>
      </c>
      <c r="AB114" s="683">
        <f>'Profit &amp; Loss'!AB176</f>
        <v>1338.5461386048671</v>
      </c>
      <c r="AC114" s="419">
        <f>'Profit &amp; Loss'!AC176</f>
        <v>1814.8483400369685</v>
      </c>
      <c r="AD114" s="419">
        <f>'Profit &amp; Loss'!AD176</f>
        <v>2366.8407860041311</v>
      </c>
      <c r="AE114" s="419">
        <f>'Profit &amp; Loss'!AE176</f>
        <v>3086.7430411301893</v>
      </c>
      <c r="AF114" s="419">
        <f>'Profit &amp; Loss'!AF176</f>
        <v>3709.7292602762095</v>
      </c>
      <c r="AG114" s="419">
        <f>'Profit &amp; Loss'!AG176</f>
        <v>4275.59979832115</v>
      </c>
      <c r="AH114" s="419">
        <f>'Profit &amp; Loss'!AH176</f>
        <v>4822.1292438750779</v>
      </c>
      <c r="AI114" s="419">
        <f>'Profit &amp; Loss'!AI176</f>
        <v>5299.7415175137139</v>
      </c>
      <c r="AJ114" s="419">
        <f>'Profit &amp; Loss'!AJ176</f>
        <v>5797.7383766813455</v>
      </c>
      <c r="AK114" s="419">
        <f>'Profit &amp; Loss'!AK176</f>
        <v>6106.9332443075818</v>
      </c>
      <c r="AL114" s="419">
        <f>'Profit &amp; Loss'!AL176</f>
        <v>6857.7299200737934</v>
      </c>
      <c r="AM114" s="419">
        <f>'Profit &amp; Loss'!AM176</f>
        <v>7593.1451049250663</v>
      </c>
    </row>
    <row r="115" spans="2:70" s="404" customFormat="1">
      <c r="B115" s="382" t="s">
        <v>142</v>
      </c>
      <c r="C115" s="49"/>
      <c r="D115" s="709"/>
      <c r="E115" s="709"/>
      <c r="F115" s="709"/>
      <c r="G115" s="709"/>
      <c r="H115" s="709"/>
      <c r="I115" s="709"/>
      <c r="J115" s="709"/>
      <c r="K115" s="709"/>
      <c r="L115" s="709"/>
      <c r="M115" s="709"/>
      <c r="N115" s="709"/>
      <c r="O115" s="710"/>
      <c r="P115" s="711">
        <f t="shared" ref="P115:AM115" ca="1" si="42">SUM(OFFSET(P114,0,-(11+IF(MOD(P8,12)=0,12,MOD(P8,12))),1,12))</f>
        <v>0</v>
      </c>
      <c r="Q115" s="712">
        <f t="shared" ca="1" si="42"/>
        <v>0</v>
      </c>
      <c r="R115" s="712">
        <f t="shared" ca="1" si="42"/>
        <v>0</v>
      </c>
      <c r="S115" s="712">
        <f t="shared" ca="1" si="42"/>
        <v>0</v>
      </c>
      <c r="T115" s="712">
        <f t="shared" ca="1" si="42"/>
        <v>0</v>
      </c>
      <c r="U115" s="712">
        <f t="shared" ca="1" si="42"/>
        <v>0</v>
      </c>
      <c r="V115" s="712">
        <f t="shared" ca="1" si="42"/>
        <v>0</v>
      </c>
      <c r="W115" s="712">
        <f t="shared" ca="1" si="42"/>
        <v>0</v>
      </c>
      <c r="X115" s="712">
        <f t="shared" ca="1" si="42"/>
        <v>0</v>
      </c>
      <c r="Y115" s="712">
        <f t="shared" ca="1" si="42"/>
        <v>0</v>
      </c>
      <c r="Z115" s="712">
        <f t="shared" ca="1" si="42"/>
        <v>0</v>
      </c>
      <c r="AA115" s="713">
        <f t="shared" ca="1" si="42"/>
        <v>0</v>
      </c>
      <c r="AB115" s="711">
        <f t="shared" ca="1" si="42"/>
        <v>4241.6550888651727</v>
      </c>
      <c r="AC115" s="712">
        <f t="shared" ca="1" si="42"/>
        <v>4241.6550888651727</v>
      </c>
      <c r="AD115" s="712">
        <f t="shared" ca="1" si="42"/>
        <v>4241.6550888651727</v>
      </c>
      <c r="AE115" s="712">
        <f t="shared" ca="1" si="42"/>
        <v>4241.6550888651727</v>
      </c>
      <c r="AF115" s="712">
        <f t="shared" ca="1" si="42"/>
        <v>4241.6550888651727</v>
      </c>
      <c r="AG115" s="712">
        <f t="shared" ca="1" si="42"/>
        <v>4241.6550888651727</v>
      </c>
      <c r="AH115" s="712">
        <f t="shared" ca="1" si="42"/>
        <v>4241.6550888651727</v>
      </c>
      <c r="AI115" s="712">
        <f t="shared" ca="1" si="42"/>
        <v>4241.6550888651727</v>
      </c>
      <c r="AJ115" s="712">
        <f t="shared" ca="1" si="42"/>
        <v>4241.6550888651727</v>
      </c>
      <c r="AK115" s="712">
        <f t="shared" ca="1" si="42"/>
        <v>4241.6550888651727</v>
      </c>
      <c r="AL115" s="712">
        <f t="shared" ca="1" si="42"/>
        <v>4241.6550888651727</v>
      </c>
      <c r="AM115" s="712">
        <f t="shared" ca="1" si="42"/>
        <v>4241.6550888651727</v>
      </c>
    </row>
    <row r="116" spans="2:70" s="691" customFormat="1" ht="21" customHeight="1" thickBot="1">
      <c r="B116" s="440" t="s">
        <v>445</v>
      </c>
      <c r="C116" s="714"/>
      <c r="D116" s="689"/>
      <c r="E116" s="689"/>
      <c r="F116" s="689"/>
      <c r="G116" s="689"/>
      <c r="H116" s="689"/>
      <c r="I116" s="689"/>
      <c r="J116" s="689"/>
      <c r="K116" s="689"/>
      <c r="L116" s="689"/>
      <c r="M116" s="689"/>
      <c r="N116" s="689"/>
      <c r="O116" s="690"/>
      <c r="P116" s="715">
        <f t="shared" ref="P116:AM116" si="43">IF(IF(MOD(P8,12)=0,12,MOD(P8,12))=9,P115,0)</f>
        <v>0</v>
      </c>
      <c r="Q116" s="715">
        <f t="shared" si="43"/>
        <v>0</v>
      </c>
      <c r="R116" s="715">
        <f t="shared" si="43"/>
        <v>0</v>
      </c>
      <c r="S116" s="715">
        <f t="shared" si="43"/>
        <v>0</v>
      </c>
      <c r="T116" s="715">
        <f t="shared" si="43"/>
        <v>0</v>
      </c>
      <c r="U116" s="715">
        <f t="shared" si="43"/>
        <v>0</v>
      </c>
      <c r="V116" s="715">
        <f t="shared" si="43"/>
        <v>0</v>
      </c>
      <c r="W116" s="715">
        <f t="shared" si="43"/>
        <v>0</v>
      </c>
      <c r="X116" s="715">
        <f t="shared" ca="1" si="43"/>
        <v>0</v>
      </c>
      <c r="Y116" s="715">
        <f t="shared" si="43"/>
        <v>0</v>
      </c>
      <c r="Z116" s="715">
        <f t="shared" si="43"/>
        <v>0</v>
      </c>
      <c r="AA116" s="716">
        <f t="shared" si="43"/>
        <v>0</v>
      </c>
      <c r="AB116" s="715">
        <f t="shared" si="43"/>
        <v>0</v>
      </c>
      <c r="AC116" s="715">
        <f t="shared" si="43"/>
        <v>0</v>
      </c>
      <c r="AD116" s="715">
        <f t="shared" si="43"/>
        <v>0</v>
      </c>
      <c r="AE116" s="715">
        <f t="shared" si="43"/>
        <v>0</v>
      </c>
      <c r="AF116" s="715">
        <f t="shared" si="43"/>
        <v>0</v>
      </c>
      <c r="AG116" s="715">
        <f t="shared" si="43"/>
        <v>0</v>
      </c>
      <c r="AH116" s="715">
        <f t="shared" si="43"/>
        <v>0</v>
      </c>
      <c r="AI116" s="715">
        <f t="shared" si="43"/>
        <v>0</v>
      </c>
      <c r="AJ116" s="715">
        <f t="shared" ca="1" si="43"/>
        <v>4241.6550888651727</v>
      </c>
      <c r="AK116" s="715">
        <f t="shared" si="43"/>
        <v>0</v>
      </c>
      <c r="AL116" s="715">
        <f t="shared" si="43"/>
        <v>0</v>
      </c>
      <c r="AM116" s="715">
        <f t="shared" si="43"/>
        <v>0</v>
      </c>
    </row>
    <row r="117" spans="2:70" s="404" customFormat="1" ht="17" thickTop="1">
      <c r="B117" s="382" t="s">
        <v>143</v>
      </c>
      <c r="C117" s="49"/>
      <c r="D117" s="419">
        <f>D114-D116</f>
        <v>0</v>
      </c>
      <c r="E117" s="419">
        <f t="shared" ref="E117:AM117" si="44">E114-E116</f>
        <v>0</v>
      </c>
      <c r="F117" s="419">
        <f t="shared" si="44"/>
        <v>0</v>
      </c>
      <c r="G117" s="419">
        <f t="shared" si="44"/>
        <v>0</v>
      </c>
      <c r="H117" s="419">
        <f t="shared" si="44"/>
        <v>0</v>
      </c>
      <c r="I117" s="419">
        <f t="shared" si="44"/>
        <v>0</v>
      </c>
      <c r="J117" s="419">
        <f t="shared" si="44"/>
        <v>0</v>
      </c>
      <c r="K117" s="419">
        <f t="shared" si="44"/>
        <v>0</v>
      </c>
      <c r="L117" s="419">
        <f t="shared" si="44"/>
        <v>0</v>
      </c>
      <c r="M117" s="419">
        <f t="shared" si="44"/>
        <v>0</v>
      </c>
      <c r="N117" s="419">
        <f t="shared" si="44"/>
        <v>0</v>
      </c>
      <c r="O117" s="420">
        <f t="shared" si="44"/>
        <v>0</v>
      </c>
      <c r="P117" s="683">
        <f t="shared" si="44"/>
        <v>0</v>
      </c>
      <c r="Q117" s="419">
        <f t="shared" si="44"/>
        <v>0</v>
      </c>
      <c r="R117" s="419">
        <f t="shared" si="44"/>
        <v>0</v>
      </c>
      <c r="S117" s="419">
        <f t="shared" si="44"/>
        <v>0</v>
      </c>
      <c r="T117" s="419">
        <f t="shared" si="44"/>
        <v>0</v>
      </c>
      <c r="U117" s="419">
        <f t="shared" si="44"/>
        <v>0</v>
      </c>
      <c r="V117" s="419">
        <f t="shared" si="44"/>
        <v>0</v>
      </c>
      <c r="W117" s="419">
        <f t="shared" si="44"/>
        <v>0</v>
      </c>
      <c r="X117" s="419">
        <f t="shared" ca="1" si="44"/>
        <v>0</v>
      </c>
      <c r="Y117" s="419">
        <f t="shared" si="44"/>
        <v>0</v>
      </c>
      <c r="Z117" s="419">
        <f t="shared" si="44"/>
        <v>819.19905920310907</v>
      </c>
      <c r="AA117" s="420">
        <f t="shared" si="44"/>
        <v>3422.4560296620634</v>
      </c>
      <c r="AB117" s="683">
        <f t="shared" si="44"/>
        <v>1338.5461386048671</v>
      </c>
      <c r="AC117" s="419">
        <f t="shared" si="44"/>
        <v>1814.8483400369685</v>
      </c>
      <c r="AD117" s="419">
        <f t="shared" si="44"/>
        <v>2366.8407860041311</v>
      </c>
      <c r="AE117" s="419">
        <f t="shared" si="44"/>
        <v>3086.7430411301893</v>
      </c>
      <c r="AF117" s="419">
        <f t="shared" si="44"/>
        <v>3709.7292602762095</v>
      </c>
      <c r="AG117" s="419">
        <f t="shared" si="44"/>
        <v>4275.59979832115</v>
      </c>
      <c r="AH117" s="419">
        <f t="shared" si="44"/>
        <v>4822.1292438750779</v>
      </c>
      <c r="AI117" s="419">
        <f t="shared" si="44"/>
        <v>5299.7415175137139</v>
      </c>
      <c r="AJ117" s="419">
        <f t="shared" ca="1" si="44"/>
        <v>1556.0832878161727</v>
      </c>
      <c r="AK117" s="419">
        <f t="shared" si="44"/>
        <v>6106.9332443075818</v>
      </c>
      <c r="AL117" s="419">
        <f t="shared" si="44"/>
        <v>6857.7299200737934</v>
      </c>
      <c r="AM117" s="419">
        <f t="shared" si="44"/>
        <v>7593.1451049250663</v>
      </c>
    </row>
    <row r="118" spans="2:70" s="404" customFormat="1" ht="20" customHeight="1">
      <c r="B118" s="457"/>
      <c r="D118" s="436"/>
      <c r="E118" s="436"/>
      <c r="F118" s="436"/>
      <c r="G118" s="436"/>
      <c r="H118" s="436"/>
      <c r="I118" s="436"/>
      <c r="J118" s="436"/>
      <c r="K118" s="436"/>
      <c r="L118" s="436"/>
      <c r="M118" s="436"/>
      <c r="N118" s="436"/>
      <c r="O118" s="437"/>
      <c r="P118" s="433"/>
      <c r="Q118" s="410"/>
      <c r="R118" s="410"/>
      <c r="S118" s="410"/>
      <c r="T118" s="410"/>
      <c r="U118" s="410"/>
      <c r="V118" s="410"/>
      <c r="W118" s="410"/>
      <c r="X118" s="410"/>
      <c r="Y118" s="410"/>
      <c r="Z118" s="410"/>
      <c r="AA118" s="411"/>
      <c r="AB118" s="433"/>
      <c r="AC118" s="436"/>
      <c r="AD118" s="436"/>
      <c r="AE118" s="436"/>
      <c r="AF118" s="436"/>
      <c r="AG118" s="436"/>
      <c r="AH118" s="436"/>
      <c r="AI118" s="436"/>
      <c r="AJ118" s="436"/>
      <c r="AK118" s="436"/>
      <c r="AL118" s="436"/>
      <c r="AM118" s="436"/>
    </row>
    <row r="119" spans="2:70" s="404" customFormat="1" ht="19" thickBot="1">
      <c r="B119" s="384" t="s">
        <v>37</v>
      </c>
      <c r="C119" s="679"/>
      <c r="D119" s="692"/>
      <c r="E119" s="692"/>
      <c r="F119" s="692"/>
      <c r="G119" s="692"/>
      <c r="H119" s="692"/>
      <c r="I119" s="692"/>
      <c r="J119" s="692"/>
      <c r="K119" s="692"/>
      <c r="L119" s="692"/>
      <c r="M119" s="692"/>
      <c r="N119" s="692"/>
      <c r="O119" s="693"/>
      <c r="P119" s="694"/>
      <c r="Q119" s="694"/>
      <c r="R119" s="694"/>
      <c r="S119" s="694"/>
      <c r="T119" s="694"/>
      <c r="U119" s="694"/>
      <c r="V119" s="694"/>
      <c r="W119" s="694"/>
      <c r="X119" s="694"/>
      <c r="Y119" s="694"/>
      <c r="Z119" s="694"/>
      <c r="AA119" s="695"/>
      <c r="AB119" s="694"/>
      <c r="AC119" s="692"/>
      <c r="AD119" s="692"/>
      <c r="AE119" s="692"/>
      <c r="AF119" s="692"/>
      <c r="AG119" s="692"/>
      <c r="AH119" s="692"/>
      <c r="AI119" s="692"/>
      <c r="AJ119" s="692"/>
      <c r="AK119" s="692"/>
      <c r="AL119" s="692"/>
      <c r="AM119" s="692"/>
    </row>
    <row r="120" spans="2:70" s="404" customFormat="1">
      <c r="B120" s="382" t="str">
        <f>'Profit &amp; Loss'!B137</f>
        <v>Fast-Wearing Equipment</v>
      </c>
      <c r="C120" s="49"/>
      <c r="D120" s="641">
        <f>SUM('Profit &amp; Loss'!D52:D57)+'Profit &amp; Loss'!D66+'Profit &amp; Loss'!D71</f>
        <v>12400</v>
      </c>
      <c r="E120" s="641"/>
      <c r="F120" s="641"/>
      <c r="G120" s="641"/>
      <c r="H120" s="641"/>
      <c r="I120" s="641"/>
      <c r="J120" s="641"/>
      <c r="K120" s="641"/>
      <c r="L120" s="641"/>
      <c r="M120" s="641"/>
      <c r="N120" s="641"/>
      <c r="O120" s="642"/>
      <c r="P120" s="641"/>
      <c r="Q120" s="641"/>
      <c r="R120" s="641"/>
      <c r="S120" s="641"/>
      <c r="T120" s="641"/>
      <c r="U120" s="641"/>
      <c r="V120" s="641"/>
      <c r="W120" s="641"/>
      <c r="X120" s="641">
        <f>SUM('Profit &amp; Loss'!J52:J57)+'Profit &amp; Loss'!J66+'Profit &amp; Loss'!J71</f>
        <v>12896</v>
      </c>
      <c r="Y120" s="641"/>
      <c r="Z120" s="641"/>
      <c r="AA120" s="642"/>
      <c r="AB120" s="641"/>
      <c r="AC120" s="641"/>
      <c r="AD120" s="641"/>
      <c r="AE120" s="641"/>
      <c r="AF120" s="641"/>
      <c r="AG120" s="641"/>
      <c r="AH120" s="641"/>
      <c r="AI120" s="641"/>
      <c r="AJ120" s="641"/>
      <c r="AK120" s="641"/>
      <c r="AL120" s="641"/>
      <c r="AM120" s="641"/>
    </row>
    <row r="121" spans="2:70" s="404" customFormat="1">
      <c r="B121" s="382" t="str">
        <f>'Profit &amp; Loss'!B160</f>
        <v>Long-Lasting Equipment</v>
      </c>
      <c r="C121" s="49"/>
      <c r="D121" s="641">
        <f>SUM('Profit &amp; Loss'!D58:D62)+SUM('Profit &amp; Loss'!D67:D68)+SUM('Profit &amp; Loss'!D72:D73)</f>
        <v>8830</v>
      </c>
      <c r="E121" s="641"/>
      <c r="F121" s="641"/>
      <c r="G121" s="641"/>
      <c r="I121" s="641"/>
      <c r="J121" s="641"/>
      <c r="K121" s="641"/>
      <c r="L121" s="641">
        <f>'Profit &amp; Loss'!D63</f>
        <v>300</v>
      </c>
      <c r="M121" s="641"/>
      <c r="N121" s="641"/>
      <c r="O121" s="642"/>
      <c r="P121" s="641"/>
      <c r="Q121" s="641"/>
      <c r="R121" s="641"/>
      <c r="S121" s="641"/>
      <c r="T121" s="641"/>
      <c r="U121" s="641"/>
      <c r="V121" s="641"/>
      <c r="W121" s="641"/>
      <c r="X121" s="641">
        <f>SUM('Profit &amp; Loss'!J58:J63)+SUM('Profit &amp; Loss'!J67:J68)+SUM('Profit &amp; Loss'!J72:J73)</f>
        <v>9495.2000000000007</v>
      </c>
      <c r="Y121" s="641"/>
      <c r="Z121" s="641"/>
      <c r="AA121" s="642"/>
      <c r="AB121" s="641"/>
      <c r="AC121" s="641"/>
      <c r="AD121" s="641"/>
      <c r="AE121" s="641"/>
      <c r="AF121" s="641"/>
      <c r="AG121" s="641"/>
      <c r="AH121" s="641"/>
      <c r="AI121" s="641"/>
      <c r="AJ121" s="641"/>
      <c r="AK121" s="641"/>
      <c r="AL121" s="641"/>
      <c r="AM121" s="641"/>
    </row>
    <row r="122" spans="2:70" s="404" customFormat="1">
      <c r="B122" s="717" t="s">
        <v>36</v>
      </c>
      <c r="C122" s="461"/>
      <c r="D122" s="644">
        <f>SUM(D120:D121)*'Pricing Model'!$C$9</f>
        <v>4246</v>
      </c>
      <c r="E122" s="644"/>
      <c r="F122" s="644"/>
      <c r="G122" s="644"/>
      <c r="H122" s="644"/>
      <c r="I122" s="644"/>
      <c r="J122" s="644"/>
      <c r="K122" s="644"/>
      <c r="L122" s="644">
        <f>SUM(L120:L121)*'Pricing Model'!$C$9</f>
        <v>60</v>
      </c>
      <c r="M122" s="644"/>
      <c r="N122" s="644"/>
      <c r="O122" s="645"/>
      <c r="P122" s="644"/>
      <c r="Q122" s="644"/>
      <c r="R122" s="644"/>
      <c r="S122" s="644"/>
      <c r="T122" s="644"/>
      <c r="U122" s="644"/>
      <c r="V122" s="644"/>
      <c r="W122" s="644"/>
      <c r="X122" s="644">
        <f>SUM(X120:X121)*'Pricing Model'!$C$9</f>
        <v>4478.2400000000007</v>
      </c>
      <c r="Y122" s="644"/>
      <c r="Z122" s="644"/>
      <c r="AA122" s="645"/>
      <c r="AB122" s="644"/>
      <c r="AC122" s="644"/>
      <c r="AD122" s="644"/>
      <c r="AE122" s="644"/>
      <c r="AF122" s="644"/>
      <c r="AG122" s="644"/>
      <c r="AH122" s="644"/>
      <c r="AI122" s="644"/>
      <c r="AJ122" s="644"/>
      <c r="AK122" s="644"/>
      <c r="AL122" s="644"/>
      <c r="AM122" s="644"/>
    </row>
    <row r="123" spans="2:70" s="404" customFormat="1">
      <c r="B123" s="382" t="s">
        <v>4</v>
      </c>
      <c r="C123" s="49"/>
      <c r="D123" s="641">
        <f t="shared" ref="D123:AM123" si="45">SUM(D120:D122)</f>
        <v>25476</v>
      </c>
      <c r="E123" s="641">
        <f t="shared" si="45"/>
        <v>0</v>
      </c>
      <c r="F123" s="641">
        <f t="shared" si="45"/>
        <v>0</v>
      </c>
      <c r="G123" s="641">
        <f t="shared" si="45"/>
        <v>0</v>
      </c>
      <c r="H123" s="641">
        <f t="shared" si="45"/>
        <v>0</v>
      </c>
      <c r="I123" s="641">
        <f t="shared" si="45"/>
        <v>0</v>
      </c>
      <c r="J123" s="641">
        <f t="shared" si="45"/>
        <v>0</v>
      </c>
      <c r="K123" s="641">
        <f t="shared" si="45"/>
        <v>0</v>
      </c>
      <c r="L123" s="641">
        <f t="shared" si="45"/>
        <v>360</v>
      </c>
      <c r="M123" s="641">
        <f t="shared" si="45"/>
        <v>0</v>
      </c>
      <c r="N123" s="641">
        <f t="shared" si="45"/>
        <v>0</v>
      </c>
      <c r="O123" s="642">
        <f t="shared" si="45"/>
        <v>0</v>
      </c>
      <c r="P123" s="641">
        <f t="shared" si="45"/>
        <v>0</v>
      </c>
      <c r="Q123" s="641">
        <f t="shared" si="45"/>
        <v>0</v>
      </c>
      <c r="R123" s="641">
        <f t="shared" si="45"/>
        <v>0</v>
      </c>
      <c r="S123" s="641">
        <f t="shared" si="45"/>
        <v>0</v>
      </c>
      <c r="T123" s="641">
        <f t="shared" si="45"/>
        <v>0</v>
      </c>
      <c r="U123" s="641">
        <f t="shared" si="45"/>
        <v>0</v>
      </c>
      <c r="V123" s="641">
        <f t="shared" si="45"/>
        <v>0</v>
      </c>
      <c r="W123" s="641">
        <f t="shared" si="45"/>
        <v>0</v>
      </c>
      <c r="X123" s="641">
        <f t="shared" si="45"/>
        <v>26869.440000000002</v>
      </c>
      <c r="Y123" s="641">
        <f t="shared" si="45"/>
        <v>0</v>
      </c>
      <c r="Z123" s="641">
        <f t="shared" si="45"/>
        <v>0</v>
      </c>
      <c r="AA123" s="642">
        <f t="shared" si="45"/>
        <v>0</v>
      </c>
      <c r="AB123" s="641">
        <f t="shared" si="45"/>
        <v>0</v>
      </c>
      <c r="AC123" s="641">
        <f t="shared" si="45"/>
        <v>0</v>
      </c>
      <c r="AD123" s="641">
        <f t="shared" si="45"/>
        <v>0</v>
      </c>
      <c r="AE123" s="641">
        <f t="shared" si="45"/>
        <v>0</v>
      </c>
      <c r="AF123" s="641">
        <f t="shared" si="45"/>
        <v>0</v>
      </c>
      <c r="AG123" s="641">
        <f t="shared" si="45"/>
        <v>0</v>
      </c>
      <c r="AH123" s="641">
        <f t="shared" si="45"/>
        <v>0</v>
      </c>
      <c r="AI123" s="641">
        <f t="shared" si="45"/>
        <v>0</v>
      </c>
      <c r="AJ123" s="641">
        <f t="shared" si="45"/>
        <v>0</v>
      </c>
      <c r="AK123" s="641">
        <f t="shared" si="45"/>
        <v>0</v>
      </c>
      <c r="AL123" s="641">
        <f t="shared" si="45"/>
        <v>0</v>
      </c>
      <c r="AM123" s="641">
        <f t="shared" si="45"/>
        <v>0</v>
      </c>
    </row>
    <row r="124" spans="2:70" s="404" customFormat="1">
      <c r="B124" s="382" t="s">
        <v>234</v>
      </c>
      <c r="C124" s="49"/>
      <c r="D124" s="696">
        <f>D120+D121+D122</f>
        <v>25476</v>
      </c>
      <c r="E124" s="696"/>
      <c r="F124" s="696">
        <f>-D124</f>
        <v>-25476</v>
      </c>
      <c r="G124" s="696"/>
      <c r="H124" s="696"/>
      <c r="I124" s="696"/>
      <c r="J124" s="696"/>
      <c r="K124" s="696"/>
      <c r="L124" s="696">
        <f>SUM(L120:L122)</f>
        <v>360</v>
      </c>
      <c r="M124" s="696"/>
      <c r="N124" s="696">
        <f>-L124</f>
        <v>-360</v>
      </c>
      <c r="O124" s="697"/>
      <c r="P124" s="696"/>
      <c r="Q124" s="696"/>
      <c r="R124" s="696"/>
      <c r="S124" s="696"/>
      <c r="T124" s="696"/>
      <c r="U124" s="696"/>
      <c r="V124" s="696"/>
      <c r="W124" s="696"/>
      <c r="X124" s="696"/>
      <c r="Y124" s="696"/>
      <c r="Z124" s="696"/>
      <c r="AA124" s="697"/>
      <c r="AB124" s="696"/>
      <c r="AC124" s="696"/>
      <c r="AD124" s="696"/>
      <c r="AE124" s="696"/>
      <c r="AF124" s="696"/>
      <c r="AG124" s="696"/>
      <c r="AH124" s="696"/>
      <c r="AI124" s="696"/>
      <c r="AJ124" s="696"/>
      <c r="AK124" s="696"/>
      <c r="AL124" s="696"/>
      <c r="AM124" s="696"/>
    </row>
    <row r="125" spans="2:70" s="720" customFormat="1" ht="21" customHeight="1" thickBot="1">
      <c r="B125" s="440" t="s">
        <v>129</v>
      </c>
      <c r="C125" s="714"/>
      <c r="D125" s="718">
        <f>D123-D124</f>
        <v>0</v>
      </c>
      <c r="E125" s="718">
        <f t="shared" ref="E125:AM125" si="46">E123-E124</f>
        <v>0</v>
      </c>
      <c r="F125" s="718">
        <f t="shared" si="46"/>
        <v>25476</v>
      </c>
      <c r="G125" s="718">
        <f t="shared" si="46"/>
        <v>0</v>
      </c>
      <c r="H125" s="718">
        <f t="shared" si="46"/>
        <v>0</v>
      </c>
      <c r="I125" s="718">
        <f t="shared" si="46"/>
        <v>0</v>
      </c>
      <c r="J125" s="718">
        <f t="shared" si="46"/>
        <v>0</v>
      </c>
      <c r="K125" s="718">
        <f t="shared" si="46"/>
        <v>0</v>
      </c>
      <c r="L125" s="718">
        <f t="shared" si="46"/>
        <v>0</v>
      </c>
      <c r="M125" s="718">
        <f t="shared" si="46"/>
        <v>0</v>
      </c>
      <c r="N125" s="718">
        <f t="shared" si="46"/>
        <v>360</v>
      </c>
      <c r="O125" s="719">
        <f t="shared" si="46"/>
        <v>0</v>
      </c>
      <c r="P125" s="718">
        <f t="shared" si="46"/>
        <v>0</v>
      </c>
      <c r="Q125" s="718">
        <f t="shared" si="46"/>
        <v>0</v>
      </c>
      <c r="R125" s="718">
        <f t="shared" si="46"/>
        <v>0</v>
      </c>
      <c r="S125" s="718">
        <f t="shared" si="46"/>
        <v>0</v>
      </c>
      <c r="T125" s="718">
        <f t="shared" si="46"/>
        <v>0</v>
      </c>
      <c r="U125" s="718">
        <f t="shared" si="46"/>
        <v>0</v>
      </c>
      <c r="V125" s="718">
        <f t="shared" si="46"/>
        <v>0</v>
      </c>
      <c r="W125" s="718">
        <f t="shared" si="46"/>
        <v>0</v>
      </c>
      <c r="X125" s="718">
        <f t="shared" si="46"/>
        <v>26869.440000000002</v>
      </c>
      <c r="Y125" s="718">
        <f t="shared" si="46"/>
        <v>0</v>
      </c>
      <c r="Z125" s="718">
        <f t="shared" si="46"/>
        <v>0</v>
      </c>
      <c r="AA125" s="719">
        <f t="shared" si="46"/>
        <v>0</v>
      </c>
      <c r="AB125" s="718">
        <f t="shared" si="46"/>
        <v>0</v>
      </c>
      <c r="AC125" s="718">
        <f t="shared" si="46"/>
        <v>0</v>
      </c>
      <c r="AD125" s="718">
        <f t="shared" si="46"/>
        <v>0</v>
      </c>
      <c r="AE125" s="718">
        <f t="shared" si="46"/>
        <v>0</v>
      </c>
      <c r="AF125" s="718">
        <f t="shared" si="46"/>
        <v>0</v>
      </c>
      <c r="AG125" s="718">
        <f t="shared" si="46"/>
        <v>0</v>
      </c>
      <c r="AH125" s="718">
        <f t="shared" si="46"/>
        <v>0</v>
      </c>
      <c r="AI125" s="718">
        <f t="shared" si="46"/>
        <v>0</v>
      </c>
      <c r="AJ125" s="718">
        <f t="shared" si="46"/>
        <v>0</v>
      </c>
      <c r="AK125" s="718">
        <f t="shared" si="46"/>
        <v>0</v>
      </c>
      <c r="AL125" s="718">
        <f t="shared" si="46"/>
        <v>0</v>
      </c>
      <c r="AM125" s="718">
        <f t="shared" si="46"/>
        <v>0</v>
      </c>
      <c r="AN125" s="691"/>
      <c r="AO125" s="691"/>
      <c r="AP125" s="691"/>
      <c r="AQ125" s="691"/>
      <c r="AR125" s="691"/>
      <c r="AS125" s="691"/>
      <c r="AT125" s="691"/>
      <c r="AU125" s="691"/>
      <c r="AV125" s="691"/>
      <c r="AW125" s="691"/>
      <c r="AX125" s="691"/>
      <c r="AY125" s="691"/>
      <c r="AZ125" s="691"/>
      <c r="BA125" s="691"/>
      <c r="BB125" s="691"/>
      <c r="BC125" s="691"/>
      <c r="BD125" s="691"/>
      <c r="BE125" s="691"/>
      <c r="BF125" s="691"/>
      <c r="BG125" s="691"/>
      <c r="BH125" s="691"/>
      <c r="BI125" s="691"/>
      <c r="BJ125" s="691"/>
      <c r="BK125" s="691"/>
      <c r="BL125" s="691"/>
      <c r="BM125" s="691"/>
      <c r="BN125" s="691"/>
      <c r="BO125" s="691"/>
      <c r="BP125" s="691"/>
      <c r="BQ125" s="691"/>
      <c r="BR125" s="691"/>
    </row>
    <row r="126" spans="2:70" s="466" customFormat="1" ht="21" customHeight="1" thickTop="1">
      <c r="B126" s="385"/>
      <c r="D126" s="721"/>
      <c r="E126" s="721"/>
      <c r="F126" s="721"/>
      <c r="G126" s="721"/>
      <c r="H126" s="721"/>
      <c r="I126" s="721"/>
      <c r="J126" s="721"/>
      <c r="K126" s="721"/>
      <c r="L126" s="721"/>
      <c r="M126" s="721"/>
      <c r="N126" s="721"/>
      <c r="O126" s="722"/>
      <c r="P126" s="721"/>
      <c r="Q126" s="721"/>
      <c r="R126" s="721"/>
      <c r="S126" s="721"/>
      <c r="T126" s="721"/>
      <c r="U126" s="721"/>
      <c r="V126" s="721"/>
      <c r="W126" s="721"/>
      <c r="X126" s="721"/>
      <c r="Y126" s="721"/>
      <c r="Z126" s="721"/>
      <c r="AA126" s="722"/>
      <c r="AB126" s="721"/>
      <c r="AC126" s="721"/>
      <c r="AD126" s="721"/>
      <c r="AE126" s="721"/>
      <c r="AF126" s="721"/>
      <c r="AG126" s="721"/>
      <c r="AH126" s="721"/>
      <c r="AI126" s="721"/>
      <c r="AJ126" s="721"/>
      <c r="AK126" s="721"/>
      <c r="AL126" s="721"/>
      <c r="AM126" s="721"/>
      <c r="AN126" s="404"/>
      <c r="AO126" s="404"/>
      <c r="AP126" s="404"/>
      <c r="AQ126" s="404"/>
      <c r="AR126" s="404"/>
      <c r="AS126" s="404"/>
      <c r="AT126" s="404"/>
      <c r="AU126" s="404"/>
      <c r="AV126" s="404"/>
      <c r="AW126" s="404"/>
      <c r="AX126" s="404"/>
      <c r="AY126" s="404"/>
      <c r="AZ126" s="404"/>
      <c r="BA126" s="404"/>
      <c r="BB126" s="404"/>
      <c r="BC126" s="404"/>
      <c r="BD126" s="404"/>
      <c r="BE126" s="404"/>
      <c r="BF126" s="404"/>
      <c r="BG126" s="404"/>
      <c r="BH126" s="404"/>
      <c r="BI126" s="404"/>
      <c r="BJ126" s="404"/>
      <c r="BK126" s="404"/>
      <c r="BL126" s="404"/>
      <c r="BM126" s="404"/>
      <c r="BN126" s="404"/>
      <c r="BO126" s="404"/>
      <c r="BP126" s="404"/>
      <c r="BQ126" s="404"/>
      <c r="BR126" s="404"/>
    </row>
    <row r="127" spans="2:70" ht="19" thickBot="1">
      <c r="B127" s="384" t="s">
        <v>214</v>
      </c>
      <c r="C127" s="180"/>
      <c r="D127" s="723"/>
      <c r="E127" s="723"/>
      <c r="F127" s="723"/>
      <c r="G127" s="723"/>
      <c r="H127" s="723"/>
      <c r="I127" s="723"/>
      <c r="J127" s="723"/>
      <c r="K127" s="723"/>
      <c r="L127" s="723"/>
      <c r="M127" s="723"/>
      <c r="N127" s="723"/>
      <c r="O127" s="724"/>
      <c r="P127" s="723"/>
      <c r="Q127" s="723"/>
      <c r="R127" s="723"/>
      <c r="S127" s="723"/>
      <c r="T127" s="723"/>
      <c r="U127" s="723"/>
      <c r="V127" s="723"/>
      <c r="W127" s="723"/>
      <c r="X127" s="723"/>
      <c r="Y127" s="723"/>
      <c r="Z127" s="723"/>
      <c r="AA127" s="724"/>
      <c r="AB127" s="723"/>
      <c r="AC127" s="723"/>
      <c r="AD127" s="723"/>
      <c r="AE127" s="723"/>
      <c r="AF127" s="723"/>
      <c r="AG127" s="723"/>
      <c r="AH127" s="723"/>
      <c r="AI127" s="723"/>
      <c r="AJ127" s="723"/>
      <c r="AK127" s="723"/>
      <c r="AL127" s="723"/>
      <c r="AM127" s="723"/>
      <c r="AN127" s="182"/>
      <c r="AO127" s="182"/>
      <c r="AP127" s="182"/>
      <c r="AQ127" s="182"/>
      <c r="AR127" s="182"/>
      <c r="AS127" s="182"/>
      <c r="AT127" s="182"/>
      <c r="AU127" s="182"/>
      <c r="AV127" s="182"/>
      <c r="AW127" s="182"/>
      <c r="AX127" s="182"/>
      <c r="AY127" s="182"/>
      <c r="AZ127" s="182"/>
      <c r="BA127" s="182"/>
      <c r="BB127" s="182"/>
      <c r="BC127" s="182"/>
      <c r="BD127" s="182"/>
      <c r="BE127" s="182"/>
      <c r="BF127" s="182"/>
      <c r="BG127" s="182"/>
      <c r="BH127" s="182"/>
      <c r="BI127" s="182"/>
      <c r="BJ127" s="182"/>
      <c r="BK127" s="182"/>
      <c r="BL127" s="182"/>
      <c r="BM127" s="182"/>
      <c r="BN127" s="182"/>
      <c r="BO127" s="182"/>
      <c r="BP127" s="182"/>
      <c r="BQ127" s="182"/>
      <c r="BR127" s="182"/>
    </row>
    <row r="128" spans="2:70">
      <c r="B128" s="382" t="s">
        <v>215</v>
      </c>
      <c r="D128" s="725">
        <f>'Profit &amp; Loss'!M19</f>
        <v>1000</v>
      </c>
      <c r="E128" s="726"/>
      <c r="F128" s="726"/>
      <c r="G128" s="726"/>
      <c r="H128" s="726"/>
      <c r="I128" s="726"/>
      <c r="J128" s="726"/>
      <c r="K128" s="726"/>
      <c r="L128" s="726"/>
      <c r="M128" s="726"/>
      <c r="N128" s="726"/>
      <c r="O128" s="727"/>
      <c r="P128" s="726"/>
      <c r="Q128" s="726"/>
      <c r="R128" s="726"/>
      <c r="S128" s="726"/>
      <c r="T128" s="726">
        <v>140</v>
      </c>
      <c r="U128" s="726"/>
      <c r="V128" s="726"/>
      <c r="W128" s="726"/>
      <c r="X128" s="726"/>
      <c r="Y128" s="726"/>
      <c r="Z128" s="726"/>
      <c r="AA128" s="727"/>
      <c r="AB128" s="726"/>
      <c r="AC128" s="726"/>
      <c r="AD128" s="726"/>
      <c r="AE128" s="726"/>
      <c r="AF128" s="726"/>
      <c r="AG128" s="726"/>
      <c r="AH128" s="726"/>
      <c r="AI128" s="726"/>
      <c r="AJ128" s="726"/>
      <c r="AK128" s="726"/>
      <c r="AL128" s="726"/>
      <c r="AM128" s="726"/>
      <c r="AN128" s="182"/>
      <c r="AO128" s="182"/>
      <c r="AP128" s="182"/>
      <c r="AQ128" s="182"/>
      <c r="AR128" s="182"/>
      <c r="AS128" s="182"/>
      <c r="AT128" s="182"/>
      <c r="AU128" s="182"/>
      <c r="AV128" s="182"/>
      <c r="AW128" s="182"/>
      <c r="AX128" s="182"/>
      <c r="AY128" s="182"/>
      <c r="AZ128" s="182"/>
      <c r="BA128" s="182"/>
      <c r="BB128" s="182"/>
      <c r="BC128" s="182"/>
      <c r="BD128" s="182"/>
      <c r="BE128" s="182"/>
      <c r="BF128" s="182"/>
      <c r="BG128" s="182"/>
      <c r="BH128" s="182"/>
      <c r="BI128" s="182"/>
      <c r="BJ128" s="182"/>
      <c r="BK128" s="182"/>
      <c r="BL128" s="182"/>
      <c r="BM128" s="182"/>
      <c r="BN128" s="182"/>
      <c r="BO128" s="182"/>
      <c r="BP128" s="182"/>
      <c r="BQ128" s="182"/>
      <c r="BR128" s="182"/>
    </row>
    <row r="129" spans="2:70">
      <c r="B129" s="382" t="s">
        <v>212</v>
      </c>
      <c r="D129" s="641">
        <f>'Profit &amp; Loss'!M20</f>
        <v>60</v>
      </c>
      <c r="E129" s="696"/>
      <c r="F129" s="696"/>
      <c r="G129" s="696"/>
      <c r="H129" s="696"/>
      <c r="I129" s="696"/>
      <c r="J129" s="696"/>
      <c r="K129" s="696"/>
      <c r="L129" s="696"/>
      <c r="M129" s="696"/>
      <c r="N129" s="696"/>
      <c r="O129" s="697"/>
      <c r="P129" s="696"/>
      <c r="Q129" s="696"/>
      <c r="R129" s="696"/>
      <c r="S129" s="696"/>
      <c r="T129" s="696">
        <v>1800</v>
      </c>
      <c r="U129" s="696"/>
      <c r="V129" s="696"/>
      <c r="W129" s="696"/>
      <c r="X129" s="696"/>
      <c r="Y129" s="696"/>
      <c r="Z129" s="696"/>
      <c r="AA129" s="697"/>
      <c r="AB129" s="696"/>
      <c r="AC129" s="696"/>
      <c r="AD129" s="696"/>
      <c r="AE129" s="696"/>
      <c r="AF129" s="696"/>
      <c r="AG129" s="696"/>
      <c r="AH129" s="696"/>
      <c r="AI129" s="696"/>
      <c r="AJ129" s="696"/>
      <c r="AK129" s="696"/>
      <c r="AL129" s="696"/>
      <c r="AM129" s="696"/>
      <c r="AN129" s="182"/>
      <c r="AO129" s="182"/>
      <c r="AP129" s="182"/>
      <c r="AQ129" s="182"/>
      <c r="AR129" s="182"/>
      <c r="AS129" s="182"/>
      <c r="AT129" s="182"/>
      <c r="AU129" s="182"/>
      <c r="AV129" s="182"/>
      <c r="AW129" s="182"/>
      <c r="AX129" s="182"/>
      <c r="AY129" s="182"/>
      <c r="AZ129" s="182"/>
      <c r="BA129" s="182"/>
      <c r="BB129" s="182"/>
      <c r="BC129" s="182"/>
      <c r="BD129" s="182"/>
      <c r="BE129" s="182"/>
      <c r="BF129" s="182"/>
      <c r="BG129" s="182"/>
      <c r="BH129" s="182"/>
      <c r="BI129" s="182"/>
      <c r="BJ129" s="182"/>
      <c r="BK129" s="182"/>
      <c r="BL129" s="182"/>
      <c r="BM129" s="182"/>
      <c r="BN129" s="182"/>
      <c r="BO129" s="182"/>
      <c r="BP129" s="182"/>
      <c r="BQ129" s="182"/>
      <c r="BR129" s="182"/>
    </row>
    <row r="130" spans="2:70" s="720" customFormat="1" ht="21" customHeight="1" thickBot="1">
      <c r="B130" s="440" t="s">
        <v>446</v>
      </c>
      <c r="C130" s="714"/>
      <c r="D130" s="718">
        <f>D128*D129</f>
        <v>60000</v>
      </c>
      <c r="E130" s="718">
        <f t="shared" ref="E130:AM130" si="47">E128*E129</f>
        <v>0</v>
      </c>
      <c r="F130" s="718">
        <f t="shared" si="47"/>
        <v>0</v>
      </c>
      <c r="G130" s="718">
        <f t="shared" si="47"/>
        <v>0</v>
      </c>
      <c r="H130" s="718">
        <f t="shared" si="47"/>
        <v>0</v>
      </c>
      <c r="I130" s="718">
        <f t="shared" si="47"/>
        <v>0</v>
      </c>
      <c r="J130" s="718">
        <f t="shared" si="47"/>
        <v>0</v>
      </c>
      <c r="K130" s="718">
        <f t="shared" si="47"/>
        <v>0</v>
      </c>
      <c r="L130" s="718">
        <f t="shared" si="47"/>
        <v>0</v>
      </c>
      <c r="M130" s="718">
        <f t="shared" si="47"/>
        <v>0</v>
      </c>
      <c r="N130" s="718">
        <f t="shared" si="47"/>
        <v>0</v>
      </c>
      <c r="O130" s="719">
        <f t="shared" si="47"/>
        <v>0</v>
      </c>
      <c r="P130" s="718">
        <f t="shared" si="47"/>
        <v>0</v>
      </c>
      <c r="Q130" s="718">
        <f>Q128*Q129</f>
        <v>0</v>
      </c>
      <c r="R130" s="718">
        <f t="shared" si="47"/>
        <v>0</v>
      </c>
      <c r="S130" s="718">
        <f t="shared" si="47"/>
        <v>0</v>
      </c>
      <c r="T130" s="718">
        <f>T128*T129</f>
        <v>252000</v>
      </c>
      <c r="U130" s="718">
        <f t="shared" si="47"/>
        <v>0</v>
      </c>
      <c r="V130" s="718">
        <f t="shared" si="47"/>
        <v>0</v>
      </c>
      <c r="W130" s="718">
        <f t="shared" si="47"/>
        <v>0</v>
      </c>
      <c r="X130" s="718">
        <f t="shared" si="47"/>
        <v>0</v>
      </c>
      <c r="Y130" s="718">
        <f t="shared" si="47"/>
        <v>0</v>
      </c>
      <c r="Z130" s="718">
        <f t="shared" si="47"/>
        <v>0</v>
      </c>
      <c r="AA130" s="719">
        <f t="shared" si="47"/>
        <v>0</v>
      </c>
      <c r="AB130" s="718">
        <f t="shared" si="47"/>
        <v>0</v>
      </c>
      <c r="AC130" s="718">
        <f t="shared" si="47"/>
        <v>0</v>
      </c>
      <c r="AD130" s="718">
        <f t="shared" si="47"/>
        <v>0</v>
      </c>
      <c r="AE130" s="718">
        <f t="shared" si="47"/>
        <v>0</v>
      </c>
      <c r="AF130" s="718">
        <f t="shared" si="47"/>
        <v>0</v>
      </c>
      <c r="AG130" s="718">
        <f t="shared" si="47"/>
        <v>0</v>
      </c>
      <c r="AH130" s="718">
        <f t="shared" si="47"/>
        <v>0</v>
      </c>
      <c r="AI130" s="718">
        <f t="shared" si="47"/>
        <v>0</v>
      </c>
      <c r="AJ130" s="718">
        <f t="shared" si="47"/>
        <v>0</v>
      </c>
      <c r="AK130" s="718">
        <f t="shared" si="47"/>
        <v>0</v>
      </c>
      <c r="AL130" s="718">
        <f t="shared" si="47"/>
        <v>0</v>
      </c>
      <c r="AM130" s="718">
        <f t="shared" si="47"/>
        <v>0</v>
      </c>
      <c r="AN130" s="691"/>
      <c r="AO130" s="691"/>
      <c r="AP130" s="691"/>
      <c r="AQ130" s="691"/>
      <c r="AR130" s="691"/>
      <c r="AS130" s="691"/>
      <c r="AT130" s="691"/>
      <c r="AU130" s="691"/>
      <c r="AV130" s="691"/>
      <c r="AW130" s="691"/>
      <c r="AX130" s="691"/>
      <c r="AY130" s="691"/>
      <c r="AZ130" s="691"/>
      <c r="BA130" s="691"/>
      <c r="BB130" s="691"/>
      <c r="BC130" s="691"/>
      <c r="BD130" s="691"/>
      <c r="BE130" s="691"/>
      <c r="BF130" s="691"/>
      <c r="BG130" s="691"/>
      <c r="BH130" s="691"/>
      <c r="BI130" s="691"/>
      <c r="BJ130" s="691"/>
      <c r="BK130" s="691"/>
      <c r="BL130" s="691"/>
      <c r="BM130" s="691"/>
      <c r="BN130" s="691"/>
      <c r="BO130" s="691"/>
      <c r="BP130" s="691"/>
      <c r="BQ130" s="691"/>
      <c r="BR130" s="691"/>
    </row>
    <row r="131" spans="2:70" s="404" customFormat="1" ht="17" thickTop="1">
      <c r="B131" s="382" t="s">
        <v>221</v>
      </c>
      <c r="C131" s="49"/>
      <c r="D131" s="419"/>
      <c r="E131" s="419"/>
      <c r="F131" s="419"/>
      <c r="G131" s="419"/>
      <c r="H131" s="419"/>
      <c r="I131" s="419"/>
      <c r="J131" s="419"/>
      <c r="K131" s="419"/>
      <c r="L131" s="419"/>
      <c r="M131" s="419"/>
      <c r="N131" s="419"/>
      <c r="O131" s="728">
        <f>SUM(D128:O128)</f>
        <v>1000</v>
      </c>
      <c r="P131" s="683"/>
      <c r="Q131" s="419"/>
      <c r="R131" s="419"/>
      <c r="S131" s="419"/>
      <c r="T131" s="419"/>
      <c r="U131" s="419"/>
      <c r="V131" s="419"/>
      <c r="W131" s="419"/>
      <c r="X131" s="419"/>
      <c r="Y131" s="419"/>
      <c r="Z131" s="419"/>
      <c r="AA131" s="728">
        <f>SUM(P128:AA128)+O131</f>
        <v>1140</v>
      </c>
      <c r="AB131" s="683"/>
      <c r="AC131" s="419"/>
      <c r="AD131" s="419"/>
      <c r="AE131" s="419"/>
      <c r="AF131" s="419"/>
      <c r="AG131" s="419"/>
      <c r="AH131" s="419"/>
      <c r="AI131" s="419"/>
      <c r="AJ131" s="419"/>
      <c r="AK131" s="419"/>
      <c r="AL131" s="419"/>
      <c r="AM131" s="729">
        <f>SUM(AB128:AM128)+AA131</f>
        <v>1140</v>
      </c>
    </row>
    <row r="132" spans="2:70" ht="20" customHeight="1">
      <c r="D132" s="641"/>
      <c r="E132" s="641"/>
      <c r="F132" s="641"/>
      <c r="G132" s="641"/>
      <c r="H132" s="641"/>
      <c r="I132" s="641"/>
      <c r="J132" s="641"/>
      <c r="K132" s="641"/>
      <c r="L132" s="641"/>
      <c r="M132" s="641"/>
      <c r="N132" s="641"/>
      <c r="O132" s="642"/>
      <c r="P132" s="641"/>
      <c r="Q132" s="641"/>
      <c r="R132" s="641"/>
      <c r="S132" s="641"/>
      <c r="T132" s="641"/>
      <c r="U132" s="641"/>
      <c r="V132" s="641"/>
      <c r="W132" s="641"/>
      <c r="X132" s="641"/>
      <c r="Y132" s="641"/>
      <c r="Z132" s="641"/>
      <c r="AA132" s="642"/>
      <c r="AB132" s="641"/>
      <c r="AC132" s="641"/>
      <c r="AD132" s="641"/>
      <c r="AE132" s="641"/>
      <c r="AF132" s="641"/>
      <c r="AG132" s="641"/>
      <c r="AH132" s="641"/>
      <c r="AI132" s="641"/>
      <c r="AJ132" s="641"/>
      <c r="AK132" s="641"/>
      <c r="AL132" s="641"/>
      <c r="AM132" s="641"/>
      <c r="AN132" s="182"/>
      <c r="AO132" s="182"/>
      <c r="AP132" s="182"/>
      <c r="AQ132" s="182"/>
      <c r="AR132" s="182"/>
      <c r="AS132" s="182"/>
      <c r="AT132" s="182"/>
      <c r="AU132" s="182"/>
      <c r="AV132" s="182"/>
      <c r="AW132" s="182"/>
      <c r="AX132" s="182"/>
      <c r="AY132" s="182"/>
      <c r="AZ132" s="182"/>
      <c r="BA132" s="182"/>
      <c r="BB132" s="182"/>
      <c r="BC132" s="182"/>
      <c r="BD132" s="182"/>
      <c r="BE132" s="182"/>
      <c r="BF132" s="182"/>
      <c r="BG132" s="182"/>
      <c r="BH132" s="182"/>
      <c r="BI132" s="182"/>
      <c r="BJ132" s="182"/>
      <c r="BK132" s="182"/>
      <c r="BL132" s="182"/>
      <c r="BM132" s="182"/>
      <c r="BN132" s="182"/>
      <c r="BO132" s="182"/>
      <c r="BP132" s="182"/>
      <c r="BQ132" s="182"/>
      <c r="BR132" s="182"/>
    </row>
    <row r="133" spans="2:70" ht="19" thickBot="1">
      <c r="B133" s="384" t="s">
        <v>14</v>
      </c>
      <c r="C133" s="180"/>
      <c r="D133" s="723"/>
      <c r="E133" s="723"/>
      <c r="F133" s="723"/>
      <c r="G133" s="723"/>
      <c r="H133" s="723"/>
      <c r="I133" s="723"/>
      <c r="J133" s="723"/>
      <c r="K133" s="723"/>
      <c r="L133" s="723"/>
      <c r="M133" s="723"/>
      <c r="N133" s="723"/>
      <c r="O133" s="724"/>
      <c r="P133" s="723"/>
      <c r="Q133" s="723"/>
      <c r="R133" s="723"/>
      <c r="S133" s="723"/>
      <c r="T133" s="723"/>
      <c r="U133" s="723"/>
      <c r="V133" s="723"/>
      <c r="W133" s="723"/>
      <c r="X133" s="723"/>
      <c r="Y133" s="723"/>
      <c r="Z133" s="723"/>
      <c r="AA133" s="724"/>
      <c r="AB133" s="723"/>
      <c r="AC133" s="723"/>
      <c r="AD133" s="723"/>
      <c r="AE133" s="723"/>
      <c r="AF133" s="723"/>
      <c r="AG133" s="723"/>
      <c r="AH133" s="723"/>
      <c r="AI133" s="723"/>
      <c r="AJ133" s="723"/>
      <c r="AK133" s="723"/>
      <c r="AL133" s="723"/>
      <c r="AM133" s="723"/>
      <c r="AN133" s="182"/>
      <c r="AO133" s="182"/>
      <c r="AP133" s="182"/>
      <c r="AQ133" s="182"/>
      <c r="AR133" s="182"/>
      <c r="AS133" s="182"/>
      <c r="AT133" s="182"/>
      <c r="AU133" s="182"/>
      <c r="AV133" s="182"/>
      <c r="AW133" s="182"/>
      <c r="AX133" s="182"/>
      <c r="AY133" s="182"/>
      <c r="AZ133" s="182"/>
      <c r="BA133" s="182"/>
      <c r="BB133" s="182"/>
      <c r="BC133" s="182"/>
      <c r="BD133" s="182"/>
      <c r="BE133" s="182"/>
      <c r="BF133" s="182"/>
      <c r="BG133" s="182"/>
      <c r="BH133" s="182"/>
      <c r="BI133" s="182"/>
      <c r="BJ133" s="182"/>
      <c r="BK133" s="182"/>
      <c r="BL133" s="182"/>
      <c r="BM133" s="182"/>
      <c r="BN133" s="182"/>
      <c r="BO133" s="182"/>
      <c r="BP133" s="182"/>
      <c r="BQ133" s="182"/>
      <c r="BR133" s="182"/>
    </row>
    <row r="134" spans="2:70">
      <c r="B134" s="382" t="s">
        <v>151</v>
      </c>
      <c r="D134" s="730">
        <f>'Profit &amp; Loss'!$M$22</f>
        <v>250000</v>
      </c>
      <c r="E134" s="731"/>
      <c r="F134" s="731"/>
      <c r="G134" s="731"/>
      <c r="H134" s="731"/>
      <c r="I134" s="731"/>
      <c r="J134" s="731"/>
      <c r="K134" s="731"/>
      <c r="L134" s="731"/>
      <c r="M134" s="731"/>
      <c r="N134" s="731"/>
      <c r="O134" s="732"/>
      <c r="P134" s="731"/>
      <c r="Q134" s="731"/>
      <c r="R134" s="731"/>
      <c r="S134" s="731"/>
      <c r="T134" s="731"/>
      <c r="U134" s="731"/>
      <c r="V134" s="731"/>
      <c r="W134" s="731"/>
      <c r="X134" s="731"/>
      <c r="Y134" s="731"/>
      <c r="Z134" s="731"/>
      <c r="AA134" s="732"/>
      <c r="AB134" s="731"/>
      <c r="AC134" s="731"/>
      <c r="AD134" s="731"/>
      <c r="AE134" s="731"/>
      <c r="AF134" s="731"/>
      <c r="AG134" s="731"/>
      <c r="AH134" s="731"/>
      <c r="AI134" s="731"/>
      <c r="AJ134" s="731"/>
      <c r="AK134" s="731"/>
      <c r="AL134" s="731"/>
      <c r="AM134" s="731"/>
      <c r="AN134" s="182"/>
      <c r="AO134" s="182"/>
      <c r="AP134" s="182"/>
      <c r="AQ134" s="182"/>
      <c r="AR134" s="182"/>
      <c r="AS134" s="182"/>
      <c r="AT134" s="182"/>
      <c r="AU134" s="182"/>
      <c r="AV134" s="182"/>
      <c r="AW134" s="182"/>
      <c r="AX134" s="182"/>
      <c r="AY134" s="182"/>
      <c r="AZ134" s="182"/>
      <c r="BA134" s="182"/>
      <c r="BB134" s="182"/>
      <c r="BC134" s="182"/>
      <c r="BD134" s="182"/>
      <c r="BE134" s="182"/>
      <c r="BF134" s="182"/>
      <c r="BG134" s="182"/>
      <c r="BH134" s="182"/>
      <c r="BI134" s="182"/>
      <c r="BJ134" s="182"/>
      <c r="BK134" s="182"/>
      <c r="BL134" s="182"/>
      <c r="BM134" s="182"/>
      <c r="BN134" s="182"/>
      <c r="BO134" s="182"/>
      <c r="BP134" s="182"/>
      <c r="BQ134" s="182"/>
      <c r="BR134" s="182"/>
    </row>
    <row r="135" spans="2:70">
      <c r="B135" s="382" t="s">
        <v>152</v>
      </c>
      <c r="D135" s="696"/>
      <c r="E135" s="696"/>
      <c r="F135" s="696"/>
      <c r="G135" s="696"/>
      <c r="H135" s="696"/>
      <c r="I135" s="696"/>
      <c r="J135" s="696"/>
      <c r="K135" s="696"/>
      <c r="L135" s="696"/>
      <c r="M135" s="696"/>
      <c r="N135" s="696"/>
      <c r="O135" s="697"/>
      <c r="P135" s="696"/>
      <c r="Q135" s="696">
        <v>-50000</v>
      </c>
      <c r="R135" s="696"/>
      <c r="S135" s="696"/>
      <c r="T135" s="696"/>
      <c r="U135" s="696"/>
      <c r="V135" s="696"/>
      <c r="W135" s="696"/>
      <c r="X135" s="696"/>
      <c r="Y135" s="696"/>
      <c r="Z135" s="696"/>
      <c r="AA135" s="697"/>
      <c r="AB135" s="696"/>
      <c r="AC135" s="696">
        <v>-75000</v>
      </c>
      <c r="AD135" s="696"/>
      <c r="AE135" s="696"/>
      <c r="AF135" s="696"/>
      <c r="AG135" s="696"/>
      <c r="AH135" s="696"/>
      <c r="AI135" s="696"/>
      <c r="AJ135" s="696">
        <v>-25000</v>
      </c>
      <c r="AK135" s="696"/>
      <c r="AL135" s="696"/>
      <c r="AM135" s="696">
        <v>-50000</v>
      </c>
      <c r="AN135" s="182"/>
      <c r="AO135" s="182"/>
      <c r="AP135" s="182"/>
      <c r="AQ135" s="182"/>
      <c r="AR135" s="182"/>
      <c r="AS135" s="182"/>
      <c r="AT135" s="182"/>
      <c r="AU135" s="182"/>
      <c r="AV135" s="182"/>
      <c r="AW135" s="182"/>
      <c r="AX135" s="182"/>
      <c r="AY135" s="182"/>
      <c r="AZ135" s="182"/>
      <c r="BA135" s="182"/>
      <c r="BB135" s="182"/>
      <c r="BC135" s="182"/>
      <c r="BD135" s="182"/>
      <c r="BE135" s="182"/>
      <c r="BF135" s="182"/>
      <c r="BG135" s="182"/>
      <c r="BH135" s="182"/>
      <c r="BI135" s="182"/>
      <c r="BJ135" s="182"/>
      <c r="BK135" s="182"/>
      <c r="BL135" s="182"/>
      <c r="BM135" s="182"/>
      <c r="BN135" s="182"/>
      <c r="BO135" s="182"/>
      <c r="BP135" s="182"/>
      <c r="BQ135" s="182"/>
      <c r="BR135" s="182"/>
    </row>
    <row r="136" spans="2:70" s="720" customFormat="1" ht="21" customHeight="1" thickBot="1">
      <c r="B136" s="440" t="s">
        <v>447</v>
      </c>
      <c r="C136" s="714"/>
      <c r="D136" s="718">
        <f>D134+D135</f>
        <v>250000</v>
      </c>
      <c r="E136" s="718">
        <f t="shared" ref="E136:AM136" si="48">E134+E135</f>
        <v>0</v>
      </c>
      <c r="F136" s="718">
        <f t="shared" si="48"/>
        <v>0</v>
      </c>
      <c r="G136" s="718">
        <f t="shared" si="48"/>
        <v>0</v>
      </c>
      <c r="H136" s="718">
        <f t="shared" si="48"/>
        <v>0</v>
      </c>
      <c r="I136" s="718">
        <f t="shared" si="48"/>
        <v>0</v>
      </c>
      <c r="J136" s="718">
        <f t="shared" si="48"/>
        <v>0</v>
      </c>
      <c r="K136" s="718">
        <f t="shared" si="48"/>
        <v>0</v>
      </c>
      <c r="L136" s="718">
        <f t="shared" si="48"/>
        <v>0</v>
      </c>
      <c r="M136" s="718">
        <f t="shared" si="48"/>
        <v>0</v>
      </c>
      <c r="N136" s="718">
        <f t="shared" si="48"/>
        <v>0</v>
      </c>
      <c r="O136" s="719">
        <f t="shared" si="48"/>
        <v>0</v>
      </c>
      <c r="P136" s="718">
        <f t="shared" si="48"/>
        <v>0</v>
      </c>
      <c r="Q136" s="718">
        <f t="shared" si="48"/>
        <v>-50000</v>
      </c>
      <c r="R136" s="718">
        <f t="shared" si="48"/>
        <v>0</v>
      </c>
      <c r="S136" s="718">
        <f t="shared" si="48"/>
        <v>0</v>
      </c>
      <c r="T136" s="718">
        <f t="shared" si="48"/>
        <v>0</v>
      </c>
      <c r="U136" s="718">
        <f t="shared" si="48"/>
        <v>0</v>
      </c>
      <c r="V136" s="718">
        <f t="shared" si="48"/>
        <v>0</v>
      </c>
      <c r="W136" s="718">
        <f t="shared" si="48"/>
        <v>0</v>
      </c>
      <c r="X136" s="718">
        <f t="shared" si="48"/>
        <v>0</v>
      </c>
      <c r="Y136" s="718">
        <f t="shared" si="48"/>
        <v>0</v>
      </c>
      <c r="Z136" s="718">
        <f t="shared" si="48"/>
        <v>0</v>
      </c>
      <c r="AA136" s="719">
        <f t="shared" si="48"/>
        <v>0</v>
      </c>
      <c r="AB136" s="718">
        <f t="shared" si="48"/>
        <v>0</v>
      </c>
      <c r="AC136" s="718">
        <f t="shared" si="48"/>
        <v>-75000</v>
      </c>
      <c r="AD136" s="718">
        <f t="shared" si="48"/>
        <v>0</v>
      </c>
      <c r="AE136" s="718">
        <f t="shared" si="48"/>
        <v>0</v>
      </c>
      <c r="AF136" s="718">
        <f t="shared" si="48"/>
        <v>0</v>
      </c>
      <c r="AG136" s="718">
        <f t="shared" si="48"/>
        <v>0</v>
      </c>
      <c r="AH136" s="718">
        <f t="shared" si="48"/>
        <v>0</v>
      </c>
      <c r="AI136" s="718">
        <f t="shared" si="48"/>
        <v>0</v>
      </c>
      <c r="AJ136" s="718">
        <f t="shared" si="48"/>
        <v>-25000</v>
      </c>
      <c r="AK136" s="718">
        <f t="shared" si="48"/>
        <v>0</v>
      </c>
      <c r="AL136" s="718">
        <f t="shared" si="48"/>
        <v>0</v>
      </c>
      <c r="AM136" s="718">
        <f t="shared" si="48"/>
        <v>-50000</v>
      </c>
      <c r="AN136" s="691"/>
      <c r="AO136" s="691"/>
      <c r="AP136" s="691"/>
      <c r="AQ136" s="691"/>
      <c r="AR136" s="691"/>
      <c r="AS136" s="691"/>
      <c r="AT136" s="691"/>
      <c r="AU136" s="691"/>
      <c r="AV136" s="691"/>
      <c r="AW136" s="691"/>
      <c r="AX136" s="691"/>
      <c r="AY136" s="691"/>
      <c r="AZ136" s="691"/>
      <c r="BA136" s="691"/>
      <c r="BB136" s="691"/>
      <c r="BC136" s="691"/>
      <c r="BD136" s="691"/>
      <c r="BE136" s="691"/>
      <c r="BF136" s="691"/>
      <c r="BG136" s="691"/>
      <c r="BH136" s="691"/>
      <c r="BI136" s="691"/>
      <c r="BJ136" s="691"/>
      <c r="BK136" s="691"/>
      <c r="BL136" s="691"/>
      <c r="BM136" s="691"/>
      <c r="BN136" s="691"/>
      <c r="BO136" s="691"/>
      <c r="BP136" s="691"/>
      <c r="BQ136" s="691"/>
      <c r="BR136" s="691"/>
    </row>
    <row r="137" spans="2:70" ht="20" customHeight="1" thickTop="1"/>
    <row r="138" spans="2:70" ht="19" thickBot="1">
      <c r="B138" s="384" t="s">
        <v>188</v>
      </c>
      <c r="C138" s="180"/>
      <c r="D138" s="723"/>
      <c r="E138" s="723"/>
      <c r="F138" s="723"/>
      <c r="G138" s="723"/>
      <c r="H138" s="723"/>
      <c r="I138" s="723"/>
      <c r="J138" s="723"/>
      <c r="K138" s="723"/>
      <c r="L138" s="723"/>
      <c r="M138" s="723"/>
      <c r="N138" s="723"/>
      <c r="O138" s="724"/>
      <c r="P138" s="723"/>
      <c r="Q138" s="723"/>
      <c r="R138" s="723"/>
      <c r="S138" s="723"/>
      <c r="T138" s="723"/>
      <c r="U138" s="723"/>
      <c r="V138" s="723"/>
      <c r="W138" s="723"/>
      <c r="X138" s="723"/>
      <c r="Y138" s="723"/>
      <c r="Z138" s="723"/>
      <c r="AA138" s="724"/>
      <c r="AB138" s="723"/>
      <c r="AC138" s="723"/>
      <c r="AD138" s="723"/>
      <c r="AE138" s="723"/>
      <c r="AF138" s="723"/>
      <c r="AG138" s="723"/>
      <c r="AH138" s="723"/>
      <c r="AI138" s="723"/>
      <c r="AJ138" s="723"/>
      <c r="AK138" s="723"/>
      <c r="AL138" s="723"/>
      <c r="AM138" s="723"/>
      <c r="AN138" s="182"/>
      <c r="AO138" s="182"/>
      <c r="AP138" s="182"/>
      <c r="AQ138" s="182"/>
      <c r="AR138" s="182"/>
      <c r="AS138" s="182"/>
      <c r="AT138" s="182"/>
      <c r="AU138" s="182"/>
      <c r="AV138" s="182"/>
      <c r="AW138" s="182"/>
      <c r="AX138" s="182"/>
      <c r="AY138" s="182"/>
      <c r="AZ138" s="182"/>
      <c r="BA138" s="182"/>
      <c r="BB138" s="182"/>
      <c r="BC138" s="182"/>
      <c r="BD138" s="182"/>
      <c r="BE138" s="182"/>
      <c r="BF138" s="182"/>
      <c r="BG138" s="182"/>
      <c r="BH138" s="182"/>
      <c r="BI138" s="182"/>
      <c r="BJ138" s="182"/>
      <c r="BK138" s="182"/>
      <c r="BL138" s="182"/>
      <c r="BM138" s="182"/>
      <c r="BN138" s="182"/>
      <c r="BO138" s="182"/>
      <c r="BP138" s="182"/>
      <c r="BQ138" s="182"/>
      <c r="BR138" s="182"/>
    </row>
    <row r="139" spans="2:70">
      <c r="B139" s="382" t="s">
        <v>153</v>
      </c>
      <c r="D139" s="419">
        <f>'Profit &amp; Loss'!M25</f>
        <v>50000</v>
      </c>
      <c r="E139" s="419"/>
      <c r="F139" s="419"/>
      <c r="G139" s="419"/>
      <c r="H139" s="419"/>
      <c r="I139" s="419"/>
      <c r="J139" s="419"/>
      <c r="K139" s="419"/>
      <c r="L139" s="419"/>
      <c r="M139" s="419"/>
      <c r="N139" s="419"/>
      <c r="O139" s="420"/>
      <c r="P139" s="683"/>
      <c r="Q139" s="419"/>
      <c r="R139" s="419"/>
      <c r="S139" s="419"/>
      <c r="T139" s="419"/>
      <c r="U139" s="419"/>
      <c r="V139" s="419"/>
      <c r="W139" s="419"/>
      <c r="X139" s="419"/>
      <c r="Y139" s="419"/>
      <c r="Z139" s="419"/>
      <c r="AA139" s="420"/>
      <c r="AB139" s="683"/>
      <c r="AC139" s="419"/>
      <c r="AD139" s="419"/>
      <c r="AE139" s="419"/>
      <c r="AF139" s="419"/>
      <c r="AG139" s="419"/>
      <c r="AH139" s="419"/>
      <c r="AI139" s="419"/>
      <c r="AJ139" s="419"/>
      <c r="AK139" s="419"/>
      <c r="AL139" s="419"/>
      <c r="AM139" s="419"/>
      <c r="AN139" s="182"/>
      <c r="AO139" s="182"/>
      <c r="AP139" s="182"/>
      <c r="AQ139" s="182"/>
      <c r="AR139" s="182"/>
      <c r="AS139" s="182"/>
      <c r="AT139" s="182"/>
      <c r="AU139" s="182"/>
      <c r="AV139" s="182"/>
      <c r="AW139" s="182"/>
      <c r="AX139" s="182"/>
      <c r="AY139" s="182"/>
      <c r="AZ139" s="182"/>
      <c r="BA139" s="182"/>
      <c r="BB139" s="182"/>
      <c r="BC139" s="182"/>
      <c r="BD139" s="182"/>
      <c r="BE139" s="182"/>
      <c r="BF139" s="182"/>
      <c r="BG139" s="182"/>
      <c r="BH139" s="182"/>
      <c r="BI139" s="182"/>
      <c r="BJ139" s="182"/>
      <c r="BK139" s="182"/>
      <c r="BL139" s="182"/>
      <c r="BM139" s="182"/>
      <c r="BN139" s="182"/>
      <c r="BO139" s="182"/>
      <c r="BP139" s="182"/>
      <c r="BQ139" s="182"/>
      <c r="BR139" s="182"/>
    </row>
    <row r="140" spans="2:70">
      <c r="B140" s="717" t="s">
        <v>154</v>
      </c>
      <c r="C140" s="461"/>
      <c r="D140" s="733">
        <f>IF(D8&gt;'Profit &amp; Loss'!$M27,0,PPMT('Profit &amp; Loss'!$M26/12,D8,'Profit &amp; Loss'!$M27,-'Profit &amp; Loss'!$M25))</f>
        <v>682.26181843607878</v>
      </c>
      <c r="E140" s="733">
        <f>IF(E8&gt;'Profit &amp; Loss'!$M27,0,PPMT('Profit &amp; Loss'!$M26/12,E8,'Profit &amp; Loss'!$M27,-'Profit &amp; Loss'!$M25))</f>
        <v>686.75337540744954</v>
      </c>
      <c r="F140" s="733">
        <f>IF(F8&gt;'Profit &amp; Loss'!$M27,0,PPMT('Profit &amp; Loss'!$M26/12,F8,'Profit &amp; Loss'!$M27,-'Profit &amp; Loss'!$M25))</f>
        <v>691.27450179554864</v>
      </c>
      <c r="G140" s="733">
        <f>IF(G8&gt;'Profit &amp; Loss'!$M27,0,PPMT('Profit &amp; Loss'!$M26/12,G8,'Profit &amp; Loss'!$M27,-'Profit &amp; Loss'!$M25))</f>
        <v>695.8253922657027</v>
      </c>
      <c r="H140" s="733">
        <f>IF(H8&gt;'Profit &amp; Loss'!$M27,0,PPMT('Profit &amp; Loss'!$M26/12,H8,'Profit &amp; Loss'!$M27,-'Profit &amp; Loss'!$M25))</f>
        <v>700.40624276478525</v>
      </c>
      <c r="I140" s="733">
        <f>IF(I8&gt;'Profit &amp; Loss'!$M27,0,PPMT('Profit &amp; Loss'!$M26/12,I8,'Profit &amp; Loss'!$M27,-'Profit &amp; Loss'!$M25))</f>
        <v>705.01725052965344</v>
      </c>
      <c r="J140" s="733">
        <f>IF(J8&gt;'Profit &amp; Loss'!$M27,0,PPMT('Profit &amp; Loss'!$M26/12,J8,'Profit &amp; Loss'!$M27,-'Profit &amp; Loss'!$M25))</f>
        <v>709.65861409564025</v>
      </c>
      <c r="K140" s="733">
        <f>IF(K8&gt;'Profit &amp; Loss'!$M27,0,PPMT('Profit &amp; Loss'!$M26/12,K8,'Profit &amp; Loss'!$M27,-'Profit &amp; Loss'!$M25))</f>
        <v>714.33053330510324</v>
      </c>
      <c r="L140" s="733">
        <f>IF(L8&gt;'Profit &amp; Loss'!$M27,0,PPMT('Profit &amp; Loss'!$M26/12,L8,'Profit &amp; Loss'!$M27,-'Profit &amp; Loss'!$M25))</f>
        <v>719.03320931602855</v>
      </c>
      <c r="M140" s="733">
        <f>IF(M8&gt;'Profit &amp; Loss'!$M27,0,PPMT('Profit &amp; Loss'!$M26/12,M8,'Profit &amp; Loss'!$M27,-'Profit &amp; Loss'!$M25))</f>
        <v>723.76684461069237</v>
      </c>
      <c r="N140" s="733">
        <f>IF(N8&gt;'Profit &amp; Loss'!$M27,0,PPMT('Profit &amp; Loss'!$M26/12,N8,'Profit &amp; Loss'!$M27,-'Profit &amp; Loss'!$M25))</f>
        <v>728.53164300437948</v>
      </c>
      <c r="O140" s="734">
        <f>IF(O8&gt;'Profit &amp; Loss'!$M27,0,PPMT('Profit &amp; Loss'!$M26/12,O8,'Profit &amp; Loss'!$M27,-'Profit &amp; Loss'!$M25))</f>
        <v>733.32780965415827</v>
      </c>
      <c r="P140" s="733">
        <f>IF(P8&gt;'Profit &amp; Loss'!$M27,0,PPMT('Profit &amp; Loss'!$M26/12,P8,'Profit &amp; Loss'!$M27,-'Profit &amp; Loss'!$M25))</f>
        <v>738.15555106771467</v>
      </c>
      <c r="Q140" s="733">
        <f>IF(Q8&gt;'Profit &amp; Loss'!$M27,0,PPMT('Profit &amp; Loss'!$M26/12,Q8,'Profit &amp; Loss'!$M27,-'Profit &amp; Loss'!$M25))</f>
        <v>743.01507511224395</v>
      </c>
      <c r="R140" s="733">
        <f>IF(R8&gt;'Profit &amp; Loss'!$M27,0,PPMT('Profit &amp; Loss'!$M26/12,R8,'Profit &amp; Loss'!$M27,-'Profit &amp; Loss'!$M25))</f>
        <v>747.90659102339953</v>
      </c>
      <c r="S140" s="733">
        <f>IF(S8&gt;'Profit &amp; Loss'!$M27,0,PPMT('Profit &amp; Loss'!$M26/12,S8,'Profit &amp; Loss'!$M27,-'Profit &amp; Loss'!$M25))</f>
        <v>752.83030941430354</v>
      </c>
      <c r="T140" s="733">
        <f>IF(T8&gt;'Profit &amp; Loss'!$M27,0,PPMT('Profit &amp; Loss'!$M26/12,T8,'Profit &amp; Loss'!$M27,-'Profit &amp; Loss'!$M25))</f>
        <v>757.7864422846144</v>
      </c>
      <c r="U140" s="733">
        <f>IF(U8&gt;'Profit &amp; Loss'!$M27,0,PPMT('Profit &amp; Loss'!$M26/12,U8,'Profit &amp; Loss'!$M27,-'Profit &amp; Loss'!$M25))</f>
        <v>762.77520302965479</v>
      </c>
      <c r="V140" s="733">
        <f>IF(V8&gt;'Profit &amp; Loss'!$M27,0,PPMT('Profit &amp; Loss'!$M26/12,V8,'Profit &amp; Loss'!$M27,-'Profit &amp; Loss'!$M25))</f>
        <v>767.79680644960001</v>
      </c>
      <c r="W140" s="733">
        <f>IF(W8&gt;'Profit &amp; Loss'!$M27,0,PPMT('Profit &amp; Loss'!$M26/12,W8,'Profit &amp; Loss'!$M27,-'Profit &amp; Loss'!$M25))</f>
        <v>772.85146875872647</v>
      </c>
      <c r="X140" s="733">
        <f>IF(X8&gt;'Profit &amp; Loss'!$M27,0,PPMT('Profit &amp; Loss'!$M26/12,X8,'Profit &amp; Loss'!$M27,-'Profit &amp; Loss'!$M25))</f>
        <v>777.9394075947215</v>
      </c>
      <c r="Y140" s="733">
        <f>IF(Y8&gt;'Profit &amp; Loss'!$M27,0,PPMT('Profit &amp; Loss'!$M26/12,Y8,'Profit &amp; Loss'!$M27,-'Profit &amp; Loss'!$M25))</f>
        <v>783.06084202805334</v>
      </c>
      <c r="Z140" s="733">
        <f>IF(Z8&gt;'Profit &amp; Loss'!$M27,0,PPMT('Profit &amp; Loss'!$M26/12,Z8,'Profit &amp; Loss'!$M27,-'Profit &amp; Loss'!$M25))</f>
        <v>788.21599257140474</v>
      </c>
      <c r="AA140" s="734">
        <f>IF(AA8&gt;'Profit &amp; Loss'!$M27,0,PPMT('Profit &amp; Loss'!$M26/12,AA8,'Profit &amp; Loss'!$M27,-'Profit &amp; Loss'!$M25))</f>
        <v>793.40508118916648</v>
      </c>
      <c r="AB140" s="733">
        <f>IF(AB8&gt;'Profit &amp; Loss'!$M27,0,PPMT('Profit &amp; Loss'!$M26/12,AB8,'Profit &amp; Loss'!$M27,-'Profit &amp; Loss'!$M25))</f>
        <v>798.62833130699516</v>
      </c>
      <c r="AC140" s="733">
        <f>IF(AC8&gt;'Profit &amp; Loss'!$M27,0,PPMT('Profit &amp; Loss'!$M26/12,AC8,'Profit &amp; Loss'!$M27,-'Profit &amp; Loss'!$M25))</f>
        <v>803.88596782143281</v>
      </c>
      <c r="AD140" s="733">
        <f>IF(AD8&gt;'Profit &amp; Loss'!$M27,0,PPMT('Profit &amp; Loss'!$M26/12,AD8,'Profit &amp; Loss'!$M27,-'Profit &amp; Loss'!$M25))</f>
        <v>809.17821710959061</v>
      </c>
      <c r="AE140" s="733">
        <f>IF(AE8&gt;'Profit &amp; Loss'!$M27,0,PPMT('Profit &amp; Loss'!$M26/12,AE8,'Profit &amp; Loss'!$M27,-'Profit &amp; Loss'!$M25))</f>
        <v>814.50530703889547</v>
      </c>
      <c r="AF140" s="733">
        <f>IF(AF8&gt;'Profit &amp; Loss'!$M27,0,PPMT('Profit &amp; Loss'!$M26/12,AF8,'Profit &amp; Loss'!$M27,-'Profit &amp; Loss'!$M25))</f>
        <v>819.86746697690148</v>
      </c>
      <c r="AG140" s="733">
        <f>IF(AG8&gt;'Profit &amp; Loss'!$M27,0,PPMT('Profit &amp; Loss'!$M26/12,AG8,'Profit &amp; Loss'!$M27,-'Profit &amp; Loss'!$M25))</f>
        <v>825.2649278011661</v>
      </c>
      <c r="AH140" s="733">
        <f>IF(AH8&gt;'Profit &amp; Loss'!$M27,0,PPMT('Profit &amp; Loss'!$M26/12,AH8,'Profit &amp; Loss'!$M27,-'Profit &amp; Loss'!$M25))</f>
        <v>830.69792190919043</v>
      </c>
      <c r="AI140" s="733">
        <f>IF(AI8&gt;'Profit &amp; Loss'!$M27,0,PPMT('Profit &amp; Loss'!$M26/12,AI8,'Profit &amp; Loss'!$M27,-'Profit &amp; Loss'!$M25))</f>
        <v>836.166683228426</v>
      </c>
      <c r="AJ140" s="733">
        <f>IF(AJ8&gt;'Profit &amp; Loss'!$M27,0,PPMT('Profit &amp; Loss'!$M26/12,AJ8,'Profit &amp; Loss'!$M27,-'Profit &amp; Loss'!$M25))</f>
        <v>841.67144722634646</v>
      </c>
      <c r="AK140" s="733">
        <f>IF(AK8&gt;'Profit &amp; Loss'!$M27,0,PPMT('Profit &amp; Loss'!$M26/12,AK8,'Profit &amp; Loss'!$M27,-'Profit &amp; Loss'!$M25))</f>
        <v>847.21245092058655</v>
      </c>
      <c r="AL140" s="733">
        <f>IF(AL8&gt;'Profit &amp; Loss'!$M27,0,PPMT('Profit &amp; Loss'!$M26/12,AL8,'Profit &amp; Loss'!$M27,-'Profit &amp; Loss'!$M25))</f>
        <v>852.78993288914705</v>
      </c>
      <c r="AM140" s="733">
        <f>IF(AM8&gt;'Profit &amp; Loss'!$M27,0,PPMT('Profit &amp; Loss'!$M26/12,AM8,'Profit &amp; Loss'!$M27,-'Profit &amp; Loss'!$M25))</f>
        <v>858.40413328066722</v>
      </c>
      <c r="AN140" s="182"/>
      <c r="AO140" s="182"/>
      <c r="AP140" s="182"/>
      <c r="AQ140" s="182"/>
      <c r="AR140" s="182"/>
      <c r="AS140" s="182"/>
      <c r="AT140" s="182"/>
      <c r="AU140" s="182"/>
      <c r="AV140" s="182"/>
      <c r="AW140" s="182"/>
      <c r="AX140" s="182"/>
      <c r="AY140" s="182"/>
      <c r="AZ140" s="182"/>
      <c r="BA140" s="182"/>
      <c r="BB140" s="182"/>
      <c r="BC140" s="182"/>
      <c r="BD140" s="182"/>
      <c r="BE140" s="182"/>
      <c r="BF140" s="182"/>
      <c r="BG140" s="182"/>
      <c r="BH140" s="182"/>
      <c r="BI140" s="182"/>
      <c r="BJ140" s="182"/>
      <c r="BK140" s="182"/>
      <c r="BL140" s="182"/>
      <c r="BM140" s="182"/>
      <c r="BN140" s="182"/>
      <c r="BO140" s="182"/>
      <c r="BP140" s="182"/>
      <c r="BQ140" s="182"/>
      <c r="BR140" s="182"/>
    </row>
    <row r="141" spans="2:70" ht="20" customHeight="1">
      <c r="D141" s="641"/>
      <c r="E141" s="641"/>
      <c r="F141" s="641"/>
      <c r="G141" s="641"/>
      <c r="H141" s="641"/>
      <c r="I141" s="641"/>
      <c r="J141" s="641"/>
      <c r="K141" s="641"/>
      <c r="L141" s="641"/>
      <c r="M141" s="641"/>
      <c r="N141" s="641"/>
      <c r="O141" s="642"/>
      <c r="P141" s="641"/>
      <c r="Q141" s="641"/>
      <c r="R141" s="641"/>
      <c r="S141" s="641"/>
      <c r="T141" s="641"/>
      <c r="U141" s="641"/>
      <c r="V141" s="641"/>
      <c r="W141" s="641"/>
      <c r="X141" s="641"/>
      <c r="Y141" s="641"/>
      <c r="Z141" s="641"/>
      <c r="AA141" s="642"/>
      <c r="AB141" s="641"/>
      <c r="AC141" s="641"/>
      <c r="AD141" s="641"/>
      <c r="AE141" s="641"/>
      <c r="AF141" s="641"/>
      <c r="AG141" s="641"/>
      <c r="AH141" s="641"/>
      <c r="AI141" s="641"/>
      <c r="AJ141" s="641"/>
      <c r="AK141" s="641"/>
      <c r="AL141" s="641"/>
      <c r="AM141" s="641"/>
      <c r="AN141" s="182"/>
      <c r="AO141" s="182"/>
      <c r="AP141" s="182"/>
      <c r="AQ141" s="182"/>
      <c r="AR141" s="182"/>
      <c r="AS141" s="182"/>
      <c r="AT141" s="182"/>
      <c r="AU141" s="182"/>
      <c r="AV141" s="182"/>
      <c r="AW141" s="182"/>
      <c r="AX141" s="182"/>
      <c r="AY141" s="182"/>
      <c r="AZ141" s="182"/>
      <c r="BA141" s="182"/>
      <c r="BB141" s="182"/>
      <c r="BC141" s="182"/>
      <c r="BD141" s="182"/>
      <c r="BE141" s="182"/>
      <c r="BF141" s="182"/>
      <c r="BG141" s="182"/>
      <c r="BH141" s="182"/>
      <c r="BI141" s="182"/>
      <c r="BJ141" s="182"/>
      <c r="BK141" s="182"/>
      <c r="BL141" s="182"/>
      <c r="BM141" s="182"/>
      <c r="BN141" s="182"/>
      <c r="BO141" s="182"/>
      <c r="BP141" s="182"/>
      <c r="BQ141" s="182"/>
      <c r="BR141" s="182"/>
    </row>
    <row r="142" spans="2:70" ht="19" thickBot="1">
      <c r="B142" s="384" t="s">
        <v>155</v>
      </c>
      <c r="C142" s="180"/>
      <c r="D142" s="723"/>
      <c r="E142" s="723"/>
      <c r="F142" s="723"/>
      <c r="G142" s="723"/>
      <c r="H142" s="723"/>
      <c r="I142" s="723"/>
      <c r="J142" s="723"/>
      <c r="K142" s="723"/>
      <c r="L142" s="723"/>
      <c r="M142" s="723"/>
      <c r="N142" s="723"/>
      <c r="O142" s="724"/>
      <c r="P142" s="723"/>
      <c r="Q142" s="723"/>
      <c r="R142" s="723"/>
      <c r="S142" s="723"/>
      <c r="T142" s="723"/>
      <c r="U142" s="723"/>
      <c r="V142" s="723"/>
      <c r="W142" s="723"/>
      <c r="X142" s="723"/>
      <c r="Y142" s="723"/>
      <c r="Z142" s="723"/>
      <c r="AA142" s="724"/>
      <c r="AB142" s="723"/>
      <c r="AC142" s="723"/>
      <c r="AD142" s="723"/>
      <c r="AE142" s="723"/>
      <c r="AF142" s="723"/>
      <c r="AG142" s="723"/>
      <c r="AH142" s="723"/>
      <c r="AI142" s="723"/>
      <c r="AJ142" s="723"/>
      <c r="AK142" s="723"/>
      <c r="AL142" s="723"/>
      <c r="AM142" s="723"/>
      <c r="AN142" s="182"/>
      <c r="AO142" s="182"/>
      <c r="AP142" s="182"/>
      <c r="AQ142" s="182"/>
      <c r="AR142" s="182"/>
      <c r="AS142" s="182"/>
      <c r="AT142" s="182"/>
      <c r="AU142" s="182"/>
      <c r="AV142" s="182"/>
      <c r="AW142" s="182"/>
      <c r="AX142" s="182"/>
      <c r="AY142" s="182"/>
      <c r="AZ142" s="182"/>
      <c r="BA142" s="182"/>
      <c r="BB142" s="182"/>
      <c r="BC142" s="182"/>
      <c r="BD142" s="182"/>
      <c r="BE142" s="182"/>
      <c r="BF142" s="182"/>
      <c r="BG142" s="182"/>
      <c r="BH142" s="182"/>
      <c r="BI142" s="182"/>
      <c r="BJ142" s="182"/>
      <c r="BK142" s="182"/>
      <c r="BL142" s="182"/>
      <c r="BM142" s="182"/>
      <c r="BN142" s="182"/>
      <c r="BO142" s="182"/>
      <c r="BP142" s="182"/>
      <c r="BQ142" s="182"/>
      <c r="BR142" s="182"/>
    </row>
    <row r="143" spans="2:70" s="378" customFormat="1" ht="21" customHeight="1">
      <c r="B143" s="735" t="s">
        <v>448</v>
      </c>
      <c r="C143" s="736"/>
      <c r="D143" s="737"/>
      <c r="E143" s="737">
        <v>0</v>
      </c>
      <c r="F143" s="737">
        <v>0</v>
      </c>
      <c r="G143" s="737">
        <v>0</v>
      </c>
      <c r="H143" s="737">
        <v>0</v>
      </c>
      <c r="I143" s="737">
        <v>0</v>
      </c>
      <c r="J143" s="737">
        <v>0</v>
      </c>
      <c r="K143" s="737">
        <v>0</v>
      </c>
      <c r="L143" s="737">
        <v>0</v>
      </c>
      <c r="M143" s="737">
        <v>0</v>
      </c>
      <c r="N143" s="737">
        <v>0</v>
      </c>
      <c r="O143" s="738">
        <v>0</v>
      </c>
      <c r="P143" s="737">
        <v>0</v>
      </c>
      <c r="Q143" s="737">
        <v>0</v>
      </c>
      <c r="R143" s="737">
        <v>0</v>
      </c>
      <c r="S143" s="737">
        <v>0</v>
      </c>
      <c r="T143" s="737">
        <v>0</v>
      </c>
      <c r="U143" s="737">
        <v>0</v>
      </c>
      <c r="V143" s="737">
        <v>0</v>
      </c>
      <c r="W143" s="737">
        <v>0</v>
      </c>
      <c r="X143" s="737">
        <v>0</v>
      </c>
      <c r="Y143" s="737">
        <v>0</v>
      </c>
      <c r="Z143" s="737">
        <v>0</v>
      </c>
      <c r="AA143" s="738">
        <v>-10000</v>
      </c>
      <c r="AB143" s="737">
        <v>0</v>
      </c>
      <c r="AC143" s="737">
        <v>0</v>
      </c>
      <c r="AD143" s="737">
        <v>0</v>
      </c>
      <c r="AE143" s="737">
        <v>0</v>
      </c>
      <c r="AF143" s="737">
        <v>0</v>
      </c>
      <c r="AG143" s="737">
        <v>0</v>
      </c>
      <c r="AH143" s="737">
        <v>0</v>
      </c>
      <c r="AI143" s="737">
        <v>0</v>
      </c>
      <c r="AJ143" s="737">
        <v>0</v>
      </c>
      <c r="AK143" s="737">
        <v>0</v>
      </c>
      <c r="AL143" s="737">
        <v>0</v>
      </c>
      <c r="AM143" s="737">
        <v>-10000</v>
      </c>
      <c r="AN143" s="739"/>
      <c r="AO143" s="739"/>
      <c r="AP143" s="739"/>
      <c r="AQ143" s="739"/>
      <c r="AR143" s="739"/>
      <c r="AS143" s="739"/>
      <c r="AT143" s="739"/>
      <c r="AU143" s="739"/>
      <c r="AV143" s="739"/>
      <c r="AW143" s="739"/>
      <c r="AX143" s="739"/>
      <c r="AY143" s="739"/>
      <c r="AZ143" s="739"/>
      <c r="BA143" s="739"/>
      <c r="BB143" s="739"/>
      <c r="BC143" s="739"/>
      <c r="BD143" s="739"/>
      <c r="BE143" s="739"/>
      <c r="BF143" s="739"/>
      <c r="BG143" s="739"/>
      <c r="BH143" s="739"/>
      <c r="BI143" s="739"/>
      <c r="BJ143" s="739"/>
      <c r="BK143" s="739"/>
      <c r="BL143" s="739"/>
      <c r="BM143" s="739"/>
      <c r="BN143" s="739"/>
      <c r="BO143" s="739"/>
      <c r="BP143" s="739"/>
      <c r="BQ143" s="739"/>
      <c r="BR143" s="739"/>
    </row>
    <row r="144" spans="2:70">
      <c r="D144" s="182"/>
      <c r="E144" s="182"/>
      <c r="F144" s="182"/>
      <c r="G144" s="182"/>
      <c r="H144" s="182"/>
      <c r="I144" s="182"/>
      <c r="J144" s="182"/>
      <c r="K144" s="182"/>
      <c r="L144" s="182"/>
      <c r="M144" s="182"/>
      <c r="N144" s="182"/>
      <c r="O144" s="389"/>
      <c r="P144" s="183"/>
      <c r="Q144" s="182"/>
      <c r="R144" s="182"/>
      <c r="S144" s="182"/>
      <c r="T144" s="182"/>
      <c r="U144" s="182"/>
      <c r="V144" s="182"/>
      <c r="W144" s="182"/>
      <c r="X144" s="182"/>
      <c r="Y144" s="182"/>
      <c r="Z144" s="182"/>
      <c r="AA144" s="389"/>
      <c r="AB144" s="183"/>
      <c r="AC144" s="182"/>
      <c r="AD144" s="182"/>
      <c r="AE144" s="182"/>
      <c r="AF144" s="182"/>
      <c r="AG144" s="182"/>
      <c r="AH144" s="182"/>
      <c r="AI144" s="182"/>
      <c r="AJ144" s="182"/>
      <c r="AK144" s="182"/>
      <c r="AL144" s="182"/>
      <c r="AM144" s="182"/>
      <c r="AN144" s="182"/>
      <c r="AO144" s="182"/>
      <c r="AP144" s="182"/>
      <c r="AQ144" s="182"/>
      <c r="AR144" s="182"/>
      <c r="AS144" s="182"/>
      <c r="AT144" s="182"/>
      <c r="AU144" s="182"/>
      <c r="AV144" s="182"/>
      <c r="AW144" s="182"/>
      <c r="AX144" s="182"/>
      <c r="AY144" s="182"/>
      <c r="AZ144" s="182"/>
      <c r="BA144" s="182"/>
      <c r="BB144" s="182"/>
      <c r="BC144" s="182"/>
      <c r="BD144" s="182"/>
      <c r="BE144" s="182"/>
      <c r="BF144" s="182"/>
      <c r="BG144" s="182"/>
      <c r="BH144" s="182"/>
      <c r="BI144" s="182"/>
      <c r="BJ144" s="182"/>
      <c r="BK144" s="182"/>
      <c r="BL144" s="182"/>
      <c r="BM144" s="182"/>
      <c r="BN144" s="182"/>
      <c r="BO144" s="182"/>
      <c r="BP144" s="182"/>
      <c r="BQ144" s="182"/>
      <c r="BR144" s="182"/>
    </row>
    <row r="145" spans="4:70">
      <c r="D145" s="182"/>
      <c r="E145" s="182"/>
      <c r="F145" s="182"/>
      <c r="G145" s="182"/>
      <c r="H145" s="182"/>
      <c r="I145" s="182"/>
      <c r="J145" s="182"/>
      <c r="K145" s="182"/>
      <c r="L145" s="182"/>
      <c r="M145" s="182"/>
      <c r="N145" s="182"/>
      <c r="O145" s="389"/>
      <c r="P145" s="183"/>
      <c r="Q145" s="182"/>
      <c r="R145" s="182"/>
      <c r="S145" s="182"/>
      <c r="T145" s="182"/>
      <c r="U145" s="182"/>
      <c r="V145" s="182"/>
      <c r="W145" s="182"/>
      <c r="X145" s="182"/>
      <c r="Y145" s="182"/>
      <c r="Z145" s="182"/>
      <c r="AA145" s="389"/>
      <c r="AB145" s="183"/>
      <c r="AC145" s="182"/>
      <c r="AD145" s="182"/>
      <c r="AE145" s="182"/>
      <c r="AF145" s="182"/>
      <c r="AG145" s="182"/>
      <c r="AH145" s="182"/>
      <c r="AI145" s="182"/>
      <c r="AJ145" s="182"/>
      <c r="AK145" s="182"/>
      <c r="AL145" s="182"/>
      <c r="AM145" s="182"/>
      <c r="AN145" s="182"/>
      <c r="AO145" s="182"/>
      <c r="AP145" s="182"/>
      <c r="AQ145" s="182"/>
      <c r="AR145" s="182"/>
      <c r="AS145" s="182"/>
      <c r="AT145" s="182"/>
      <c r="AU145" s="182"/>
      <c r="AV145" s="182"/>
      <c r="AW145" s="182"/>
      <c r="AX145" s="182"/>
      <c r="AY145" s="182"/>
      <c r="AZ145" s="182"/>
      <c r="BA145" s="182"/>
      <c r="BB145" s="182"/>
      <c r="BC145" s="182"/>
      <c r="BD145" s="182"/>
      <c r="BE145" s="182"/>
      <c r="BF145" s="182"/>
      <c r="BG145" s="182"/>
      <c r="BH145" s="182"/>
      <c r="BI145" s="182"/>
      <c r="BJ145" s="182"/>
      <c r="BK145" s="182"/>
      <c r="BL145" s="182"/>
      <c r="BM145" s="182"/>
      <c r="BN145" s="182"/>
      <c r="BO145" s="182"/>
      <c r="BP145" s="182"/>
      <c r="BQ145" s="182"/>
      <c r="BR145" s="182"/>
    </row>
    <row r="146" spans="4:70">
      <c r="D146" s="182"/>
      <c r="E146" s="182"/>
      <c r="F146" s="182"/>
      <c r="G146" s="182"/>
      <c r="H146" s="182"/>
      <c r="I146" s="182"/>
      <c r="J146" s="182"/>
      <c r="K146" s="182"/>
      <c r="L146" s="182"/>
      <c r="M146" s="182"/>
      <c r="N146" s="182"/>
      <c r="O146" s="389"/>
      <c r="P146" s="183"/>
      <c r="Q146" s="182"/>
      <c r="R146" s="182"/>
      <c r="S146" s="182"/>
      <c r="T146" s="182"/>
      <c r="U146" s="182"/>
      <c r="V146" s="182"/>
      <c r="W146" s="182"/>
      <c r="X146" s="182"/>
      <c r="Y146" s="182"/>
      <c r="Z146" s="182"/>
      <c r="AA146" s="389"/>
      <c r="AB146" s="183"/>
      <c r="AC146" s="182"/>
      <c r="AD146" s="182"/>
      <c r="AE146" s="182"/>
      <c r="AF146" s="182"/>
      <c r="AG146" s="182"/>
      <c r="AH146" s="182"/>
      <c r="AI146" s="182"/>
      <c r="AJ146" s="182"/>
      <c r="AK146" s="182"/>
      <c r="AL146" s="182"/>
      <c r="AM146" s="182"/>
      <c r="AN146" s="182"/>
      <c r="AO146" s="182"/>
      <c r="AP146" s="182"/>
      <c r="AQ146" s="182"/>
      <c r="AR146" s="182"/>
      <c r="AS146" s="182"/>
      <c r="AT146" s="182"/>
      <c r="AU146" s="182"/>
      <c r="AV146" s="182"/>
      <c r="AW146" s="182"/>
      <c r="AX146" s="182"/>
      <c r="AY146" s="182"/>
      <c r="AZ146" s="182"/>
      <c r="BA146" s="182"/>
      <c r="BB146" s="182"/>
      <c r="BC146" s="182"/>
      <c r="BD146" s="182"/>
      <c r="BE146" s="182"/>
      <c r="BF146" s="182"/>
      <c r="BG146" s="182"/>
      <c r="BH146" s="182"/>
      <c r="BI146" s="182"/>
      <c r="BJ146" s="182"/>
      <c r="BK146" s="182"/>
      <c r="BL146" s="182"/>
      <c r="BM146" s="182"/>
      <c r="BN146" s="182"/>
      <c r="BO146" s="182"/>
      <c r="BP146" s="182"/>
      <c r="BQ146" s="182"/>
      <c r="BR146" s="182"/>
    </row>
    <row r="147" spans="4:70">
      <c r="D147" s="182"/>
      <c r="E147" s="182"/>
      <c r="F147" s="182"/>
      <c r="G147" s="182"/>
      <c r="H147" s="182"/>
      <c r="I147" s="182"/>
      <c r="J147" s="182"/>
      <c r="K147" s="182"/>
      <c r="L147" s="182"/>
      <c r="M147" s="182"/>
      <c r="N147" s="182"/>
      <c r="O147" s="389"/>
      <c r="P147" s="183"/>
      <c r="Q147" s="182"/>
      <c r="R147" s="182"/>
      <c r="S147" s="182"/>
      <c r="T147" s="182"/>
      <c r="U147" s="182"/>
      <c r="V147" s="182"/>
      <c r="W147" s="182"/>
      <c r="X147" s="182"/>
      <c r="Y147" s="182"/>
      <c r="Z147" s="182"/>
      <c r="AA147" s="389"/>
      <c r="AB147" s="183"/>
      <c r="AC147" s="182"/>
      <c r="AD147" s="182"/>
      <c r="AE147" s="182"/>
      <c r="AF147" s="182"/>
      <c r="AG147" s="182"/>
      <c r="AH147" s="182"/>
      <c r="AI147" s="182"/>
      <c r="AJ147" s="182"/>
      <c r="AK147" s="182"/>
      <c r="AL147" s="182"/>
      <c r="AM147" s="182"/>
      <c r="AN147" s="182"/>
      <c r="AO147" s="182"/>
      <c r="AP147" s="182"/>
      <c r="AQ147" s="182"/>
      <c r="AR147" s="182"/>
      <c r="AS147" s="182"/>
      <c r="AT147" s="182"/>
      <c r="AU147" s="182"/>
      <c r="AV147" s="182"/>
      <c r="AW147" s="182"/>
      <c r="AX147" s="182"/>
      <c r="AY147" s="182"/>
      <c r="AZ147" s="182"/>
      <c r="BA147" s="182"/>
      <c r="BB147" s="182"/>
      <c r="BC147" s="182"/>
      <c r="BD147" s="182"/>
      <c r="BE147" s="182"/>
      <c r="BF147" s="182"/>
      <c r="BG147" s="182"/>
      <c r="BH147" s="182"/>
      <c r="BI147" s="182"/>
      <c r="BJ147" s="182"/>
      <c r="BK147" s="182"/>
      <c r="BL147" s="182"/>
      <c r="BM147" s="182"/>
      <c r="BN147" s="182"/>
      <c r="BO147" s="182"/>
      <c r="BP147" s="182"/>
      <c r="BQ147" s="182"/>
      <c r="BR147" s="182"/>
    </row>
    <row r="148" spans="4:70">
      <c r="D148" s="182"/>
      <c r="E148" s="182"/>
      <c r="F148" s="182"/>
      <c r="G148" s="182"/>
      <c r="H148" s="182"/>
      <c r="I148" s="182"/>
      <c r="J148" s="182"/>
      <c r="K148" s="182"/>
      <c r="L148" s="182"/>
      <c r="M148" s="182"/>
      <c r="N148" s="182"/>
      <c r="O148" s="389"/>
      <c r="P148" s="183"/>
      <c r="Q148" s="182"/>
      <c r="R148" s="182"/>
      <c r="S148" s="182"/>
      <c r="T148" s="182"/>
      <c r="U148" s="182"/>
      <c r="V148" s="182"/>
      <c r="W148" s="182"/>
      <c r="X148" s="182"/>
      <c r="Y148" s="182"/>
      <c r="Z148" s="182"/>
      <c r="AA148" s="389"/>
      <c r="AB148" s="183"/>
      <c r="AC148" s="182"/>
      <c r="AD148" s="182"/>
      <c r="AE148" s="182"/>
      <c r="AF148" s="182"/>
      <c r="AG148" s="182"/>
      <c r="AH148" s="182"/>
      <c r="AI148" s="182"/>
      <c r="AJ148" s="182"/>
      <c r="AK148" s="182"/>
      <c r="AL148" s="182"/>
      <c r="AM148" s="182"/>
      <c r="AN148" s="182"/>
      <c r="AO148" s="182"/>
      <c r="AP148" s="182"/>
      <c r="AQ148" s="182"/>
      <c r="AR148" s="182"/>
      <c r="AS148" s="182"/>
      <c r="AT148" s="182"/>
      <c r="AU148" s="182"/>
      <c r="AV148" s="182"/>
      <c r="AW148" s="182"/>
      <c r="AX148" s="182"/>
      <c r="AY148" s="182"/>
      <c r="AZ148" s="182"/>
      <c r="BA148" s="182"/>
      <c r="BB148" s="182"/>
      <c r="BC148" s="182"/>
      <c r="BD148" s="182"/>
      <c r="BE148" s="182"/>
      <c r="BF148" s="182"/>
      <c r="BG148" s="182"/>
      <c r="BH148" s="182"/>
      <c r="BI148" s="182"/>
      <c r="BJ148" s="182"/>
      <c r="BK148" s="182"/>
      <c r="BL148" s="182"/>
      <c r="BM148" s="182"/>
      <c r="BN148" s="182"/>
      <c r="BO148" s="182"/>
      <c r="BP148" s="182"/>
      <c r="BQ148" s="182"/>
      <c r="BR148" s="182"/>
    </row>
    <row r="149" spans="4:70">
      <c r="D149" s="182"/>
      <c r="E149" s="182"/>
      <c r="F149" s="182"/>
      <c r="G149" s="182"/>
      <c r="H149" s="182"/>
      <c r="I149" s="182"/>
      <c r="J149" s="182"/>
      <c r="K149" s="182"/>
      <c r="L149" s="182"/>
      <c r="M149" s="182"/>
      <c r="N149" s="182"/>
      <c r="O149" s="389"/>
      <c r="P149" s="183"/>
      <c r="Q149" s="182"/>
      <c r="R149" s="182"/>
      <c r="S149" s="182"/>
      <c r="T149" s="182"/>
      <c r="U149" s="182"/>
      <c r="V149" s="182"/>
      <c r="W149" s="182"/>
      <c r="X149" s="182"/>
      <c r="Y149" s="182"/>
      <c r="Z149" s="182"/>
      <c r="AA149" s="389"/>
      <c r="AB149" s="183"/>
      <c r="AC149" s="182"/>
      <c r="AD149" s="182"/>
      <c r="AE149" s="182"/>
      <c r="AF149" s="182"/>
      <c r="AG149" s="182"/>
      <c r="AH149" s="182"/>
      <c r="AI149" s="182"/>
      <c r="AJ149" s="182"/>
      <c r="AK149" s="182"/>
      <c r="AL149" s="182"/>
      <c r="AM149" s="182"/>
      <c r="AN149" s="182"/>
      <c r="AO149" s="182"/>
      <c r="AP149" s="182"/>
      <c r="AQ149" s="182"/>
      <c r="AR149" s="182"/>
      <c r="AS149" s="182"/>
      <c r="AT149" s="182"/>
      <c r="AU149" s="182"/>
      <c r="AV149" s="182"/>
      <c r="AW149" s="182"/>
      <c r="AX149" s="182"/>
      <c r="AY149" s="182"/>
      <c r="AZ149" s="182"/>
      <c r="BA149" s="182"/>
      <c r="BB149" s="182"/>
      <c r="BC149" s="182"/>
      <c r="BD149" s="182"/>
      <c r="BE149" s="182"/>
      <c r="BF149" s="182"/>
      <c r="BG149" s="182"/>
      <c r="BH149" s="182"/>
      <c r="BI149" s="182"/>
      <c r="BJ149" s="182"/>
      <c r="BK149" s="182"/>
      <c r="BL149" s="182"/>
      <c r="BM149" s="182"/>
      <c r="BN149" s="182"/>
      <c r="BO149" s="182"/>
      <c r="BP149" s="182"/>
      <c r="BQ149" s="182"/>
      <c r="BR149" s="182"/>
    </row>
    <row r="150" spans="4:70">
      <c r="D150" s="182"/>
      <c r="E150" s="182"/>
      <c r="F150" s="182"/>
      <c r="G150" s="182"/>
      <c r="H150" s="182"/>
      <c r="I150" s="182"/>
      <c r="J150" s="182"/>
      <c r="K150" s="182"/>
      <c r="L150" s="182"/>
      <c r="M150" s="182"/>
      <c r="N150" s="182"/>
      <c r="O150" s="389"/>
      <c r="P150" s="183"/>
      <c r="Q150" s="182"/>
      <c r="R150" s="182"/>
      <c r="S150" s="182"/>
      <c r="T150" s="182"/>
      <c r="U150" s="182"/>
      <c r="V150" s="182"/>
      <c r="W150" s="182"/>
      <c r="X150" s="182"/>
      <c r="Y150" s="182"/>
      <c r="Z150" s="182"/>
      <c r="AA150" s="389"/>
      <c r="AB150" s="183"/>
      <c r="AC150" s="182"/>
      <c r="AD150" s="182"/>
      <c r="AE150" s="182"/>
      <c r="AF150" s="182"/>
      <c r="AG150" s="182"/>
      <c r="AH150" s="182"/>
      <c r="AI150" s="182"/>
      <c r="AJ150" s="182"/>
      <c r="AK150" s="182"/>
      <c r="AL150" s="182"/>
      <c r="AM150" s="182"/>
      <c r="AN150" s="182"/>
      <c r="AO150" s="182"/>
      <c r="AP150" s="182"/>
      <c r="AQ150" s="182"/>
      <c r="AR150" s="182"/>
      <c r="AS150" s="182"/>
      <c r="AT150" s="182"/>
      <c r="AU150" s="182"/>
      <c r="AV150" s="182"/>
      <c r="AW150" s="182"/>
      <c r="AX150" s="182"/>
      <c r="AY150" s="182"/>
      <c r="AZ150" s="182"/>
      <c r="BA150" s="182"/>
      <c r="BB150" s="182"/>
      <c r="BC150" s="182"/>
      <c r="BD150" s="182"/>
      <c r="BE150" s="182"/>
      <c r="BF150" s="182"/>
      <c r="BG150" s="182"/>
      <c r="BH150" s="182"/>
      <c r="BI150" s="182"/>
      <c r="BJ150" s="182"/>
      <c r="BK150" s="182"/>
      <c r="BL150" s="182"/>
      <c r="BM150" s="182"/>
      <c r="BN150" s="182"/>
      <c r="BO150" s="182"/>
      <c r="BP150" s="182"/>
      <c r="BQ150" s="182"/>
      <c r="BR150" s="182"/>
    </row>
    <row r="151" spans="4:70">
      <c r="D151" s="182"/>
      <c r="E151" s="182"/>
      <c r="F151" s="182"/>
      <c r="G151" s="182"/>
      <c r="H151" s="182"/>
      <c r="I151" s="182"/>
      <c r="J151" s="182"/>
      <c r="K151" s="182"/>
      <c r="L151" s="182"/>
      <c r="M151" s="182"/>
      <c r="N151" s="182"/>
      <c r="O151" s="389"/>
      <c r="P151" s="183"/>
      <c r="Q151" s="182"/>
      <c r="R151" s="182"/>
      <c r="S151" s="182"/>
      <c r="T151" s="182"/>
      <c r="U151" s="182"/>
      <c r="V151" s="182"/>
      <c r="W151" s="182"/>
      <c r="X151" s="182"/>
      <c r="Y151" s="182"/>
      <c r="Z151" s="182"/>
      <c r="AA151" s="389"/>
      <c r="AB151" s="183"/>
      <c r="AC151" s="182"/>
      <c r="AD151" s="182"/>
      <c r="AE151" s="182"/>
      <c r="AF151" s="182"/>
      <c r="AG151" s="182"/>
      <c r="AH151" s="182"/>
      <c r="AI151" s="182"/>
      <c r="AJ151" s="182"/>
      <c r="AK151" s="182"/>
      <c r="AL151" s="182"/>
      <c r="AM151" s="182"/>
      <c r="AN151" s="182"/>
      <c r="AO151" s="182"/>
      <c r="AP151" s="182"/>
      <c r="AQ151" s="182"/>
      <c r="AR151" s="182"/>
      <c r="AS151" s="182"/>
      <c r="AT151" s="182"/>
      <c r="AU151" s="182"/>
      <c r="AV151" s="182"/>
      <c r="AW151" s="182"/>
      <c r="AX151" s="182"/>
      <c r="AY151" s="182"/>
      <c r="AZ151" s="182"/>
      <c r="BA151" s="182"/>
      <c r="BB151" s="182"/>
      <c r="BC151" s="182"/>
      <c r="BD151" s="182"/>
      <c r="BE151" s="182"/>
      <c r="BF151" s="182"/>
      <c r="BG151" s="182"/>
      <c r="BH151" s="182"/>
      <c r="BI151" s="182"/>
      <c r="BJ151" s="182"/>
      <c r="BK151" s="182"/>
      <c r="BL151" s="182"/>
      <c r="BM151" s="182"/>
      <c r="BN151" s="182"/>
      <c r="BO151" s="182"/>
      <c r="BP151" s="182"/>
      <c r="BQ151" s="182"/>
      <c r="BR151" s="182"/>
    </row>
    <row r="152" spans="4:70">
      <c r="D152" s="182"/>
      <c r="E152" s="182"/>
      <c r="F152" s="182"/>
      <c r="G152" s="182"/>
      <c r="H152" s="182"/>
      <c r="I152" s="182"/>
      <c r="J152" s="182"/>
      <c r="K152" s="182"/>
      <c r="L152" s="182"/>
      <c r="M152" s="182"/>
      <c r="N152" s="182"/>
      <c r="O152" s="389"/>
      <c r="P152" s="183"/>
      <c r="Q152" s="182"/>
      <c r="R152" s="182"/>
      <c r="S152" s="182"/>
      <c r="T152" s="182"/>
      <c r="U152" s="182"/>
      <c r="V152" s="182"/>
      <c r="W152" s="182"/>
      <c r="X152" s="182"/>
      <c r="Y152" s="182"/>
      <c r="Z152" s="182"/>
      <c r="AA152" s="389"/>
      <c r="AB152" s="183"/>
      <c r="AC152" s="182"/>
      <c r="AD152" s="182"/>
      <c r="AE152" s="182"/>
      <c r="AF152" s="182"/>
      <c r="AG152" s="182"/>
      <c r="AH152" s="182"/>
      <c r="AI152" s="182"/>
      <c r="AJ152" s="182"/>
      <c r="AK152" s="182"/>
      <c r="AL152" s="182"/>
      <c r="AM152" s="182"/>
      <c r="AN152" s="182"/>
      <c r="AO152" s="182"/>
      <c r="AP152" s="182"/>
      <c r="AQ152" s="182"/>
      <c r="AR152" s="182"/>
      <c r="AS152" s="182"/>
      <c r="AT152" s="182"/>
      <c r="AU152" s="182"/>
      <c r="AV152" s="182"/>
      <c r="AW152" s="182"/>
      <c r="AX152" s="182"/>
      <c r="AY152" s="182"/>
      <c r="AZ152" s="182"/>
      <c r="BA152" s="182"/>
      <c r="BB152" s="182"/>
      <c r="BC152" s="182"/>
      <c r="BD152" s="182"/>
      <c r="BE152" s="182"/>
      <c r="BF152" s="182"/>
      <c r="BG152" s="182"/>
      <c r="BH152" s="182"/>
      <c r="BI152" s="182"/>
      <c r="BJ152" s="182"/>
      <c r="BK152" s="182"/>
      <c r="BL152" s="182"/>
      <c r="BM152" s="182"/>
      <c r="BN152" s="182"/>
      <c r="BO152" s="182"/>
      <c r="BP152" s="182"/>
      <c r="BQ152" s="182"/>
      <c r="BR152" s="182"/>
    </row>
    <row r="153" spans="4:70">
      <c r="D153" s="182"/>
      <c r="E153" s="182"/>
      <c r="F153" s="182"/>
      <c r="G153" s="182"/>
      <c r="H153" s="182"/>
      <c r="I153" s="182"/>
      <c r="J153" s="182"/>
      <c r="K153" s="182"/>
      <c r="L153" s="182"/>
      <c r="M153" s="182"/>
      <c r="N153" s="182"/>
      <c r="O153" s="389"/>
      <c r="P153" s="183"/>
      <c r="Q153" s="182"/>
      <c r="R153" s="182"/>
      <c r="S153" s="182"/>
      <c r="T153" s="182"/>
      <c r="U153" s="182"/>
      <c r="V153" s="182"/>
      <c r="W153" s="182"/>
      <c r="X153" s="182"/>
      <c r="Y153" s="182"/>
      <c r="Z153" s="182"/>
      <c r="AA153" s="389"/>
      <c r="AB153" s="183"/>
      <c r="AC153" s="182"/>
      <c r="AD153" s="182"/>
      <c r="AE153" s="182"/>
      <c r="AF153" s="182"/>
      <c r="AG153" s="182"/>
      <c r="AH153" s="182"/>
      <c r="AI153" s="182"/>
      <c r="AJ153" s="182"/>
      <c r="AK153" s="182"/>
      <c r="AL153" s="182"/>
      <c r="AM153" s="182"/>
      <c r="AN153" s="182"/>
      <c r="AO153" s="182"/>
      <c r="AP153" s="182"/>
      <c r="AQ153" s="182"/>
      <c r="AR153" s="182"/>
      <c r="AS153" s="182"/>
      <c r="AT153" s="182"/>
      <c r="AU153" s="182"/>
      <c r="AV153" s="182"/>
      <c r="AW153" s="182"/>
      <c r="AX153" s="182"/>
      <c r="AY153" s="182"/>
      <c r="AZ153" s="182"/>
      <c r="BA153" s="182"/>
      <c r="BB153" s="182"/>
      <c r="BC153" s="182"/>
      <c r="BD153" s="182"/>
      <c r="BE153" s="182"/>
      <c r="BF153" s="182"/>
      <c r="BG153" s="182"/>
      <c r="BH153" s="182"/>
      <c r="BI153" s="182"/>
      <c r="BJ153" s="182"/>
      <c r="BK153" s="182"/>
      <c r="BL153" s="182"/>
      <c r="BM153" s="182"/>
      <c r="BN153" s="182"/>
      <c r="BO153" s="182"/>
      <c r="BP153" s="182"/>
      <c r="BQ153" s="182"/>
      <c r="BR153" s="182"/>
    </row>
    <row r="154" spans="4:70">
      <c r="D154" s="182"/>
      <c r="E154" s="182"/>
      <c r="F154" s="182"/>
      <c r="G154" s="182"/>
      <c r="H154" s="182"/>
      <c r="I154" s="182"/>
      <c r="J154" s="182"/>
      <c r="K154" s="182"/>
      <c r="L154" s="182"/>
      <c r="M154" s="182"/>
      <c r="N154" s="182"/>
      <c r="O154" s="389"/>
      <c r="P154" s="183"/>
      <c r="Q154" s="182"/>
      <c r="R154" s="182"/>
      <c r="S154" s="182"/>
      <c r="T154" s="182"/>
      <c r="U154" s="182"/>
      <c r="V154" s="182"/>
      <c r="W154" s="182"/>
      <c r="X154" s="182"/>
      <c r="Y154" s="182"/>
      <c r="Z154" s="182"/>
      <c r="AA154" s="389"/>
      <c r="AB154" s="183"/>
      <c r="AC154" s="182"/>
      <c r="AD154" s="182"/>
      <c r="AE154" s="182"/>
      <c r="AF154" s="182"/>
      <c r="AG154" s="182"/>
      <c r="AH154" s="182"/>
      <c r="AI154" s="182"/>
      <c r="AJ154" s="182"/>
      <c r="AK154" s="182"/>
      <c r="AL154" s="182"/>
      <c r="AM154" s="182"/>
      <c r="AN154" s="182"/>
      <c r="AO154" s="182"/>
      <c r="AP154" s="182"/>
      <c r="AQ154" s="182"/>
      <c r="AR154" s="182"/>
      <c r="AS154" s="182"/>
      <c r="AT154" s="182"/>
      <c r="AU154" s="182"/>
      <c r="AV154" s="182"/>
      <c r="AW154" s="182"/>
      <c r="AX154" s="182"/>
      <c r="AY154" s="182"/>
      <c r="AZ154" s="182"/>
      <c r="BA154" s="182"/>
      <c r="BB154" s="182"/>
      <c r="BC154" s="182"/>
      <c r="BD154" s="182"/>
      <c r="BE154" s="182"/>
      <c r="BF154" s="182"/>
      <c r="BG154" s="182"/>
      <c r="BH154" s="182"/>
      <c r="BI154" s="182"/>
      <c r="BJ154" s="182"/>
      <c r="BK154" s="182"/>
      <c r="BL154" s="182"/>
      <c r="BM154" s="182"/>
      <c r="BN154" s="182"/>
      <c r="BO154" s="182"/>
      <c r="BP154" s="182"/>
      <c r="BQ154" s="182"/>
      <c r="BR154" s="182"/>
    </row>
    <row r="155" spans="4:70">
      <c r="D155" s="182"/>
      <c r="E155" s="182"/>
      <c r="F155" s="182"/>
      <c r="G155" s="182"/>
      <c r="H155" s="182"/>
      <c r="I155" s="182"/>
      <c r="J155" s="182"/>
      <c r="K155" s="182"/>
      <c r="L155" s="182"/>
      <c r="M155" s="182"/>
      <c r="N155" s="182"/>
      <c r="O155" s="389"/>
      <c r="P155" s="183"/>
      <c r="Q155" s="182"/>
      <c r="R155" s="182"/>
      <c r="S155" s="182"/>
      <c r="T155" s="182"/>
      <c r="U155" s="182"/>
      <c r="V155" s="182"/>
      <c r="W155" s="182"/>
      <c r="X155" s="182"/>
      <c r="Y155" s="182"/>
      <c r="Z155" s="182"/>
      <c r="AA155" s="389"/>
      <c r="AB155" s="183"/>
      <c r="AC155" s="182"/>
      <c r="AD155" s="182"/>
      <c r="AE155" s="182"/>
      <c r="AF155" s="182"/>
      <c r="AG155" s="182"/>
      <c r="AH155" s="182"/>
      <c r="AI155" s="182"/>
      <c r="AJ155" s="182"/>
      <c r="AK155" s="182"/>
      <c r="AL155" s="182"/>
      <c r="AM155" s="182"/>
      <c r="AN155" s="182"/>
      <c r="AO155" s="182"/>
      <c r="AP155" s="182"/>
      <c r="AQ155" s="182"/>
      <c r="AR155" s="182"/>
      <c r="AS155" s="182"/>
      <c r="AT155" s="182"/>
      <c r="AU155" s="182"/>
      <c r="AV155" s="182"/>
      <c r="AW155" s="182"/>
      <c r="AX155" s="182"/>
      <c r="AY155" s="182"/>
      <c r="AZ155" s="182"/>
      <c r="BA155" s="182"/>
      <c r="BB155" s="182"/>
      <c r="BC155" s="182"/>
      <c r="BD155" s="182"/>
      <c r="BE155" s="182"/>
      <c r="BF155" s="182"/>
      <c r="BG155" s="182"/>
      <c r="BH155" s="182"/>
      <c r="BI155" s="182"/>
      <c r="BJ155" s="182"/>
      <c r="BK155" s="182"/>
      <c r="BL155" s="182"/>
      <c r="BM155" s="182"/>
      <c r="BN155" s="182"/>
      <c r="BO155" s="182"/>
      <c r="BP155" s="182"/>
      <c r="BQ155" s="182"/>
      <c r="BR155" s="182"/>
    </row>
    <row r="156" spans="4:70">
      <c r="D156" s="182"/>
      <c r="E156" s="182"/>
      <c r="F156" s="182"/>
      <c r="G156" s="182"/>
      <c r="H156" s="182"/>
      <c r="I156" s="182"/>
      <c r="J156" s="182"/>
      <c r="K156" s="182"/>
      <c r="L156" s="182"/>
      <c r="M156" s="182"/>
      <c r="N156" s="182"/>
      <c r="O156" s="389"/>
      <c r="P156" s="183"/>
      <c r="Q156" s="182"/>
      <c r="R156" s="182"/>
      <c r="S156" s="182"/>
      <c r="T156" s="182"/>
      <c r="U156" s="182"/>
      <c r="V156" s="182"/>
      <c r="W156" s="182"/>
      <c r="X156" s="182"/>
      <c r="Y156" s="182"/>
      <c r="Z156" s="182"/>
      <c r="AA156" s="389"/>
      <c r="AB156" s="183"/>
      <c r="AC156" s="182"/>
      <c r="AD156" s="182"/>
      <c r="AE156" s="182"/>
      <c r="AF156" s="182"/>
      <c r="AG156" s="182"/>
      <c r="AH156" s="182"/>
      <c r="AI156" s="182"/>
      <c r="AJ156" s="182"/>
      <c r="AK156" s="182"/>
      <c r="AL156" s="182"/>
      <c r="AM156" s="182"/>
      <c r="AN156" s="182"/>
      <c r="AO156" s="182"/>
      <c r="AP156" s="182"/>
      <c r="AQ156" s="182"/>
      <c r="AR156" s="182"/>
      <c r="AS156" s="182"/>
      <c r="AT156" s="182"/>
      <c r="AU156" s="182"/>
      <c r="AV156" s="182"/>
      <c r="AW156" s="182"/>
      <c r="AX156" s="182"/>
      <c r="AY156" s="182"/>
      <c r="AZ156" s="182"/>
      <c r="BA156" s="182"/>
      <c r="BB156" s="182"/>
      <c r="BC156" s="182"/>
      <c r="BD156" s="182"/>
      <c r="BE156" s="182"/>
      <c r="BF156" s="182"/>
      <c r="BG156" s="182"/>
      <c r="BH156" s="182"/>
      <c r="BI156" s="182"/>
      <c r="BJ156" s="182"/>
      <c r="BK156" s="182"/>
      <c r="BL156" s="182"/>
      <c r="BM156" s="182"/>
      <c r="BN156" s="182"/>
      <c r="BO156" s="182"/>
      <c r="BP156" s="182"/>
      <c r="BQ156" s="182"/>
      <c r="BR156" s="182"/>
    </row>
    <row r="157" spans="4:70">
      <c r="D157" s="182"/>
      <c r="E157" s="182"/>
      <c r="F157" s="182"/>
      <c r="G157" s="182"/>
      <c r="H157" s="182"/>
      <c r="I157" s="182"/>
      <c r="J157" s="182"/>
      <c r="K157" s="182"/>
      <c r="L157" s="182"/>
      <c r="M157" s="182"/>
      <c r="N157" s="182"/>
      <c r="O157" s="389"/>
      <c r="P157" s="183"/>
      <c r="Q157" s="182"/>
      <c r="R157" s="182"/>
      <c r="S157" s="182"/>
      <c r="T157" s="182"/>
      <c r="U157" s="182"/>
      <c r="V157" s="182"/>
      <c r="W157" s="182"/>
      <c r="X157" s="182"/>
      <c r="Y157" s="182"/>
      <c r="Z157" s="182"/>
      <c r="AA157" s="389"/>
      <c r="AB157" s="183"/>
      <c r="AC157" s="182"/>
      <c r="AD157" s="182"/>
      <c r="AE157" s="182"/>
      <c r="AF157" s="182"/>
      <c r="AG157" s="182"/>
      <c r="AH157" s="182"/>
      <c r="AI157" s="182"/>
      <c r="AJ157" s="182"/>
      <c r="AK157" s="182"/>
      <c r="AL157" s="182"/>
      <c r="AM157" s="182"/>
      <c r="AN157" s="182"/>
      <c r="AO157" s="182"/>
      <c r="AP157" s="182"/>
      <c r="AQ157" s="182"/>
      <c r="AR157" s="182"/>
      <c r="AS157" s="182"/>
      <c r="AT157" s="182"/>
      <c r="AU157" s="182"/>
      <c r="AV157" s="182"/>
      <c r="AW157" s="182"/>
      <c r="AX157" s="182"/>
      <c r="AY157" s="182"/>
      <c r="AZ157" s="182"/>
      <c r="BA157" s="182"/>
      <c r="BB157" s="182"/>
      <c r="BC157" s="182"/>
      <c r="BD157" s="182"/>
      <c r="BE157" s="182"/>
      <c r="BF157" s="182"/>
      <c r="BG157" s="182"/>
      <c r="BH157" s="182"/>
      <c r="BI157" s="182"/>
      <c r="BJ157" s="182"/>
      <c r="BK157" s="182"/>
      <c r="BL157" s="182"/>
      <c r="BM157" s="182"/>
      <c r="BN157" s="182"/>
      <c r="BO157" s="182"/>
      <c r="BP157" s="182"/>
      <c r="BQ157" s="182"/>
      <c r="BR157" s="182"/>
    </row>
    <row r="158" spans="4:70">
      <c r="D158" s="182"/>
      <c r="E158" s="182"/>
      <c r="F158" s="182"/>
      <c r="G158" s="182"/>
      <c r="H158" s="182"/>
      <c r="I158" s="182"/>
      <c r="J158" s="182"/>
      <c r="K158" s="182"/>
      <c r="L158" s="182"/>
      <c r="M158" s="182"/>
      <c r="N158" s="182"/>
      <c r="O158" s="389"/>
      <c r="P158" s="183"/>
      <c r="Q158" s="182"/>
      <c r="R158" s="182"/>
      <c r="S158" s="182"/>
      <c r="T158" s="182"/>
      <c r="U158" s="182"/>
      <c r="V158" s="182"/>
      <c r="W158" s="182"/>
      <c r="X158" s="182"/>
      <c r="Y158" s="182"/>
      <c r="Z158" s="182"/>
      <c r="AA158" s="389"/>
      <c r="AB158" s="183"/>
      <c r="AC158" s="182"/>
      <c r="AD158" s="182"/>
      <c r="AE158" s="182"/>
      <c r="AF158" s="182"/>
      <c r="AG158" s="182"/>
      <c r="AH158" s="182"/>
      <c r="AI158" s="182"/>
      <c r="AJ158" s="182"/>
      <c r="AK158" s="182"/>
      <c r="AL158" s="182"/>
      <c r="AM158" s="182"/>
      <c r="AN158" s="182"/>
      <c r="AO158" s="182"/>
      <c r="AP158" s="182"/>
      <c r="AQ158" s="182"/>
      <c r="AR158" s="182"/>
      <c r="AS158" s="182"/>
      <c r="AT158" s="182"/>
      <c r="AU158" s="182"/>
      <c r="AV158" s="182"/>
      <c r="AW158" s="182"/>
      <c r="AX158" s="182"/>
      <c r="AY158" s="182"/>
      <c r="AZ158" s="182"/>
      <c r="BA158" s="182"/>
      <c r="BB158" s="182"/>
      <c r="BC158" s="182"/>
      <c r="BD158" s="182"/>
      <c r="BE158" s="182"/>
      <c r="BF158" s="182"/>
      <c r="BG158" s="182"/>
      <c r="BH158" s="182"/>
      <c r="BI158" s="182"/>
      <c r="BJ158" s="182"/>
      <c r="BK158" s="182"/>
      <c r="BL158" s="182"/>
      <c r="BM158" s="182"/>
      <c r="BN158" s="182"/>
      <c r="BO158" s="182"/>
      <c r="BP158" s="182"/>
      <c r="BQ158" s="182"/>
      <c r="BR158" s="182"/>
    </row>
    <row r="159" spans="4:70">
      <c r="D159" s="182"/>
      <c r="E159" s="182"/>
      <c r="F159" s="182"/>
      <c r="G159" s="182"/>
      <c r="H159" s="182"/>
      <c r="I159" s="182"/>
      <c r="J159" s="182"/>
      <c r="K159" s="182"/>
      <c r="L159" s="182"/>
      <c r="M159" s="182"/>
      <c r="N159" s="182"/>
      <c r="O159" s="389"/>
      <c r="P159" s="183"/>
      <c r="Q159" s="182"/>
      <c r="R159" s="182"/>
      <c r="S159" s="182"/>
      <c r="T159" s="182"/>
      <c r="U159" s="182"/>
      <c r="V159" s="182"/>
      <c r="W159" s="182"/>
      <c r="X159" s="182"/>
      <c r="Y159" s="182"/>
      <c r="Z159" s="182"/>
      <c r="AA159" s="389"/>
      <c r="AB159" s="183"/>
      <c r="AC159" s="182"/>
      <c r="AD159" s="182"/>
      <c r="AE159" s="182"/>
      <c r="AF159" s="182"/>
      <c r="AG159" s="182"/>
      <c r="AH159" s="182"/>
      <c r="AI159" s="182"/>
      <c r="AJ159" s="182"/>
      <c r="AK159" s="182"/>
      <c r="AL159" s="182"/>
      <c r="AM159" s="182"/>
      <c r="AN159" s="182"/>
      <c r="AO159" s="182"/>
      <c r="AP159" s="182"/>
      <c r="AQ159" s="182"/>
      <c r="AR159" s="182"/>
      <c r="AS159" s="182"/>
      <c r="AT159" s="182"/>
      <c r="AU159" s="182"/>
      <c r="AV159" s="182"/>
      <c r="AW159" s="182"/>
      <c r="AX159" s="182"/>
      <c r="AY159" s="182"/>
      <c r="AZ159" s="182"/>
      <c r="BA159" s="182"/>
      <c r="BB159" s="182"/>
      <c r="BC159" s="182"/>
      <c r="BD159" s="182"/>
      <c r="BE159" s="182"/>
      <c r="BF159" s="182"/>
      <c r="BG159" s="182"/>
      <c r="BH159" s="182"/>
      <c r="BI159" s="182"/>
      <c r="BJ159" s="182"/>
      <c r="BK159" s="182"/>
      <c r="BL159" s="182"/>
      <c r="BM159" s="182"/>
      <c r="BN159" s="182"/>
      <c r="BO159" s="182"/>
      <c r="BP159" s="182"/>
      <c r="BQ159" s="182"/>
      <c r="BR159" s="182"/>
    </row>
    <row r="160" spans="4:70">
      <c r="D160" s="182"/>
      <c r="E160" s="182"/>
      <c r="F160" s="182"/>
      <c r="G160" s="182"/>
      <c r="H160" s="182"/>
      <c r="I160" s="182"/>
      <c r="J160" s="182"/>
      <c r="K160" s="182"/>
      <c r="L160" s="182"/>
      <c r="M160" s="182"/>
      <c r="N160" s="182"/>
      <c r="O160" s="389"/>
      <c r="P160" s="183"/>
      <c r="Q160" s="182"/>
      <c r="R160" s="182"/>
      <c r="S160" s="182"/>
      <c r="T160" s="182"/>
      <c r="U160" s="182"/>
      <c r="V160" s="182"/>
      <c r="W160" s="182"/>
      <c r="X160" s="182"/>
      <c r="Y160" s="182"/>
      <c r="Z160" s="182"/>
      <c r="AA160" s="389"/>
      <c r="AB160" s="183"/>
      <c r="AC160" s="182"/>
      <c r="AD160" s="182"/>
      <c r="AE160" s="182"/>
      <c r="AF160" s="182"/>
      <c r="AG160" s="182"/>
      <c r="AH160" s="182"/>
      <c r="AI160" s="182"/>
      <c r="AJ160" s="182"/>
      <c r="AK160" s="182"/>
      <c r="AL160" s="182"/>
      <c r="AM160" s="182"/>
      <c r="AN160" s="182"/>
      <c r="AO160" s="182"/>
      <c r="AP160" s="182"/>
      <c r="AQ160" s="182"/>
      <c r="AR160" s="182"/>
      <c r="AS160" s="182"/>
      <c r="AT160" s="182"/>
      <c r="AU160" s="182"/>
      <c r="AV160" s="182"/>
      <c r="AW160" s="182"/>
      <c r="AX160" s="182"/>
      <c r="AY160" s="182"/>
      <c r="AZ160" s="182"/>
      <c r="BA160" s="182"/>
      <c r="BB160" s="182"/>
      <c r="BC160" s="182"/>
      <c r="BD160" s="182"/>
      <c r="BE160" s="182"/>
      <c r="BF160" s="182"/>
      <c r="BG160" s="182"/>
      <c r="BH160" s="182"/>
      <c r="BI160" s="182"/>
      <c r="BJ160" s="182"/>
      <c r="BK160" s="182"/>
      <c r="BL160" s="182"/>
      <c r="BM160" s="182"/>
      <c r="BN160" s="182"/>
      <c r="BO160" s="182"/>
      <c r="BP160" s="182"/>
      <c r="BQ160" s="182"/>
      <c r="BR160" s="182"/>
    </row>
    <row r="161" spans="4:70">
      <c r="D161" s="182"/>
      <c r="E161" s="182"/>
      <c r="F161" s="182"/>
      <c r="G161" s="182"/>
      <c r="H161" s="182"/>
      <c r="I161" s="182"/>
      <c r="J161" s="182"/>
      <c r="K161" s="182"/>
      <c r="L161" s="182"/>
      <c r="M161" s="182"/>
      <c r="N161" s="182"/>
      <c r="O161" s="389"/>
      <c r="P161" s="183"/>
      <c r="Q161" s="182"/>
      <c r="R161" s="182"/>
      <c r="S161" s="182"/>
      <c r="T161" s="182"/>
      <c r="U161" s="182"/>
      <c r="V161" s="182"/>
      <c r="W161" s="182"/>
      <c r="X161" s="182"/>
      <c r="Y161" s="182"/>
      <c r="Z161" s="182"/>
      <c r="AA161" s="389"/>
      <c r="AB161" s="183"/>
      <c r="AC161" s="182"/>
      <c r="AD161" s="182"/>
      <c r="AE161" s="182"/>
      <c r="AF161" s="182"/>
      <c r="AG161" s="182"/>
      <c r="AH161" s="182"/>
      <c r="AI161" s="182"/>
      <c r="AJ161" s="182"/>
      <c r="AK161" s="182"/>
      <c r="AL161" s="182"/>
      <c r="AM161" s="182"/>
      <c r="AN161" s="182"/>
      <c r="AO161" s="182"/>
      <c r="AP161" s="182"/>
      <c r="AQ161" s="182"/>
      <c r="AR161" s="182"/>
      <c r="AS161" s="182"/>
      <c r="AT161" s="182"/>
      <c r="AU161" s="182"/>
      <c r="AV161" s="182"/>
      <c r="AW161" s="182"/>
      <c r="AX161" s="182"/>
      <c r="AY161" s="182"/>
      <c r="AZ161" s="182"/>
      <c r="BA161" s="182"/>
      <c r="BB161" s="182"/>
      <c r="BC161" s="182"/>
      <c r="BD161" s="182"/>
      <c r="BE161" s="182"/>
      <c r="BF161" s="182"/>
      <c r="BG161" s="182"/>
      <c r="BH161" s="182"/>
      <c r="BI161" s="182"/>
      <c r="BJ161" s="182"/>
      <c r="BK161" s="182"/>
      <c r="BL161" s="182"/>
      <c r="BM161" s="182"/>
      <c r="BN161" s="182"/>
      <c r="BO161" s="182"/>
      <c r="BP161" s="182"/>
      <c r="BQ161" s="182"/>
      <c r="BR161" s="182"/>
    </row>
    <row r="162" spans="4:70">
      <c r="D162" s="182"/>
      <c r="E162" s="182"/>
      <c r="F162" s="182"/>
      <c r="G162" s="182"/>
      <c r="H162" s="182"/>
      <c r="I162" s="182"/>
      <c r="J162" s="182"/>
      <c r="K162" s="182"/>
      <c r="L162" s="182"/>
      <c r="M162" s="182"/>
      <c r="N162" s="182"/>
      <c r="O162" s="389"/>
      <c r="P162" s="183"/>
      <c r="Q162" s="182"/>
      <c r="R162" s="182"/>
      <c r="S162" s="182"/>
      <c r="T162" s="182"/>
      <c r="U162" s="182"/>
      <c r="V162" s="182"/>
      <c r="W162" s="182"/>
      <c r="X162" s="182"/>
      <c r="Y162" s="182"/>
      <c r="Z162" s="182"/>
      <c r="AA162" s="389"/>
      <c r="AB162" s="183"/>
      <c r="AC162" s="182"/>
      <c r="AD162" s="182"/>
      <c r="AE162" s="182"/>
      <c r="AF162" s="182"/>
      <c r="AG162" s="182"/>
      <c r="AH162" s="182"/>
      <c r="AI162" s="182"/>
      <c r="AJ162" s="182"/>
      <c r="AK162" s="182"/>
      <c r="AL162" s="182"/>
      <c r="AM162" s="182"/>
      <c r="AN162" s="182"/>
      <c r="AO162" s="182"/>
      <c r="AP162" s="182"/>
      <c r="AQ162" s="182"/>
      <c r="AR162" s="182"/>
      <c r="AS162" s="182"/>
      <c r="AT162" s="182"/>
      <c r="AU162" s="182"/>
      <c r="AV162" s="182"/>
      <c r="AW162" s="182"/>
      <c r="AX162" s="182"/>
      <c r="AY162" s="182"/>
      <c r="AZ162" s="182"/>
      <c r="BA162" s="182"/>
      <c r="BB162" s="182"/>
      <c r="BC162" s="182"/>
      <c r="BD162" s="182"/>
      <c r="BE162" s="182"/>
      <c r="BF162" s="182"/>
      <c r="BG162" s="182"/>
      <c r="BH162" s="182"/>
      <c r="BI162" s="182"/>
      <c r="BJ162" s="182"/>
      <c r="BK162" s="182"/>
      <c r="BL162" s="182"/>
      <c r="BM162" s="182"/>
      <c r="BN162" s="182"/>
      <c r="BO162" s="182"/>
      <c r="BP162" s="182"/>
      <c r="BQ162" s="182"/>
      <c r="BR162" s="182"/>
    </row>
    <row r="163" spans="4:70">
      <c r="D163" s="182"/>
      <c r="E163" s="182"/>
      <c r="F163" s="182"/>
      <c r="G163" s="182"/>
      <c r="H163" s="182"/>
      <c r="I163" s="182"/>
      <c r="J163" s="182"/>
      <c r="K163" s="182"/>
      <c r="L163" s="182"/>
      <c r="M163" s="182"/>
      <c r="N163" s="182"/>
      <c r="O163" s="389"/>
      <c r="P163" s="183"/>
      <c r="Q163" s="182"/>
      <c r="R163" s="182"/>
      <c r="S163" s="182"/>
      <c r="T163" s="182"/>
      <c r="U163" s="182"/>
      <c r="V163" s="182"/>
      <c r="W163" s="182"/>
      <c r="X163" s="182"/>
      <c r="Y163" s="182"/>
      <c r="Z163" s="182"/>
      <c r="AA163" s="389"/>
      <c r="AB163" s="183"/>
      <c r="AC163" s="182"/>
      <c r="AD163" s="182"/>
      <c r="AE163" s="182"/>
      <c r="AF163" s="182"/>
      <c r="AG163" s="182"/>
      <c r="AH163" s="182"/>
      <c r="AI163" s="182"/>
      <c r="AJ163" s="182"/>
      <c r="AK163" s="182"/>
      <c r="AL163" s="182"/>
      <c r="AM163" s="182"/>
      <c r="AN163" s="182"/>
      <c r="AO163" s="182"/>
      <c r="AP163" s="182"/>
      <c r="AQ163" s="182"/>
      <c r="AR163" s="182"/>
      <c r="AS163" s="182"/>
      <c r="AT163" s="182"/>
      <c r="AU163" s="182"/>
      <c r="AV163" s="182"/>
      <c r="AW163" s="182"/>
      <c r="AX163" s="182"/>
      <c r="AY163" s="182"/>
      <c r="AZ163" s="182"/>
      <c r="BA163" s="182"/>
      <c r="BB163" s="182"/>
      <c r="BC163" s="182"/>
      <c r="BD163" s="182"/>
      <c r="BE163" s="182"/>
      <c r="BF163" s="182"/>
      <c r="BG163" s="182"/>
      <c r="BH163" s="182"/>
      <c r="BI163" s="182"/>
      <c r="BJ163" s="182"/>
      <c r="BK163" s="182"/>
      <c r="BL163" s="182"/>
      <c r="BM163" s="182"/>
      <c r="BN163" s="182"/>
      <c r="BO163" s="182"/>
      <c r="BP163" s="182"/>
      <c r="BQ163" s="182"/>
      <c r="BR163" s="182"/>
    </row>
    <row r="164" spans="4:70">
      <c r="D164" s="182"/>
      <c r="E164" s="182"/>
      <c r="F164" s="182"/>
      <c r="G164" s="182"/>
      <c r="H164" s="182"/>
      <c r="I164" s="182"/>
      <c r="J164" s="182"/>
      <c r="K164" s="182"/>
      <c r="L164" s="182"/>
      <c r="M164" s="182"/>
      <c r="N164" s="182"/>
      <c r="O164" s="389"/>
      <c r="P164" s="183"/>
      <c r="Q164" s="182"/>
      <c r="R164" s="182"/>
      <c r="S164" s="182"/>
      <c r="T164" s="182"/>
      <c r="U164" s="182"/>
      <c r="V164" s="182"/>
      <c r="W164" s="182"/>
      <c r="X164" s="182"/>
      <c r="Y164" s="182"/>
      <c r="Z164" s="182"/>
      <c r="AA164" s="389"/>
      <c r="AB164" s="183"/>
      <c r="AC164" s="182"/>
      <c r="AD164" s="182"/>
      <c r="AE164" s="182"/>
      <c r="AF164" s="182"/>
      <c r="AG164" s="182"/>
      <c r="AH164" s="182"/>
      <c r="AI164" s="182"/>
      <c r="AJ164" s="182"/>
      <c r="AK164" s="182"/>
      <c r="AL164" s="182"/>
      <c r="AM164" s="182"/>
      <c r="AN164" s="182"/>
      <c r="AO164" s="182"/>
      <c r="AP164" s="182"/>
      <c r="AQ164" s="182"/>
      <c r="AR164" s="182"/>
      <c r="AS164" s="182"/>
      <c r="AT164" s="182"/>
      <c r="AU164" s="182"/>
      <c r="AV164" s="182"/>
      <c r="AW164" s="182"/>
      <c r="AX164" s="182"/>
      <c r="AY164" s="182"/>
      <c r="AZ164" s="182"/>
      <c r="BA164" s="182"/>
      <c r="BB164" s="182"/>
      <c r="BC164" s="182"/>
      <c r="BD164" s="182"/>
      <c r="BE164" s="182"/>
      <c r="BF164" s="182"/>
      <c r="BG164" s="182"/>
      <c r="BH164" s="182"/>
      <c r="BI164" s="182"/>
      <c r="BJ164" s="182"/>
      <c r="BK164" s="182"/>
      <c r="BL164" s="182"/>
      <c r="BM164" s="182"/>
      <c r="BN164" s="182"/>
      <c r="BO164" s="182"/>
      <c r="BP164" s="182"/>
      <c r="BQ164" s="182"/>
      <c r="BR164" s="182"/>
    </row>
    <row r="165" spans="4:70">
      <c r="D165" s="182"/>
      <c r="E165" s="182"/>
      <c r="F165" s="182"/>
      <c r="G165" s="182"/>
      <c r="H165" s="182"/>
      <c r="I165" s="182"/>
      <c r="J165" s="182"/>
      <c r="K165" s="182"/>
      <c r="L165" s="182"/>
      <c r="M165" s="182"/>
      <c r="N165" s="182"/>
      <c r="O165" s="389"/>
      <c r="P165" s="183"/>
      <c r="Q165" s="182"/>
      <c r="R165" s="182"/>
      <c r="S165" s="182"/>
      <c r="T165" s="182"/>
      <c r="U165" s="182"/>
      <c r="V165" s="182"/>
      <c r="W165" s="182"/>
      <c r="X165" s="182"/>
      <c r="Y165" s="182"/>
      <c r="Z165" s="182"/>
      <c r="AA165" s="389"/>
      <c r="AB165" s="183"/>
      <c r="AC165" s="182"/>
      <c r="AD165" s="182"/>
      <c r="AE165" s="182"/>
      <c r="AF165" s="182"/>
      <c r="AG165" s="182"/>
      <c r="AH165" s="182"/>
      <c r="AI165" s="182"/>
      <c r="AJ165" s="182"/>
      <c r="AK165" s="182"/>
      <c r="AL165" s="182"/>
      <c r="AM165" s="182"/>
      <c r="AN165" s="182"/>
      <c r="AO165" s="182"/>
      <c r="AP165" s="182"/>
      <c r="AQ165" s="182"/>
      <c r="AR165" s="182"/>
      <c r="AS165" s="182"/>
      <c r="AT165" s="182"/>
      <c r="AU165" s="182"/>
      <c r="AV165" s="182"/>
      <c r="AW165" s="182"/>
      <c r="AX165" s="182"/>
      <c r="AY165" s="182"/>
      <c r="AZ165" s="182"/>
      <c r="BA165" s="182"/>
      <c r="BB165" s="182"/>
      <c r="BC165" s="182"/>
      <c r="BD165" s="182"/>
      <c r="BE165" s="182"/>
      <c r="BF165" s="182"/>
      <c r="BG165" s="182"/>
      <c r="BH165" s="182"/>
      <c r="BI165" s="182"/>
      <c r="BJ165" s="182"/>
      <c r="BK165" s="182"/>
      <c r="BL165" s="182"/>
      <c r="BM165" s="182"/>
      <c r="BN165" s="182"/>
      <c r="BO165" s="182"/>
      <c r="BP165" s="182"/>
      <c r="BQ165" s="182"/>
      <c r="BR165" s="182"/>
    </row>
    <row r="166" spans="4:70">
      <c r="D166" s="182"/>
      <c r="E166" s="182"/>
      <c r="F166" s="182"/>
      <c r="G166" s="182"/>
      <c r="H166" s="182"/>
      <c r="I166" s="182"/>
      <c r="J166" s="182"/>
      <c r="K166" s="182"/>
      <c r="L166" s="182"/>
      <c r="M166" s="182"/>
      <c r="N166" s="182"/>
      <c r="O166" s="389"/>
      <c r="P166" s="183"/>
      <c r="Q166" s="182"/>
      <c r="R166" s="182"/>
      <c r="S166" s="182"/>
      <c r="T166" s="182"/>
      <c r="U166" s="182"/>
      <c r="V166" s="182"/>
      <c r="W166" s="182"/>
      <c r="X166" s="182"/>
      <c r="Y166" s="182"/>
      <c r="Z166" s="182"/>
      <c r="AA166" s="389"/>
      <c r="AB166" s="183"/>
      <c r="AC166" s="182"/>
      <c r="AD166" s="182"/>
      <c r="AE166" s="182"/>
      <c r="AF166" s="182"/>
      <c r="AG166" s="182"/>
      <c r="AH166" s="182"/>
      <c r="AI166" s="182"/>
      <c r="AJ166" s="182"/>
      <c r="AK166" s="182"/>
      <c r="AL166" s="182"/>
      <c r="AM166" s="182"/>
      <c r="AN166" s="182"/>
      <c r="AO166" s="182"/>
      <c r="AP166" s="182"/>
      <c r="AQ166" s="182"/>
      <c r="AR166" s="182"/>
      <c r="AS166" s="182"/>
      <c r="AT166" s="182"/>
      <c r="AU166" s="182"/>
      <c r="AV166" s="182"/>
      <c r="AW166" s="182"/>
      <c r="AX166" s="182"/>
      <c r="AY166" s="182"/>
      <c r="AZ166" s="182"/>
      <c r="BA166" s="182"/>
      <c r="BB166" s="182"/>
      <c r="BC166" s="182"/>
      <c r="BD166" s="182"/>
      <c r="BE166" s="182"/>
      <c r="BF166" s="182"/>
      <c r="BG166" s="182"/>
      <c r="BH166" s="182"/>
      <c r="BI166" s="182"/>
      <c r="BJ166" s="182"/>
      <c r="BK166" s="182"/>
      <c r="BL166" s="182"/>
      <c r="BM166" s="182"/>
      <c r="BN166" s="182"/>
      <c r="BO166" s="182"/>
      <c r="BP166" s="182"/>
      <c r="BQ166" s="182"/>
      <c r="BR166" s="182"/>
    </row>
    <row r="167" spans="4:70">
      <c r="D167" s="182"/>
      <c r="E167" s="182"/>
      <c r="F167" s="182"/>
      <c r="G167" s="182"/>
      <c r="H167" s="182"/>
      <c r="I167" s="182"/>
      <c r="J167" s="182"/>
      <c r="K167" s="182"/>
      <c r="L167" s="182"/>
      <c r="M167" s="182"/>
      <c r="N167" s="182"/>
      <c r="O167" s="389"/>
      <c r="P167" s="183"/>
      <c r="Q167" s="182"/>
      <c r="R167" s="182"/>
      <c r="S167" s="182"/>
      <c r="T167" s="182"/>
      <c r="U167" s="182"/>
      <c r="V167" s="182"/>
      <c r="W167" s="182"/>
      <c r="X167" s="182"/>
      <c r="Y167" s="182"/>
      <c r="Z167" s="182"/>
      <c r="AA167" s="389"/>
      <c r="AB167" s="183"/>
      <c r="AC167" s="182"/>
      <c r="AD167" s="182"/>
      <c r="AE167" s="182"/>
      <c r="AF167" s="182"/>
      <c r="AG167" s="182"/>
      <c r="AH167" s="182"/>
      <c r="AI167" s="182"/>
      <c r="AJ167" s="182"/>
      <c r="AK167" s="182"/>
      <c r="AL167" s="182"/>
      <c r="AM167" s="182"/>
      <c r="AN167" s="182"/>
      <c r="AO167" s="182"/>
      <c r="AP167" s="182"/>
      <c r="AQ167" s="182"/>
      <c r="AR167" s="182"/>
      <c r="AS167" s="182"/>
      <c r="AT167" s="182"/>
      <c r="AU167" s="182"/>
      <c r="AV167" s="182"/>
      <c r="AW167" s="182"/>
      <c r="AX167" s="182"/>
      <c r="AY167" s="182"/>
      <c r="AZ167" s="182"/>
      <c r="BA167" s="182"/>
      <c r="BB167" s="182"/>
      <c r="BC167" s="182"/>
      <c r="BD167" s="182"/>
      <c r="BE167" s="182"/>
      <c r="BF167" s="182"/>
      <c r="BG167" s="182"/>
      <c r="BH167" s="182"/>
      <c r="BI167" s="182"/>
      <c r="BJ167" s="182"/>
      <c r="BK167" s="182"/>
      <c r="BL167" s="182"/>
      <c r="BM167" s="182"/>
      <c r="BN167" s="182"/>
      <c r="BO167" s="182"/>
      <c r="BP167" s="182"/>
      <c r="BQ167" s="182"/>
      <c r="BR167" s="182"/>
    </row>
    <row r="168" spans="4:70">
      <c r="D168" s="182"/>
      <c r="E168" s="182"/>
      <c r="F168" s="182"/>
      <c r="G168" s="182"/>
      <c r="H168" s="182"/>
      <c r="I168" s="182"/>
      <c r="J168" s="182"/>
      <c r="K168" s="182"/>
      <c r="L168" s="182"/>
      <c r="M168" s="182"/>
      <c r="N168" s="182"/>
      <c r="O168" s="389"/>
      <c r="P168" s="183"/>
      <c r="Q168" s="182"/>
      <c r="R168" s="182"/>
      <c r="S168" s="182"/>
      <c r="T168" s="182"/>
      <c r="U168" s="182"/>
      <c r="V168" s="182"/>
      <c r="W168" s="182"/>
      <c r="X168" s="182"/>
      <c r="Y168" s="182"/>
      <c r="Z168" s="182"/>
      <c r="AA168" s="389"/>
      <c r="AB168" s="183"/>
      <c r="AC168" s="182"/>
      <c r="AD168" s="182"/>
      <c r="AE168" s="182"/>
      <c r="AF168" s="182"/>
      <c r="AG168" s="182"/>
      <c r="AH168" s="182"/>
      <c r="AI168" s="182"/>
      <c r="AJ168" s="182"/>
      <c r="AK168" s="182"/>
      <c r="AL168" s="182"/>
      <c r="AM168" s="182"/>
      <c r="AN168" s="182"/>
      <c r="AO168" s="182"/>
      <c r="AP168" s="182"/>
      <c r="AQ168" s="182"/>
      <c r="AR168" s="182"/>
      <c r="AS168" s="182"/>
      <c r="AT168" s="182"/>
      <c r="AU168" s="182"/>
      <c r="AV168" s="182"/>
      <c r="AW168" s="182"/>
      <c r="AX168" s="182"/>
      <c r="AY168" s="182"/>
      <c r="AZ168" s="182"/>
      <c r="BA168" s="182"/>
      <c r="BB168" s="182"/>
      <c r="BC168" s="182"/>
      <c r="BD168" s="182"/>
      <c r="BE168" s="182"/>
      <c r="BF168" s="182"/>
      <c r="BG168" s="182"/>
      <c r="BH168" s="182"/>
      <c r="BI168" s="182"/>
      <c r="BJ168" s="182"/>
      <c r="BK168" s="182"/>
      <c r="BL168" s="182"/>
      <c r="BM168" s="182"/>
      <c r="BN168" s="182"/>
      <c r="BO168" s="182"/>
      <c r="BP168" s="182"/>
      <c r="BQ168" s="182"/>
      <c r="BR168" s="182"/>
    </row>
    <row r="169" spans="4:70">
      <c r="D169" s="182"/>
      <c r="E169" s="182"/>
      <c r="F169" s="182"/>
      <c r="G169" s="182"/>
      <c r="H169" s="182"/>
      <c r="I169" s="182"/>
      <c r="J169" s="182"/>
      <c r="K169" s="182"/>
      <c r="L169" s="182"/>
      <c r="M169" s="182"/>
      <c r="N169" s="182"/>
      <c r="O169" s="389"/>
      <c r="P169" s="183"/>
      <c r="Q169" s="182"/>
      <c r="R169" s="182"/>
      <c r="S169" s="182"/>
      <c r="T169" s="182"/>
      <c r="U169" s="182"/>
      <c r="V169" s="182"/>
      <c r="W169" s="182"/>
      <c r="X169" s="182"/>
      <c r="Y169" s="182"/>
      <c r="Z169" s="182"/>
      <c r="AA169" s="389"/>
      <c r="AB169" s="183"/>
      <c r="AC169" s="182"/>
      <c r="AD169" s="182"/>
      <c r="AE169" s="182"/>
      <c r="AF169" s="182"/>
      <c r="AG169" s="182"/>
      <c r="AH169" s="182"/>
      <c r="AI169" s="182"/>
      <c r="AJ169" s="182"/>
      <c r="AK169" s="182"/>
      <c r="AL169" s="182"/>
      <c r="AM169" s="182"/>
      <c r="AN169" s="182"/>
      <c r="AO169" s="182"/>
      <c r="AP169" s="182"/>
      <c r="AQ169" s="182"/>
      <c r="AR169" s="182"/>
      <c r="AS169" s="182"/>
      <c r="AT169" s="182"/>
      <c r="AU169" s="182"/>
      <c r="AV169" s="182"/>
      <c r="AW169" s="182"/>
      <c r="AX169" s="182"/>
      <c r="AY169" s="182"/>
      <c r="AZ169" s="182"/>
      <c r="BA169" s="182"/>
      <c r="BB169" s="182"/>
      <c r="BC169" s="182"/>
      <c r="BD169" s="182"/>
      <c r="BE169" s="182"/>
      <c r="BF169" s="182"/>
      <c r="BG169" s="182"/>
      <c r="BH169" s="182"/>
      <c r="BI169" s="182"/>
      <c r="BJ169" s="182"/>
      <c r="BK169" s="182"/>
      <c r="BL169" s="182"/>
      <c r="BM169" s="182"/>
      <c r="BN169" s="182"/>
      <c r="BO169" s="182"/>
      <c r="BP169" s="182"/>
      <c r="BQ169" s="182"/>
      <c r="BR169" s="182"/>
    </row>
    <row r="170" spans="4:70">
      <c r="D170" s="182"/>
      <c r="E170" s="182"/>
      <c r="F170" s="182"/>
      <c r="G170" s="182"/>
      <c r="H170" s="182"/>
      <c r="I170" s="182"/>
      <c r="J170" s="182"/>
      <c r="K170" s="182"/>
      <c r="L170" s="182"/>
      <c r="M170" s="182"/>
      <c r="N170" s="182"/>
      <c r="O170" s="389"/>
      <c r="P170" s="183"/>
      <c r="Q170" s="182"/>
      <c r="R170" s="182"/>
      <c r="S170" s="182"/>
      <c r="T170" s="182"/>
      <c r="U170" s="182"/>
      <c r="V170" s="182"/>
      <c r="W170" s="182"/>
      <c r="X170" s="182"/>
      <c r="Y170" s="182"/>
      <c r="Z170" s="182"/>
      <c r="AA170" s="389"/>
      <c r="AB170" s="183"/>
      <c r="AC170" s="182"/>
      <c r="AD170" s="182"/>
      <c r="AE170" s="182"/>
      <c r="AF170" s="182"/>
      <c r="AG170" s="182"/>
      <c r="AH170" s="182"/>
      <c r="AI170" s="182"/>
      <c r="AJ170" s="182"/>
      <c r="AK170" s="182"/>
      <c r="AL170" s="182"/>
      <c r="AM170" s="182"/>
      <c r="AN170" s="182"/>
      <c r="AO170" s="182"/>
      <c r="AP170" s="182"/>
      <c r="AQ170" s="182"/>
      <c r="AR170" s="182"/>
      <c r="AS170" s="182"/>
      <c r="AT170" s="182"/>
      <c r="AU170" s="182"/>
      <c r="AV170" s="182"/>
      <c r="AW170" s="182"/>
      <c r="AX170" s="182"/>
      <c r="AY170" s="182"/>
      <c r="AZ170" s="182"/>
      <c r="BA170" s="182"/>
      <c r="BB170" s="182"/>
      <c r="BC170" s="182"/>
      <c r="BD170" s="182"/>
      <c r="BE170" s="182"/>
      <c r="BF170" s="182"/>
      <c r="BG170" s="182"/>
      <c r="BH170" s="182"/>
      <c r="BI170" s="182"/>
      <c r="BJ170" s="182"/>
      <c r="BK170" s="182"/>
      <c r="BL170" s="182"/>
      <c r="BM170" s="182"/>
      <c r="BN170" s="182"/>
      <c r="BO170" s="182"/>
      <c r="BP170" s="182"/>
      <c r="BQ170" s="182"/>
      <c r="BR170" s="182"/>
    </row>
    <row r="171" spans="4:70">
      <c r="D171" s="182"/>
      <c r="E171" s="182"/>
      <c r="F171" s="182"/>
      <c r="G171" s="182"/>
      <c r="H171" s="182"/>
      <c r="I171" s="182"/>
      <c r="J171" s="182"/>
      <c r="K171" s="182"/>
      <c r="L171" s="182"/>
      <c r="M171" s="182"/>
      <c r="N171" s="182"/>
      <c r="O171" s="389"/>
      <c r="P171" s="183"/>
      <c r="Q171" s="182"/>
      <c r="R171" s="182"/>
      <c r="S171" s="182"/>
      <c r="T171" s="182"/>
      <c r="U171" s="182"/>
      <c r="V171" s="182"/>
      <c r="W171" s="182"/>
      <c r="X171" s="182"/>
      <c r="Y171" s="182"/>
      <c r="Z171" s="182"/>
      <c r="AA171" s="389"/>
      <c r="AB171" s="183"/>
      <c r="AC171" s="182"/>
      <c r="AD171" s="182"/>
      <c r="AE171" s="182"/>
      <c r="AF171" s="182"/>
      <c r="AG171" s="182"/>
      <c r="AH171" s="182"/>
      <c r="AI171" s="182"/>
      <c r="AJ171" s="182"/>
      <c r="AK171" s="182"/>
      <c r="AL171" s="182"/>
      <c r="AM171" s="182"/>
      <c r="AN171" s="182"/>
      <c r="AO171" s="182"/>
      <c r="AP171" s="182"/>
      <c r="AQ171" s="182"/>
      <c r="AR171" s="182"/>
      <c r="AS171" s="182"/>
      <c r="AT171" s="182"/>
      <c r="AU171" s="182"/>
      <c r="AV171" s="182"/>
      <c r="AW171" s="182"/>
      <c r="AX171" s="182"/>
      <c r="AY171" s="182"/>
      <c r="AZ171" s="182"/>
      <c r="BA171" s="182"/>
      <c r="BB171" s="182"/>
      <c r="BC171" s="182"/>
      <c r="BD171" s="182"/>
      <c r="BE171" s="182"/>
      <c r="BF171" s="182"/>
      <c r="BG171" s="182"/>
      <c r="BH171" s="182"/>
      <c r="BI171" s="182"/>
      <c r="BJ171" s="182"/>
      <c r="BK171" s="182"/>
      <c r="BL171" s="182"/>
      <c r="BM171" s="182"/>
      <c r="BN171" s="182"/>
      <c r="BO171" s="182"/>
      <c r="BP171" s="182"/>
      <c r="BQ171" s="182"/>
      <c r="BR171" s="182"/>
    </row>
    <row r="172" spans="4:70">
      <c r="D172" s="182"/>
      <c r="E172" s="182"/>
      <c r="F172" s="182"/>
      <c r="G172" s="182"/>
      <c r="H172" s="182"/>
      <c r="I172" s="182"/>
      <c r="J172" s="182"/>
      <c r="K172" s="182"/>
      <c r="L172" s="182"/>
      <c r="M172" s="182"/>
      <c r="N172" s="182"/>
      <c r="O172" s="389"/>
      <c r="P172" s="183"/>
      <c r="Q172" s="182"/>
      <c r="R172" s="182"/>
      <c r="S172" s="182"/>
      <c r="T172" s="182"/>
      <c r="U172" s="182"/>
      <c r="V172" s="182"/>
      <c r="W172" s="182"/>
      <c r="X172" s="182"/>
      <c r="Y172" s="182"/>
      <c r="Z172" s="182"/>
      <c r="AA172" s="389"/>
      <c r="AB172" s="183"/>
      <c r="AC172" s="182"/>
      <c r="AD172" s="182"/>
      <c r="AE172" s="182"/>
      <c r="AF172" s="182"/>
      <c r="AG172" s="182"/>
      <c r="AH172" s="182"/>
      <c r="AI172" s="182"/>
      <c r="AJ172" s="182"/>
      <c r="AK172" s="182"/>
      <c r="AL172" s="182"/>
      <c r="AM172" s="182"/>
      <c r="AN172" s="182"/>
      <c r="AO172" s="182"/>
      <c r="AP172" s="182"/>
      <c r="AQ172" s="182"/>
      <c r="AR172" s="182"/>
      <c r="AS172" s="182"/>
      <c r="AT172" s="182"/>
      <c r="AU172" s="182"/>
      <c r="AV172" s="182"/>
      <c r="AW172" s="182"/>
      <c r="AX172" s="182"/>
      <c r="AY172" s="182"/>
      <c r="AZ172" s="182"/>
      <c r="BA172" s="182"/>
      <c r="BB172" s="182"/>
      <c r="BC172" s="182"/>
      <c r="BD172" s="182"/>
      <c r="BE172" s="182"/>
      <c r="BF172" s="182"/>
      <c r="BG172" s="182"/>
      <c r="BH172" s="182"/>
      <c r="BI172" s="182"/>
      <c r="BJ172" s="182"/>
      <c r="BK172" s="182"/>
      <c r="BL172" s="182"/>
      <c r="BM172" s="182"/>
      <c r="BN172" s="182"/>
      <c r="BO172" s="182"/>
      <c r="BP172" s="182"/>
      <c r="BQ172" s="182"/>
      <c r="BR172" s="182"/>
    </row>
    <row r="173" spans="4:70">
      <c r="D173" s="182"/>
      <c r="E173" s="182"/>
      <c r="F173" s="182"/>
      <c r="G173" s="182"/>
      <c r="H173" s="182"/>
      <c r="I173" s="182"/>
      <c r="J173" s="182"/>
      <c r="K173" s="182"/>
      <c r="L173" s="182"/>
      <c r="M173" s="182"/>
      <c r="N173" s="182"/>
      <c r="O173" s="389"/>
      <c r="P173" s="183"/>
      <c r="Q173" s="182"/>
      <c r="R173" s="182"/>
      <c r="S173" s="182"/>
      <c r="T173" s="182"/>
      <c r="U173" s="182"/>
      <c r="V173" s="182"/>
      <c r="W173" s="182"/>
      <c r="X173" s="182"/>
      <c r="Y173" s="182"/>
      <c r="Z173" s="182"/>
      <c r="AA173" s="389"/>
      <c r="AB173" s="183"/>
      <c r="AC173" s="182"/>
      <c r="AD173" s="182"/>
      <c r="AE173" s="182"/>
      <c r="AF173" s="182"/>
      <c r="AG173" s="182"/>
      <c r="AH173" s="182"/>
      <c r="AI173" s="182"/>
      <c r="AJ173" s="182"/>
      <c r="AK173" s="182"/>
      <c r="AL173" s="182"/>
      <c r="AM173" s="182"/>
      <c r="AN173" s="182"/>
      <c r="AO173" s="182"/>
      <c r="AP173" s="182"/>
      <c r="AQ173" s="182"/>
      <c r="AR173" s="182"/>
      <c r="AS173" s="182"/>
      <c r="AT173" s="182"/>
      <c r="AU173" s="182"/>
      <c r="AV173" s="182"/>
      <c r="AW173" s="182"/>
      <c r="AX173" s="182"/>
      <c r="AY173" s="182"/>
      <c r="AZ173" s="182"/>
      <c r="BA173" s="182"/>
      <c r="BB173" s="182"/>
      <c r="BC173" s="182"/>
      <c r="BD173" s="182"/>
      <c r="BE173" s="182"/>
      <c r="BF173" s="182"/>
      <c r="BG173" s="182"/>
      <c r="BH173" s="182"/>
      <c r="BI173" s="182"/>
      <c r="BJ173" s="182"/>
      <c r="BK173" s="182"/>
      <c r="BL173" s="182"/>
      <c r="BM173" s="182"/>
      <c r="BN173" s="182"/>
      <c r="BO173" s="182"/>
      <c r="BP173" s="182"/>
      <c r="BQ173" s="182"/>
      <c r="BR173" s="182"/>
    </row>
    <row r="174" spans="4:70">
      <c r="D174" s="182"/>
      <c r="E174" s="182"/>
      <c r="F174" s="182"/>
      <c r="G174" s="182"/>
      <c r="H174" s="182"/>
      <c r="I174" s="182"/>
      <c r="J174" s="182"/>
      <c r="K174" s="182"/>
      <c r="L174" s="182"/>
      <c r="M174" s="182"/>
      <c r="N174" s="182"/>
      <c r="O174" s="389"/>
      <c r="P174" s="183"/>
      <c r="Q174" s="182"/>
      <c r="R174" s="182"/>
      <c r="S174" s="182"/>
      <c r="T174" s="182"/>
      <c r="U174" s="182"/>
      <c r="V174" s="182"/>
      <c r="W174" s="182"/>
      <c r="X174" s="182"/>
      <c r="Y174" s="182"/>
      <c r="Z174" s="182"/>
      <c r="AA174" s="389"/>
      <c r="AB174" s="183"/>
      <c r="AC174" s="182"/>
      <c r="AD174" s="182"/>
      <c r="AE174" s="182"/>
      <c r="AF174" s="182"/>
      <c r="AG174" s="182"/>
      <c r="AH174" s="182"/>
      <c r="AI174" s="182"/>
      <c r="AJ174" s="182"/>
      <c r="AK174" s="182"/>
      <c r="AL174" s="182"/>
      <c r="AM174" s="182"/>
      <c r="AN174" s="182"/>
      <c r="AO174" s="182"/>
      <c r="AP174" s="182"/>
      <c r="AQ174" s="182"/>
      <c r="AR174" s="182"/>
      <c r="AS174" s="182"/>
      <c r="AT174" s="182"/>
      <c r="AU174" s="182"/>
      <c r="AV174" s="182"/>
      <c r="AW174" s="182"/>
      <c r="AX174" s="182"/>
      <c r="AY174" s="182"/>
      <c r="AZ174" s="182"/>
      <c r="BA174" s="182"/>
      <c r="BB174" s="182"/>
      <c r="BC174" s="182"/>
      <c r="BD174" s="182"/>
      <c r="BE174" s="182"/>
      <c r="BF174" s="182"/>
      <c r="BG174" s="182"/>
      <c r="BH174" s="182"/>
      <c r="BI174" s="182"/>
      <c r="BJ174" s="182"/>
      <c r="BK174" s="182"/>
      <c r="BL174" s="182"/>
      <c r="BM174" s="182"/>
      <c r="BN174" s="182"/>
      <c r="BO174" s="182"/>
      <c r="BP174" s="182"/>
      <c r="BQ174" s="182"/>
      <c r="BR174" s="182"/>
    </row>
    <row r="175" spans="4:70">
      <c r="D175" s="182"/>
      <c r="E175" s="182"/>
      <c r="F175" s="182"/>
      <c r="G175" s="182"/>
      <c r="H175" s="182"/>
      <c r="I175" s="182"/>
      <c r="J175" s="182"/>
      <c r="K175" s="182"/>
      <c r="L175" s="182"/>
      <c r="M175" s="182"/>
      <c r="N175" s="182"/>
      <c r="O175" s="389"/>
      <c r="P175" s="183"/>
      <c r="Q175" s="182"/>
      <c r="R175" s="182"/>
      <c r="S175" s="182"/>
      <c r="T175" s="182"/>
      <c r="U175" s="182"/>
      <c r="V175" s="182"/>
      <c r="W175" s="182"/>
      <c r="X175" s="182"/>
      <c r="Y175" s="182"/>
      <c r="Z175" s="182"/>
      <c r="AA175" s="389"/>
      <c r="AB175" s="183"/>
      <c r="AC175" s="182"/>
      <c r="AD175" s="182"/>
      <c r="AE175" s="182"/>
      <c r="AF175" s="182"/>
      <c r="AG175" s="182"/>
      <c r="AH175" s="182"/>
      <c r="AI175" s="182"/>
      <c r="AJ175" s="182"/>
      <c r="AK175" s="182"/>
      <c r="AL175" s="182"/>
      <c r="AM175" s="182"/>
      <c r="AN175" s="182"/>
      <c r="AO175" s="182"/>
      <c r="AP175" s="182"/>
      <c r="AQ175" s="182"/>
      <c r="AR175" s="182"/>
      <c r="AS175" s="182"/>
      <c r="AT175" s="182"/>
      <c r="AU175" s="182"/>
      <c r="AV175" s="182"/>
      <c r="AW175" s="182"/>
      <c r="AX175" s="182"/>
      <c r="AY175" s="182"/>
      <c r="AZ175" s="182"/>
      <c r="BA175" s="182"/>
      <c r="BB175" s="182"/>
      <c r="BC175" s="182"/>
      <c r="BD175" s="182"/>
      <c r="BE175" s="182"/>
      <c r="BF175" s="182"/>
      <c r="BG175" s="182"/>
      <c r="BH175" s="182"/>
      <c r="BI175" s="182"/>
      <c r="BJ175" s="182"/>
      <c r="BK175" s="182"/>
      <c r="BL175" s="182"/>
      <c r="BM175" s="182"/>
      <c r="BN175" s="182"/>
      <c r="BO175" s="182"/>
      <c r="BP175" s="182"/>
      <c r="BQ175" s="182"/>
      <c r="BR175" s="182"/>
    </row>
    <row r="176" spans="4:70">
      <c r="D176" s="182"/>
      <c r="E176" s="182"/>
      <c r="F176" s="182"/>
      <c r="G176" s="182"/>
      <c r="H176" s="182"/>
      <c r="I176" s="182"/>
      <c r="J176" s="182"/>
      <c r="K176" s="182"/>
      <c r="L176" s="182"/>
      <c r="M176" s="182"/>
      <c r="N176" s="182"/>
      <c r="O176" s="389"/>
      <c r="P176" s="183"/>
      <c r="Q176" s="182"/>
      <c r="R176" s="182"/>
      <c r="S176" s="182"/>
      <c r="T176" s="182"/>
      <c r="U176" s="182"/>
      <c r="V176" s="182"/>
      <c r="W176" s="182"/>
      <c r="X176" s="182"/>
      <c r="Y176" s="182"/>
      <c r="Z176" s="182"/>
      <c r="AA176" s="389"/>
      <c r="AB176" s="183"/>
      <c r="AC176" s="182"/>
      <c r="AD176" s="182"/>
      <c r="AE176" s="182"/>
      <c r="AF176" s="182"/>
      <c r="AG176" s="182"/>
      <c r="AH176" s="182"/>
      <c r="AI176" s="182"/>
      <c r="AJ176" s="182"/>
      <c r="AK176" s="182"/>
      <c r="AL176" s="182"/>
      <c r="AM176" s="182"/>
      <c r="AN176" s="182"/>
      <c r="AO176" s="182"/>
      <c r="AP176" s="182"/>
      <c r="AQ176" s="182"/>
      <c r="AR176" s="182"/>
      <c r="AS176" s="182"/>
      <c r="AT176" s="182"/>
      <c r="AU176" s="182"/>
      <c r="AV176" s="182"/>
      <c r="AW176" s="182"/>
      <c r="AX176" s="182"/>
      <c r="AY176" s="182"/>
      <c r="AZ176" s="182"/>
      <c r="BA176" s="182"/>
      <c r="BB176" s="182"/>
      <c r="BC176" s="182"/>
      <c r="BD176" s="182"/>
      <c r="BE176" s="182"/>
      <c r="BF176" s="182"/>
      <c r="BG176" s="182"/>
      <c r="BH176" s="182"/>
      <c r="BI176" s="182"/>
      <c r="BJ176" s="182"/>
      <c r="BK176" s="182"/>
      <c r="BL176" s="182"/>
      <c r="BM176" s="182"/>
      <c r="BN176" s="182"/>
      <c r="BO176" s="182"/>
      <c r="BP176" s="182"/>
      <c r="BQ176" s="182"/>
      <c r="BR176" s="182"/>
    </row>
    <row r="177" spans="4:70">
      <c r="D177" s="182"/>
      <c r="E177" s="182"/>
      <c r="F177" s="182"/>
      <c r="G177" s="182"/>
      <c r="H177" s="182"/>
      <c r="I177" s="182"/>
      <c r="J177" s="182"/>
      <c r="K177" s="182"/>
      <c r="L177" s="182"/>
      <c r="M177" s="182"/>
      <c r="N177" s="182"/>
      <c r="O177" s="389"/>
      <c r="P177" s="183"/>
      <c r="Q177" s="182"/>
      <c r="R177" s="182"/>
      <c r="S177" s="182"/>
      <c r="T177" s="182"/>
      <c r="U177" s="182"/>
      <c r="V177" s="182"/>
      <c r="W177" s="182"/>
      <c r="X177" s="182"/>
      <c r="Y177" s="182"/>
      <c r="Z177" s="182"/>
      <c r="AA177" s="389"/>
      <c r="AB177" s="183"/>
      <c r="AC177" s="182"/>
      <c r="AD177" s="182"/>
      <c r="AE177" s="182"/>
      <c r="AF177" s="182"/>
      <c r="AG177" s="182"/>
      <c r="AH177" s="182"/>
      <c r="AI177" s="182"/>
      <c r="AJ177" s="182"/>
      <c r="AK177" s="182"/>
      <c r="AL177" s="182"/>
      <c r="AM177" s="182"/>
      <c r="AN177" s="182"/>
      <c r="AO177" s="182"/>
      <c r="AP177" s="182"/>
      <c r="AQ177" s="182"/>
      <c r="AR177" s="182"/>
      <c r="AS177" s="182"/>
      <c r="AT177" s="182"/>
      <c r="AU177" s="182"/>
      <c r="AV177" s="182"/>
      <c r="AW177" s="182"/>
      <c r="AX177" s="182"/>
      <c r="AY177" s="182"/>
      <c r="AZ177" s="182"/>
      <c r="BA177" s="182"/>
      <c r="BB177" s="182"/>
      <c r="BC177" s="182"/>
      <c r="BD177" s="182"/>
      <c r="BE177" s="182"/>
      <c r="BF177" s="182"/>
      <c r="BG177" s="182"/>
      <c r="BH177" s="182"/>
      <c r="BI177" s="182"/>
      <c r="BJ177" s="182"/>
      <c r="BK177" s="182"/>
      <c r="BL177" s="182"/>
      <c r="BM177" s="182"/>
      <c r="BN177" s="182"/>
      <c r="BO177" s="182"/>
      <c r="BP177" s="182"/>
      <c r="BQ177" s="182"/>
      <c r="BR177" s="182"/>
    </row>
    <row r="178" spans="4:70">
      <c r="D178" s="182"/>
      <c r="E178" s="182"/>
      <c r="F178" s="182"/>
      <c r="G178" s="182"/>
      <c r="H178" s="182"/>
      <c r="I178" s="182"/>
      <c r="J178" s="182"/>
      <c r="K178" s="182"/>
      <c r="L178" s="182"/>
      <c r="M178" s="182"/>
      <c r="N178" s="182"/>
      <c r="O178" s="389"/>
      <c r="P178" s="183"/>
      <c r="Q178" s="182"/>
      <c r="R178" s="182"/>
      <c r="S178" s="182"/>
      <c r="T178" s="182"/>
      <c r="U178" s="182"/>
      <c r="V178" s="182"/>
      <c r="W178" s="182"/>
      <c r="X178" s="182"/>
      <c r="Y178" s="182"/>
      <c r="Z178" s="182"/>
      <c r="AA178" s="389"/>
      <c r="AB178" s="183"/>
      <c r="AC178" s="182"/>
      <c r="AD178" s="182"/>
      <c r="AE178" s="182"/>
      <c r="AF178" s="182"/>
      <c r="AG178" s="182"/>
      <c r="AH178" s="182"/>
      <c r="AI178" s="182"/>
      <c r="AJ178" s="182"/>
      <c r="AK178" s="182"/>
      <c r="AL178" s="182"/>
      <c r="AM178" s="182"/>
      <c r="AN178" s="182"/>
      <c r="AO178" s="182"/>
      <c r="AP178" s="182"/>
      <c r="AQ178" s="182"/>
      <c r="AR178" s="182"/>
      <c r="AS178" s="182"/>
      <c r="AT178" s="182"/>
      <c r="AU178" s="182"/>
      <c r="AV178" s="182"/>
      <c r="AW178" s="182"/>
      <c r="AX178" s="182"/>
      <c r="AY178" s="182"/>
      <c r="AZ178" s="182"/>
      <c r="BA178" s="182"/>
      <c r="BB178" s="182"/>
      <c r="BC178" s="182"/>
      <c r="BD178" s="182"/>
      <c r="BE178" s="182"/>
      <c r="BF178" s="182"/>
      <c r="BG178" s="182"/>
      <c r="BH178" s="182"/>
      <c r="BI178" s="182"/>
      <c r="BJ178" s="182"/>
      <c r="BK178" s="182"/>
      <c r="BL178" s="182"/>
      <c r="BM178" s="182"/>
      <c r="BN178" s="182"/>
      <c r="BO178" s="182"/>
      <c r="BP178" s="182"/>
      <c r="BQ178" s="182"/>
      <c r="BR178" s="182"/>
    </row>
    <row r="179" spans="4:70">
      <c r="D179" s="182"/>
      <c r="E179" s="182"/>
      <c r="F179" s="182"/>
      <c r="G179" s="182"/>
      <c r="H179" s="182"/>
      <c r="I179" s="182"/>
      <c r="J179" s="182"/>
      <c r="K179" s="182"/>
      <c r="L179" s="182"/>
      <c r="M179" s="182"/>
      <c r="N179" s="182"/>
      <c r="O179" s="389"/>
      <c r="P179" s="183"/>
      <c r="Q179" s="182"/>
      <c r="R179" s="182"/>
      <c r="S179" s="182"/>
      <c r="T179" s="182"/>
      <c r="U179" s="182"/>
      <c r="V179" s="182"/>
      <c r="W179" s="182"/>
      <c r="X179" s="182"/>
      <c r="Y179" s="182"/>
      <c r="Z179" s="182"/>
      <c r="AA179" s="389"/>
      <c r="AB179" s="183"/>
      <c r="AC179" s="182"/>
      <c r="AD179" s="182"/>
      <c r="AE179" s="182"/>
      <c r="AF179" s="182"/>
      <c r="AG179" s="182"/>
      <c r="AH179" s="182"/>
      <c r="AI179" s="182"/>
      <c r="AJ179" s="182"/>
      <c r="AK179" s="182"/>
      <c r="AL179" s="182"/>
      <c r="AM179" s="182"/>
      <c r="AN179" s="182"/>
      <c r="AO179" s="182"/>
      <c r="AP179" s="182"/>
      <c r="AQ179" s="182"/>
      <c r="AR179" s="182"/>
      <c r="AS179" s="182"/>
      <c r="AT179" s="182"/>
      <c r="AU179" s="182"/>
      <c r="AV179" s="182"/>
      <c r="AW179" s="182"/>
      <c r="AX179" s="182"/>
      <c r="AY179" s="182"/>
      <c r="AZ179" s="182"/>
      <c r="BA179" s="182"/>
      <c r="BB179" s="182"/>
      <c r="BC179" s="182"/>
      <c r="BD179" s="182"/>
      <c r="BE179" s="182"/>
      <c r="BF179" s="182"/>
      <c r="BG179" s="182"/>
      <c r="BH179" s="182"/>
      <c r="BI179" s="182"/>
      <c r="BJ179" s="182"/>
      <c r="BK179" s="182"/>
      <c r="BL179" s="182"/>
      <c r="BM179" s="182"/>
      <c r="BN179" s="182"/>
      <c r="BO179" s="182"/>
      <c r="BP179" s="182"/>
      <c r="BQ179" s="182"/>
      <c r="BR179" s="182"/>
    </row>
    <row r="180" spans="4:70">
      <c r="D180" s="182"/>
      <c r="E180" s="182"/>
      <c r="F180" s="182"/>
      <c r="G180" s="182"/>
      <c r="H180" s="182"/>
      <c r="I180" s="182"/>
      <c r="J180" s="182"/>
      <c r="K180" s="182"/>
      <c r="L180" s="182"/>
      <c r="M180" s="182"/>
      <c r="N180" s="182"/>
      <c r="O180" s="389"/>
      <c r="P180" s="183"/>
      <c r="Q180" s="182"/>
      <c r="R180" s="182"/>
      <c r="S180" s="182"/>
      <c r="T180" s="182"/>
      <c r="U180" s="182"/>
      <c r="V180" s="182"/>
      <c r="W180" s="182"/>
      <c r="X180" s="182"/>
      <c r="Y180" s="182"/>
      <c r="Z180" s="182"/>
      <c r="AA180" s="389"/>
      <c r="AB180" s="183"/>
      <c r="AC180" s="182"/>
      <c r="AD180" s="182"/>
      <c r="AE180" s="182"/>
      <c r="AF180" s="182"/>
      <c r="AG180" s="182"/>
      <c r="AH180" s="182"/>
      <c r="AI180" s="182"/>
      <c r="AJ180" s="182"/>
      <c r="AK180" s="182"/>
      <c r="AL180" s="182"/>
      <c r="AM180" s="182"/>
      <c r="AN180" s="182"/>
      <c r="AO180" s="182"/>
      <c r="AP180" s="182"/>
      <c r="AQ180" s="182"/>
      <c r="AR180" s="182"/>
      <c r="AS180" s="182"/>
      <c r="AT180" s="182"/>
      <c r="AU180" s="182"/>
      <c r="AV180" s="182"/>
      <c r="AW180" s="182"/>
      <c r="AX180" s="182"/>
      <c r="AY180" s="182"/>
      <c r="AZ180" s="182"/>
      <c r="BA180" s="182"/>
      <c r="BB180" s="182"/>
      <c r="BC180" s="182"/>
      <c r="BD180" s="182"/>
      <c r="BE180" s="182"/>
      <c r="BF180" s="182"/>
      <c r="BG180" s="182"/>
      <c r="BH180" s="182"/>
      <c r="BI180" s="182"/>
      <c r="BJ180" s="182"/>
      <c r="BK180" s="182"/>
      <c r="BL180" s="182"/>
      <c r="BM180" s="182"/>
      <c r="BN180" s="182"/>
      <c r="BO180" s="182"/>
      <c r="BP180" s="182"/>
      <c r="BQ180" s="182"/>
      <c r="BR180" s="182"/>
    </row>
    <row r="181" spans="4:70">
      <c r="D181" s="182"/>
      <c r="E181" s="182"/>
      <c r="F181" s="182"/>
      <c r="G181" s="182"/>
      <c r="H181" s="182"/>
      <c r="I181" s="182"/>
      <c r="J181" s="182"/>
      <c r="K181" s="182"/>
      <c r="L181" s="182"/>
      <c r="M181" s="182"/>
      <c r="N181" s="182"/>
      <c r="O181" s="389"/>
      <c r="P181" s="183"/>
      <c r="Q181" s="182"/>
      <c r="R181" s="182"/>
      <c r="S181" s="182"/>
      <c r="T181" s="182"/>
      <c r="U181" s="182"/>
      <c r="V181" s="182"/>
      <c r="W181" s="182"/>
      <c r="X181" s="182"/>
      <c r="Y181" s="182"/>
      <c r="Z181" s="182"/>
      <c r="AA181" s="389"/>
      <c r="AB181" s="183"/>
      <c r="AC181" s="182"/>
      <c r="AD181" s="182"/>
      <c r="AE181" s="182"/>
      <c r="AF181" s="182"/>
      <c r="AG181" s="182"/>
      <c r="AH181" s="182"/>
      <c r="AI181" s="182"/>
      <c r="AJ181" s="182"/>
      <c r="AK181" s="182"/>
      <c r="AL181" s="182"/>
      <c r="AM181" s="182"/>
      <c r="AN181" s="182"/>
      <c r="AO181" s="182"/>
      <c r="AP181" s="182"/>
      <c r="AQ181" s="182"/>
      <c r="AR181" s="182"/>
      <c r="AS181" s="182"/>
      <c r="AT181" s="182"/>
      <c r="AU181" s="182"/>
      <c r="AV181" s="182"/>
      <c r="AW181" s="182"/>
      <c r="AX181" s="182"/>
      <c r="AY181" s="182"/>
      <c r="AZ181" s="182"/>
      <c r="BA181" s="182"/>
      <c r="BB181" s="182"/>
      <c r="BC181" s="182"/>
      <c r="BD181" s="182"/>
      <c r="BE181" s="182"/>
      <c r="BF181" s="182"/>
      <c r="BG181" s="182"/>
      <c r="BH181" s="182"/>
      <c r="BI181" s="182"/>
      <c r="BJ181" s="182"/>
      <c r="BK181" s="182"/>
      <c r="BL181" s="182"/>
      <c r="BM181" s="182"/>
      <c r="BN181" s="182"/>
      <c r="BO181" s="182"/>
      <c r="BP181" s="182"/>
      <c r="BQ181" s="182"/>
      <c r="BR181" s="182"/>
    </row>
    <row r="182" spans="4:70">
      <c r="D182" s="182"/>
      <c r="E182" s="182"/>
      <c r="F182" s="182"/>
      <c r="G182" s="182"/>
      <c r="H182" s="182"/>
      <c r="I182" s="182"/>
      <c r="J182" s="182"/>
      <c r="K182" s="182"/>
      <c r="L182" s="182"/>
      <c r="M182" s="182"/>
      <c r="N182" s="182"/>
      <c r="O182" s="389"/>
      <c r="P182" s="183"/>
      <c r="Q182" s="182"/>
      <c r="R182" s="182"/>
      <c r="S182" s="182"/>
      <c r="T182" s="182"/>
      <c r="U182" s="182"/>
      <c r="V182" s="182"/>
      <c r="W182" s="182"/>
      <c r="X182" s="182"/>
      <c r="Y182" s="182"/>
      <c r="Z182" s="182"/>
      <c r="AA182" s="389"/>
      <c r="AB182" s="183"/>
      <c r="AC182" s="182"/>
      <c r="AD182" s="182"/>
      <c r="AE182" s="182"/>
      <c r="AF182" s="182"/>
      <c r="AG182" s="182"/>
      <c r="AH182" s="182"/>
      <c r="AI182" s="182"/>
      <c r="AJ182" s="182"/>
      <c r="AK182" s="182"/>
      <c r="AL182" s="182"/>
      <c r="AM182" s="182"/>
      <c r="AN182" s="182"/>
      <c r="AO182" s="182"/>
      <c r="AP182" s="182"/>
      <c r="AQ182" s="182"/>
      <c r="AR182" s="182"/>
      <c r="AS182" s="182"/>
      <c r="AT182" s="182"/>
      <c r="AU182" s="182"/>
      <c r="AV182" s="182"/>
      <c r="AW182" s="182"/>
      <c r="AX182" s="182"/>
      <c r="AY182" s="182"/>
      <c r="AZ182" s="182"/>
      <c r="BA182" s="182"/>
      <c r="BB182" s="182"/>
      <c r="BC182" s="182"/>
      <c r="BD182" s="182"/>
      <c r="BE182" s="182"/>
      <c r="BF182" s="182"/>
      <c r="BG182" s="182"/>
      <c r="BH182" s="182"/>
      <c r="BI182" s="182"/>
      <c r="BJ182" s="182"/>
      <c r="BK182" s="182"/>
      <c r="BL182" s="182"/>
      <c r="BM182" s="182"/>
      <c r="BN182" s="182"/>
      <c r="BO182" s="182"/>
      <c r="BP182" s="182"/>
      <c r="BQ182" s="182"/>
      <c r="BR182" s="182"/>
    </row>
    <row r="183" spans="4:70">
      <c r="D183" s="182"/>
      <c r="E183" s="182"/>
      <c r="F183" s="182"/>
      <c r="G183" s="182"/>
      <c r="H183" s="182"/>
      <c r="I183" s="182"/>
      <c r="J183" s="182"/>
      <c r="K183" s="182"/>
      <c r="L183" s="182"/>
      <c r="M183" s="182"/>
      <c r="N183" s="182"/>
      <c r="O183" s="389"/>
      <c r="P183" s="183"/>
      <c r="Q183" s="182"/>
      <c r="R183" s="182"/>
      <c r="S183" s="182"/>
      <c r="T183" s="182"/>
      <c r="U183" s="182"/>
      <c r="V183" s="182"/>
      <c r="W183" s="182"/>
      <c r="X183" s="182"/>
      <c r="Y183" s="182"/>
      <c r="Z183" s="182"/>
      <c r="AA183" s="389"/>
      <c r="AB183" s="183"/>
      <c r="AC183" s="182"/>
      <c r="AD183" s="182"/>
      <c r="AE183" s="182"/>
      <c r="AF183" s="182"/>
      <c r="AG183" s="182"/>
      <c r="AH183" s="182"/>
      <c r="AI183" s="182"/>
      <c r="AJ183" s="182"/>
      <c r="AK183" s="182"/>
      <c r="AL183" s="182"/>
      <c r="AM183" s="182"/>
      <c r="AN183" s="182"/>
      <c r="AO183" s="182"/>
      <c r="AP183" s="182"/>
      <c r="AQ183" s="182"/>
      <c r="AR183" s="182"/>
      <c r="AS183" s="182"/>
      <c r="AT183" s="182"/>
      <c r="AU183" s="182"/>
      <c r="AV183" s="182"/>
      <c r="AW183" s="182"/>
      <c r="AX183" s="182"/>
      <c r="AY183" s="182"/>
      <c r="AZ183" s="182"/>
      <c r="BA183" s="182"/>
      <c r="BB183" s="182"/>
      <c r="BC183" s="182"/>
      <c r="BD183" s="182"/>
      <c r="BE183" s="182"/>
      <c r="BF183" s="182"/>
      <c r="BG183" s="182"/>
      <c r="BH183" s="182"/>
      <c r="BI183" s="182"/>
      <c r="BJ183" s="182"/>
      <c r="BK183" s="182"/>
      <c r="BL183" s="182"/>
      <c r="BM183" s="182"/>
      <c r="BN183" s="182"/>
      <c r="BO183" s="182"/>
      <c r="BP183" s="182"/>
      <c r="BQ183" s="182"/>
      <c r="BR183" s="182"/>
    </row>
    <row r="184" spans="4:70">
      <c r="D184" s="182"/>
      <c r="E184" s="182"/>
      <c r="F184" s="182"/>
      <c r="G184" s="182"/>
      <c r="H184" s="182"/>
      <c r="I184" s="182"/>
      <c r="J184" s="182"/>
      <c r="K184" s="182"/>
      <c r="L184" s="182"/>
      <c r="M184" s="182"/>
      <c r="N184" s="182"/>
      <c r="O184" s="389"/>
      <c r="P184" s="183"/>
      <c r="Q184" s="182"/>
      <c r="R184" s="182"/>
      <c r="S184" s="182"/>
      <c r="T184" s="182"/>
      <c r="U184" s="182"/>
      <c r="V184" s="182"/>
      <c r="W184" s="182"/>
      <c r="X184" s="182"/>
      <c r="Y184" s="182"/>
      <c r="Z184" s="182"/>
      <c r="AA184" s="389"/>
      <c r="AB184" s="183"/>
      <c r="AC184" s="182"/>
      <c r="AD184" s="182"/>
      <c r="AE184" s="182"/>
      <c r="AF184" s="182"/>
      <c r="AG184" s="182"/>
      <c r="AH184" s="182"/>
      <c r="AI184" s="182"/>
      <c r="AJ184" s="182"/>
      <c r="AK184" s="182"/>
      <c r="AL184" s="182"/>
      <c r="AM184" s="182"/>
      <c r="AN184" s="182"/>
      <c r="AO184" s="182"/>
      <c r="AP184" s="182"/>
      <c r="AQ184" s="182"/>
      <c r="AR184" s="182"/>
      <c r="AS184" s="182"/>
      <c r="AT184" s="182"/>
      <c r="AU184" s="182"/>
      <c r="AV184" s="182"/>
      <c r="AW184" s="182"/>
      <c r="AX184" s="182"/>
      <c r="AY184" s="182"/>
      <c r="AZ184" s="182"/>
      <c r="BA184" s="182"/>
      <c r="BB184" s="182"/>
      <c r="BC184" s="182"/>
      <c r="BD184" s="182"/>
      <c r="BE184" s="182"/>
      <c r="BF184" s="182"/>
      <c r="BG184" s="182"/>
      <c r="BH184" s="182"/>
      <c r="BI184" s="182"/>
      <c r="BJ184" s="182"/>
      <c r="BK184" s="182"/>
      <c r="BL184" s="182"/>
      <c r="BM184" s="182"/>
      <c r="BN184" s="182"/>
      <c r="BO184" s="182"/>
      <c r="BP184" s="182"/>
      <c r="BQ184" s="182"/>
      <c r="BR184" s="182"/>
    </row>
    <row r="185" spans="4:70">
      <c r="D185" s="182"/>
      <c r="E185" s="182"/>
      <c r="F185" s="182"/>
      <c r="G185" s="182"/>
      <c r="H185" s="182"/>
      <c r="I185" s="182"/>
      <c r="J185" s="182"/>
      <c r="K185" s="182"/>
      <c r="L185" s="182"/>
      <c r="M185" s="182"/>
      <c r="N185" s="182"/>
      <c r="O185" s="389"/>
      <c r="P185" s="183"/>
      <c r="Q185" s="182"/>
      <c r="R185" s="182"/>
      <c r="S185" s="182"/>
      <c r="T185" s="182"/>
      <c r="U185" s="182"/>
      <c r="V185" s="182"/>
      <c r="W185" s="182"/>
      <c r="X185" s="182"/>
      <c r="Y185" s="182"/>
      <c r="Z185" s="182"/>
      <c r="AA185" s="389"/>
      <c r="AB185" s="183"/>
      <c r="AC185" s="182"/>
      <c r="AD185" s="182"/>
      <c r="AE185" s="182"/>
      <c r="AF185" s="182"/>
      <c r="AG185" s="182"/>
      <c r="AH185" s="182"/>
      <c r="AI185" s="182"/>
      <c r="AJ185" s="182"/>
      <c r="AK185" s="182"/>
      <c r="AL185" s="182"/>
      <c r="AM185" s="182"/>
      <c r="AN185" s="182"/>
      <c r="AO185" s="182"/>
      <c r="AP185" s="182"/>
      <c r="AQ185" s="182"/>
      <c r="AR185" s="182"/>
      <c r="AS185" s="182"/>
      <c r="AT185" s="182"/>
      <c r="AU185" s="182"/>
      <c r="AV185" s="182"/>
      <c r="AW185" s="182"/>
      <c r="AX185" s="182"/>
      <c r="AY185" s="182"/>
      <c r="AZ185" s="182"/>
      <c r="BA185" s="182"/>
      <c r="BB185" s="182"/>
      <c r="BC185" s="182"/>
      <c r="BD185" s="182"/>
      <c r="BE185" s="182"/>
      <c r="BF185" s="182"/>
      <c r="BG185" s="182"/>
      <c r="BH185" s="182"/>
      <c r="BI185" s="182"/>
      <c r="BJ185" s="182"/>
      <c r="BK185" s="182"/>
      <c r="BL185" s="182"/>
      <c r="BM185" s="182"/>
      <c r="BN185" s="182"/>
      <c r="BO185" s="182"/>
      <c r="BP185" s="182"/>
      <c r="BQ185" s="182"/>
      <c r="BR185" s="182"/>
    </row>
    <row r="186" spans="4:70">
      <c r="D186" s="182"/>
      <c r="E186" s="182"/>
      <c r="F186" s="182"/>
      <c r="G186" s="182"/>
      <c r="H186" s="182"/>
      <c r="I186" s="182"/>
      <c r="J186" s="182"/>
      <c r="K186" s="182"/>
      <c r="L186" s="182"/>
      <c r="M186" s="182"/>
      <c r="N186" s="182"/>
      <c r="O186" s="389"/>
      <c r="P186" s="183"/>
      <c r="Q186" s="182"/>
      <c r="R186" s="182"/>
      <c r="S186" s="182"/>
      <c r="T186" s="182"/>
      <c r="U186" s="182"/>
      <c r="V186" s="182"/>
      <c r="W186" s="182"/>
      <c r="X186" s="182"/>
      <c r="Y186" s="182"/>
      <c r="Z186" s="182"/>
      <c r="AA186" s="389"/>
      <c r="AB186" s="183"/>
      <c r="AC186" s="182"/>
      <c r="AD186" s="182"/>
      <c r="AE186" s="182"/>
      <c r="AF186" s="182"/>
      <c r="AG186" s="182"/>
      <c r="AH186" s="182"/>
      <c r="AI186" s="182"/>
      <c r="AJ186" s="182"/>
      <c r="AK186" s="182"/>
      <c r="AL186" s="182"/>
      <c r="AM186" s="182"/>
      <c r="AN186" s="182"/>
      <c r="AO186" s="182"/>
      <c r="AP186" s="182"/>
      <c r="AQ186" s="182"/>
      <c r="AR186" s="182"/>
      <c r="AS186" s="182"/>
      <c r="AT186" s="182"/>
      <c r="AU186" s="182"/>
      <c r="AV186" s="182"/>
      <c r="AW186" s="182"/>
      <c r="AX186" s="182"/>
      <c r="AY186" s="182"/>
      <c r="AZ186" s="182"/>
      <c r="BA186" s="182"/>
      <c r="BB186" s="182"/>
      <c r="BC186" s="182"/>
      <c r="BD186" s="182"/>
      <c r="BE186" s="182"/>
      <c r="BF186" s="182"/>
      <c r="BG186" s="182"/>
      <c r="BH186" s="182"/>
      <c r="BI186" s="182"/>
      <c r="BJ186" s="182"/>
      <c r="BK186" s="182"/>
      <c r="BL186" s="182"/>
      <c r="BM186" s="182"/>
      <c r="BN186" s="182"/>
      <c r="BO186" s="182"/>
      <c r="BP186" s="182"/>
      <c r="BQ186" s="182"/>
      <c r="BR186" s="182"/>
    </row>
    <row r="187" spans="4:70">
      <c r="D187" s="182"/>
      <c r="E187" s="182"/>
      <c r="F187" s="182"/>
      <c r="G187" s="182"/>
      <c r="H187" s="182"/>
      <c r="I187" s="182"/>
      <c r="J187" s="182"/>
      <c r="K187" s="182"/>
      <c r="L187" s="182"/>
      <c r="M187" s="182"/>
      <c r="N187" s="182"/>
      <c r="O187" s="389"/>
      <c r="P187" s="183"/>
      <c r="Q187" s="182"/>
      <c r="R187" s="182"/>
      <c r="S187" s="182"/>
      <c r="T187" s="182"/>
      <c r="U187" s="182"/>
      <c r="V187" s="182"/>
      <c r="W187" s="182"/>
      <c r="X187" s="182"/>
      <c r="Y187" s="182"/>
      <c r="Z187" s="182"/>
      <c r="AA187" s="389"/>
      <c r="AB187" s="183"/>
      <c r="AC187" s="182"/>
      <c r="AD187" s="182"/>
      <c r="AE187" s="182"/>
      <c r="AF187" s="182"/>
      <c r="AG187" s="182"/>
      <c r="AH187" s="182"/>
      <c r="AI187" s="182"/>
      <c r="AJ187" s="182"/>
      <c r="AK187" s="182"/>
      <c r="AL187" s="182"/>
      <c r="AM187" s="182"/>
      <c r="AN187" s="182"/>
      <c r="AO187" s="182"/>
      <c r="AP187" s="182"/>
      <c r="AQ187" s="182"/>
      <c r="AR187" s="182"/>
      <c r="AS187" s="182"/>
      <c r="AT187" s="182"/>
      <c r="AU187" s="182"/>
      <c r="AV187" s="182"/>
      <c r="AW187" s="182"/>
      <c r="AX187" s="182"/>
      <c r="AY187" s="182"/>
      <c r="AZ187" s="182"/>
      <c r="BA187" s="182"/>
      <c r="BB187" s="182"/>
      <c r="BC187" s="182"/>
      <c r="BD187" s="182"/>
      <c r="BE187" s="182"/>
      <c r="BF187" s="182"/>
      <c r="BG187" s="182"/>
      <c r="BH187" s="182"/>
      <c r="BI187" s="182"/>
      <c r="BJ187" s="182"/>
      <c r="BK187" s="182"/>
      <c r="BL187" s="182"/>
      <c r="BM187" s="182"/>
      <c r="BN187" s="182"/>
      <c r="BO187" s="182"/>
      <c r="BP187" s="182"/>
      <c r="BQ187" s="182"/>
      <c r="BR187" s="182"/>
    </row>
    <row r="188" spans="4:70">
      <c r="D188" s="182"/>
      <c r="E188" s="182"/>
      <c r="F188" s="182"/>
      <c r="G188" s="182"/>
      <c r="H188" s="182"/>
      <c r="I188" s="182"/>
      <c r="J188" s="182"/>
      <c r="K188" s="182"/>
      <c r="L188" s="182"/>
      <c r="M188" s="182"/>
      <c r="N188" s="182"/>
      <c r="O188" s="389"/>
      <c r="P188" s="183"/>
      <c r="Q188" s="182"/>
      <c r="R188" s="182"/>
      <c r="S188" s="182"/>
      <c r="T188" s="182"/>
      <c r="U188" s="182"/>
      <c r="V188" s="182"/>
      <c r="W188" s="182"/>
      <c r="X188" s="182"/>
      <c r="Y188" s="182"/>
      <c r="Z188" s="182"/>
      <c r="AA188" s="389"/>
      <c r="AB188" s="183"/>
      <c r="AC188" s="182"/>
      <c r="AD188" s="182"/>
      <c r="AE188" s="182"/>
      <c r="AF188" s="182"/>
      <c r="AG188" s="182"/>
      <c r="AH188" s="182"/>
      <c r="AI188" s="182"/>
      <c r="AJ188" s="182"/>
      <c r="AK188" s="182"/>
      <c r="AL188" s="182"/>
      <c r="AM188" s="182"/>
      <c r="AN188" s="182"/>
      <c r="AO188" s="182"/>
      <c r="AP188" s="182"/>
      <c r="AQ188" s="182"/>
      <c r="AR188" s="182"/>
      <c r="AS188" s="182"/>
      <c r="AT188" s="182"/>
      <c r="AU188" s="182"/>
      <c r="AV188" s="182"/>
      <c r="AW188" s="182"/>
      <c r="AX188" s="182"/>
      <c r="AY188" s="182"/>
      <c r="AZ188" s="182"/>
      <c r="BA188" s="182"/>
      <c r="BB188" s="182"/>
      <c r="BC188" s="182"/>
      <c r="BD188" s="182"/>
      <c r="BE188" s="182"/>
      <c r="BF188" s="182"/>
      <c r="BG188" s="182"/>
      <c r="BH188" s="182"/>
      <c r="BI188" s="182"/>
      <c r="BJ188" s="182"/>
      <c r="BK188" s="182"/>
      <c r="BL188" s="182"/>
      <c r="BM188" s="182"/>
      <c r="BN188" s="182"/>
      <c r="BO188" s="182"/>
      <c r="BP188" s="182"/>
      <c r="BQ188" s="182"/>
      <c r="BR188" s="182"/>
    </row>
    <row r="189" spans="4:70">
      <c r="D189" s="182"/>
      <c r="E189" s="182"/>
      <c r="F189" s="182"/>
      <c r="G189" s="182"/>
      <c r="H189" s="182"/>
      <c r="I189" s="182"/>
      <c r="J189" s="182"/>
      <c r="K189" s="182"/>
      <c r="L189" s="182"/>
      <c r="M189" s="182"/>
      <c r="N189" s="182"/>
      <c r="O189" s="389"/>
      <c r="P189" s="183"/>
      <c r="Q189" s="182"/>
      <c r="R189" s="182"/>
      <c r="S189" s="182"/>
      <c r="T189" s="182"/>
      <c r="U189" s="182"/>
      <c r="V189" s="182"/>
      <c r="W189" s="182"/>
      <c r="X189" s="182"/>
      <c r="Y189" s="182"/>
      <c r="Z189" s="182"/>
      <c r="AA189" s="389"/>
      <c r="AB189" s="183"/>
      <c r="AC189" s="182"/>
      <c r="AD189" s="182"/>
      <c r="AE189" s="182"/>
      <c r="AF189" s="182"/>
      <c r="AG189" s="182"/>
      <c r="AH189" s="182"/>
      <c r="AI189" s="182"/>
      <c r="AJ189" s="182"/>
      <c r="AK189" s="182"/>
      <c r="AL189" s="182"/>
      <c r="AM189" s="182"/>
      <c r="AN189" s="182"/>
      <c r="AO189" s="182"/>
      <c r="AP189" s="182"/>
      <c r="AQ189" s="182"/>
      <c r="AR189" s="182"/>
      <c r="AS189" s="182"/>
      <c r="AT189" s="182"/>
      <c r="AU189" s="182"/>
      <c r="AV189" s="182"/>
      <c r="AW189" s="182"/>
      <c r="AX189" s="182"/>
      <c r="AY189" s="182"/>
      <c r="AZ189" s="182"/>
      <c r="BA189" s="182"/>
      <c r="BB189" s="182"/>
      <c r="BC189" s="182"/>
      <c r="BD189" s="182"/>
      <c r="BE189" s="182"/>
      <c r="BF189" s="182"/>
      <c r="BG189" s="182"/>
      <c r="BH189" s="182"/>
      <c r="BI189" s="182"/>
      <c r="BJ189" s="182"/>
      <c r="BK189" s="182"/>
      <c r="BL189" s="182"/>
      <c r="BM189" s="182"/>
      <c r="BN189" s="182"/>
      <c r="BO189" s="182"/>
      <c r="BP189" s="182"/>
      <c r="BQ189" s="182"/>
      <c r="BR189" s="182"/>
    </row>
    <row r="190" spans="4:70">
      <c r="D190" s="182"/>
      <c r="E190" s="182"/>
      <c r="F190" s="182"/>
      <c r="G190" s="182"/>
      <c r="H190" s="182"/>
      <c r="I190" s="182"/>
      <c r="J190" s="182"/>
      <c r="K190" s="182"/>
      <c r="L190" s="182"/>
      <c r="M190" s="182"/>
      <c r="N190" s="182"/>
      <c r="O190" s="389"/>
      <c r="P190" s="183"/>
      <c r="Q190" s="182"/>
      <c r="R190" s="182"/>
      <c r="S190" s="182"/>
      <c r="T190" s="182"/>
      <c r="U190" s="182"/>
      <c r="V190" s="182"/>
      <c r="W190" s="182"/>
      <c r="X190" s="182"/>
      <c r="Y190" s="182"/>
      <c r="Z190" s="182"/>
      <c r="AA190" s="389"/>
      <c r="AB190" s="183"/>
      <c r="AC190" s="182"/>
      <c r="AD190" s="182"/>
      <c r="AE190" s="182"/>
      <c r="AF190" s="182"/>
      <c r="AG190" s="182"/>
      <c r="AH190" s="182"/>
      <c r="AI190" s="182"/>
      <c r="AJ190" s="182"/>
      <c r="AK190" s="182"/>
      <c r="AL190" s="182"/>
      <c r="AM190" s="182"/>
      <c r="AN190" s="182"/>
      <c r="AO190" s="182"/>
      <c r="AP190" s="182"/>
      <c r="AQ190" s="182"/>
      <c r="AR190" s="182"/>
      <c r="AS190" s="182"/>
      <c r="AT190" s="182"/>
      <c r="AU190" s="182"/>
      <c r="AV190" s="182"/>
      <c r="AW190" s="182"/>
      <c r="AX190" s="182"/>
      <c r="AY190" s="182"/>
      <c r="AZ190" s="182"/>
      <c r="BA190" s="182"/>
      <c r="BB190" s="182"/>
      <c r="BC190" s="182"/>
      <c r="BD190" s="182"/>
      <c r="BE190" s="182"/>
      <c r="BF190" s="182"/>
      <c r="BG190" s="182"/>
      <c r="BH190" s="182"/>
      <c r="BI190" s="182"/>
      <c r="BJ190" s="182"/>
      <c r="BK190" s="182"/>
      <c r="BL190" s="182"/>
      <c r="BM190" s="182"/>
      <c r="BN190" s="182"/>
      <c r="BO190" s="182"/>
      <c r="BP190" s="182"/>
      <c r="BQ190" s="182"/>
      <c r="BR190" s="182"/>
    </row>
    <row r="191" spans="4:70">
      <c r="D191" s="182"/>
      <c r="E191" s="182"/>
      <c r="F191" s="182"/>
      <c r="G191" s="182"/>
      <c r="H191" s="182"/>
      <c r="I191" s="182"/>
      <c r="J191" s="182"/>
      <c r="K191" s="182"/>
      <c r="L191" s="182"/>
      <c r="M191" s="182"/>
      <c r="N191" s="182"/>
      <c r="O191" s="389"/>
      <c r="P191" s="183"/>
      <c r="Q191" s="182"/>
      <c r="R191" s="182"/>
      <c r="S191" s="182"/>
      <c r="T191" s="182"/>
      <c r="U191" s="182"/>
      <c r="V191" s="182"/>
      <c r="W191" s="182"/>
      <c r="X191" s="182"/>
      <c r="Y191" s="182"/>
      <c r="Z191" s="182"/>
      <c r="AA191" s="389"/>
      <c r="AB191" s="183"/>
      <c r="AC191" s="182"/>
      <c r="AD191" s="182"/>
      <c r="AE191" s="182"/>
      <c r="AF191" s="182"/>
      <c r="AG191" s="182"/>
      <c r="AH191" s="182"/>
      <c r="AI191" s="182"/>
      <c r="AJ191" s="182"/>
      <c r="AK191" s="182"/>
      <c r="AL191" s="182"/>
      <c r="AM191" s="182"/>
      <c r="AN191" s="182"/>
      <c r="AO191" s="182"/>
      <c r="AP191" s="182"/>
      <c r="AQ191" s="182"/>
      <c r="AR191" s="182"/>
      <c r="AS191" s="182"/>
      <c r="AT191" s="182"/>
      <c r="AU191" s="182"/>
      <c r="AV191" s="182"/>
      <c r="AW191" s="182"/>
      <c r="AX191" s="182"/>
      <c r="AY191" s="182"/>
      <c r="AZ191" s="182"/>
      <c r="BA191" s="182"/>
      <c r="BB191" s="182"/>
      <c r="BC191" s="182"/>
      <c r="BD191" s="182"/>
      <c r="BE191" s="182"/>
      <c r="BF191" s="182"/>
      <c r="BG191" s="182"/>
      <c r="BH191" s="182"/>
      <c r="BI191" s="182"/>
      <c r="BJ191" s="182"/>
      <c r="BK191" s="182"/>
      <c r="BL191" s="182"/>
      <c r="BM191" s="182"/>
      <c r="BN191" s="182"/>
      <c r="BO191" s="182"/>
      <c r="BP191" s="182"/>
      <c r="BQ191" s="182"/>
      <c r="BR191" s="182"/>
    </row>
    <row r="192" spans="4:70">
      <c r="D192" s="182"/>
      <c r="E192" s="182"/>
      <c r="F192" s="182"/>
      <c r="G192" s="182"/>
      <c r="H192" s="182"/>
      <c r="I192" s="182"/>
      <c r="J192" s="182"/>
      <c r="K192" s="182"/>
      <c r="L192" s="182"/>
      <c r="M192" s="182"/>
      <c r="N192" s="182"/>
      <c r="O192" s="389"/>
      <c r="P192" s="183"/>
      <c r="Q192" s="182"/>
      <c r="R192" s="182"/>
      <c r="S192" s="182"/>
      <c r="T192" s="182"/>
      <c r="U192" s="182"/>
      <c r="V192" s="182"/>
      <c r="W192" s="182"/>
      <c r="X192" s="182"/>
      <c r="Y192" s="182"/>
      <c r="Z192" s="182"/>
      <c r="AA192" s="389"/>
      <c r="AB192" s="183"/>
      <c r="AC192" s="182"/>
      <c r="AD192" s="182"/>
      <c r="AE192" s="182"/>
      <c r="AF192" s="182"/>
      <c r="AG192" s="182"/>
      <c r="AH192" s="182"/>
      <c r="AI192" s="182"/>
      <c r="AJ192" s="182"/>
      <c r="AK192" s="182"/>
      <c r="AL192" s="182"/>
      <c r="AM192" s="182"/>
      <c r="AN192" s="182"/>
      <c r="AO192" s="182"/>
      <c r="AP192" s="182"/>
      <c r="AQ192" s="182"/>
      <c r="AR192" s="182"/>
      <c r="AS192" s="182"/>
      <c r="AT192" s="182"/>
      <c r="AU192" s="182"/>
      <c r="AV192" s="182"/>
      <c r="AW192" s="182"/>
      <c r="AX192" s="182"/>
      <c r="AY192" s="182"/>
      <c r="AZ192" s="182"/>
      <c r="BA192" s="182"/>
      <c r="BB192" s="182"/>
      <c r="BC192" s="182"/>
      <c r="BD192" s="182"/>
      <c r="BE192" s="182"/>
      <c r="BF192" s="182"/>
      <c r="BG192" s="182"/>
      <c r="BH192" s="182"/>
      <c r="BI192" s="182"/>
      <c r="BJ192" s="182"/>
      <c r="BK192" s="182"/>
      <c r="BL192" s="182"/>
      <c r="BM192" s="182"/>
      <c r="BN192" s="182"/>
      <c r="BO192" s="182"/>
      <c r="BP192" s="182"/>
      <c r="BQ192" s="182"/>
      <c r="BR192" s="182"/>
    </row>
    <row r="193" spans="4:70">
      <c r="D193" s="182"/>
      <c r="E193" s="182"/>
      <c r="F193" s="182"/>
      <c r="G193" s="182"/>
      <c r="H193" s="182"/>
      <c r="I193" s="182"/>
      <c r="J193" s="182"/>
      <c r="K193" s="182"/>
      <c r="L193" s="182"/>
      <c r="M193" s="182"/>
      <c r="N193" s="182"/>
      <c r="O193" s="389"/>
      <c r="P193" s="183"/>
      <c r="Q193" s="182"/>
      <c r="R193" s="182"/>
      <c r="S193" s="182"/>
      <c r="T193" s="182"/>
      <c r="U193" s="182"/>
      <c r="V193" s="182"/>
      <c r="W193" s="182"/>
      <c r="X193" s="182"/>
      <c r="Y193" s="182"/>
      <c r="Z193" s="182"/>
      <c r="AA193" s="389"/>
      <c r="AB193" s="183"/>
      <c r="AC193" s="182"/>
      <c r="AD193" s="182"/>
      <c r="AE193" s="182"/>
      <c r="AF193" s="182"/>
      <c r="AG193" s="182"/>
      <c r="AH193" s="182"/>
      <c r="AI193" s="182"/>
      <c r="AJ193" s="182"/>
      <c r="AK193" s="182"/>
      <c r="AL193" s="182"/>
      <c r="AM193" s="182"/>
      <c r="AN193" s="182"/>
      <c r="AO193" s="182"/>
      <c r="AP193" s="182"/>
      <c r="AQ193" s="182"/>
      <c r="AR193" s="182"/>
      <c r="AS193" s="182"/>
      <c r="AT193" s="182"/>
      <c r="AU193" s="182"/>
      <c r="AV193" s="182"/>
      <c r="AW193" s="182"/>
      <c r="AX193" s="182"/>
      <c r="AY193" s="182"/>
      <c r="AZ193" s="182"/>
      <c r="BA193" s="182"/>
      <c r="BB193" s="182"/>
      <c r="BC193" s="182"/>
      <c r="BD193" s="182"/>
      <c r="BE193" s="182"/>
      <c r="BF193" s="182"/>
      <c r="BG193" s="182"/>
      <c r="BH193" s="182"/>
      <c r="BI193" s="182"/>
      <c r="BJ193" s="182"/>
      <c r="BK193" s="182"/>
      <c r="BL193" s="182"/>
      <c r="BM193" s="182"/>
      <c r="BN193" s="182"/>
      <c r="BO193" s="182"/>
      <c r="BP193" s="182"/>
      <c r="BQ193" s="182"/>
      <c r="BR193" s="182"/>
    </row>
    <row r="940" spans="1:70" s="382" customFormat="1">
      <c r="A940" s="56">
        <v>30217</v>
      </c>
      <c r="C940" s="49"/>
      <c r="D940" s="49"/>
      <c r="E940" s="49"/>
      <c r="F940" s="49"/>
      <c r="G940" s="49"/>
      <c r="H940" s="49"/>
      <c r="I940" s="49"/>
      <c r="J940" s="49"/>
      <c r="K940" s="49"/>
      <c r="L940" s="49"/>
      <c r="M940" s="49"/>
      <c r="N940" s="49"/>
      <c r="O940" s="381"/>
      <c r="P940" s="49"/>
      <c r="Q940" s="49"/>
      <c r="R940" s="49"/>
      <c r="S940" s="49"/>
      <c r="T940" s="49"/>
      <c r="U940" s="49"/>
      <c r="V940" s="49"/>
      <c r="W940" s="49"/>
      <c r="X940" s="49"/>
      <c r="Y940" s="49"/>
      <c r="Z940" s="49"/>
      <c r="AA940" s="381"/>
      <c r="AB940" s="49"/>
      <c r="AC940" s="49"/>
      <c r="AD940" s="49"/>
      <c r="AE940" s="49"/>
      <c r="AF940" s="49"/>
      <c r="AG940" s="49"/>
      <c r="AH940" s="49"/>
      <c r="AI940" s="49"/>
      <c r="AJ940" s="49"/>
      <c r="AK940" s="49"/>
      <c r="AL940" s="49"/>
      <c r="AM940" s="49"/>
      <c r="AN940" s="49"/>
      <c r="AO940" s="49"/>
      <c r="AP940" s="49"/>
      <c r="AQ940" s="49"/>
      <c r="AR940" s="49"/>
      <c r="AS940" s="49"/>
      <c r="AT940" s="49"/>
      <c r="AU940" s="49"/>
      <c r="AV940" s="49"/>
      <c r="AW940" s="49"/>
      <c r="AX940" s="49"/>
      <c r="AY940" s="49"/>
      <c r="AZ940" s="49"/>
      <c r="BA940" s="49"/>
      <c r="BB940" s="49"/>
      <c r="BC940" s="49"/>
      <c r="BD940" s="49"/>
      <c r="BE940" s="49"/>
      <c r="BF940" s="49"/>
      <c r="BG940" s="49"/>
      <c r="BH940" s="49"/>
      <c r="BI940" s="49"/>
      <c r="BJ940" s="49"/>
      <c r="BK940" s="49"/>
      <c r="BL940" s="49"/>
      <c r="BM940" s="49"/>
      <c r="BN940" s="49"/>
      <c r="BO940" s="49"/>
      <c r="BP940" s="49"/>
      <c r="BQ940" s="49"/>
      <c r="BR940" s="49"/>
    </row>
  </sheetData>
  <sheetProtection formatCells="0" formatColumns="0" formatRows="0" insertColumns="0" insertRows="0" insertHyperlinks="0" deleteColumns="0" deleteRows="0" sort="0" autoFilter="0" pivotTables="0"/>
  <pageMargins left="0.75000000000000011" right="0.75000000000000011" top="1" bottom="1" header="0.5" footer="0.5"/>
  <pageSetup paperSize="9" orientation="portrait" horizontalDpi="4294967292" verticalDpi="4294967292"/>
  <colBreaks count="3" manualBreakCount="3">
    <brk id="15" max="1048575" man="1"/>
    <brk id="27" max="1048575" man="1"/>
    <brk id="39" max="1048575" man="1"/>
  </colBreaks>
  <ignoredErrors>
    <ignoredError sqref="D81:E81 F81:AM81" formula="1"/>
  </ignoredErrors>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4" tint="0.39997558519241921"/>
  </sheetPr>
  <dimension ref="A1:EC1003"/>
  <sheetViews>
    <sheetView showGridLines="0" zoomScale="91" zoomScaleNormal="91" zoomScalePageLayoutView="125" workbookViewId="0">
      <selection activeCell="B3" sqref="B3"/>
    </sheetView>
  </sheetViews>
  <sheetFormatPr baseColWidth="10" defaultColWidth="10" defaultRowHeight="16" outlineLevelRow="1"/>
  <cols>
    <col min="1" max="1" width="10" style="743" customWidth="1"/>
    <col min="2" max="2" width="31" style="756" customWidth="1"/>
    <col min="3" max="3" width="7.1640625" style="743" customWidth="1"/>
    <col min="4" max="14" width="12.5" style="743" customWidth="1"/>
    <col min="15" max="15" width="12.5" style="744" customWidth="1"/>
    <col min="16" max="26" width="12.5" style="743" customWidth="1"/>
    <col min="27" max="27" width="12.5" style="744" customWidth="1"/>
    <col min="28" max="39" width="12.5" style="743" customWidth="1"/>
    <col min="40" max="133" width="10" style="743" customWidth="1"/>
    <col min="134" max="16384" width="10" style="743"/>
  </cols>
  <sheetData>
    <row r="1" spans="1:64" s="741" customFormat="1" ht="20" customHeight="1">
      <c r="B1" s="740" t="str">
        <f>"v"&amp;'COPYRIGHT PROTECTION'!C15&amp;"     "&amp;'COPYRIGHT PROTECTION'!C6</f>
        <v xml:space="preserve">v2025.1     © Simon Hulme and Chris Drew, 2011-2025     IF PART OF AN ACADEMIC ASSIGNMENT, PLEASE DO NOT DELETE THIS SINGLE LINE.  DELETING IT MAY INVALIDATE YOUR SUBMISSION. </v>
      </c>
      <c r="O1" s="742"/>
      <c r="AA1" s="742"/>
    </row>
    <row r="2" spans="1:64" s="741" customFormat="1" ht="20" customHeight="1">
      <c r="B2" s="740"/>
      <c r="O2" s="742"/>
      <c r="AA2" s="742"/>
    </row>
    <row r="3" spans="1:64" ht="28">
      <c r="B3" s="380" t="s">
        <v>479</v>
      </c>
    </row>
    <row r="6" spans="1:64" s="747" customFormat="1" ht="20" customHeight="1" thickBot="1">
      <c r="B6" s="745" t="s">
        <v>157</v>
      </c>
      <c r="C6" s="746" t="s">
        <v>7</v>
      </c>
      <c r="D6" s="401">
        <f>'Pricing Model'!C5</f>
        <v>45658</v>
      </c>
      <c r="E6" s="401">
        <f t="shared" ref="E6:AL6" si="0">DATE(YEAR(D6),MONTH(D6),DAY(EOMONTH(D6,0)))+1</f>
        <v>45689</v>
      </c>
      <c r="F6" s="401">
        <f t="shared" si="0"/>
        <v>45717</v>
      </c>
      <c r="G6" s="401">
        <f t="shared" si="0"/>
        <v>45748</v>
      </c>
      <c r="H6" s="401">
        <f t="shared" si="0"/>
        <v>45778</v>
      </c>
      <c r="I6" s="401">
        <f t="shared" si="0"/>
        <v>45809</v>
      </c>
      <c r="J6" s="401">
        <f t="shared" si="0"/>
        <v>45839</v>
      </c>
      <c r="K6" s="401">
        <f t="shared" si="0"/>
        <v>45870</v>
      </c>
      <c r="L6" s="401">
        <f t="shared" si="0"/>
        <v>45901</v>
      </c>
      <c r="M6" s="401">
        <f t="shared" si="0"/>
        <v>45931</v>
      </c>
      <c r="N6" s="401">
        <f t="shared" si="0"/>
        <v>45962</v>
      </c>
      <c r="O6" s="546">
        <f t="shared" si="0"/>
        <v>45992</v>
      </c>
      <c r="P6" s="401">
        <f t="shared" si="0"/>
        <v>46023</v>
      </c>
      <c r="Q6" s="401">
        <f t="shared" si="0"/>
        <v>46054</v>
      </c>
      <c r="R6" s="401">
        <f t="shared" si="0"/>
        <v>46082</v>
      </c>
      <c r="S6" s="401">
        <f t="shared" si="0"/>
        <v>46113</v>
      </c>
      <c r="T6" s="401">
        <f t="shared" si="0"/>
        <v>46143</v>
      </c>
      <c r="U6" s="401">
        <f t="shared" si="0"/>
        <v>46174</v>
      </c>
      <c r="V6" s="401">
        <f t="shared" si="0"/>
        <v>46204</v>
      </c>
      <c r="W6" s="401">
        <f t="shared" si="0"/>
        <v>46235</v>
      </c>
      <c r="X6" s="401">
        <f t="shared" si="0"/>
        <v>46266</v>
      </c>
      <c r="Y6" s="401">
        <f t="shared" si="0"/>
        <v>46296</v>
      </c>
      <c r="Z6" s="401">
        <f t="shared" si="0"/>
        <v>46327</v>
      </c>
      <c r="AA6" s="546">
        <f t="shared" si="0"/>
        <v>46357</v>
      </c>
      <c r="AB6" s="401">
        <f t="shared" si="0"/>
        <v>46388</v>
      </c>
      <c r="AC6" s="401">
        <f t="shared" si="0"/>
        <v>46419</v>
      </c>
      <c r="AD6" s="401">
        <f t="shared" si="0"/>
        <v>46447</v>
      </c>
      <c r="AE6" s="401">
        <f t="shared" si="0"/>
        <v>46478</v>
      </c>
      <c r="AF6" s="401">
        <f t="shared" si="0"/>
        <v>46508</v>
      </c>
      <c r="AG6" s="401">
        <f t="shared" si="0"/>
        <v>46539</v>
      </c>
      <c r="AH6" s="401">
        <f t="shared" si="0"/>
        <v>46569</v>
      </c>
      <c r="AI6" s="401">
        <f t="shared" si="0"/>
        <v>46600</v>
      </c>
      <c r="AJ6" s="401">
        <f t="shared" si="0"/>
        <v>46631</v>
      </c>
      <c r="AK6" s="401">
        <f t="shared" si="0"/>
        <v>46661</v>
      </c>
      <c r="AL6" s="401">
        <f t="shared" si="0"/>
        <v>46692</v>
      </c>
      <c r="AM6" s="401">
        <f>DATE(YEAR(AL6),MONTH(AL6),DAY(EOMONTH(AL6,0)))+1+2025.1-2025.1</f>
        <v>46722</v>
      </c>
    </row>
    <row r="7" spans="1:64" s="747" customFormat="1" ht="16" customHeight="1">
      <c r="B7" s="748"/>
      <c r="C7" s="749"/>
      <c r="D7" s="750"/>
      <c r="E7" s="750"/>
      <c r="F7" s="750"/>
      <c r="G7" s="750"/>
      <c r="H7" s="750"/>
      <c r="I7" s="750"/>
      <c r="J7" s="750"/>
      <c r="K7" s="750"/>
      <c r="L7" s="750"/>
      <c r="M7" s="750"/>
      <c r="N7" s="750"/>
      <c r="O7" s="751"/>
      <c r="P7" s="750"/>
      <c r="Q7" s="750"/>
      <c r="R7" s="750"/>
      <c r="S7" s="750"/>
      <c r="T7" s="750"/>
      <c r="U7" s="750"/>
      <c r="V7" s="750"/>
      <c r="W7" s="750"/>
      <c r="X7" s="750"/>
      <c r="Y7" s="750"/>
      <c r="Z7" s="750"/>
      <c r="AA7" s="751"/>
      <c r="AB7" s="750"/>
      <c r="AC7" s="750"/>
      <c r="AD7" s="750"/>
      <c r="AE7" s="750"/>
      <c r="AF7" s="750"/>
      <c r="AG7" s="750"/>
      <c r="AH7" s="750"/>
      <c r="AI7" s="750"/>
      <c r="AJ7" s="750"/>
      <c r="AK7" s="750"/>
      <c r="AL7" s="750"/>
      <c r="AM7" s="750"/>
    </row>
    <row r="8" spans="1:64" s="753" customFormat="1" ht="16" customHeight="1">
      <c r="B8" s="752" t="s">
        <v>174</v>
      </c>
      <c r="D8" s="754"/>
      <c r="E8" s="754"/>
      <c r="F8" s="754"/>
      <c r="G8" s="754"/>
      <c r="H8" s="754"/>
      <c r="I8" s="754"/>
      <c r="J8" s="754"/>
      <c r="K8" s="754"/>
      <c r="L8" s="754"/>
      <c r="M8" s="754"/>
      <c r="N8" s="754"/>
      <c r="O8" s="755"/>
      <c r="P8" s="754"/>
      <c r="Q8" s="754"/>
      <c r="R8" s="754"/>
      <c r="S8" s="754"/>
      <c r="T8" s="754"/>
      <c r="U8" s="754"/>
      <c r="V8" s="754"/>
      <c r="W8" s="754"/>
      <c r="X8" s="754"/>
      <c r="Y8" s="754"/>
      <c r="Z8" s="754"/>
      <c r="AA8" s="755"/>
      <c r="AB8" s="754"/>
      <c r="AC8" s="754"/>
      <c r="AD8" s="754"/>
      <c r="AE8" s="754"/>
      <c r="AF8" s="754"/>
      <c r="AG8" s="754"/>
      <c r="AH8" s="754"/>
      <c r="AI8" s="754"/>
      <c r="AJ8" s="754"/>
      <c r="AK8" s="754"/>
      <c r="AL8" s="754"/>
      <c r="AM8" s="754"/>
      <c r="AN8" s="754"/>
      <c r="AO8" s="754"/>
      <c r="AP8" s="754"/>
      <c r="AQ8" s="754"/>
      <c r="AR8" s="754"/>
      <c r="AS8" s="754"/>
      <c r="AT8" s="754"/>
      <c r="AU8" s="754"/>
      <c r="AV8" s="754"/>
      <c r="AW8" s="754"/>
    </row>
    <row r="9" spans="1:64" ht="16" customHeight="1">
      <c r="B9" s="756" t="str">
        <f>'Profit &amp; Loss'!B137</f>
        <v>Fast-Wearing Equipment</v>
      </c>
      <c r="D9" s="757">
        <f>'Profit &amp; Loss'!D137</f>
        <v>12131.666666666666</v>
      </c>
      <c r="E9" s="757">
        <f>'Profit &amp; Loss'!E137</f>
        <v>11863.333333333332</v>
      </c>
      <c r="F9" s="757">
        <f>'Profit &amp; Loss'!F137</f>
        <v>11594.999999999998</v>
      </c>
      <c r="G9" s="757">
        <f>'Profit &amp; Loss'!G137</f>
        <v>11326.666666666664</v>
      </c>
      <c r="H9" s="757">
        <f>'Profit &amp; Loss'!H137</f>
        <v>11058.33333333333</v>
      </c>
      <c r="I9" s="757">
        <f>'Profit &amp; Loss'!I137</f>
        <v>10789.999999999996</v>
      </c>
      <c r="J9" s="757">
        <f>'Profit &amp; Loss'!J137</f>
        <v>10521.666666666662</v>
      </c>
      <c r="K9" s="757">
        <f>'Profit &amp; Loss'!K137</f>
        <v>10253.333333333328</v>
      </c>
      <c r="L9" s="757">
        <f>'Profit &amp; Loss'!L137</f>
        <v>9984.9999999999964</v>
      </c>
      <c r="M9" s="757">
        <f>'Profit &amp; Loss'!M137</f>
        <v>9716.6666666666624</v>
      </c>
      <c r="N9" s="757">
        <f>'Profit &amp; Loss'!N137</f>
        <v>9448.3333333333285</v>
      </c>
      <c r="O9" s="757">
        <f>'Profit &amp; Loss'!O137</f>
        <v>9179.9999999999964</v>
      </c>
      <c r="P9" s="757">
        <f>'Profit &amp; Loss'!P137</f>
        <v>8950.4999999999964</v>
      </c>
      <c r="Q9" s="757">
        <f>'Profit &amp; Loss'!Q137</f>
        <v>8720.9999999999964</v>
      </c>
      <c r="R9" s="757">
        <f>'Profit &amp; Loss'!R137</f>
        <v>8491.4999999999964</v>
      </c>
      <c r="S9" s="757">
        <f>'Profit &amp; Loss'!S137</f>
        <v>8261.9999999999964</v>
      </c>
      <c r="T9" s="757">
        <f>'Profit &amp; Loss'!T137</f>
        <v>8032.4999999999964</v>
      </c>
      <c r="U9" s="757">
        <f>'Profit &amp; Loss'!U137</f>
        <v>7802.9999999999964</v>
      </c>
      <c r="V9" s="757">
        <f>'Profit &amp; Loss'!V137</f>
        <v>7573.4999999999964</v>
      </c>
      <c r="W9" s="757">
        <f>'Profit &amp; Loss'!W137</f>
        <v>7343.9999999999964</v>
      </c>
      <c r="X9" s="757">
        <f>'Profit &amp; Loss'!X137</f>
        <v>19688.099999999995</v>
      </c>
      <c r="Y9" s="757">
        <f>'Profit &amp; Loss'!Y137</f>
        <v>19136.199999999997</v>
      </c>
      <c r="Z9" s="757">
        <f>'Profit &amp; Loss'!Z137</f>
        <v>18584.299999999996</v>
      </c>
      <c r="AA9" s="757">
        <f>'Profit &amp; Loss'!AA137</f>
        <v>18032.399999999994</v>
      </c>
      <c r="AB9" s="757">
        <f>'Profit &amp; Loss'!AB137</f>
        <v>17581.589999999997</v>
      </c>
      <c r="AC9" s="757">
        <f>'Profit &amp; Loss'!AC137</f>
        <v>17130.779999999995</v>
      </c>
      <c r="AD9" s="757">
        <f>'Profit &amp; Loss'!AD137</f>
        <v>16679.969999999998</v>
      </c>
      <c r="AE9" s="757">
        <f>'Profit &amp; Loss'!AE137</f>
        <v>16229.159999999996</v>
      </c>
      <c r="AF9" s="757">
        <f>'Profit &amp; Loss'!AF137</f>
        <v>15778.349999999997</v>
      </c>
      <c r="AG9" s="757">
        <f>'Profit &amp; Loss'!AG137</f>
        <v>15327.539999999997</v>
      </c>
      <c r="AH9" s="757">
        <f>'Profit &amp; Loss'!AH137</f>
        <v>14876.729999999996</v>
      </c>
      <c r="AI9" s="757">
        <f>'Profit &amp; Loss'!AI137</f>
        <v>14425.919999999996</v>
      </c>
      <c r="AJ9" s="757">
        <f>'Profit &amp; Loss'!AJ137</f>
        <v>13975.109999999997</v>
      </c>
      <c r="AK9" s="757">
        <f>'Profit &amp; Loss'!AK137</f>
        <v>13524.299999999996</v>
      </c>
      <c r="AL9" s="757">
        <f>'Profit &amp; Loss'!AL137</f>
        <v>13073.489999999996</v>
      </c>
      <c r="AM9" s="757">
        <f>'Profit &amp; Loss'!AM137</f>
        <v>12622.679999999997</v>
      </c>
      <c r="AN9" s="754"/>
      <c r="AO9" s="754"/>
      <c r="AP9" s="754"/>
      <c r="AQ9" s="754"/>
      <c r="AR9" s="754"/>
      <c r="AS9" s="754"/>
      <c r="AT9" s="754"/>
      <c r="AU9" s="754"/>
      <c r="AV9" s="754"/>
      <c r="AW9" s="754"/>
      <c r="AX9" s="754"/>
      <c r="AY9" s="754"/>
      <c r="AZ9" s="754"/>
      <c r="BA9" s="754"/>
      <c r="BB9" s="754"/>
      <c r="BC9" s="754"/>
      <c r="BD9" s="754"/>
      <c r="BE9" s="754"/>
      <c r="BF9" s="754"/>
      <c r="BG9" s="754"/>
      <c r="BH9" s="754"/>
    </row>
    <row r="10" spans="1:64" s="761" customFormat="1" ht="16" customHeight="1">
      <c r="A10" s="758"/>
      <c r="B10" s="759" t="str">
        <f>'Profit &amp; Loss'!B160</f>
        <v>Long-Lasting Equipment</v>
      </c>
      <c r="C10" s="760"/>
      <c r="D10" s="757">
        <f>'Profit &amp; Loss'!D160</f>
        <v>8711.1111111111113</v>
      </c>
      <c r="E10" s="757">
        <f>'Profit &amp; Loss'!E160</f>
        <v>8592.2222222222226</v>
      </c>
      <c r="F10" s="757">
        <f>'Profit &amp; Loss'!F160</f>
        <v>8473.3333333333339</v>
      </c>
      <c r="G10" s="757">
        <f>'Profit &amp; Loss'!G160</f>
        <v>8354.4444444444453</v>
      </c>
      <c r="H10" s="757">
        <f>'Profit &amp; Loss'!H160</f>
        <v>8235.5555555555566</v>
      </c>
      <c r="I10" s="757">
        <f>'Profit &amp; Loss'!I160</f>
        <v>8116.6666666666679</v>
      </c>
      <c r="J10" s="757">
        <f>'Profit &amp; Loss'!J160</f>
        <v>7997.7777777777792</v>
      </c>
      <c r="K10" s="757">
        <f>'Profit &amp; Loss'!K160</f>
        <v>7878.8888888888905</v>
      </c>
      <c r="L10" s="757">
        <f>'Profit &amp; Loss'!L160</f>
        <v>8066.6666666666679</v>
      </c>
      <c r="M10" s="757">
        <f>'Profit &amp; Loss'!M160</f>
        <v>7954.4444444444462</v>
      </c>
      <c r="N10" s="757">
        <f>'Profit &amp; Loss'!N160</f>
        <v>7842.2222222222244</v>
      </c>
      <c r="O10" s="757">
        <f>'Profit &amp; Loss'!O160</f>
        <v>7730.0000000000027</v>
      </c>
      <c r="P10" s="757">
        <f>'Profit &amp; Loss'!P160</f>
        <v>7617.777777777781</v>
      </c>
      <c r="Q10" s="757">
        <f>'Profit &amp; Loss'!Q160</f>
        <v>7505.5555555555593</v>
      </c>
      <c r="R10" s="757">
        <f>'Profit &amp; Loss'!R160</f>
        <v>7393.3333333333376</v>
      </c>
      <c r="S10" s="757">
        <f>'Profit &amp; Loss'!S160</f>
        <v>7281.1111111111159</v>
      </c>
      <c r="T10" s="757">
        <f>'Profit &amp; Loss'!T160</f>
        <v>7168.8888888888941</v>
      </c>
      <c r="U10" s="757">
        <f>'Profit &amp; Loss'!U160</f>
        <v>7056.6666666666715</v>
      </c>
      <c r="V10" s="757">
        <f>'Profit &amp; Loss'!V160</f>
        <v>6944.4444444444498</v>
      </c>
      <c r="W10" s="757">
        <f>'Profit &amp; Loss'!W160</f>
        <v>6832.2222222222281</v>
      </c>
      <c r="X10" s="757">
        <f>'Profit &amp; Loss'!X160</f>
        <v>16108.617901234573</v>
      </c>
      <c r="Y10" s="757">
        <f>'Profit &amp; Loss'!Y160</f>
        <v>15889.813580246919</v>
      </c>
      <c r="Z10" s="757">
        <f>'Profit &amp; Loss'!Z160</f>
        <v>15671.009259259265</v>
      </c>
      <c r="AA10" s="757">
        <f>'Profit &amp; Loss'!AA160</f>
        <v>15452.20493827161</v>
      </c>
      <c r="AB10" s="757">
        <f>'Profit &amp; Loss'!AB160</f>
        <v>15233.400617283956</v>
      </c>
      <c r="AC10" s="757">
        <f>'Profit &amp; Loss'!AC160</f>
        <v>15014.596296296302</v>
      </c>
      <c r="AD10" s="757">
        <f>'Profit &amp; Loss'!AD160</f>
        <v>14795.791975308648</v>
      </c>
      <c r="AE10" s="757">
        <f>'Profit &amp; Loss'!AE160</f>
        <v>14576.987654320994</v>
      </c>
      <c r="AF10" s="757">
        <f>'Profit &amp; Loss'!AF160</f>
        <v>14358.18333333334</v>
      </c>
      <c r="AG10" s="757">
        <f>'Profit &amp; Loss'!AG160</f>
        <v>14139.379012345686</v>
      </c>
      <c r="AH10" s="757">
        <f>'Profit &amp; Loss'!AH160</f>
        <v>13920.57469135803</v>
      </c>
      <c r="AI10" s="757">
        <f>'Profit &amp; Loss'!AI160</f>
        <v>13701.770370370377</v>
      </c>
      <c r="AJ10" s="757">
        <f>'Profit &amp; Loss'!AJ160</f>
        <v>13482.966049382721</v>
      </c>
      <c r="AK10" s="757">
        <f>'Profit &amp; Loss'!AK160</f>
        <v>13264.161728395069</v>
      </c>
      <c r="AL10" s="757">
        <f>'Profit &amp; Loss'!AL160</f>
        <v>13045.357407407413</v>
      </c>
      <c r="AM10" s="757">
        <f>'Profit &amp; Loss'!AM160</f>
        <v>12826.553086419759</v>
      </c>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60"/>
      <c r="BJ10" s="760"/>
      <c r="BK10" s="760"/>
      <c r="BL10" s="760"/>
    </row>
    <row r="11" spans="1:64" s="758" customFormat="1" ht="16" customHeight="1">
      <c r="B11" s="762"/>
      <c r="C11" s="763"/>
      <c r="D11" s="764">
        <f t="shared" ref="D11:AM11" si="1">SUM(D9:D10)</f>
        <v>20842.777777777777</v>
      </c>
      <c r="E11" s="764">
        <f t="shared" si="1"/>
        <v>20455.555555555555</v>
      </c>
      <c r="F11" s="764">
        <f t="shared" si="1"/>
        <v>20068.333333333332</v>
      </c>
      <c r="G11" s="764">
        <f t="shared" si="1"/>
        <v>19681.111111111109</v>
      </c>
      <c r="H11" s="764">
        <f t="shared" si="1"/>
        <v>19293.888888888887</v>
      </c>
      <c r="I11" s="764">
        <f t="shared" si="1"/>
        <v>18906.666666666664</v>
      </c>
      <c r="J11" s="764">
        <f t="shared" si="1"/>
        <v>18519.444444444442</v>
      </c>
      <c r="K11" s="764">
        <f t="shared" si="1"/>
        <v>18132.222222222219</v>
      </c>
      <c r="L11" s="764">
        <f t="shared" si="1"/>
        <v>18051.666666666664</v>
      </c>
      <c r="M11" s="764">
        <f t="shared" si="1"/>
        <v>17671.111111111109</v>
      </c>
      <c r="N11" s="764">
        <f t="shared" si="1"/>
        <v>17290.555555555555</v>
      </c>
      <c r="O11" s="765">
        <f t="shared" si="1"/>
        <v>16910</v>
      </c>
      <c r="P11" s="764">
        <f t="shared" si="1"/>
        <v>16568.277777777777</v>
      </c>
      <c r="Q11" s="764">
        <f t="shared" si="1"/>
        <v>16226.555555555555</v>
      </c>
      <c r="R11" s="764">
        <f t="shared" si="1"/>
        <v>15884.833333333334</v>
      </c>
      <c r="S11" s="764">
        <f t="shared" si="1"/>
        <v>15543.111111111113</v>
      </c>
      <c r="T11" s="764">
        <f t="shared" si="1"/>
        <v>15201.388888888891</v>
      </c>
      <c r="U11" s="764">
        <f t="shared" si="1"/>
        <v>14859.666666666668</v>
      </c>
      <c r="V11" s="764">
        <f t="shared" si="1"/>
        <v>14517.944444444445</v>
      </c>
      <c r="W11" s="764">
        <f t="shared" si="1"/>
        <v>14176.222222222224</v>
      </c>
      <c r="X11" s="764">
        <f t="shared" si="1"/>
        <v>35796.717901234566</v>
      </c>
      <c r="Y11" s="764">
        <f t="shared" si="1"/>
        <v>35026.013580246916</v>
      </c>
      <c r="Z11" s="764">
        <f t="shared" si="1"/>
        <v>34255.309259259258</v>
      </c>
      <c r="AA11" s="765">
        <f t="shared" si="1"/>
        <v>33484.604938271601</v>
      </c>
      <c r="AB11" s="764">
        <f t="shared" si="1"/>
        <v>32814.990617283955</v>
      </c>
      <c r="AC11" s="764">
        <f t="shared" si="1"/>
        <v>32145.376296296297</v>
      </c>
      <c r="AD11" s="764">
        <f t="shared" si="1"/>
        <v>31475.761975308647</v>
      </c>
      <c r="AE11" s="764">
        <f t="shared" si="1"/>
        <v>30806.14765432099</v>
      </c>
      <c r="AF11" s="764">
        <f t="shared" si="1"/>
        <v>30136.533333333336</v>
      </c>
      <c r="AG11" s="764">
        <f t="shared" si="1"/>
        <v>29466.919012345683</v>
      </c>
      <c r="AH11" s="764">
        <f t="shared" si="1"/>
        <v>28797.304691358026</v>
      </c>
      <c r="AI11" s="764">
        <f t="shared" si="1"/>
        <v>28127.690370370372</v>
      </c>
      <c r="AJ11" s="764">
        <f t="shared" si="1"/>
        <v>27458.076049382718</v>
      </c>
      <c r="AK11" s="764">
        <f t="shared" si="1"/>
        <v>26788.461728395065</v>
      </c>
      <c r="AL11" s="764">
        <f t="shared" si="1"/>
        <v>26118.847407407411</v>
      </c>
      <c r="AM11" s="764">
        <f t="shared" si="1"/>
        <v>25449.233086419757</v>
      </c>
      <c r="AN11" s="766"/>
      <c r="AO11" s="766"/>
      <c r="AP11" s="766"/>
      <c r="AQ11" s="766"/>
      <c r="AR11" s="766"/>
      <c r="AS11" s="766"/>
      <c r="AT11" s="766"/>
      <c r="AU11" s="766"/>
      <c r="AV11" s="766"/>
      <c r="AW11" s="766"/>
      <c r="AX11" s="766"/>
      <c r="AY11" s="766"/>
      <c r="AZ11" s="766"/>
      <c r="BA11" s="766"/>
      <c r="BB11" s="766"/>
      <c r="BC11" s="766"/>
      <c r="BD11" s="766"/>
      <c r="BE11" s="766"/>
      <c r="BF11" s="766"/>
      <c r="BG11" s="766"/>
      <c r="BH11" s="766"/>
      <c r="BI11" s="767"/>
      <c r="BJ11" s="767"/>
      <c r="BK11" s="767"/>
      <c r="BL11" s="767"/>
    </row>
    <row r="12" spans="1:64" s="754" customFormat="1" ht="12" customHeight="1">
      <c r="B12" s="756"/>
      <c r="D12" s="757"/>
      <c r="E12" s="757"/>
      <c r="F12" s="757"/>
      <c r="G12" s="757"/>
      <c r="H12" s="757"/>
      <c r="I12" s="757"/>
      <c r="J12" s="757"/>
      <c r="K12" s="757"/>
      <c r="L12" s="757"/>
      <c r="M12" s="757"/>
      <c r="N12" s="757"/>
      <c r="O12" s="768"/>
      <c r="P12" s="757"/>
      <c r="Q12" s="757"/>
      <c r="R12" s="757"/>
      <c r="S12" s="757"/>
      <c r="T12" s="757"/>
      <c r="U12" s="757"/>
      <c r="V12" s="757"/>
      <c r="W12" s="757"/>
      <c r="X12" s="757"/>
      <c r="Y12" s="757"/>
      <c r="Z12" s="757"/>
      <c r="AA12" s="768"/>
      <c r="AB12" s="757"/>
      <c r="AC12" s="757"/>
      <c r="AD12" s="757"/>
      <c r="AE12" s="757"/>
      <c r="AF12" s="757"/>
      <c r="AG12" s="757"/>
      <c r="AH12" s="757"/>
      <c r="AI12" s="757"/>
      <c r="AJ12" s="757"/>
      <c r="AK12" s="757"/>
      <c r="AL12" s="757"/>
      <c r="AM12" s="757"/>
    </row>
    <row r="13" spans="1:64" s="769" customFormat="1" ht="16" customHeight="1">
      <c r="B13" s="752" t="s">
        <v>166</v>
      </c>
      <c r="D13" s="757"/>
      <c r="E13" s="757"/>
      <c r="F13" s="757"/>
      <c r="G13" s="757"/>
      <c r="H13" s="757"/>
      <c r="I13" s="757"/>
      <c r="J13" s="757"/>
      <c r="K13" s="757"/>
      <c r="L13" s="757"/>
      <c r="M13" s="757"/>
      <c r="N13" s="757"/>
      <c r="O13" s="768"/>
      <c r="P13" s="757"/>
      <c r="Q13" s="757"/>
      <c r="R13" s="757"/>
      <c r="S13" s="757"/>
      <c r="T13" s="757"/>
      <c r="U13" s="757"/>
      <c r="V13" s="757"/>
      <c r="W13" s="757"/>
      <c r="X13" s="757"/>
      <c r="Y13" s="757"/>
      <c r="Z13" s="757"/>
      <c r="AA13" s="768"/>
      <c r="AB13" s="757"/>
      <c r="AC13" s="757"/>
      <c r="AD13" s="757"/>
      <c r="AE13" s="757"/>
      <c r="AF13" s="757"/>
      <c r="AG13" s="757"/>
      <c r="AH13" s="757"/>
      <c r="AI13" s="757"/>
      <c r="AJ13" s="757"/>
      <c r="AK13" s="757"/>
      <c r="AL13" s="757"/>
      <c r="AM13" s="757"/>
      <c r="AN13" s="754"/>
      <c r="AO13" s="754"/>
      <c r="AP13" s="754"/>
      <c r="AQ13" s="754"/>
      <c r="AR13" s="754"/>
      <c r="AS13" s="754"/>
      <c r="AT13" s="754"/>
      <c r="AU13" s="754"/>
      <c r="AV13" s="754"/>
      <c r="AW13" s="754"/>
    </row>
    <row r="14" spans="1:64" s="754" customFormat="1" ht="16" customHeight="1">
      <c r="B14" s="756" t="s">
        <v>159</v>
      </c>
      <c r="D14" s="757">
        <f>D58</f>
        <v>50000</v>
      </c>
      <c r="E14" s="757">
        <f t="shared" ref="E14:AM14" si="2">E58</f>
        <v>50000</v>
      </c>
      <c r="F14" s="757">
        <f t="shared" si="2"/>
        <v>50000</v>
      </c>
      <c r="G14" s="757">
        <f t="shared" si="2"/>
        <v>50000</v>
      </c>
      <c r="H14" s="757">
        <f t="shared" si="2"/>
        <v>50000</v>
      </c>
      <c r="I14" s="757">
        <f t="shared" si="2"/>
        <v>50000</v>
      </c>
      <c r="J14" s="757">
        <f t="shared" si="2"/>
        <v>50000</v>
      </c>
      <c r="K14" s="757">
        <f t="shared" si="2"/>
        <v>50000</v>
      </c>
      <c r="L14" s="757">
        <f t="shared" si="2"/>
        <v>50000</v>
      </c>
      <c r="M14" s="757">
        <f t="shared" si="2"/>
        <v>50000</v>
      </c>
      <c r="N14" s="757">
        <f t="shared" si="2"/>
        <v>50000</v>
      </c>
      <c r="O14" s="768">
        <f t="shared" si="2"/>
        <v>50000</v>
      </c>
      <c r="P14" s="757">
        <f t="shared" si="2"/>
        <v>60000</v>
      </c>
      <c r="Q14" s="757">
        <f t="shared" si="2"/>
        <v>60000</v>
      </c>
      <c r="R14" s="757">
        <f t="shared" si="2"/>
        <v>60000</v>
      </c>
      <c r="S14" s="757">
        <f t="shared" si="2"/>
        <v>60000</v>
      </c>
      <c r="T14" s="757">
        <f t="shared" si="2"/>
        <v>60000</v>
      </c>
      <c r="U14" s="757">
        <f t="shared" si="2"/>
        <v>60000</v>
      </c>
      <c r="V14" s="757">
        <f t="shared" si="2"/>
        <v>60000</v>
      </c>
      <c r="W14" s="757">
        <f t="shared" si="2"/>
        <v>60000</v>
      </c>
      <c r="X14" s="757">
        <f t="shared" si="2"/>
        <v>60000</v>
      </c>
      <c r="Y14" s="757">
        <f t="shared" si="2"/>
        <v>60000</v>
      </c>
      <c r="Z14" s="757">
        <f t="shared" si="2"/>
        <v>60000</v>
      </c>
      <c r="AA14" s="768">
        <f t="shared" si="2"/>
        <v>60000</v>
      </c>
      <c r="AB14" s="757">
        <f t="shared" si="2"/>
        <v>70000</v>
      </c>
      <c r="AC14" s="757">
        <f t="shared" si="2"/>
        <v>70000</v>
      </c>
      <c r="AD14" s="757">
        <f t="shared" si="2"/>
        <v>70000</v>
      </c>
      <c r="AE14" s="757">
        <f t="shared" si="2"/>
        <v>70000</v>
      </c>
      <c r="AF14" s="757">
        <f t="shared" si="2"/>
        <v>70000</v>
      </c>
      <c r="AG14" s="757">
        <f t="shared" si="2"/>
        <v>70000</v>
      </c>
      <c r="AH14" s="757">
        <f t="shared" si="2"/>
        <v>70000</v>
      </c>
      <c r="AI14" s="757">
        <f t="shared" si="2"/>
        <v>70000</v>
      </c>
      <c r="AJ14" s="757">
        <f t="shared" si="2"/>
        <v>70000</v>
      </c>
      <c r="AK14" s="757">
        <f t="shared" si="2"/>
        <v>70000</v>
      </c>
      <c r="AL14" s="757">
        <f t="shared" si="2"/>
        <v>70000</v>
      </c>
      <c r="AM14" s="757">
        <f t="shared" si="2"/>
        <v>70000</v>
      </c>
    </row>
    <row r="15" spans="1:64" s="754" customFormat="1" ht="16" customHeight="1">
      <c r="A15" s="770"/>
      <c r="B15" s="771" t="s">
        <v>160</v>
      </c>
      <c r="D15" s="757">
        <f>D63</f>
        <v>23997.139999999996</v>
      </c>
      <c r="E15" s="757">
        <f t="shared" ref="E15:AM15" si="3">E63</f>
        <v>25816.796799999996</v>
      </c>
      <c r="F15" s="757">
        <f t="shared" si="3"/>
        <v>28200.317999999999</v>
      </c>
      <c r="G15" s="757">
        <f t="shared" si="3"/>
        <v>29940.089199999995</v>
      </c>
      <c r="H15" s="757">
        <f t="shared" si="3"/>
        <v>31901.11039999999</v>
      </c>
      <c r="I15" s="757">
        <f t="shared" si="3"/>
        <v>34080.652799999996</v>
      </c>
      <c r="J15" s="757">
        <f t="shared" si="3"/>
        <v>36288.03839999999</v>
      </c>
      <c r="K15" s="757">
        <f t="shared" si="3"/>
        <v>37442.695199999987</v>
      </c>
      <c r="L15" s="757">
        <f t="shared" si="3"/>
        <v>39826.44519999998</v>
      </c>
      <c r="M15" s="757">
        <f t="shared" si="3"/>
        <v>42023.101999999984</v>
      </c>
      <c r="N15" s="757">
        <f t="shared" si="3"/>
        <v>44571.487599999986</v>
      </c>
      <c r="O15" s="768">
        <f t="shared" si="3"/>
        <v>46409.873199999995</v>
      </c>
      <c r="P15" s="757">
        <f t="shared" si="3"/>
        <v>50607.470175999995</v>
      </c>
      <c r="Q15" s="757">
        <f t="shared" si="3"/>
        <v>53656.294271999992</v>
      </c>
      <c r="R15" s="757">
        <f t="shared" si="3"/>
        <v>60798.361440000001</v>
      </c>
      <c r="S15" s="757">
        <f t="shared" si="3"/>
        <v>65422.761439999995</v>
      </c>
      <c r="T15" s="757">
        <f t="shared" si="3"/>
        <v>66979.766559999989</v>
      </c>
      <c r="U15" s="757">
        <f t="shared" si="3"/>
        <v>69833.428607999987</v>
      </c>
      <c r="V15" s="757">
        <f t="shared" si="3"/>
        <v>72857.212191999992</v>
      </c>
      <c r="W15" s="757">
        <f t="shared" si="3"/>
        <v>75445.955263999989</v>
      </c>
      <c r="X15" s="757">
        <f t="shared" si="3"/>
        <v>95421.545656888891</v>
      </c>
      <c r="Y15" s="757">
        <f t="shared" si="3"/>
        <v>96802.318815999985</v>
      </c>
      <c r="Z15" s="757">
        <f t="shared" si="3"/>
        <v>100639.94035199998</v>
      </c>
      <c r="AA15" s="768">
        <f t="shared" si="3"/>
        <v>104058.10239999997</v>
      </c>
      <c r="AB15" s="757">
        <f t="shared" si="3"/>
        <v>111262.58068703997</v>
      </c>
      <c r="AC15" s="757">
        <f t="shared" si="3"/>
        <v>114132.36863831997</v>
      </c>
      <c r="AD15" s="757">
        <f t="shared" si="3"/>
        <v>117425.25257335996</v>
      </c>
      <c r="AE15" s="757">
        <f t="shared" si="3"/>
        <v>121847.54052463996</v>
      </c>
      <c r="AF15" s="757">
        <f t="shared" si="3"/>
        <v>125519.92445967995</v>
      </c>
      <c r="AG15" s="757">
        <f t="shared" si="3"/>
        <v>128886.71241095994</v>
      </c>
      <c r="AH15" s="757">
        <f t="shared" si="3"/>
        <v>132116.09634599998</v>
      </c>
      <c r="AI15" s="757">
        <f t="shared" si="3"/>
        <v>134961.38429727996</v>
      </c>
      <c r="AJ15" s="757">
        <f t="shared" si="3"/>
        <v>137838.26823231997</v>
      </c>
      <c r="AK15" s="757">
        <f t="shared" si="3"/>
        <v>139686.05618359995</v>
      </c>
      <c r="AL15" s="757">
        <f t="shared" si="3"/>
        <v>143969.94011863996</v>
      </c>
      <c r="AM15" s="757">
        <f t="shared" si="3"/>
        <v>148240.22806991995</v>
      </c>
    </row>
    <row r="16" spans="1:64" s="754" customFormat="1" ht="16" customHeight="1">
      <c r="A16" s="770"/>
      <c r="B16" s="771" t="s">
        <v>39</v>
      </c>
      <c r="D16" s="757">
        <f>D68</f>
        <v>8666.6666666666679</v>
      </c>
      <c r="E16" s="757">
        <f t="shared" ref="E16:AM16" si="4">E68</f>
        <v>4333.3333333333339</v>
      </c>
      <c r="F16" s="757">
        <f t="shared" si="4"/>
        <v>0</v>
      </c>
      <c r="G16" s="757">
        <f t="shared" si="4"/>
        <v>8666.6666666666679</v>
      </c>
      <c r="H16" s="757">
        <f t="shared" si="4"/>
        <v>4333.3333333333339</v>
      </c>
      <c r="I16" s="757">
        <f t="shared" si="4"/>
        <v>0</v>
      </c>
      <c r="J16" s="757">
        <f t="shared" si="4"/>
        <v>8666.6666666666679</v>
      </c>
      <c r="K16" s="757">
        <f t="shared" si="4"/>
        <v>4333.3333333333339</v>
      </c>
      <c r="L16" s="757">
        <f t="shared" si="4"/>
        <v>0</v>
      </c>
      <c r="M16" s="757">
        <f t="shared" si="4"/>
        <v>8666.6666666666679</v>
      </c>
      <c r="N16" s="757">
        <f t="shared" si="4"/>
        <v>4333.3333333333339</v>
      </c>
      <c r="O16" s="768">
        <f t="shared" si="4"/>
        <v>0</v>
      </c>
      <c r="P16" s="757">
        <f t="shared" si="4"/>
        <v>12068.888888888891</v>
      </c>
      <c r="Q16" s="757">
        <f t="shared" si="4"/>
        <v>6034.4444444444453</v>
      </c>
      <c r="R16" s="757">
        <f t="shared" si="4"/>
        <v>0</v>
      </c>
      <c r="S16" s="757">
        <f t="shared" si="4"/>
        <v>12068.888888888891</v>
      </c>
      <c r="T16" s="757">
        <f t="shared" si="4"/>
        <v>6034.4444444444453</v>
      </c>
      <c r="U16" s="757">
        <f t="shared" si="4"/>
        <v>0</v>
      </c>
      <c r="V16" s="757">
        <f t="shared" si="4"/>
        <v>12068.888888888891</v>
      </c>
      <c r="W16" s="757">
        <f t="shared" si="4"/>
        <v>6034.4444444444453</v>
      </c>
      <c r="X16" s="757">
        <f t="shared" si="4"/>
        <v>0</v>
      </c>
      <c r="Y16" s="757">
        <f t="shared" si="4"/>
        <v>12068.888888888891</v>
      </c>
      <c r="Z16" s="757">
        <f t="shared" si="4"/>
        <v>6034.4444444444453</v>
      </c>
      <c r="AA16" s="768">
        <f t="shared" si="4"/>
        <v>0</v>
      </c>
      <c r="AB16" s="757">
        <f t="shared" si="4"/>
        <v>18929.733333333337</v>
      </c>
      <c r="AC16" s="757">
        <f t="shared" si="4"/>
        <v>9464.8666666666686</v>
      </c>
      <c r="AD16" s="757">
        <f t="shared" si="4"/>
        <v>0</v>
      </c>
      <c r="AE16" s="757">
        <f t="shared" si="4"/>
        <v>18929.733333333337</v>
      </c>
      <c r="AF16" s="757">
        <f t="shared" si="4"/>
        <v>9464.8666666666686</v>
      </c>
      <c r="AG16" s="757">
        <f t="shared" si="4"/>
        <v>0</v>
      </c>
      <c r="AH16" s="757">
        <f t="shared" si="4"/>
        <v>18929.733333333337</v>
      </c>
      <c r="AI16" s="757">
        <f t="shared" si="4"/>
        <v>9464.8666666666686</v>
      </c>
      <c r="AJ16" s="757">
        <f t="shared" si="4"/>
        <v>0</v>
      </c>
      <c r="AK16" s="757">
        <f t="shared" si="4"/>
        <v>18929.733333333337</v>
      </c>
      <c r="AL16" s="757">
        <f t="shared" si="4"/>
        <v>9464.8666666666686</v>
      </c>
      <c r="AM16" s="757">
        <f t="shared" si="4"/>
        <v>0</v>
      </c>
    </row>
    <row r="17" spans="1:64" s="754" customFormat="1" ht="16" customHeight="1">
      <c r="A17" s="770"/>
      <c r="B17" s="772" t="s">
        <v>3</v>
      </c>
      <c r="C17" s="773"/>
      <c r="D17" s="774">
        <f>'Cash Flow'!D58</f>
        <v>323577.93172323058</v>
      </c>
      <c r="E17" s="774">
        <f>'Cash Flow'!E58</f>
        <v>260985.91577037546</v>
      </c>
      <c r="F17" s="774">
        <f>'Cash Flow'!F58</f>
        <v>233645.00271472891</v>
      </c>
      <c r="G17" s="774">
        <f>'Cash Flow'!G58</f>
        <v>222391.64738987092</v>
      </c>
      <c r="H17" s="774">
        <f>'Cash Flow'!H58</f>
        <v>225583.21856991178</v>
      </c>
      <c r="I17" s="774">
        <f>'Cash Flow'!I58</f>
        <v>212270.05251994237</v>
      </c>
      <c r="J17" s="774">
        <f>'Cash Flow'!J58</f>
        <v>205837.44828160838</v>
      </c>
      <c r="K17" s="774">
        <f>'Cash Flow'!K58</f>
        <v>214333.25013697383</v>
      </c>
      <c r="L17" s="774">
        <f>'Cash Flow'!L58</f>
        <v>203279.58349317071</v>
      </c>
      <c r="M17" s="774">
        <f>'Cash Flow'!M58</f>
        <v>201477.97379013445</v>
      </c>
      <c r="N17" s="774">
        <f>'Cash Flow'!N58</f>
        <v>214150.82643433931</v>
      </c>
      <c r="O17" s="775">
        <f>'Cash Flow'!O58</f>
        <v>206014.17524615675</v>
      </c>
      <c r="P17" s="774">
        <f>'Cash Flow'!P58</f>
        <v>195767.88639321286</v>
      </c>
      <c r="Q17" s="774">
        <f>'Cash Flow'!Q58</f>
        <v>145083.99377167434</v>
      </c>
      <c r="R17" s="774">
        <f>'Cash Flow'!R58</f>
        <v>131374.7729632642</v>
      </c>
      <c r="S17" s="774">
        <f>'Cash Flow'!S58</f>
        <v>132959.88954114215</v>
      </c>
      <c r="T17" s="774">
        <f>'Cash Flow'!T58</f>
        <v>408524.24787197635</v>
      </c>
      <c r="U17" s="774">
        <f>'Cash Flow'!U58</f>
        <v>398835.44162311347</v>
      </c>
      <c r="V17" s="774">
        <f>'Cash Flow'!V58</f>
        <v>407792.27030191582</v>
      </c>
      <c r="W17" s="774">
        <f>'Cash Flow'!W58</f>
        <v>437057.56330838805</v>
      </c>
      <c r="X17" s="774">
        <f ca="1">'Cash Flow'!X58</f>
        <v>386633.80039532087</v>
      </c>
      <c r="Y17" s="774">
        <f ca="1">'Cash Flow'!Y58</f>
        <v>396983.03529199044</v>
      </c>
      <c r="Z17" s="774">
        <f ca="1">'Cash Flow'!Z58</f>
        <v>428196.20961044094</v>
      </c>
      <c r="AA17" s="775">
        <f ca="1">'Cash Flow'!AA58</f>
        <v>403608.65635428095</v>
      </c>
      <c r="AB17" s="774">
        <f ca="1">'Cash Flow'!AB58</f>
        <v>402255.46418936935</v>
      </c>
      <c r="AC17" s="774">
        <f ca="1">'Cash Flow'!AC58</f>
        <v>348175.35773034353</v>
      </c>
      <c r="AD17" s="774">
        <f ca="1">'Cash Flow'!AD58</f>
        <v>327372.31571273331</v>
      </c>
      <c r="AE17" s="774">
        <f ca="1">'Cash Flow'!AE58</f>
        <v>336753.18733028183</v>
      </c>
      <c r="AF17" s="774">
        <f ca="1">'Cash Flow'!AF58</f>
        <v>378216.57268292713</v>
      </c>
      <c r="AG17" s="774">
        <f ca="1">'Cash Flow'!AG58</f>
        <v>359928.65920122806</v>
      </c>
      <c r="AH17" s="774">
        <f ca="1">'Cash Flow'!AH58</f>
        <v>378821.05348762235</v>
      </c>
      <c r="AI17" s="774">
        <f ca="1">'Cash Flow'!AI58</f>
        <v>428790.23320223752</v>
      </c>
      <c r="AJ17" s="774">
        <f ca="1">'Cash Flow'!AJ58</f>
        <v>384995.57493482076</v>
      </c>
      <c r="AK17" s="774">
        <f ca="1">'Cash Flow'!AK58</f>
        <v>411358.06999291008</v>
      </c>
      <c r="AL17" s="774">
        <f ca="1">'Cash Flow'!AL58</f>
        <v>467586.84154011554</v>
      </c>
      <c r="AM17" s="774">
        <f ca="1">'Cash Flow'!AM58</f>
        <v>396659.43186245678</v>
      </c>
    </row>
    <row r="18" spans="1:64" s="754" customFormat="1" ht="16" customHeight="1">
      <c r="A18" s="770"/>
      <c r="B18" s="771"/>
      <c r="D18" s="776">
        <f>SUM(D14:D17)</f>
        <v>406241.73838989728</v>
      </c>
      <c r="E18" s="776">
        <f t="shared" ref="E18:AM18" si="5">SUM(E14:E17)</f>
        <v>341136.04590370879</v>
      </c>
      <c r="F18" s="776">
        <f t="shared" si="5"/>
        <v>311845.32071472891</v>
      </c>
      <c r="G18" s="776">
        <f t="shared" si="5"/>
        <v>310998.40325653757</v>
      </c>
      <c r="H18" s="776">
        <f t="shared" si="5"/>
        <v>311817.6623032451</v>
      </c>
      <c r="I18" s="776">
        <f t="shared" si="5"/>
        <v>296350.70531994238</v>
      </c>
      <c r="J18" s="776">
        <f t="shared" si="5"/>
        <v>300792.15334827505</v>
      </c>
      <c r="K18" s="776">
        <f t="shared" si="5"/>
        <v>306109.27867030713</v>
      </c>
      <c r="L18" s="776">
        <f t="shared" si="5"/>
        <v>293106.02869317069</v>
      </c>
      <c r="M18" s="776">
        <f t="shared" si="5"/>
        <v>302167.74245680112</v>
      </c>
      <c r="N18" s="776">
        <f t="shared" si="5"/>
        <v>313055.64736767265</v>
      </c>
      <c r="O18" s="768">
        <f t="shared" si="5"/>
        <v>302424.04844615678</v>
      </c>
      <c r="P18" s="776">
        <f t="shared" si="5"/>
        <v>318444.24545810174</v>
      </c>
      <c r="Q18" s="776">
        <f t="shared" si="5"/>
        <v>264774.73248811881</v>
      </c>
      <c r="R18" s="776">
        <f t="shared" si="5"/>
        <v>252173.13440326421</v>
      </c>
      <c r="S18" s="776">
        <f t="shared" si="5"/>
        <v>270451.53987003106</v>
      </c>
      <c r="T18" s="776">
        <f t="shared" si="5"/>
        <v>541538.45887642074</v>
      </c>
      <c r="U18" s="776">
        <f t="shared" si="5"/>
        <v>528668.8702311134</v>
      </c>
      <c r="V18" s="776">
        <f t="shared" si="5"/>
        <v>552718.3713828047</v>
      </c>
      <c r="W18" s="776">
        <f t="shared" si="5"/>
        <v>578537.96301683248</v>
      </c>
      <c r="X18" s="776">
        <f t="shared" ca="1" si="5"/>
        <v>542055.34605220973</v>
      </c>
      <c r="Y18" s="776">
        <f t="shared" ca="1" si="5"/>
        <v>565854.24299687939</v>
      </c>
      <c r="Z18" s="776">
        <f t="shared" ca="1" si="5"/>
        <v>594870.59440688533</v>
      </c>
      <c r="AA18" s="768">
        <f t="shared" ca="1" si="5"/>
        <v>567666.75875428086</v>
      </c>
      <c r="AB18" s="776">
        <f t="shared" ca="1" si="5"/>
        <v>602447.77820974262</v>
      </c>
      <c r="AC18" s="776">
        <f t="shared" ca="1" si="5"/>
        <v>541772.59303533018</v>
      </c>
      <c r="AD18" s="776">
        <f t="shared" ca="1" si="5"/>
        <v>514797.5682860933</v>
      </c>
      <c r="AE18" s="776">
        <f t="shared" ca="1" si="5"/>
        <v>547530.46118825511</v>
      </c>
      <c r="AF18" s="776">
        <f t="shared" ca="1" si="5"/>
        <v>583201.36380927381</v>
      </c>
      <c r="AG18" s="776">
        <f t="shared" ca="1" si="5"/>
        <v>558815.37161218794</v>
      </c>
      <c r="AH18" s="776">
        <f t="shared" ca="1" si="5"/>
        <v>599866.88316695567</v>
      </c>
      <c r="AI18" s="776">
        <f t="shared" ca="1" si="5"/>
        <v>643216.48416618421</v>
      </c>
      <c r="AJ18" s="776">
        <f t="shared" ca="1" si="5"/>
        <v>592833.84316714073</v>
      </c>
      <c r="AK18" s="776">
        <f t="shared" ca="1" si="5"/>
        <v>639973.8595098434</v>
      </c>
      <c r="AL18" s="776">
        <f t="shared" ca="1" si="5"/>
        <v>691021.6483254222</v>
      </c>
      <c r="AM18" s="776">
        <f t="shared" ca="1" si="5"/>
        <v>614899.6599323767</v>
      </c>
    </row>
    <row r="19" spans="1:64" s="754" customFormat="1" ht="12" customHeight="1">
      <c r="A19" s="770"/>
      <c r="B19" s="771"/>
      <c r="D19" s="757"/>
      <c r="E19" s="757"/>
      <c r="F19" s="757"/>
      <c r="G19" s="757"/>
      <c r="H19" s="757"/>
      <c r="I19" s="757"/>
      <c r="J19" s="757"/>
      <c r="K19" s="757"/>
      <c r="L19" s="757"/>
      <c r="M19" s="757"/>
      <c r="N19" s="757"/>
      <c r="O19" s="768"/>
      <c r="P19" s="757"/>
      <c r="Q19" s="757"/>
      <c r="R19" s="757"/>
      <c r="S19" s="757"/>
      <c r="T19" s="757"/>
      <c r="U19" s="757"/>
      <c r="V19" s="757"/>
      <c r="W19" s="757"/>
      <c r="X19" s="757"/>
      <c r="Y19" s="757"/>
      <c r="Z19" s="757"/>
      <c r="AA19" s="768"/>
      <c r="AB19" s="757"/>
      <c r="AC19" s="757"/>
      <c r="AD19" s="757"/>
      <c r="AE19" s="757"/>
      <c r="AF19" s="757"/>
      <c r="AG19" s="757"/>
      <c r="AH19" s="757"/>
      <c r="AI19" s="757"/>
      <c r="AJ19" s="757"/>
      <c r="AK19" s="757"/>
      <c r="AL19" s="757"/>
      <c r="AM19" s="757"/>
    </row>
    <row r="20" spans="1:64" s="769" customFormat="1" ht="16" customHeight="1">
      <c r="A20" s="777"/>
      <c r="B20" s="778" t="s">
        <v>195</v>
      </c>
      <c r="D20" s="757"/>
      <c r="E20" s="757"/>
      <c r="F20" s="757"/>
      <c r="G20" s="757"/>
      <c r="H20" s="757"/>
      <c r="I20" s="757"/>
      <c r="J20" s="757"/>
      <c r="K20" s="757"/>
      <c r="L20" s="757"/>
      <c r="M20" s="757"/>
      <c r="N20" s="757"/>
      <c r="O20" s="768"/>
      <c r="P20" s="757"/>
      <c r="Q20" s="757"/>
      <c r="R20" s="757"/>
      <c r="S20" s="757"/>
      <c r="T20" s="757"/>
      <c r="U20" s="757"/>
      <c r="V20" s="757"/>
      <c r="W20" s="757"/>
      <c r="X20" s="757"/>
      <c r="Y20" s="757"/>
      <c r="Z20" s="757"/>
      <c r="AA20" s="768"/>
      <c r="AB20" s="757"/>
      <c r="AC20" s="757"/>
      <c r="AD20" s="757"/>
      <c r="AE20" s="757"/>
      <c r="AF20" s="757"/>
      <c r="AG20" s="757"/>
      <c r="AH20" s="757"/>
      <c r="AI20" s="757"/>
      <c r="AJ20" s="757"/>
      <c r="AK20" s="757"/>
      <c r="AL20" s="757"/>
      <c r="AM20" s="757"/>
      <c r="AN20" s="754"/>
      <c r="AO20" s="754"/>
      <c r="AP20" s="754"/>
      <c r="AQ20" s="754"/>
      <c r="AR20" s="754"/>
      <c r="AS20" s="754"/>
      <c r="AT20" s="754"/>
      <c r="AU20" s="754"/>
      <c r="AV20" s="754"/>
      <c r="AW20" s="754"/>
    </row>
    <row r="21" spans="1:64" s="754" customFormat="1" ht="16" customHeight="1">
      <c r="A21" s="770"/>
      <c r="B21" s="771" t="s">
        <v>161</v>
      </c>
      <c r="D21" s="757">
        <f>-D74</f>
        <v>-88586.223401085706</v>
      </c>
      <c r="E21" s="757">
        <f t="shared" ref="E21:AM21" si="6">-E74</f>
        <v>-28803.522016987423</v>
      </c>
      <c r="F21" s="757">
        <f t="shared" si="6"/>
        <v>-3645.8878855885705</v>
      </c>
      <c r="G21" s="757">
        <f t="shared" si="6"/>
        <v>-3879.4506681897155</v>
      </c>
      <c r="H21" s="757">
        <f t="shared" si="6"/>
        <v>-4135.457368790856</v>
      </c>
      <c r="I21" s="757">
        <f t="shared" si="6"/>
        <v>-4407.0981865645708</v>
      </c>
      <c r="J21" s="757">
        <f t="shared" si="6"/>
        <v>-4709.9946678651422</v>
      </c>
      <c r="K21" s="757">
        <f t="shared" si="6"/>
        <v>-4840.6515717668581</v>
      </c>
      <c r="L21" s="757">
        <f t="shared" si="6"/>
        <v>-5762.6753137668484</v>
      </c>
      <c r="M21" s="757">
        <f t="shared" si="6"/>
        <v>-6045.2327165257102</v>
      </c>
      <c r="N21" s="757">
        <f t="shared" si="6"/>
        <v>-6066.711126969135</v>
      </c>
      <c r="O21" s="768">
        <f t="shared" si="6"/>
        <v>-6328.75012484114</v>
      </c>
      <c r="P21" s="757">
        <f t="shared" si="6"/>
        <v>-18972.008449769088</v>
      </c>
      <c r="Q21" s="757">
        <f t="shared" si="6"/>
        <v>-7390.1128891265616</v>
      </c>
      <c r="R21" s="757">
        <f t="shared" si="6"/>
        <v>-8422.8550820192977</v>
      </c>
      <c r="S21" s="757">
        <f t="shared" si="6"/>
        <v>-9082.6902523964309</v>
      </c>
      <c r="T21" s="757">
        <f t="shared" si="6"/>
        <v>-8940.5430572104051</v>
      </c>
      <c r="U21" s="757">
        <f t="shared" si="6"/>
        <v>-9353.883563094867</v>
      </c>
      <c r="V21" s="757">
        <f t="shared" si="6"/>
        <v>-9791.6379317583742</v>
      </c>
      <c r="W21" s="757">
        <f t="shared" si="6"/>
        <v>-10125.753261087901</v>
      </c>
      <c r="X21" s="757">
        <f t="shared" si="6"/>
        <v>-14652.243145449922</v>
      </c>
      <c r="Y21" s="757">
        <f t="shared" si="6"/>
        <v>-13412.484543113402</v>
      </c>
      <c r="Z21" s="757">
        <f t="shared" si="6"/>
        <v>-13928.632222692455</v>
      </c>
      <c r="AA21" s="768">
        <f t="shared" si="6"/>
        <v>-14386.941600005483</v>
      </c>
      <c r="AB21" s="757">
        <f t="shared" si="6"/>
        <v>-27623.253307682236</v>
      </c>
      <c r="AC21" s="757">
        <f t="shared" si="6"/>
        <v>-16076.56891448044</v>
      </c>
      <c r="AD21" s="757">
        <f t="shared" si="6"/>
        <v>-16569.247995980364</v>
      </c>
      <c r="AE21" s="757">
        <f t="shared" si="6"/>
        <v>-17188.860214193632</v>
      </c>
      <c r="AF21" s="757">
        <f t="shared" si="6"/>
        <v>-17701.812154966694</v>
      </c>
      <c r="AG21" s="757">
        <f t="shared" si="6"/>
        <v>-18198.292795317087</v>
      </c>
      <c r="AH21" s="757">
        <f t="shared" si="6"/>
        <v>-18656.576053658759</v>
      </c>
      <c r="AI21" s="757">
        <f t="shared" si="6"/>
        <v>-19080.195885785735</v>
      </c>
      <c r="AJ21" s="757">
        <f t="shared" si="6"/>
        <v>-19483.186600057084</v>
      </c>
      <c r="AK21" s="757">
        <f t="shared" si="6"/>
        <v>-19765.426689250937</v>
      </c>
      <c r="AL21" s="757">
        <f t="shared" si="6"/>
        <v>-20293.956849470858</v>
      </c>
      <c r="AM21" s="757">
        <f t="shared" si="6"/>
        <v>-20836.209826197286</v>
      </c>
    </row>
    <row r="22" spans="1:64" s="754" customFormat="1" ht="16" customHeight="1">
      <c r="A22" s="770"/>
      <c r="B22" s="771" t="s">
        <v>40</v>
      </c>
      <c r="D22" s="757">
        <f>-D79</f>
        <v>-1375</v>
      </c>
      <c r="E22" s="757">
        <f t="shared" ref="E22:AM22" si="7">-E79</f>
        <v>-2750</v>
      </c>
      <c r="F22" s="757">
        <f t="shared" si="7"/>
        <v>0</v>
      </c>
      <c r="G22" s="757">
        <f t="shared" si="7"/>
        <v>-1375</v>
      </c>
      <c r="H22" s="757">
        <f t="shared" si="7"/>
        <v>-2750</v>
      </c>
      <c r="I22" s="757">
        <f t="shared" si="7"/>
        <v>0</v>
      </c>
      <c r="J22" s="757">
        <f t="shared" si="7"/>
        <v>-1375</v>
      </c>
      <c r="K22" s="757">
        <f t="shared" si="7"/>
        <v>-2750</v>
      </c>
      <c r="L22" s="757">
        <f t="shared" si="7"/>
        <v>0</v>
      </c>
      <c r="M22" s="757">
        <f t="shared" si="7"/>
        <v>-1375</v>
      </c>
      <c r="N22" s="757">
        <f t="shared" si="7"/>
        <v>-2750</v>
      </c>
      <c r="O22" s="768">
        <f t="shared" si="7"/>
        <v>0</v>
      </c>
      <c r="P22" s="757">
        <f t="shared" si="7"/>
        <v>-1906.666666666667</v>
      </c>
      <c r="Q22" s="757">
        <f t="shared" si="7"/>
        <v>-3813.3333333333339</v>
      </c>
      <c r="R22" s="757">
        <f t="shared" si="7"/>
        <v>0</v>
      </c>
      <c r="S22" s="757">
        <f t="shared" si="7"/>
        <v>-1906.666666666667</v>
      </c>
      <c r="T22" s="757">
        <f t="shared" si="7"/>
        <v>-3813.3333333333339</v>
      </c>
      <c r="U22" s="757">
        <f t="shared" si="7"/>
        <v>0</v>
      </c>
      <c r="V22" s="757">
        <f t="shared" si="7"/>
        <v>-1906.666666666667</v>
      </c>
      <c r="W22" s="757">
        <f t="shared" si="7"/>
        <v>-3813.3333333333339</v>
      </c>
      <c r="X22" s="757">
        <f t="shared" si="7"/>
        <v>0</v>
      </c>
      <c r="Y22" s="757">
        <f t="shared" si="7"/>
        <v>-1906.666666666667</v>
      </c>
      <c r="Z22" s="757">
        <f t="shared" si="7"/>
        <v>-3813.3333333333339</v>
      </c>
      <c r="AA22" s="768">
        <f t="shared" si="7"/>
        <v>0</v>
      </c>
      <c r="AB22" s="757">
        <f t="shared" si="7"/>
        <v>-2981.5500000000006</v>
      </c>
      <c r="AC22" s="757">
        <f t="shared" si="7"/>
        <v>-5963.1000000000013</v>
      </c>
      <c r="AD22" s="757">
        <f t="shared" si="7"/>
        <v>0</v>
      </c>
      <c r="AE22" s="757">
        <f t="shared" si="7"/>
        <v>-2981.5500000000006</v>
      </c>
      <c r="AF22" s="757">
        <f t="shared" si="7"/>
        <v>-5963.1000000000013</v>
      </c>
      <c r="AG22" s="757">
        <f t="shared" si="7"/>
        <v>0</v>
      </c>
      <c r="AH22" s="757">
        <f t="shared" si="7"/>
        <v>-2981.5500000000006</v>
      </c>
      <c r="AI22" s="757">
        <f t="shared" si="7"/>
        <v>-5963.1000000000013</v>
      </c>
      <c r="AJ22" s="757">
        <f t="shared" si="7"/>
        <v>0</v>
      </c>
      <c r="AK22" s="757">
        <f t="shared" si="7"/>
        <v>-2981.5500000000006</v>
      </c>
      <c r="AL22" s="757">
        <f t="shared" si="7"/>
        <v>-5963.1000000000013</v>
      </c>
      <c r="AM22" s="757">
        <f t="shared" si="7"/>
        <v>0</v>
      </c>
    </row>
    <row r="23" spans="1:64" s="754" customFormat="1" ht="16" customHeight="1">
      <c r="A23" s="770"/>
      <c r="B23" s="771" t="s">
        <v>194</v>
      </c>
      <c r="D23" s="757">
        <f>-D85</f>
        <v>-8546.0809678168553</v>
      </c>
      <c r="E23" s="757">
        <f t="shared" ref="E23:AM23" si="8">-E85</f>
        <v>-8602.3426675216506</v>
      </c>
      <c r="F23" s="757">
        <f t="shared" si="8"/>
        <v>-8658.9747567495015</v>
      </c>
      <c r="G23" s="757">
        <f t="shared" si="8"/>
        <v>-8715.9796738981004</v>
      </c>
      <c r="H23" s="757">
        <f t="shared" si="8"/>
        <v>-8773.3598734179304</v>
      </c>
      <c r="I23" s="757">
        <f t="shared" si="8"/>
        <v>-8831.1178259179324</v>
      </c>
      <c r="J23" s="757">
        <f t="shared" si="8"/>
        <v>-8889.2560182718917</v>
      </c>
      <c r="K23" s="757">
        <f t="shared" si="8"/>
        <v>-8947.7769537255153</v>
      </c>
      <c r="L23" s="757">
        <f t="shared" si="8"/>
        <v>-9006.6831520042088</v>
      </c>
      <c r="M23" s="757">
        <f t="shared" si="8"/>
        <v>-9065.9771494215693</v>
      </c>
      <c r="N23" s="757">
        <f t="shared" si="8"/>
        <v>-9125.6614989885948</v>
      </c>
      <c r="O23" s="768">
        <f t="shared" si="8"/>
        <v>-9185.7387705236033</v>
      </c>
      <c r="P23" s="757">
        <f t="shared" si="8"/>
        <v>-9246.2115507628841</v>
      </c>
      <c r="Q23" s="757">
        <f t="shared" si="8"/>
        <v>-9307.0824434720726</v>
      </c>
      <c r="R23" s="757">
        <f t="shared" si="8"/>
        <v>-9368.3540695582633</v>
      </c>
      <c r="S23" s="757">
        <f t="shared" si="8"/>
        <v>-9430.0290671828552</v>
      </c>
      <c r="T23" s="757">
        <f t="shared" si="8"/>
        <v>-9492.1100918751436</v>
      </c>
      <c r="U23" s="757">
        <f t="shared" si="8"/>
        <v>-9554.5998166466543</v>
      </c>
      <c r="V23" s="757">
        <f t="shared" si="8"/>
        <v>-9617.5009321062444</v>
      </c>
      <c r="W23" s="757">
        <f t="shared" si="8"/>
        <v>-9680.816146575944</v>
      </c>
      <c r="X23" s="757">
        <f t="shared" si="8"/>
        <v>-9744.5481862075685</v>
      </c>
      <c r="Y23" s="757">
        <f t="shared" si="8"/>
        <v>-9808.6997951001031</v>
      </c>
      <c r="Z23" s="757">
        <f t="shared" si="8"/>
        <v>-9873.2737354178444</v>
      </c>
      <c r="AA23" s="768">
        <f t="shared" si="8"/>
        <v>-9938.2727875093442</v>
      </c>
      <c r="AB23" s="757">
        <f t="shared" si="8"/>
        <v>-10003.699750027115</v>
      </c>
      <c r="AC23" s="757">
        <f t="shared" si="8"/>
        <v>-10069.557440048127</v>
      </c>
      <c r="AD23" s="757">
        <f t="shared" si="8"/>
        <v>-10135.84869319511</v>
      </c>
      <c r="AE23" s="757">
        <f t="shared" si="8"/>
        <v>-10202.576363758644</v>
      </c>
      <c r="AF23" s="757">
        <f t="shared" si="8"/>
        <v>-10269.743324820054</v>
      </c>
      <c r="AG23" s="757">
        <f t="shared" si="8"/>
        <v>-10337.352468375122</v>
      </c>
      <c r="AH23" s="757">
        <f t="shared" si="8"/>
        <v>-10405.40670545859</v>
      </c>
      <c r="AI23" s="757">
        <f t="shared" si="8"/>
        <v>-10473.908966269524</v>
      </c>
      <c r="AJ23" s="757">
        <f t="shared" si="8"/>
        <v>-10542.862200297466</v>
      </c>
      <c r="AK23" s="757">
        <f t="shared" si="8"/>
        <v>-10612.269376449425</v>
      </c>
      <c r="AL23" s="757">
        <f t="shared" si="8"/>
        <v>-10682.133483177717</v>
      </c>
      <c r="AM23" s="757">
        <f t="shared" si="8"/>
        <v>-10752.457528608636</v>
      </c>
    </row>
    <row r="24" spans="1:64" s="754" customFormat="1" ht="16" customHeight="1">
      <c r="A24" s="770"/>
      <c r="B24" s="771" t="s">
        <v>45</v>
      </c>
      <c r="D24" s="757">
        <f>-D92</f>
        <v>10764.847233514285</v>
      </c>
      <c r="E24" s="757">
        <f t="shared" ref="E24:AM24" si="9">-E92</f>
        <v>7016.6347696788562</v>
      </c>
      <c r="F24" s="757">
        <f t="shared" si="9"/>
        <v>0</v>
      </c>
      <c r="G24" s="757">
        <f t="shared" si="9"/>
        <v>-4343.4397553017143</v>
      </c>
      <c r="H24" s="757">
        <f t="shared" si="9"/>
        <v>-8971.0485938365709</v>
      </c>
      <c r="I24" s="757">
        <f t="shared" si="9"/>
        <v>0</v>
      </c>
      <c r="J24" s="757">
        <f t="shared" si="9"/>
        <v>-5263.007288689143</v>
      </c>
      <c r="K24" s="757">
        <f t="shared" si="9"/>
        <v>-10696.681226728</v>
      </c>
      <c r="L24" s="757">
        <f t="shared" si="9"/>
        <v>0</v>
      </c>
      <c r="M24" s="757">
        <f t="shared" si="9"/>
        <v>-6056.3115472457139</v>
      </c>
      <c r="N24" s="757">
        <f t="shared" si="9"/>
        <v>-12473.774292750859</v>
      </c>
      <c r="O24" s="768">
        <f t="shared" si="9"/>
        <v>0</v>
      </c>
      <c r="P24" s="757">
        <f t="shared" si="9"/>
        <v>-5272.5769543718179</v>
      </c>
      <c r="Q24" s="757">
        <f t="shared" si="9"/>
        <v>-12983.607184850724</v>
      </c>
      <c r="R24" s="757">
        <f t="shared" si="9"/>
        <v>0</v>
      </c>
      <c r="S24" s="757">
        <f t="shared" si="9"/>
        <v>-9390.0118646005976</v>
      </c>
      <c r="T24" s="757">
        <f t="shared" si="9"/>
        <v>-19063.215781732197</v>
      </c>
      <c r="U24" s="757">
        <f t="shared" si="9"/>
        <v>0</v>
      </c>
      <c r="V24" s="757">
        <f t="shared" si="9"/>
        <v>-10510.929043373604</v>
      </c>
      <c r="W24" s="757">
        <f t="shared" si="9"/>
        <v>-21397.629377192286</v>
      </c>
      <c r="X24" s="757">
        <f t="shared" si="9"/>
        <v>0</v>
      </c>
      <c r="Y24" s="757">
        <f t="shared" si="9"/>
        <v>-13898.305712147767</v>
      </c>
      <c r="Z24" s="757">
        <f t="shared" si="9"/>
        <v>-28350.190400365693</v>
      </c>
      <c r="AA24" s="768">
        <f t="shared" si="9"/>
        <v>0</v>
      </c>
      <c r="AB24" s="757">
        <f t="shared" si="9"/>
        <v>-13939.887896559627</v>
      </c>
      <c r="AC24" s="757">
        <f t="shared" si="9"/>
        <v>-30282.521183866222</v>
      </c>
      <c r="AD24" s="757">
        <f t="shared" si="9"/>
        <v>0</v>
      </c>
      <c r="AE24" s="757">
        <f t="shared" si="9"/>
        <v>-17443.113385074394</v>
      </c>
      <c r="AF24" s="757">
        <f t="shared" si="9"/>
        <v>-35412.798769193279</v>
      </c>
      <c r="AG24" s="757">
        <f t="shared" si="9"/>
        <v>0</v>
      </c>
      <c r="AH24" s="757">
        <f t="shared" si="9"/>
        <v>-18909.920048723543</v>
      </c>
      <c r="AI24" s="757">
        <f t="shared" si="9"/>
        <v>-38223.451450639252</v>
      </c>
      <c r="AJ24" s="757">
        <f t="shared" si="9"/>
        <v>0</v>
      </c>
      <c r="AK24" s="757">
        <f t="shared" si="9"/>
        <v>-19986.771582391513</v>
      </c>
      <c r="AL24" s="757">
        <f t="shared" si="9"/>
        <v>-40599.435460586377</v>
      </c>
      <c r="AM24" s="757">
        <f t="shared" si="9"/>
        <v>0</v>
      </c>
    </row>
    <row r="25" spans="1:64" s="783" customFormat="1" ht="16" customHeight="1">
      <c r="A25" s="779"/>
      <c r="B25" s="780" t="s">
        <v>0</v>
      </c>
      <c r="C25" s="781"/>
      <c r="D25" s="774">
        <f>-D97</f>
        <v>0</v>
      </c>
      <c r="E25" s="774">
        <f t="shared" ref="E25:AM25" si="10">-E97</f>
        <v>0</v>
      </c>
      <c r="F25" s="774">
        <f t="shared" si="10"/>
        <v>0</v>
      </c>
      <c r="G25" s="774">
        <f t="shared" si="10"/>
        <v>0</v>
      </c>
      <c r="H25" s="774">
        <f t="shared" si="10"/>
        <v>0</v>
      </c>
      <c r="I25" s="774">
        <f t="shared" si="10"/>
        <v>0</v>
      </c>
      <c r="J25" s="774">
        <f t="shared" si="10"/>
        <v>0</v>
      </c>
      <c r="K25" s="774">
        <f t="shared" si="10"/>
        <v>0</v>
      </c>
      <c r="L25" s="774">
        <f t="shared" si="10"/>
        <v>0</v>
      </c>
      <c r="M25" s="774">
        <f t="shared" si="10"/>
        <v>0</v>
      </c>
      <c r="N25" s="774">
        <f t="shared" si="10"/>
        <v>0</v>
      </c>
      <c r="O25" s="775">
        <f t="shared" si="10"/>
        <v>0</v>
      </c>
      <c r="P25" s="774">
        <f t="shared" si="10"/>
        <v>0</v>
      </c>
      <c r="Q25" s="774">
        <f t="shared" si="10"/>
        <v>0</v>
      </c>
      <c r="R25" s="774">
        <f t="shared" si="10"/>
        <v>0</v>
      </c>
      <c r="S25" s="774">
        <f t="shared" si="10"/>
        <v>0</v>
      </c>
      <c r="T25" s="774">
        <f t="shared" si="10"/>
        <v>0</v>
      </c>
      <c r="U25" s="774">
        <f t="shared" si="10"/>
        <v>0</v>
      </c>
      <c r="V25" s="774">
        <f t="shared" si="10"/>
        <v>0</v>
      </c>
      <c r="W25" s="774">
        <f t="shared" si="10"/>
        <v>0</v>
      </c>
      <c r="X25" s="774">
        <f t="shared" ca="1" si="10"/>
        <v>0</v>
      </c>
      <c r="Y25" s="774">
        <f t="shared" ca="1" si="10"/>
        <v>0</v>
      </c>
      <c r="Z25" s="774">
        <f t="shared" ca="1" si="10"/>
        <v>-819.19905920310907</v>
      </c>
      <c r="AA25" s="775">
        <f t="shared" ca="1" si="10"/>
        <v>-4241.6550888651727</v>
      </c>
      <c r="AB25" s="774">
        <f t="shared" ca="1" si="10"/>
        <v>-5580.2012274700401</v>
      </c>
      <c r="AC25" s="774">
        <f t="shared" ca="1" si="10"/>
        <v>-7395.0495675070088</v>
      </c>
      <c r="AD25" s="774">
        <f t="shared" ca="1" si="10"/>
        <v>-9761.8903535111403</v>
      </c>
      <c r="AE25" s="774">
        <f t="shared" ca="1" si="10"/>
        <v>-12848.633394641329</v>
      </c>
      <c r="AF25" s="774">
        <f t="shared" ca="1" si="10"/>
        <v>-16558.362654917539</v>
      </c>
      <c r="AG25" s="774">
        <f t="shared" ca="1" si="10"/>
        <v>-20833.962453238688</v>
      </c>
      <c r="AH25" s="774">
        <f t="shared" ca="1" si="10"/>
        <v>-25656.091697113767</v>
      </c>
      <c r="AI25" s="774">
        <f t="shared" ca="1" si="10"/>
        <v>-30955.833214627481</v>
      </c>
      <c r="AJ25" s="774">
        <f t="shared" ca="1" si="10"/>
        <v>-32511.916502443652</v>
      </c>
      <c r="AK25" s="774">
        <f t="shared" ca="1" si="10"/>
        <v>-38618.849746751235</v>
      </c>
      <c r="AL25" s="774">
        <f t="shared" ca="1" si="10"/>
        <v>-45476.579666825026</v>
      </c>
      <c r="AM25" s="774">
        <f t="shared" ca="1" si="10"/>
        <v>-53069.724771750094</v>
      </c>
      <c r="AN25" s="754"/>
      <c r="AO25" s="754"/>
      <c r="AP25" s="754"/>
      <c r="AQ25" s="754"/>
      <c r="AR25" s="754"/>
      <c r="AS25" s="754"/>
      <c r="AT25" s="754"/>
      <c r="AU25" s="754"/>
      <c r="AV25" s="754"/>
      <c r="AW25" s="754"/>
      <c r="AX25" s="754"/>
      <c r="AY25" s="754"/>
      <c r="AZ25" s="754"/>
      <c r="BA25" s="754"/>
      <c r="BB25" s="754"/>
      <c r="BC25" s="754"/>
      <c r="BD25" s="754"/>
      <c r="BE25" s="754"/>
      <c r="BF25" s="754"/>
      <c r="BG25" s="754"/>
      <c r="BH25" s="754"/>
      <c r="BI25" s="782"/>
      <c r="BJ25" s="782"/>
      <c r="BK25" s="782"/>
      <c r="BL25" s="782"/>
    </row>
    <row r="26" spans="1:64" s="754" customFormat="1" ht="16" customHeight="1">
      <c r="B26" s="756"/>
      <c r="D26" s="776">
        <f>SUM(D21:D25)</f>
        <v>-87742.457135388278</v>
      </c>
      <c r="E26" s="776">
        <f t="shared" ref="E26:AM26" si="11">SUM(E21:E25)</f>
        <v>-33139.229914830212</v>
      </c>
      <c r="F26" s="776">
        <f t="shared" si="11"/>
        <v>-12304.862642338072</v>
      </c>
      <c r="G26" s="776">
        <f t="shared" si="11"/>
        <v>-18313.870097389532</v>
      </c>
      <c r="H26" s="776">
        <f t="shared" si="11"/>
        <v>-24629.865836045356</v>
      </c>
      <c r="I26" s="776">
        <f t="shared" si="11"/>
        <v>-13238.216012482502</v>
      </c>
      <c r="J26" s="776">
        <f t="shared" si="11"/>
        <v>-20237.257974826178</v>
      </c>
      <c r="K26" s="776">
        <f t="shared" si="11"/>
        <v>-27235.109752220375</v>
      </c>
      <c r="L26" s="776">
        <f t="shared" si="11"/>
        <v>-14769.358465771056</v>
      </c>
      <c r="M26" s="776">
        <f t="shared" si="11"/>
        <v>-22542.521413192993</v>
      </c>
      <c r="N26" s="776">
        <f t="shared" si="11"/>
        <v>-30416.14691870859</v>
      </c>
      <c r="O26" s="768">
        <f t="shared" si="11"/>
        <v>-15514.488895364742</v>
      </c>
      <c r="P26" s="776">
        <f t="shared" si="11"/>
        <v>-35397.46362157046</v>
      </c>
      <c r="Q26" s="776">
        <f t="shared" si="11"/>
        <v>-33494.135850782695</v>
      </c>
      <c r="R26" s="776">
        <f t="shared" si="11"/>
        <v>-17791.209151577561</v>
      </c>
      <c r="S26" s="776">
        <f t="shared" si="11"/>
        <v>-29809.397850846552</v>
      </c>
      <c r="T26" s="776">
        <f t="shared" si="11"/>
        <v>-41309.202264151085</v>
      </c>
      <c r="U26" s="776">
        <f t="shared" si="11"/>
        <v>-18908.483379741519</v>
      </c>
      <c r="V26" s="776">
        <f t="shared" si="11"/>
        <v>-31826.734573904891</v>
      </c>
      <c r="W26" s="776">
        <f t="shared" si="11"/>
        <v>-45017.532118189469</v>
      </c>
      <c r="X26" s="776">
        <f t="shared" ca="1" si="11"/>
        <v>-24396.791331657492</v>
      </c>
      <c r="Y26" s="776">
        <f t="shared" ca="1" si="11"/>
        <v>-39026.156717027938</v>
      </c>
      <c r="Z26" s="776">
        <f t="shared" ca="1" si="11"/>
        <v>-56784.628751012438</v>
      </c>
      <c r="AA26" s="768">
        <f t="shared" ca="1" si="11"/>
        <v>-28566.869476379998</v>
      </c>
      <c r="AB26" s="776">
        <f t="shared" ca="1" si="11"/>
        <v>-60128.592181739019</v>
      </c>
      <c r="AC26" s="776">
        <f t="shared" ca="1" si="11"/>
        <v>-69786.797105901802</v>
      </c>
      <c r="AD26" s="776">
        <f t="shared" ca="1" si="11"/>
        <v>-36466.987042686611</v>
      </c>
      <c r="AE26" s="776">
        <f t="shared" ca="1" si="11"/>
        <v>-60664.733357667996</v>
      </c>
      <c r="AF26" s="776">
        <f t="shared" ca="1" si="11"/>
        <v>-85905.816903897576</v>
      </c>
      <c r="AG26" s="776">
        <f t="shared" ca="1" si="11"/>
        <v>-49369.607716930899</v>
      </c>
      <c r="AH26" s="776">
        <f t="shared" ca="1" si="11"/>
        <v>-76609.544504954654</v>
      </c>
      <c r="AI26" s="776">
        <f t="shared" ca="1" si="11"/>
        <v>-104696.489517322</v>
      </c>
      <c r="AJ26" s="776">
        <f t="shared" ca="1" si="11"/>
        <v>-62537.965302798199</v>
      </c>
      <c r="AK26" s="776">
        <f t="shared" ca="1" si="11"/>
        <v>-91964.86739484311</v>
      </c>
      <c r="AL26" s="776">
        <f t="shared" ca="1" si="11"/>
        <v>-123015.20546005998</v>
      </c>
      <c r="AM26" s="776">
        <f t="shared" ca="1" si="11"/>
        <v>-84658.39212655602</v>
      </c>
    </row>
    <row r="27" spans="1:64" s="754" customFormat="1" ht="20" customHeight="1">
      <c r="B27" s="784"/>
      <c r="C27" s="773"/>
      <c r="D27" s="774"/>
      <c r="E27" s="774"/>
      <c r="F27" s="774"/>
      <c r="G27" s="774"/>
      <c r="H27" s="774"/>
      <c r="I27" s="774"/>
      <c r="J27" s="774"/>
      <c r="K27" s="774"/>
      <c r="L27" s="774"/>
      <c r="M27" s="774"/>
      <c r="N27" s="774"/>
      <c r="O27" s="775"/>
      <c r="P27" s="774"/>
      <c r="Q27" s="774"/>
      <c r="R27" s="774"/>
      <c r="S27" s="774"/>
      <c r="T27" s="774"/>
      <c r="U27" s="774"/>
      <c r="V27" s="774"/>
      <c r="W27" s="774"/>
      <c r="X27" s="774"/>
      <c r="Y27" s="774"/>
      <c r="Z27" s="774"/>
      <c r="AA27" s="775"/>
      <c r="AB27" s="774"/>
      <c r="AC27" s="774"/>
      <c r="AD27" s="774"/>
      <c r="AE27" s="774"/>
      <c r="AF27" s="774"/>
      <c r="AG27" s="774"/>
      <c r="AH27" s="774"/>
      <c r="AI27" s="774"/>
      <c r="AJ27" s="774"/>
      <c r="AK27" s="774"/>
      <c r="AL27" s="774"/>
      <c r="AM27" s="774"/>
    </row>
    <row r="28" spans="1:64" s="754" customFormat="1" ht="16" customHeight="1">
      <c r="A28" s="770"/>
      <c r="B28" s="785" t="s">
        <v>158</v>
      </c>
      <c r="C28" s="766"/>
      <c r="D28" s="776">
        <f>D18+D26</f>
        <v>318499.281254509</v>
      </c>
      <c r="E28" s="776">
        <f t="shared" ref="E28:AM28" si="12">E18+E26</f>
        <v>307996.8159888786</v>
      </c>
      <c r="F28" s="776">
        <f t="shared" si="12"/>
        <v>299540.45807239081</v>
      </c>
      <c r="G28" s="776">
        <f t="shared" si="12"/>
        <v>292684.53315914806</v>
      </c>
      <c r="H28" s="776">
        <f t="shared" si="12"/>
        <v>287187.79646719975</v>
      </c>
      <c r="I28" s="776">
        <f t="shared" si="12"/>
        <v>283112.48930745991</v>
      </c>
      <c r="J28" s="776">
        <f t="shared" si="12"/>
        <v>280554.89537344885</v>
      </c>
      <c r="K28" s="776">
        <f t="shared" si="12"/>
        <v>278874.16891808674</v>
      </c>
      <c r="L28" s="776">
        <f t="shared" si="12"/>
        <v>278336.67022739962</v>
      </c>
      <c r="M28" s="776">
        <f t="shared" si="12"/>
        <v>279625.22104360815</v>
      </c>
      <c r="N28" s="776">
        <f t="shared" si="12"/>
        <v>282639.50044896407</v>
      </c>
      <c r="O28" s="768">
        <f t="shared" si="12"/>
        <v>286909.55955079204</v>
      </c>
      <c r="P28" s="776">
        <f t="shared" si="12"/>
        <v>283046.7818365313</v>
      </c>
      <c r="Q28" s="776">
        <f t="shared" si="12"/>
        <v>231280.59663733613</v>
      </c>
      <c r="R28" s="776">
        <f t="shared" si="12"/>
        <v>234381.92525168665</v>
      </c>
      <c r="S28" s="776">
        <f t="shared" si="12"/>
        <v>240642.14201918451</v>
      </c>
      <c r="T28" s="776">
        <f t="shared" si="12"/>
        <v>500229.25661226967</v>
      </c>
      <c r="U28" s="776">
        <f t="shared" si="12"/>
        <v>509760.38685137185</v>
      </c>
      <c r="V28" s="776">
        <f t="shared" si="12"/>
        <v>520891.63680889981</v>
      </c>
      <c r="W28" s="776">
        <f t="shared" si="12"/>
        <v>533520.43089864298</v>
      </c>
      <c r="X28" s="776">
        <f t="shared" ca="1" si="12"/>
        <v>517658.55472055223</v>
      </c>
      <c r="Y28" s="776">
        <f t="shared" ca="1" si="12"/>
        <v>526828.0862798515</v>
      </c>
      <c r="Z28" s="776">
        <f t="shared" ca="1" si="12"/>
        <v>538085.96565587283</v>
      </c>
      <c r="AA28" s="768">
        <f t="shared" ca="1" si="12"/>
        <v>539099.88927790092</v>
      </c>
      <c r="AB28" s="776">
        <f t="shared" ca="1" si="12"/>
        <v>542319.18602800358</v>
      </c>
      <c r="AC28" s="776">
        <f t="shared" ca="1" si="12"/>
        <v>471985.79592942836</v>
      </c>
      <c r="AD28" s="776">
        <f t="shared" ca="1" si="12"/>
        <v>478330.58124340669</v>
      </c>
      <c r="AE28" s="776">
        <f t="shared" ca="1" si="12"/>
        <v>486865.72783058713</v>
      </c>
      <c r="AF28" s="776">
        <f t="shared" ca="1" si="12"/>
        <v>497295.54690537625</v>
      </c>
      <c r="AG28" s="776">
        <f t="shared" ca="1" si="12"/>
        <v>509445.76389525703</v>
      </c>
      <c r="AH28" s="776">
        <f t="shared" ca="1" si="12"/>
        <v>523257.33866200101</v>
      </c>
      <c r="AI28" s="776">
        <f t="shared" ca="1" si="12"/>
        <v>538519.99464886216</v>
      </c>
      <c r="AJ28" s="776">
        <f t="shared" ca="1" si="12"/>
        <v>530295.87786434253</v>
      </c>
      <c r="AK28" s="776">
        <f t="shared" ca="1" si="12"/>
        <v>548008.99211500026</v>
      </c>
      <c r="AL28" s="776">
        <f t="shared" ca="1" si="12"/>
        <v>568006.44286536216</v>
      </c>
      <c r="AM28" s="776">
        <f t="shared" ca="1" si="12"/>
        <v>530241.26780582068</v>
      </c>
    </row>
    <row r="29" spans="1:64" s="754" customFormat="1" ht="16" customHeight="1">
      <c r="A29" s="770"/>
      <c r="B29" s="771"/>
      <c r="D29" s="757"/>
      <c r="E29" s="757"/>
      <c r="F29" s="757"/>
      <c r="G29" s="757"/>
      <c r="H29" s="757"/>
      <c r="I29" s="757"/>
      <c r="J29" s="757"/>
      <c r="K29" s="757"/>
      <c r="L29" s="757"/>
      <c r="M29" s="757"/>
      <c r="N29" s="757"/>
      <c r="O29" s="768"/>
      <c r="P29" s="757"/>
      <c r="Q29" s="757"/>
      <c r="R29" s="757"/>
      <c r="S29" s="757"/>
      <c r="T29" s="757"/>
      <c r="U29" s="757"/>
      <c r="V29" s="757"/>
      <c r="W29" s="757"/>
      <c r="X29" s="757"/>
      <c r="Y29" s="757"/>
      <c r="Z29" s="757"/>
      <c r="AA29" s="768"/>
      <c r="AB29" s="757"/>
      <c r="AC29" s="757"/>
      <c r="AD29" s="757"/>
      <c r="AE29" s="757"/>
      <c r="AF29" s="757"/>
      <c r="AG29" s="757"/>
      <c r="AH29" s="757"/>
      <c r="AI29" s="757"/>
      <c r="AJ29" s="757"/>
      <c r="AK29" s="757"/>
      <c r="AL29" s="757"/>
      <c r="AM29" s="757"/>
    </row>
    <row r="30" spans="1:64" s="769" customFormat="1" ht="16" customHeight="1">
      <c r="B30" s="752" t="s">
        <v>167</v>
      </c>
      <c r="D30" s="757"/>
      <c r="E30" s="757"/>
      <c r="F30" s="757"/>
      <c r="G30" s="757"/>
      <c r="H30" s="757"/>
      <c r="I30" s="757"/>
      <c r="J30" s="757"/>
      <c r="K30" s="757"/>
      <c r="L30" s="757"/>
      <c r="M30" s="757"/>
      <c r="N30" s="757"/>
      <c r="O30" s="768"/>
      <c r="P30" s="757"/>
      <c r="Q30" s="757"/>
      <c r="R30" s="757"/>
      <c r="S30" s="757"/>
      <c r="T30" s="757"/>
      <c r="U30" s="757"/>
      <c r="V30" s="757"/>
      <c r="W30" s="757"/>
      <c r="X30" s="757"/>
      <c r="Y30" s="757"/>
      <c r="Z30" s="757"/>
      <c r="AA30" s="768"/>
      <c r="AB30" s="757"/>
      <c r="AC30" s="757"/>
      <c r="AD30" s="757"/>
      <c r="AE30" s="757"/>
      <c r="AF30" s="757"/>
      <c r="AG30" s="757"/>
      <c r="AH30" s="757"/>
      <c r="AI30" s="757"/>
      <c r="AJ30" s="757"/>
      <c r="AK30" s="757"/>
      <c r="AL30" s="757"/>
      <c r="AM30" s="757"/>
      <c r="AN30" s="754"/>
      <c r="AO30" s="754"/>
      <c r="AP30" s="754"/>
      <c r="AQ30" s="754"/>
      <c r="AR30" s="754"/>
      <c r="AS30" s="754"/>
      <c r="AT30" s="754"/>
      <c r="AU30" s="754"/>
      <c r="AV30" s="754"/>
      <c r="AW30" s="754"/>
    </row>
    <row r="31" spans="1:64" s="754" customFormat="1" ht="16" customHeight="1">
      <c r="B31" s="756" t="s">
        <v>168</v>
      </c>
      <c r="D31" s="757">
        <f>-D86</f>
        <v>-40771.657213747065</v>
      </c>
      <c r="E31" s="757">
        <f t="shared" ref="E31:AM31" si="13">-E86</f>
        <v>-40028.642138634823</v>
      </c>
      <c r="F31" s="757">
        <f t="shared" si="13"/>
        <v>-39280.735547611432</v>
      </c>
      <c r="G31" s="757">
        <f t="shared" si="13"/>
        <v>-38527.905238197127</v>
      </c>
      <c r="H31" s="757">
        <f t="shared" si="13"/>
        <v>-37770.118795912509</v>
      </c>
      <c r="I31" s="757">
        <f t="shared" si="13"/>
        <v>-37007.343592882855</v>
      </c>
      <c r="J31" s="757">
        <f t="shared" si="13"/>
        <v>-36239.54678643326</v>
      </c>
      <c r="K31" s="757">
        <f t="shared" si="13"/>
        <v>-35466.69531767453</v>
      </c>
      <c r="L31" s="757">
        <f t="shared" si="13"/>
        <v>-34688.75591007981</v>
      </c>
      <c r="M31" s="757">
        <f t="shared" si="13"/>
        <v>-33905.695068051762</v>
      </c>
      <c r="N31" s="757">
        <f t="shared" si="13"/>
        <v>-33117.479075480354</v>
      </c>
      <c r="O31" s="768">
        <f t="shared" si="13"/>
        <v>-32324.073994291182</v>
      </c>
      <c r="P31" s="757">
        <f t="shared" si="13"/>
        <v>-31525.445662984188</v>
      </c>
      <c r="Q31" s="757">
        <f t="shared" si="13"/>
        <v>-30721.559695162759</v>
      </c>
      <c r="R31" s="757">
        <f t="shared" si="13"/>
        <v>-29912.381478053168</v>
      </c>
      <c r="S31" s="757">
        <f t="shared" si="13"/>
        <v>-29097.876171014272</v>
      </c>
      <c r="T31" s="757">
        <f t="shared" si="13"/>
        <v>-28278.008704037366</v>
      </c>
      <c r="U31" s="757">
        <f t="shared" si="13"/>
        <v>-27452.743776236202</v>
      </c>
      <c r="V31" s="757">
        <f t="shared" si="13"/>
        <v>-26622.045854327007</v>
      </c>
      <c r="W31" s="757">
        <f t="shared" si="13"/>
        <v>-25785.879171098586</v>
      </c>
      <c r="X31" s="757">
        <f t="shared" si="13"/>
        <v>-24944.207723872241</v>
      </c>
      <c r="Y31" s="757">
        <f t="shared" si="13"/>
        <v>-24096.995272951652</v>
      </c>
      <c r="Z31" s="757">
        <f t="shared" si="13"/>
        <v>-23244.205340062501</v>
      </c>
      <c r="AA31" s="768">
        <f t="shared" si="13"/>
        <v>-22385.801206781838</v>
      </c>
      <c r="AB31" s="757">
        <f t="shared" si="13"/>
        <v>-21521.745912957071</v>
      </c>
      <c r="AC31" s="757">
        <f t="shared" si="13"/>
        <v>-20652.002255114628</v>
      </c>
      <c r="AD31" s="757">
        <f t="shared" si="13"/>
        <v>-19776.532784858056</v>
      </c>
      <c r="AE31" s="757">
        <f t="shared" si="13"/>
        <v>-18895.299807255622</v>
      </c>
      <c r="AF31" s="757">
        <f t="shared" si="13"/>
        <v>-18008.265379217311</v>
      </c>
      <c r="AG31" s="757">
        <f t="shared" si="13"/>
        <v>-17115.391307861079</v>
      </c>
      <c r="AH31" s="757">
        <f t="shared" si="13"/>
        <v>-16216.639148868417</v>
      </c>
      <c r="AI31" s="757">
        <f t="shared" si="13"/>
        <v>-15311.970204829058</v>
      </c>
      <c r="AJ31" s="757">
        <f t="shared" si="13"/>
        <v>-14401.345523574772</v>
      </c>
      <c r="AK31" s="757">
        <f t="shared" si="13"/>
        <v>-13484.725896502227</v>
      </c>
      <c r="AL31" s="757">
        <f t="shared" si="13"/>
        <v>-12562.071856884788</v>
      </c>
      <c r="AM31" s="757">
        <f t="shared" si="13"/>
        <v>-11633.343678173202</v>
      </c>
    </row>
    <row r="32" spans="1:64" s="769" customFormat="1" ht="16" customHeight="1">
      <c r="B32" s="784" t="s">
        <v>63</v>
      </c>
      <c r="C32" s="786"/>
      <c r="D32" s="774">
        <f t="shared" ref="D32:AM32" si="14">-D102</f>
        <v>-250000</v>
      </c>
      <c r="E32" s="774">
        <f t="shared" si="14"/>
        <v>-250000</v>
      </c>
      <c r="F32" s="774">
        <f t="shared" si="14"/>
        <v>-250000</v>
      </c>
      <c r="G32" s="774">
        <f t="shared" si="14"/>
        <v>-250000</v>
      </c>
      <c r="H32" s="774">
        <f t="shared" si="14"/>
        <v>-250000</v>
      </c>
      <c r="I32" s="774">
        <f t="shared" si="14"/>
        <v>-250000</v>
      </c>
      <c r="J32" s="774">
        <f t="shared" si="14"/>
        <v>-250000</v>
      </c>
      <c r="K32" s="774">
        <f t="shared" si="14"/>
        <v>-250000</v>
      </c>
      <c r="L32" s="774">
        <f t="shared" si="14"/>
        <v>-250000</v>
      </c>
      <c r="M32" s="774">
        <f t="shared" si="14"/>
        <v>-250000</v>
      </c>
      <c r="N32" s="774">
        <f t="shared" si="14"/>
        <v>-250000</v>
      </c>
      <c r="O32" s="775">
        <f t="shared" si="14"/>
        <v>-250000</v>
      </c>
      <c r="P32" s="774">
        <f t="shared" si="14"/>
        <v>-250000</v>
      </c>
      <c r="Q32" s="774">
        <f t="shared" si="14"/>
        <v>-200000</v>
      </c>
      <c r="R32" s="774">
        <f t="shared" si="14"/>
        <v>-200000</v>
      </c>
      <c r="S32" s="774">
        <f t="shared" si="14"/>
        <v>-200000</v>
      </c>
      <c r="T32" s="774">
        <f t="shared" si="14"/>
        <v>-200000</v>
      </c>
      <c r="U32" s="774">
        <f t="shared" si="14"/>
        <v>-200000</v>
      </c>
      <c r="V32" s="774">
        <f t="shared" si="14"/>
        <v>-200000</v>
      </c>
      <c r="W32" s="774">
        <f t="shared" si="14"/>
        <v>-200000</v>
      </c>
      <c r="X32" s="774">
        <f t="shared" si="14"/>
        <v>-200000</v>
      </c>
      <c r="Y32" s="774">
        <f t="shared" si="14"/>
        <v>-200000</v>
      </c>
      <c r="Z32" s="774">
        <f t="shared" si="14"/>
        <v>-200000</v>
      </c>
      <c r="AA32" s="775">
        <f t="shared" si="14"/>
        <v>-200000</v>
      </c>
      <c r="AB32" s="774">
        <f t="shared" si="14"/>
        <v>-200000</v>
      </c>
      <c r="AC32" s="774">
        <f t="shared" si="14"/>
        <v>-125000</v>
      </c>
      <c r="AD32" s="774">
        <f t="shared" si="14"/>
        <v>-125000</v>
      </c>
      <c r="AE32" s="774">
        <f t="shared" si="14"/>
        <v>-125000</v>
      </c>
      <c r="AF32" s="774">
        <f t="shared" si="14"/>
        <v>-125000</v>
      </c>
      <c r="AG32" s="774">
        <f t="shared" si="14"/>
        <v>-125000</v>
      </c>
      <c r="AH32" s="774">
        <f t="shared" si="14"/>
        <v>-125000</v>
      </c>
      <c r="AI32" s="774">
        <f t="shared" si="14"/>
        <v>-125000</v>
      </c>
      <c r="AJ32" s="774">
        <f t="shared" si="14"/>
        <v>-100000</v>
      </c>
      <c r="AK32" s="774">
        <f t="shared" si="14"/>
        <v>-100000</v>
      </c>
      <c r="AL32" s="774">
        <f t="shared" si="14"/>
        <v>-100000</v>
      </c>
      <c r="AM32" s="774">
        <f t="shared" si="14"/>
        <v>-50000</v>
      </c>
      <c r="AN32" s="754"/>
      <c r="AO32" s="754"/>
      <c r="AP32" s="754"/>
      <c r="AQ32" s="754"/>
      <c r="AR32" s="754"/>
      <c r="AS32" s="754"/>
      <c r="AT32" s="754"/>
      <c r="AU32" s="754"/>
      <c r="AV32" s="754"/>
      <c r="AW32" s="754"/>
    </row>
    <row r="33" spans="2:64" s="754" customFormat="1" ht="16" customHeight="1">
      <c r="B33" s="756"/>
      <c r="D33" s="776">
        <f>SUM(D31:D32)</f>
        <v>-290771.65721374704</v>
      </c>
      <c r="E33" s="776">
        <f t="shared" ref="E33:AM33" si="15">SUM(E31:E32)</f>
        <v>-290028.64213863481</v>
      </c>
      <c r="F33" s="776">
        <f t="shared" si="15"/>
        <v>-289280.73554761143</v>
      </c>
      <c r="G33" s="776">
        <f t="shared" si="15"/>
        <v>-288527.90523819713</v>
      </c>
      <c r="H33" s="776">
        <f t="shared" si="15"/>
        <v>-287770.11879591248</v>
      </c>
      <c r="I33" s="776">
        <f t="shared" si="15"/>
        <v>-287007.34359288285</v>
      </c>
      <c r="J33" s="776">
        <f t="shared" si="15"/>
        <v>-286239.54678643326</v>
      </c>
      <c r="K33" s="776">
        <f t="shared" si="15"/>
        <v>-285466.69531767454</v>
      </c>
      <c r="L33" s="776">
        <f t="shared" si="15"/>
        <v>-284688.75591007981</v>
      </c>
      <c r="M33" s="776">
        <f t="shared" si="15"/>
        <v>-283905.69506805175</v>
      </c>
      <c r="N33" s="776">
        <f t="shared" si="15"/>
        <v>-283117.47907548037</v>
      </c>
      <c r="O33" s="768">
        <f t="shared" si="15"/>
        <v>-282324.07399429119</v>
      </c>
      <c r="P33" s="776">
        <f t="shared" si="15"/>
        <v>-281525.44566298416</v>
      </c>
      <c r="Q33" s="776">
        <f t="shared" si="15"/>
        <v>-230721.55969516275</v>
      </c>
      <c r="R33" s="776">
        <f t="shared" si="15"/>
        <v>-229912.38147805317</v>
      </c>
      <c r="S33" s="776">
        <f t="shared" si="15"/>
        <v>-229097.87617101427</v>
      </c>
      <c r="T33" s="776">
        <f t="shared" si="15"/>
        <v>-228278.00870403738</v>
      </c>
      <c r="U33" s="776">
        <f t="shared" si="15"/>
        <v>-227452.7437762362</v>
      </c>
      <c r="V33" s="776">
        <f t="shared" si="15"/>
        <v>-226622.04585432701</v>
      </c>
      <c r="W33" s="776">
        <f t="shared" si="15"/>
        <v>-225785.87917109858</v>
      </c>
      <c r="X33" s="776">
        <f t="shared" si="15"/>
        <v>-224944.20772387224</v>
      </c>
      <c r="Y33" s="776">
        <f t="shared" si="15"/>
        <v>-224096.99527295167</v>
      </c>
      <c r="Z33" s="776">
        <f t="shared" si="15"/>
        <v>-223244.2053400625</v>
      </c>
      <c r="AA33" s="768">
        <f t="shared" si="15"/>
        <v>-222385.80120678185</v>
      </c>
      <c r="AB33" s="776">
        <f t="shared" si="15"/>
        <v>-221521.74591295706</v>
      </c>
      <c r="AC33" s="776">
        <f t="shared" si="15"/>
        <v>-145652.00225511464</v>
      </c>
      <c r="AD33" s="776">
        <f t="shared" si="15"/>
        <v>-144776.53278485805</v>
      </c>
      <c r="AE33" s="776">
        <f t="shared" si="15"/>
        <v>-143895.29980725562</v>
      </c>
      <c r="AF33" s="776">
        <f t="shared" si="15"/>
        <v>-143008.26537921731</v>
      </c>
      <c r="AG33" s="776">
        <f t="shared" si="15"/>
        <v>-142115.39130786108</v>
      </c>
      <c r="AH33" s="776">
        <f t="shared" si="15"/>
        <v>-141216.63914886842</v>
      </c>
      <c r="AI33" s="776">
        <f t="shared" si="15"/>
        <v>-140311.97020482906</v>
      </c>
      <c r="AJ33" s="776">
        <f t="shared" si="15"/>
        <v>-114401.34552357477</v>
      </c>
      <c r="AK33" s="776">
        <f t="shared" si="15"/>
        <v>-113484.72589650223</v>
      </c>
      <c r="AL33" s="776">
        <f t="shared" si="15"/>
        <v>-112562.07185688478</v>
      </c>
      <c r="AM33" s="776">
        <f t="shared" si="15"/>
        <v>-61633.343678173202</v>
      </c>
    </row>
    <row r="34" spans="2:64" s="754" customFormat="1" ht="16" customHeight="1">
      <c r="B34" s="756"/>
      <c r="D34" s="757"/>
      <c r="E34" s="757"/>
      <c r="F34" s="757"/>
      <c r="G34" s="757"/>
      <c r="H34" s="757"/>
      <c r="I34" s="757"/>
      <c r="J34" s="757"/>
      <c r="K34" s="757"/>
      <c r="L34" s="757"/>
      <c r="M34" s="757"/>
      <c r="N34" s="757"/>
      <c r="O34" s="768"/>
      <c r="P34" s="757"/>
      <c r="Q34" s="757"/>
      <c r="R34" s="757"/>
      <c r="S34" s="757"/>
      <c r="T34" s="757"/>
      <c r="U34" s="757"/>
      <c r="V34" s="757"/>
      <c r="W34" s="757"/>
      <c r="X34" s="757"/>
      <c r="Y34" s="757"/>
      <c r="Z34" s="757"/>
      <c r="AA34" s="768"/>
      <c r="AB34" s="757"/>
      <c r="AC34" s="757"/>
      <c r="AD34" s="757"/>
      <c r="AE34" s="757"/>
      <c r="AF34" s="757"/>
      <c r="AG34" s="757"/>
      <c r="AH34" s="757"/>
      <c r="AI34" s="757"/>
      <c r="AJ34" s="757"/>
      <c r="AK34" s="757"/>
      <c r="AL34" s="757"/>
      <c r="AM34" s="757"/>
    </row>
    <row r="35" spans="2:64" s="787" customFormat="1" ht="20" customHeight="1" thickBot="1">
      <c r="B35" s="788" t="s">
        <v>169</v>
      </c>
      <c r="C35" s="789"/>
      <c r="D35" s="790">
        <f>D11+D28+D33</f>
        <v>48570.401818539714</v>
      </c>
      <c r="E35" s="790">
        <f t="shared" ref="E35:AM35" si="16">E11+E28+E33</f>
        <v>38423.729405799357</v>
      </c>
      <c r="F35" s="790">
        <f t="shared" si="16"/>
        <v>30328.055858112697</v>
      </c>
      <c r="G35" s="790">
        <f t="shared" si="16"/>
        <v>23837.739032062062</v>
      </c>
      <c r="H35" s="790">
        <f t="shared" si="16"/>
        <v>18711.566560176143</v>
      </c>
      <c r="I35" s="790">
        <f t="shared" si="16"/>
        <v>15011.812381243741</v>
      </c>
      <c r="J35" s="790">
        <f t="shared" si="16"/>
        <v>12834.793031460023</v>
      </c>
      <c r="K35" s="790">
        <f t="shared" si="16"/>
        <v>11539.695822634385</v>
      </c>
      <c r="L35" s="790">
        <f t="shared" si="16"/>
        <v>11699.580983986496</v>
      </c>
      <c r="M35" s="790">
        <f t="shared" si="16"/>
        <v>13390.637086667528</v>
      </c>
      <c r="N35" s="790">
        <f t="shared" si="16"/>
        <v>16812.576929039264</v>
      </c>
      <c r="O35" s="791">
        <f t="shared" si="16"/>
        <v>21495.485556500847</v>
      </c>
      <c r="P35" s="790">
        <f t="shared" si="16"/>
        <v>18089.613951324893</v>
      </c>
      <c r="Q35" s="790">
        <f t="shared" si="16"/>
        <v>16785.59249772894</v>
      </c>
      <c r="R35" s="790">
        <f t="shared" si="16"/>
        <v>20354.377106966829</v>
      </c>
      <c r="S35" s="790">
        <f t="shared" si="16"/>
        <v>27087.376959281362</v>
      </c>
      <c r="T35" s="790">
        <f t="shared" si="16"/>
        <v>287152.63679712114</v>
      </c>
      <c r="U35" s="790">
        <f t="shared" si="16"/>
        <v>297167.30974180228</v>
      </c>
      <c r="V35" s="790">
        <f t="shared" si="16"/>
        <v>308787.53539901727</v>
      </c>
      <c r="W35" s="790">
        <f t="shared" si="16"/>
        <v>321910.77394976665</v>
      </c>
      <c r="X35" s="790">
        <f t="shared" ca="1" si="16"/>
        <v>328511.06489791453</v>
      </c>
      <c r="Y35" s="790">
        <f t="shared" ca="1" si="16"/>
        <v>337757.10458714678</v>
      </c>
      <c r="Z35" s="790">
        <f t="shared" ca="1" si="16"/>
        <v>349097.06957506959</v>
      </c>
      <c r="AA35" s="791">
        <f t="shared" ca="1" si="16"/>
        <v>350198.69300939061</v>
      </c>
      <c r="AB35" s="790">
        <f t="shared" ca="1" si="16"/>
        <v>353612.43073233048</v>
      </c>
      <c r="AC35" s="790">
        <f t="shared" ca="1" si="16"/>
        <v>358479.16997061006</v>
      </c>
      <c r="AD35" s="790">
        <f t="shared" ca="1" si="16"/>
        <v>365029.81043385726</v>
      </c>
      <c r="AE35" s="790">
        <f t="shared" ca="1" si="16"/>
        <v>373776.57567765249</v>
      </c>
      <c r="AF35" s="790">
        <f t="shared" ca="1" si="16"/>
        <v>384423.81485949224</v>
      </c>
      <c r="AG35" s="790">
        <f t="shared" ca="1" si="16"/>
        <v>396797.29159974167</v>
      </c>
      <c r="AH35" s="790">
        <f t="shared" ca="1" si="16"/>
        <v>410838.00420449069</v>
      </c>
      <c r="AI35" s="790">
        <f t="shared" ca="1" si="16"/>
        <v>426335.7148144035</v>
      </c>
      <c r="AJ35" s="790">
        <f t="shared" ca="1" si="16"/>
        <v>443352.60839015048</v>
      </c>
      <c r="AK35" s="790">
        <f t="shared" ca="1" si="16"/>
        <v>461312.72794689308</v>
      </c>
      <c r="AL35" s="790">
        <f t="shared" ca="1" si="16"/>
        <v>481563.21841588477</v>
      </c>
      <c r="AM35" s="790">
        <f t="shared" ca="1" si="16"/>
        <v>494057.15721406724</v>
      </c>
    </row>
    <row r="36" spans="2:64" ht="20" customHeight="1" thickTop="1">
      <c r="D36" s="757"/>
      <c r="E36" s="757"/>
      <c r="F36" s="757"/>
      <c r="G36" s="757"/>
      <c r="H36" s="757"/>
      <c r="I36" s="757"/>
      <c r="J36" s="757"/>
      <c r="K36" s="757"/>
      <c r="L36" s="757"/>
      <c r="M36" s="757"/>
      <c r="N36" s="757"/>
      <c r="O36" s="768"/>
      <c r="P36" s="757"/>
      <c r="Q36" s="757"/>
      <c r="R36" s="757"/>
      <c r="S36" s="757"/>
      <c r="T36" s="757"/>
      <c r="U36" s="757"/>
      <c r="V36" s="757"/>
      <c r="W36" s="757"/>
      <c r="X36" s="757"/>
      <c r="Y36" s="757"/>
      <c r="Z36" s="757"/>
      <c r="AA36" s="768"/>
      <c r="AB36" s="757"/>
      <c r="AC36" s="757"/>
      <c r="AD36" s="757"/>
      <c r="AE36" s="757"/>
      <c r="AF36" s="757"/>
      <c r="AG36" s="757"/>
      <c r="AH36" s="757"/>
      <c r="AI36" s="757"/>
      <c r="AJ36" s="757"/>
      <c r="AK36" s="757"/>
      <c r="AL36" s="757"/>
      <c r="AM36" s="757"/>
      <c r="AN36" s="754"/>
      <c r="AO36" s="754"/>
      <c r="AP36" s="754"/>
      <c r="AQ36" s="754"/>
      <c r="AR36" s="754"/>
      <c r="AS36" s="754"/>
      <c r="AT36" s="754"/>
      <c r="AU36" s="754"/>
      <c r="AV36" s="754"/>
      <c r="AW36" s="754"/>
      <c r="AX36" s="754"/>
      <c r="AY36" s="754"/>
      <c r="AZ36" s="754"/>
      <c r="BA36" s="754"/>
      <c r="BB36" s="754"/>
      <c r="BC36" s="754"/>
      <c r="BD36" s="754"/>
      <c r="BE36" s="754"/>
      <c r="BF36" s="754"/>
      <c r="BG36" s="754"/>
      <c r="BH36" s="754"/>
    </row>
    <row r="37" spans="2:64" s="753" customFormat="1" ht="16" customHeight="1">
      <c r="B37" s="752" t="s">
        <v>170</v>
      </c>
      <c r="D37" s="757"/>
      <c r="E37" s="757"/>
      <c r="F37" s="757"/>
      <c r="G37" s="757"/>
      <c r="H37" s="757"/>
      <c r="I37" s="757"/>
      <c r="J37" s="757"/>
      <c r="K37" s="757"/>
      <c r="L37" s="757"/>
      <c r="M37" s="757"/>
      <c r="N37" s="757"/>
      <c r="O37" s="768"/>
      <c r="P37" s="757"/>
      <c r="Q37" s="757"/>
      <c r="R37" s="757"/>
      <c r="S37" s="757"/>
      <c r="T37" s="757"/>
      <c r="U37" s="757"/>
      <c r="V37" s="757"/>
      <c r="W37" s="757"/>
      <c r="X37" s="757"/>
      <c r="Y37" s="757"/>
      <c r="Z37" s="757"/>
      <c r="AA37" s="768"/>
      <c r="AB37" s="757"/>
      <c r="AC37" s="757"/>
      <c r="AD37" s="757"/>
      <c r="AE37" s="757"/>
      <c r="AF37" s="757"/>
      <c r="AG37" s="757"/>
      <c r="AH37" s="757"/>
      <c r="AI37" s="757"/>
      <c r="AJ37" s="757"/>
      <c r="AK37" s="757"/>
      <c r="AL37" s="757"/>
      <c r="AM37" s="757"/>
      <c r="AN37" s="754"/>
      <c r="AO37" s="754"/>
      <c r="AP37" s="754"/>
      <c r="AQ37" s="754"/>
      <c r="AR37" s="754"/>
      <c r="AS37" s="754"/>
      <c r="AT37" s="754"/>
      <c r="AU37" s="754"/>
      <c r="AV37" s="754"/>
      <c r="AW37" s="754"/>
      <c r="AX37" s="769"/>
      <c r="AY37" s="769"/>
      <c r="AZ37" s="769"/>
      <c r="BA37" s="769"/>
      <c r="BB37" s="769"/>
      <c r="BC37" s="769"/>
      <c r="BD37" s="769"/>
      <c r="BE37" s="769"/>
      <c r="BF37" s="769"/>
      <c r="BG37" s="769"/>
      <c r="BH37" s="769"/>
    </row>
    <row r="38" spans="2:64" s="754" customFormat="1" ht="16" customHeight="1">
      <c r="B38" s="382" t="s">
        <v>222</v>
      </c>
      <c r="D38" s="757">
        <f t="shared" ref="D38:AM38" si="17">D107</f>
        <v>60000</v>
      </c>
      <c r="E38" s="757">
        <f t="shared" si="17"/>
        <v>60000</v>
      </c>
      <c r="F38" s="757">
        <f t="shared" si="17"/>
        <v>60000</v>
      </c>
      <c r="G38" s="757">
        <f t="shared" si="17"/>
        <v>60000</v>
      </c>
      <c r="H38" s="757">
        <f t="shared" si="17"/>
        <v>60000</v>
      </c>
      <c r="I38" s="757">
        <f t="shared" si="17"/>
        <v>60000</v>
      </c>
      <c r="J38" s="757">
        <f t="shared" si="17"/>
        <v>60000</v>
      </c>
      <c r="K38" s="757">
        <f t="shared" si="17"/>
        <v>60000</v>
      </c>
      <c r="L38" s="757">
        <f t="shared" si="17"/>
        <v>60000</v>
      </c>
      <c r="M38" s="757">
        <f t="shared" si="17"/>
        <v>60000</v>
      </c>
      <c r="N38" s="757">
        <f t="shared" si="17"/>
        <v>60000</v>
      </c>
      <c r="O38" s="768">
        <f t="shared" si="17"/>
        <v>60000</v>
      </c>
      <c r="P38" s="757">
        <f t="shared" si="17"/>
        <v>60000</v>
      </c>
      <c r="Q38" s="757">
        <f t="shared" si="17"/>
        <v>60000</v>
      </c>
      <c r="R38" s="757">
        <f t="shared" si="17"/>
        <v>60000</v>
      </c>
      <c r="S38" s="757">
        <f t="shared" si="17"/>
        <v>60000</v>
      </c>
      <c r="T38" s="757">
        <f t="shared" si="17"/>
        <v>312000</v>
      </c>
      <c r="U38" s="757">
        <f t="shared" si="17"/>
        <v>312000</v>
      </c>
      <c r="V38" s="757">
        <f t="shared" si="17"/>
        <v>312000</v>
      </c>
      <c r="W38" s="757">
        <f t="shared" si="17"/>
        <v>312000</v>
      </c>
      <c r="X38" s="757">
        <f t="shared" si="17"/>
        <v>312000</v>
      </c>
      <c r="Y38" s="757">
        <f t="shared" si="17"/>
        <v>312000</v>
      </c>
      <c r="Z38" s="757">
        <f t="shared" si="17"/>
        <v>312000</v>
      </c>
      <c r="AA38" s="768">
        <f t="shared" si="17"/>
        <v>312000</v>
      </c>
      <c r="AB38" s="757">
        <f t="shared" si="17"/>
        <v>312000</v>
      </c>
      <c r="AC38" s="757">
        <f t="shared" si="17"/>
        <v>312000</v>
      </c>
      <c r="AD38" s="757">
        <f t="shared" si="17"/>
        <v>312000</v>
      </c>
      <c r="AE38" s="757">
        <f t="shared" si="17"/>
        <v>312000</v>
      </c>
      <c r="AF38" s="757">
        <f t="shared" si="17"/>
        <v>312000</v>
      </c>
      <c r="AG38" s="757">
        <f t="shared" si="17"/>
        <v>312000</v>
      </c>
      <c r="AH38" s="757">
        <f t="shared" si="17"/>
        <v>312000</v>
      </c>
      <c r="AI38" s="757">
        <f t="shared" si="17"/>
        <v>312000</v>
      </c>
      <c r="AJ38" s="757">
        <f t="shared" si="17"/>
        <v>312000</v>
      </c>
      <c r="AK38" s="757">
        <f t="shared" si="17"/>
        <v>312000</v>
      </c>
      <c r="AL38" s="757">
        <f t="shared" si="17"/>
        <v>312000</v>
      </c>
      <c r="AM38" s="757">
        <f t="shared" si="17"/>
        <v>312000</v>
      </c>
    </row>
    <row r="39" spans="2:64" s="754" customFormat="1" ht="16" customHeight="1">
      <c r="B39" s="756" t="s">
        <v>171</v>
      </c>
      <c r="D39" s="757">
        <f>'Profit &amp; Loss'!$M$15</f>
        <v>0</v>
      </c>
      <c r="E39" s="757">
        <f>'Profit &amp; Loss'!$M$15</f>
        <v>0</v>
      </c>
      <c r="F39" s="757">
        <f>'Profit &amp; Loss'!$M$15</f>
        <v>0</v>
      </c>
      <c r="G39" s="757">
        <f>'Profit &amp; Loss'!$M$15</f>
        <v>0</v>
      </c>
      <c r="H39" s="757">
        <f>'Profit &amp; Loss'!$M$15</f>
        <v>0</v>
      </c>
      <c r="I39" s="757">
        <f>'Profit &amp; Loss'!$M$15</f>
        <v>0</v>
      </c>
      <c r="J39" s="757">
        <f>'Profit &amp; Loss'!$M$15</f>
        <v>0</v>
      </c>
      <c r="K39" s="757">
        <f>'Profit &amp; Loss'!$M$15</f>
        <v>0</v>
      </c>
      <c r="L39" s="757">
        <f>'Profit &amp; Loss'!$M$15</f>
        <v>0</v>
      </c>
      <c r="M39" s="757">
        <f>'Profit &amp; Loss'!$M$15</f>
        <v>0</v>
      </c>
      <c r="N39" s="757">
        <f>'Profit &amp; Loss'!$M$15</f>
        <v>0</v>
      </c>
      <c r="O39" s="768">
        <f>'Profit &amp; Loss'!$M$15</f>
        <v>0</v>
      </c>
      <c r="P39" s="757">
        <f>'Profit &amp; Loss'!$M$15</f>
        <v>0</v>
      </c>
      <c r="Q39" s="757">
        <f>'Profit &amp; Loss'!$M$15</f>
        <v>0</v>
      </c>
      <c r="R39" s="757">
        <f>'Profit &amp; Loss'!$M$15</f>
        <v>0</v>
      </c>
      <c r="S39" s="757">
        <f>'Profit &amp; Loss'!$M$15</f>
        <v>0</v>
      </c>
      <c r="T39" s="757">
        <f>'Profit &amp; Loss'!$M$15</f>
        <v>0</v>
      </c>
      <c r="U39" s="757">
        <f>'Profit &amp; Loss'!$M$15</f>
        <v>0</v>
      </c>
      <c r="V39" s="757">
        <f>'Profit &amp; Loss'!$M$15</f>
        <v>0</v>
      </c>
      <c r="W39" s="757">
        <f>'Profit &amp; Loss'!$M$15</f>
        <v>0</v>
      </c>
      <c r="X39" s="757">
        <f>'Profit &amp; Loss'!$M$15</f>
        <v>0</v>
      </c>
      <c r="Y39" s="757">
        <f>'Profit &amp; Loss'!$M$15</f>
        <v>0</v>
      </c>
      <c r="Z39" s="757">
        <f>'Profit &amp; Loss'!$M$15</f>
        <v>0</v>
      </c>
      <c r="AA39" s="768">
        <f>'Profit &amp; Loss'!$M$15</f>
        <v>0</v>
      </c>
      <c r="AB39" s="757">
        <f>'Profit &amp; Loss'!$M$15</f>
        <v>0</v>
      </c>
      <c r="AC39" s="757">
        <f>'Profit &amp; Loss'!$M$15</f>
        <v>0</v>
      </c>
      <c r="AD39" s="757">
        <f>'Profit &amp; Loss'!$M$15</f>
        <v>0</v>
      </c>
      <c r="AE39" s="757">
        <f>'Profit &amp; Loss'!$M$15</f>
        <v>0</v>
      </c>
      <c r="AF39" s="757">
        <f>'Profit &amp; Loss'!$M$15</f>
        <v>0</v>
      </c>
      <c r="AG39" s="757">
        <f>'Profit &amp; Loss'!$M$15</f>
        <v>0</v>
      </c>
      <c r="AH39" s="757">
        <f>'Profit &amp; Loss'!$M$15</f>
        <v>0</v>
      </c>
      <c r="AI39" s="757">
        <f>'Profit &amp; Loss'!$M$15</f>
        <v>0</v>
      </c>
      <c r="AJ39" s="757">
        <f>'Profit &amp; Loss'!$M$15</f>
        <v>0</v>
      </c>
      <c r="AK39" s="757">
        <f>'Profit &amp; Loss'!$M$15</f>
        <v>0</v>
      </c>
      <c r="AL39" s="757">
        <f>'Profit &amp; Loss'!$M$15</f>
        <v>0</v>
      </c>
      <c r="AM39" s="757">
        <f>'Profit &amp; Loss'!$M$15</f>
        <v>0</v>
      </c>
    </row>
    <row r="40" spans="2:64" s="760" customFormat="1" ht="16" customHeight="1">
      <c r="B40" s="756" t="s">
        <v>172</v>
      </c>
      <c r="D40" s="757">
        <f>D113</f>
        <v>-11429.59818146032</v>
      </c>
      <c r="E40" s="757">
        <f t="shared" ref="E40:AM40" si="18">E113</f>
        <v>-21576.270594200698</v>
      </c>
      <c r="F40" s="757">
        <f t="shared" si="18"/>
        <v>-29671.944141887259</v>
      </c>
      <c r="G40" s="757">
        <f t="shared" si="18"/>
        <v>-36162.26096793796</v>
      </c>
      <c r="H40" s="757">
        <f t="shared" si="18"/>
        <v>-41288.433439823864</v>
      </c>
      <c r="I40" s="757">
        <f t="shared" si="18"/>
        <v>-44988.187618756325</v>
      </c>
      <c r="J40" s="757">
        <f t="shared" si="18"/>
        <v>-47165.20696853994</v>
      </c>
      <c r="K40" s="757">
        <f t="shared" si="18"/>
        <v>-48460.30417736552</v>
      </c>
      <c r="L40" s="757">
        <f t="shared" si="18"/>
        <v>-48300.419016013504</v>
      </c>
      <c r="M40" s="757">
        <f t="shared" si="18"/>
        <v>-46609.362913332545</v>
      </c>
      <c r="N40" s="757">
        <f t="shared" si="18"/>
        <v>-43187.423070960751</v>
      </c>
      <c r="O40" s="768">
        <f t="shared" si="18"/>
        <v>-38504.514443499174</v>
      </c>
      <c r="P40" s="757">
        <f t="shared" si="18"/>
        <v>-41910.386048675115</v>
      </c>
      <c r="Q40" s="757">
        <f t="shared" si="18"/>
        <v>-43214.407502271089</v>
      </c>
      <c r="R40" s="757">
        <f t="shared" si="18"/>
        <v>-39645.622893033178</v>
      </c>
      <c r="S40" s="757">
        <f t="shared" si="18"/>
        <v>-32912.623040718645</v>
      </c>
      <c r="T40" s="757">
        <f t="shared" si="18"/>
        <v>-24847.363202878787</v>
      </c>
      <c r="U40" s="757">
        <f t="shared" si="18"/>
        <v>-14832.690258197606</v>
      </c>
      <c r="V40" s="757">
        <f t="shared" si="18"/>
        <v>-3212.4646009827338</v>
      </c>
      <c r="W40" s="757">
        <f t="shared" si="18"/>
        <v>9910.7739497666644</v>
      </c>
      <c r="X40" s="757">
        <f t="shared" si="18"/>
        <v>16511.064897914577</v>
      </c>
      <c r="Y40" s="757">
        <f t="shared" si="18"/>
        <v>25757.104587146623</v>
      </c>
      <c r="Z40" s="757">
        <f t="shared" si="18"/>
        <v>37097.06957506969</v>
      </c>
      <c r="AA40" s="768">
        <f t="shared" si="18"/>
        <v>38198.693009390714</v>
      </c>
      <c r="AB40" s="757">
        <f t="shared" si="18"/>
        <v>41612.430732330562</v>
      </c>
      <c r="AC40" s="757">
        <f t="shared" si="18"/>
        <v>46479.169970610077</v>
      </c>
      <c r="AD40" s="757">
        <f t="shared" si="18"/>
        <v>53029.810433857318</v>
      </c>
      <c r="AE40" s="757">
        <f t="shared" si="18"/>
        <v>61776.575677652581</v>
      </c>
      <c r="AF40" s="757">
        <f t="shared" si="18"/>
        <v>72423.814859492282</v>
      </c>
      <c r="AG40" s="757">
        <f t="shared" si="18"/>
        <v>84797.291599741802</v>
      </c>
      <c r="AH40" s="757">
        <f t="shared" si="18"/>
        <v>98838.004204490702</v>
      </c>
      <c r="AI40" s="757">
        <f t="shared" si="18"/>
        <v>114335.71481440355</v>
      </c>
      <c r="AJ40" s="757">
        <f t="shared" si="18"/>
        <v>131352.60839015056</v>
      </c>
      <c r="AK40" s="757">
        <f t="shared" si="18"/>
        <v>149312.7279468932</v>
      </c>
      <c r="AL40" s="757">
        <f t="shared" si="18"/>
        <v>169563.21841588494</v>
      </c>
      <c r="AM40" s="757">
        <f t="shared" si="18"/>
        <v>182057.15721406738</v>
      </c>
      <c r="AN40" s="754"/>
      <c r="AO40" s="754"/>
      <c r="AP40" s="754"/>
      <c r="AQ40" s="754"/>
      <c r="AR40" s="754"/>
      <c r="AS40" s="754"/>
      <c r="AT40" s="754"/>
      <c r="AU40" s="754"/>
      <c r="AV40" s="754"/>
      <c r="AW40" s="754"/>
      <c r="AX40" s="754"/>
      <c r="AY40" s="754"/>
      <c r="AZ40" s="754"/>
      <c r="BA40" s="754"/>
      <c r="BB40" s="754"/>
      <c r="BC40" s="754"/>
      <c r="BD40" s="754"/>
      <c r="BE40" s="754"/>
      <c r="BF40" s="754"/>
      <c r="BG40" s="754"/>
      <c r="BH40" s="754"/>
    </row>
    <row r="41" spans="2:64" s="792" customFormat="1" ht="20" customHeight="1" thickBot="1">
      <c r="B41" s="793" t="s">
        <v>173</v>
      </c>
      <c r="C41" s="794"/>
      <c r="D41" s="790">
        <f t="shared" ref="D41:AM41" si="19">SUM(D38:D40)</f>
        <v>48570.401818539678</v>
      </c>
      <c r="E41" s="790">
        <f t="shared" si="19"/>
        <v>38423.729405799299</v>
      </c>
      <c r="F41" s="790">
        <f t="shared" si="19"/>
        <v>30328.055858112741</v>
      </c>
      <c r="G41" s="790">
        <f t="shared" si="19"/>
        <v>23837.73903206204</v>
      </c>
      <c r="H41" s="790">
        <f t="shared" si="19"/>
        <v>18711.566560176136</v>
      </c>
      <c r="I41" s="790">
        <f t="shared" si="19"/>
        <v>15011.812381243675</v>
      </c>
      <c r="J41" s="790">
        <f t="shared" si="19"/>
        <v>12834.79303146006</v>
      </c>
      <c r="K41" s="790">
        <f t="shared" si="19"/>
        <v>11539.69582263448</v>
      </c>
      <c r="L41" s="790">
        <f t="shared" si="19"/>
        <v>11699.580983986496</v>
      </c>
      <c r="M41" s="790">
        <f t="shared" si="19"/>
        <v>13390.637086667455</v>
      </c>
      <c r="N41" s="790">
        <f t="shared" si="19"/>
        <v>16812.576929039249</v>
      </c>
      <c r="O41" s="791">
        <f t="shared" si="19"/>
        <v>21495.485556500826</v>
      </c>
      <c r="P41" s="790">
        <f t="shared" si="19"/>
        <v>18089.613951324885</v>
      </c>
      <c r="Q41" s="790">
        <f t="shared" si="19"/>
        <v>16785.592497728911</v>
      </c>
      <c r="R41" s="790">
        <f t="shared" si="19"/>
        <v>20354.377106966822</v>
      </c>
      <c r="S41" s="790">
        <f t="shared" si="19"/>
        <v>27087.376959281355</v>
      </c>
      <c r="T41" s="790">
        <f t="shared" si="19"/>
        <v>287152.6367971212</v>
      </c>
      <c r="U41" s="790">
        <f t="shared" si="19"/>
        <v>297167.3097418024</v>
      </c>
      <c r="V41" s="790">
        <f t="shared" si="19"/>
        <v>308787.53539901727</v>
      </c>
      <c r="W41" s="790">
        <f t="shared" si="19"/>
        <v>321910.77394976665</v>
      </c>
      <c r="X41" s="790">
        <f t="shared" si="19"/>
        <v>328511.06489791459</v>
      </c>
      <c r="Y41" s="790">
        <f t="shared" si="19"/>
        <v>337757.1045871466</v>
      </c>
      <c r="Z41" s="790">
        <f t="shared" si="19"/>
        <v>349097.06957506971</v>
      </c>
      <c r="AA41" s="791">
        <f t="shared" si="19"/>
        <v>350198.69300939073</v>
      </c>
      <c r="AB41" s="790">
        <f t="shared" si="19"/>
        <v>353612.43073233054</v>
      </c>
      <c r="AC41" s="790">
        <f t="shared" si="19"/>
        <v>358479.16997061006</v>
      </c>
      <c r="AD41" s="790">
        <f t="shared" si="19"/>
        <v>365029.81043385732</v>
      </c>
      <c r="AE41" s="790">
        <f t="shared" si="19"/>
        <v>373776.57567765261</v>
      </c>
      <c r="AF41" s="790">
        <f t="shared" si="19"/>
        <v>384423.8148594923</v>
      </c>
      <c r="AG41" s="790">
        <f t="shared" si="19"/>
        <v>396797.29159974179</v>
      </c>
      <c r="AH41" s="790">
        <f t="shared" si="19"/>
        <v>410838.00420449069</v>
      </c>
      <c r="AI41" s="790">
        <f t="shared" si="19"/>
        <v>426335.71481440356</v>
      </c>
      <c r="AJ41" s="790">
        <f t="shared" si="19"/>
        <v>443352.60839015059</v>
      </c>
      <c r="AK41" s="790">
        <f t="shared" si="19"/>
        <v>461312.7279468932</v>
      </c>
      <c r="AL41" s="790">
        <f t="shared" si="19"/>
        <v>481563.21841588494</v>
      </c>
      <c r="AM41" s="790">
        <f t="shared" si="19"/>
        <v>494057.15721406741</v>
      </c>
      <c r="AN41" s="787"/>
      <c r="AO41" s="787"/>
      <c r="AP41" s="787"/>
      <c r="AQ41" s="787"/>
      <c r="AR41" s="787"/>
      <c r="AS41" s="787"/>
      <c r="AT41" s="787"/>
      <c r="AU41" s="787"/>
      <c r="AV41" s="787"/>
      <c r="AW41" s="787"/>
      <c r="AX41" s="787"/>
      <c r="AY41" s="787"/>
      <c r="AZ41" s="787"/>
      <c r="BA41" s="787"/>
      <c r="BB41" s="787"/>
      <c r="BC41" s="787"/>
      <c r="BD41" s="787"/>
      <c r="BE41" s="787"/>
      <c r="BF41" s="787"/>
      <c r="BG41" s="787"/>
      <c r="BH41" s="787"/>
      <c r="BI41" s="795"/>
      <c r="BJ41" s="795"/>
      <c r="BK41" s="795"/>
      <c r="BL41" s="795"/>
    </row>
    <row r="42" spans="2:64" ht="16" customHeight="1" thickTop="1">
      <c r="D42" s="754"/>
      <c r="E42" s="754"/>
      <c r="F42" s="754"/>
      <c r="G42" s="754"/>
      <c r="H42" s="754"/>
      <c r="I42" s="754"/>
      <c r="J42" s="754"/>
      <c r="K42" s="754"/>
      <c r="L42" s="754"/>
      <c r="M42" s="754"/>
      <c r="N42" s="754"/>
      <c r="O42" s="755"/>
      <c r="P42" s="754"/>
      <c r="Q42" s="754"/>
      <c r="R42" s="754"/>
      <c r="S42" s="754"/>
      <c r="T42" s="754"/>
      <c r="U42" s="754"/>
      <c r="V42" s="754"/>
      <c r="W42" s="754"/>
      <c r="X42" s="754"/>
      <c r="Y42" s="754"/>
      <c r="Z42" s="754"/>
      <c r="AA42" s="755"/>
      <c r="AB42" s="754"/>
      <c r="AC42" s="754"/>
      <c r="AD42" s="754"/>
      <c r="AE42" s="754"/>
      <c r="AF42" s="754"/>
      <c r="AG42" s="754"/>
      <c r="AH42" s="754"/>
      <c r="AI42" s="754"/>
      <c r="AJ42" s="754"/>
      <c r="AK42" s="754"/>
      <c r="AL42" s="754"/>
      <c r="AM42" s="754"/>
      <c r="AN42" s="754"/>
      <c r="AO42" s="754"/>
      <c r="AP42" s="754"/>
      <c r="AQ42" s="754"/>
      <c r="AR42" s="754"/>
      <c r="AS42" s="754"/>
      <c r="AT42" s="754"/>
      <c r="AU42" s="754"/>
      <c r="AV42" s="754"/>
      <c r="AW42" s="754"/>
      <c r="AX42" s="754"/>
      <c r="AY42" s="754"/>
      <c r="AZ42" s="754"/>
      <c r="BA42" s="754"/>
      <c r="BB42" s="754"/>
      <c r="BC42" s="754"/>
      <c r="BD42" s="754"/>
      <c r="BE42" s="754"/>
      <c r="BF42" s="754"/>
      <c r="BG42" s="754"/>
      <c r="BH42" s="754"/>
    </row>
    <row r="43" spans="2:64" s="754" customFormat="1" ht="16" customHeight="1">
      <c r="B43" s="661" t="s">
        <v>5</v>
      </c>
      <c r="C43" s="796"/>
      <c r="D43" s="797">
        <f t="shared" ref="D43:AM43" si="20">D35-D41</f>
        <v>0</v>
      </c>
      <c r="E43" s="797">
        <f t="shared" si="20"/>
        <v>5.8207660913467407E-11</v>
      </c>
      <c r="F43" s="798">
        <f t="shared" si="20"/>
        <v>-4.3655745685100555E-11</v>
      </c>
      <c r="G43" s="798">
        <f t="shared" si="20"/>
        <v>0</v>
      </c>
      <c r="H43" s="798">
        <f t="shared" si="20"/>
        <v>0</v>
      </c>
      <c r="I43" s="798">
        <f t="shared" si="20"/>
        <v>6.5483618527650833E-11</v>
      </c>
      <c r="J43" s="798">
        <f t="shared" si="20"/>
        <v>-3.637978807091713E-11</v>
      </c>
      <c r="K43" s="798">
        <f t="shared" si="20"/>
        <v>-9.4587448984384537E-11</v>
      </c>
      <c r="L43" s="798">
        <f t="shared" si="20"/>
        <v>0</v>
      </c>
      <c r="M43" s="798">
        <f t="shared" si="20"/>
        <v>7.2759576141834259E-11</v>
      </c>
      <c r="N43" s="798">
        <f t="shared" si="20"/>
        <v>0</v>
      </c>
      <c r="O43" s="799">
        <f t="shared" si="20"/>
        <v>0</v>
      </c>
      <c r="P43" s="800">
        <f t="shared" si="20"/>
        <v>0</v>
      </c>
      <c r="Q43" s="798">
        <f t="shared" si="20"/>
        <v>2.9103830456733704E-11</v>
      </c>
      <c r="R43" s="798">
        <f t="shared" si="20"/>
        <v>0</v>
      </c>
      <c r="S43" s="798">
        <f t="shared" si="20"/>
        <v>0</v>
      </c>
      <c r="T43" s="798">
        <f t="shared" si="20"/>
        <v>0</v>
      </c>
      <c r="U43" s="798">
        <f t="shared" si="20"/>
        <v>0</v>
      </c>
      <c r="V43" s="798">
        <f t="shared" si="20"/>
        <v>0</v>
      </c>
      <c r="W43" s="798">
        <f t="shared" si="20"/>
        <v>0</v>
      </c>
      <c r="X43" s="798">
        <f t="shared" ca="1" si="20"/>
        <v>0</v>
      </c>
      <c r="Y43" s="798">
        <f t="shared" ca="1" si="20"/>
        <v>0</v>
      </c>
      <c r="Z43" s="798">
        <f t="shared" ca="1" si="20"/>
        <v>0</v>
      </c>
      <c r="AA43" s="799">
        <f t="shared" ca="1" si="20"/>
        <v>0</v>
      </c>
      <c r="AB43" s="800">
        <f t="shared" ca="1" si="20"/>
        <v>0</v>
      </c>
      <c r="AC43" s="798">
        <f t="shared" ca="1" si="20"/>
        <v>0</v>
      </c>
      <c r="AD43" s="798">
        <f t="shared" ca="1" si="20"/>
        <v>0</v>
      </c>
      <c r="AE43" s="798">
        <f t="shared" ca="1" si="20"/>
        <v>0</v>
      </c>
      <c r="AF43" s="798">
        <f t="shared" ca="1" si="20"/>
        <v>0</v>
      </c>
      <c r="AG43" s="798">
        <f t="shared" ca="1" si="20"/>
        <v>0</v>
      </c>
      <c r="AH43" s="798">
        <f t="shared" ca="1" si="20"/>
        <v>0</v>
      </c>
      <c r="AI43" s="798">
        <f t="shared" ca="1" si="20"/>
        <v>0</v>
      </c>
      <c r="AJ43" s="798">
        <f t="shared" ca="1" si="20"/>
        <v>0</v>
      </c>
      <c r="AK43" s="798">
        <f t="shared" ca="1" si="20"/>
        <v>0</v>
      </c>
      <c r="AL43" s="798">
        <f t="shared" ca="1" si="20"/>
        <v>0</v>
      </c>
      <c r="AM43" s="798">
        <f t="shared" ca="1" si="20"/>
        <v>0</v>
      </c>
    </row>
    <row r="44" spans="2:64" ht="16" customHeight="1">
      <c r="D44" s="754"/>
      <c r="E44" s="754"/>
      <c r="F44" s="754"/>
      <c r="G44" s="754"/>
      <c r="H44" s="754"/>
      <c r="I44" s="754"/>
      <c r="J44" s="754"/>
      <c r="K44" s="754"/>
      <c r="L44" s="754"/>
      <c r="M44" s="754"/>
      <c r="N44" s="754"/>
      <c r="O44" s="755"/>
      <c r="P44" s="754"/>
      <c r="Q44" s="754"/>
      <c r="R44" s="754"/>
      <c r="S44" s="754"/>
      <c r="T44" s="754"/>
      <c r="U44" s="754"/>
      <c r="V44" s="754"/>
      <c r="W44" s="754"/>
      <c r="X44" s="754"/>
      <c r="Y44" s="754"/>
      <c r="Z44" s="754"/>
      <c r="AA44" s="755"/>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54"/>
      <c r="AY44" s="754"/>
      <c r="AZ44" s="754"/>
      <c r="BA44" s="754"/>
      <c r="BB44" s="754"/>
      <c r="BC44" s="754"/>
      <c r="BD44" s="754"/>
      <c r="BE44" s="754"/>
      <c r="BF44" s="754"/>
      <c r="BG44" s="754"/>
      <c r="BH44" s="754"/>
    </row>
    <row r="45" spans="2:64">
      <c r="D45" s="754"/>
      <c r="E45" s="754"/>
      <c r="F45" s="754"/>
      <c r="G45" s="754"/>
      <c r="H45" s="754"/>
      <c r="I45" s="754"/>
      <c r="J45" s="754"/>
      <c r="K45" s="754"/>
      <c r="L45" s="754"/>
      <c r="M45" s="754"/>
      <c r="N45" s="754"/>
      <c r="O45" s="755"/>
      <c r="P45" s="754"/>
      <c r="Q45" s="754"/>
      <c r="R45" s="754"/>
      <c r="S45" s="754"/>
      <c r="T45" s="754"/>
      <c r="U45" s="754"/>
      <c r="V45" s="754"/>
      <c r="W45" s="754"/>
      <c r="X45" s="754"/>
      <c r="Y45" s="754"/>
      <c r="Z45" s="754"/>
      <c r="AA45" s="755"/>
      <c r="AB45" s="754"/>
      <c r="AC45" s="754"/>
      <c r="AD45" s="754"/>
      <c r="AE45" s="754"/>
      <c r="AF45" s="754"/>
      <c r="AG45" s="754"/>
      <c r="AH45" s="754"/>
      <c r="AI45" s="754"/>
      <c r="AJ45" s="754"/>
      <c r="AK45" s="754"/>
      <c r="AL45" s="754"/>
      <c r="AM45" s="754"/>
      <c r="AN45" s="754"/>
      <c r="AO45" s="754"/>
      <c r="AP45" s="754"/>
      <c r="AQ45" s="754"/>
      <c r="AR45" s="754"/>
      <c r="AS45" s="754"/>
      <c r="AT45" s="754"/>
      <c r="AU45" s="754"/>
      <c r="AV45" s="754"/>
      <c r="AW45" s="754"/>
      <c r="AX45" s="754"/>
      <c r="AY45" s="754"/>
      <c r="AZ45" s="754"/>
      <c r="BA45" s="754"/>
      <c r="BB45" s="754"/>
      <c r="BC45" s="754"/>
      <c r="BD45" s="754"/>
      <c r="BE45" s="754"/>
      <c r="BF45" s="754"/>
      <c r="BG45" s="754"/>
      <c r="BH45" s="754"/>
    </row>
    <row r="46" spans="2:64" s="802" customFormat="1" ht="4" customHeight="1">
      <c r="B46" s="801"/>
      <c r="D46" s="803"/>
      <c r="E46" s="803"/>
      <c r="F46" s="803"/>
      <c r="G46" s="803"/>
      <c r="H46" s="803"/>
      <c r="I46" s="803"/>
      <c r="J46" s="803"/>
      <c r="K46" s="803"/>
      <c r="L46" s="803"/>
      <c r="M46" s="803"/>
      <c r="N46" s="803"/>
      <c r="O46" s="804"/>
      <c r="P46" s="803"/>
      <c r="Q46" s="803"/>
      <c r="R46" s="803"/>
      <c r="S46" s="803"/>
      <c r="T46" s="803"/>
      <c r="U46" s="803"/>
      <c r="V46" s="803"/>
      <c r="W46" s="803"/>
      <c r="X46" s="803"/>
      <c r="Y46" s="803"/>
      <c r="Z46" s="803"/>
      <c r="AA46" s="804"/>
      <c r="AB46" s="803"/>
      <c r="AC46" s="803"/>
      <c r="AD46" s="803"/>
      <c r="AE46" s="803"/>
      <c r="AF46" s="803"/>
      <c r="AG46" s="803"/>
      <c r="AH46" s="803"/>
      <c r="AI46" s="803"/>
      <c r="AJ46" s="803"/>
      <c r="AK46" s="803"/>
      <c r="AL46" s="803"/>
      <c r="AM46" s="803"/>
      <c r="AN46" s="803"/>
      <c r="AO46" s="803"/>
      <c r="AP46" s="803"/>
      <c r="AQ46" s="803"/>
      <c r="AR46" s="803"/>
      <c r="AS46" s="803"/>
      <c r="AT46" s="803"/>
      <c r="AU46" s="803"/>
      <c r="AV46" s="803"/>
      <c r="AW46" s="803"/>
      <c r="AX46" s="803"/>
      <c r="AY46" s="803"/>
      <c r="AZ46" s="803"/>
      <c r="BA46" s="803"/>
      <c r="BB46" s="803"/>
      <c r="BC46" s="803"/>
      <c r="BD46" s="803"/>
      <c r="BE46" s="803"/>
      <c r="BF46" s="803"/>
      <c r="BG46" s="803"/>
      <c r="BH46" s="803"/>
    </row>
    <row r="47" spans="2:64">
      <c r="D47" s="754"/>
      <c r="E47" s="754"/>
      <c r="F47" s="754"/>
      <c r="G47" s="754"/>
      <c r="H47" s="754"/>
      <c r="I47" s="754"/>
      <c r="J47" s="754"/>
      <c r="K47" s="754"/>
      <c r="L47" s="754"/>
      <c r="M47" s="754"/>
      <c r="N47" s="754"/>
      <c r="O47" s="755"/>
      <c r="P47" s="754"/>
      <c r="Q47" s="754"/>
      <c r="R47" s="754"/>
      <c r="S47" s="754"/>
      <c r="T47" s="754"/>
      <c r="U47" s="754"/>
      <c r="V47" s="754"/>
      <c r="W47" s="754"/>
      <c r="X47" s="754"/>
      <c r="Y47" s="754"/>
      <c r="Z47" s="754"/>
      <c r="AA47" s="755"/>
      <c r="AB47" s="754"/>
      <c r="AC47" s="754"/>
      <c r="AD47" s="754"/>
      <c r="AE47" s="754"/>
      <c r="AF47" s="754"/>
      <c r="AG47" s="754"/>
      <c r="AH47" s="754"/>
      <c r="AI47" s="754"/>
      <c r="AJ47" s="754"/>
      <c r="AK47" s="754"/>
      <c r="AL47" s="754"/>
      <c r="AM47" s="754"/>
      <c r="AN47" s="754"/>
      <c r="AO47" s="754"/>
      <c r="AP47" s="754"/>
      <c r="AQ47" s="754"/>
      <c r="AR47" s="754"/>
      <c r="AS47" s="754"/>
      <c r="AT47" s="754"/>
      <c r="AU47" s="754"/>
      <c r="AV47" s="754"/>
      <c r="AW47" s="754"/>
      <c r="AX47" s="754"/>
      <c r="AY47" s="754"/>
      <c r="AZ47" s="754"/>
      <c r="BA47" s="754"/>
      <c r="BB47" s="754"/>
      <c r="BC47" s="754"/>
      <c r="BD47" s="754"/>
      <c r="BE47" s="754"/>
      <c r="BF47" s="754"/>
      <c r="BG47" s="754"/>
      <c r="BH47" s="754"/>
    </row>
    <row r="48" spans="2:64">
      <c r="D48" s="754"/>
      <c r="E48" s="754"/>
      <c r="F48" s="754"/>
      <c r="G48" s="754"/>
      <c r="H48" s="754"/>
      <c r="I48" s="754"/>
      <c r="J48" s="754"/>
      <c r="K48" s="754"/>
      <c r="L48" s="754"/>
      <c r="M48" s="754"/>
      <c r="N48" s="754"/>
      <c r="O48" s="755"/>
      <c r="P48" s="754"/>
      <c r="Q48" s="754"/>
      <c r="R48" s="754"/>
      <c r="S48" s="754"/>
      <c r="T48" s="754"/>
      <c r="U48" s="754"/>
      <c r="V48" s="754"/>
      <c r="W48" s="754"/>
      <c r="X48" s="754"/>
      <c r="Y48" s="754"/>
      <c r="Z48" s="754"/>
      <c r="AA48" s="755"/>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54"/>
      <c r="AY48" s="754"/>
      <c r="AZ48" s="754"/>
      <c r="BA48" s="754"/>
      <c r="BB48" s="754"/>
      <c r="BC48" s="754"/>
      <c r="BD48" s="754"/>
      <c r="BE48" s="754"/>
      <c r="BF48" s="754"/>
      <c r="BG48" s="754"/>
      <c r="BH48" s="754"/>
    </row>
    <row r="50" spans="2:133" s="753" customFormat="1" ht="26" thickBot="1">
      <c r="B50" s="805" t="s">
        <v>13</v>
      </c>
      <c r="C50" s="806" t="str">
        <f t="shared" ref="C50:AM50" si="21">C6</f>
        <v>Month:</v>
      </c>
      <c r="D50" s="807">
        <f t="shared" si="21"/>
        <v>45658</v>
      </c>
      <c r="E50" s="807">
        <f t="shared" si="21"/>
        <v>45689</v>
      </c>
      <c r="F50" s="807">
        <f t="shared" si="21"/>
        <v>45717</v>
      </c>
      <c r="G50" s="807">
        <f t="shared" si="21"/>
        <v>45748</v>
      </c>
      <c r="H50" s="807">
        <f t="shared" si="21"/>
        <v>45778</v>
      </c>
      <c r="I50" s="807">
        <f t="shared" si="21"/>
        <v>45809</v>
      </c>
      <c r="J50" s="807">
        <f t="shared" si="21"/>
        <v>45839</v>
      </c>
      <c r="K50" s="807">
        <f t="shared" si="21"/>
        <v>45870</v>
      </c>
      <c r="L50" s="807">
        <f t="shared" si="21"/>
        <v>45901</v>
      </c>
      <c r="M50" s="807">
        <f t="shared" si="21"/>
        <v>45931</v>
      </c>
      <c r="N50" s="807">
        <f t="shared" si="21"/>
        <v>45962</v>
      </c>
      <c r="O50" s="808">
        <f t="shared" si="21"/>
        <v>45992</v>
      </c>
      <c r="P50" s="807">
        <f t="shared" si="21"/>
        <v>46023</v>
      </c>
      <c r="Q50" s="807">
        <f t="shared" si="21"/>
        <v>46054</v>
      </c>
      <c r="R50" s="807">
        <f t="shared" si="21"/>
        <v>46082</v>
      </c>
      <c r="S50" s="807">
        <f t="shared" si="21"/>
        <v>46113</v>
      </c>
      <c r="T50" s="807">
        <f t="shared" si="21"/>
        <v>46143</v>
      </c>
      <c r="U50" s="807">
        <f t="shared" si="21"/>
        <v>46174</v>
      </c>
      <c r="V50" s="807">
        <f t="shared" si="21"/>
        <v>46204</v>
      </c>
      <c r="W50" s="807">
        <f t="shared" si="21"/>
        <v>46235</v>
      </c>
      <c r="X50" s="807">
        <f t="shared" si="21"/>
        <v>46266</v>
      </c>
      <c r="Y50" s="807">
        <f t="shared" si="21"/>
        <v>46296</v>
      </c>
      <c r="Z50" s="807">
        <f t="shared" si="21"/>
        <v>46327</v>
      </c>
      <c r="AA50" s="808">
        <f t="shared" si="21"/>
        <v>46357</v>
      </c>
      <c r="AB50" s="807">
        <f t="shared" si="21"/>
        <v>46388</v>
      </c>
      <c r="AC50" s="807">
        <f t="shared" si="21"/>
        <v>46419</v>
      </c>
      <c r="AD50" s="807">
        <f t="shared" si="21"/>
        <v>46447</v>
      </c>
      <c r="AE50" s="807">
        <f t="shared" si="21"/>
        <v>46478</v>
      </c>
      <c r="AF50" s="807">
        <f t="shared" si="21"/>
        <v>46508</v>
      </c>
      <c r="AG50" s="807">
        <f t="shared" si="21"/>
        <v>46539</v>
      </c>
      <c r="AH50" s="807">
        <f t="shared" si="21"/>
        <v>46569</v>
      </c>
      <c r="AI50" s="807">
        <f t="shared" si="21"/>
        <v>46600</v>
      </c>
      <c r="AJ50" s="807">
        <f t="shared" si="21"/>
        <v>46631</v>
      </c>
      <c r="AK50" s="807">
        <f t="shared" si="21"/>
        <v>46661</v>
      </c>
      <c r="AL50" s="807">
        <f t="shared" si="21"/>
        <v>46692</v>
      </c>
      <c r="AM50" s="807">
        <f t="shared" si="21"/>
        <v>46722</v>
      </c>
      <c r="AN50" s="809"/>
      <c r="AO50" s="809"/>
      <c r="AP50" s="809"/>
      <c r="AQ50" s="809"/>
      <c r="AR50" s="809"/>
      <c r="AS50" s="809"/>
      <c r="AT50" s="809"/>
      <c r="AU50" s="809"/>
      <c r="AV50" s="809"/>
      <c r="AW50" s="809"/>
      <c r="AX50" s="809"/>
      <c r="AY50" s="809"/>
      <c r="AZ50" s="809"/>
      <c r="BA50" s="809"/>
      <c r="BB50" s="809"/>
      <c r="BC50" s="809"/>
      <c r="BD50" s="809"/>
      <c r="BE50" s="809"/>
      <c r="BF50" s="809"/>
      <c r="BG50" s="809"/>
      <c r="BH50" s="809"/>
      <c r="BI50" s="809"/>
      <c r="BJ50" s="809"/>
      <c r="BK50" s="809"/>
      <c r="BL50" s="809"/>
      <c r="BM50" s="809"/>
      <c r="BN50" s="809"/>
      <c r="BO50" s="809"/>
      <c r="BP50" s="809"/>
      <c r="BQ50" s="809"/>
      <c r="BR50" s="809"/>
      <c r="BS50" s="809"/>
      <c r="BT50" s="809"/>
      <c r="BU50" s="809"/>
      <c r="BV50" s="809"/>
      <c r="BW50" s="809"/>
      <c r="BX50" s="809"/>
      <c r="BY50" s="809"/>
      <c r="BZ50" s="809"/>
      <c r="CA50" s="809"/>
      <c r="CB50" s="809"/>
      <c r="CC50" s="809"/>
      <c r="CD50" s="809"/>
      <c r="CE50" s="809"/>
      <c r="CF50" s="809"/>
      <c r="CG50" s="809"/>
      <c r="CH50" s="809"/>
      <c r="CI50" s="809"/>
      <c r="CJ50" s="809"/>
      <c r="CK50" s="809"/>
      <c r="CL50" s="809"/>
      <c r="CM50" s="809"/>
      <c r="CN50" s="809"/>
      <c r="CO50" s="809"/>
      <c r="CP50" s="809"/>
      <c r="CQ50" s="809"/>
      <c r="CR50" s="809"/>
      <c r="CS50" s="809"/>
      <c r="CT50" s="809"/>
      <c r="CU50" s="809"/>
      <c r="CV50" s="809"/>
      <c r="CW50" s="809"/>
      <c r="CX50" s="809"/>
      <c r="CY50" s="809"/>
      <c r="CZ50" s="809"/>
      <c r="DA50" s="809"/>
      <c r="DB50" s="809"/>
      <c r="DC50" s="809"/>
      <c r="DD50" s="809"/>
      <c r="DE50" s="809"/>
      <c r="DF50" s="809"/>
      <c r="DG50" s="809"/>
      <c r="DH50" s="809"/>
      <c r="DI50" s="809"/>
      <c r="DJ50" s="809"/>
      <c r="DK50" s="809"/>
      <c r="DL50" s="809"/>
      <c r="DM50" s="809"/>
      <c r="DN50" s="809"/>
      <c r="DO50" s="809"/>
      <c r="DP50" s="809"/>
      <c r="DQ50" s="809"/>
      <c r="DR50" s="809"/>
      <c r="DS50" s="809"/>
      <c r="DT50" s="809"/>
      <c r="DU50" s="809"/>
      <c r="DV50" s="809"/>
      <c r="DW50" s="809"/>
      <c r="DX50" s="809"/>
      <c r="DY50" s="809"/>
      <c r="DZ50" s="809"/>
      <c r="EA50" s="809"/>
      <c r="EB50" s="809"/>
      <c r="EC50" s="809"/>
    </row>
    <row r="51" spans="2:133" s="753" customFormat="1" outlineLevel="1">
      <c r="B51" s="752"/>
      <c r="D51" s="810">
        <v>1</v>
      </c>
      <c r="E51" s="810">
        <v>2</v>
      </c>
      <c r="F51" s="810">
        <v>3</v>
      </c>
      <c r="G51" s="810">
        <v>4</v>
      </c>
      <c r="H51" s="810">
        <v>5</v>
      </c>
      <c r="I51" s="810">
        <v>6</v>
      </c>
      <c r="J51" s="810">
        <v>7</v>
      </c>
      <c r="K51" s="810">
        <v>8</v>
      </c>
      <c r="L51" s="810">
        <v>9</v>
      </c>
      <c r="M51" s="810">
        <v>10</v>
      </c>
      <c r="N51" s="810">
        <v>11</v>
      </c>
      <c r="O51" s="811">
        <v>12</v>
      </c>
      <c r="P51" s="810">
        <v>13</v>
      </c>
      <c r="Q51" s="810">
        <v>14</v>
      </c>
      <c r="R51" s="810">
        <v>15</v>
      </c>
      <c r="S51" s="810">
        <v>16</v>
      </c>
      <c r="T51" s="810">
        <v>17</v>
      </c>
      <c r="U51" s="810">
        <v>18</v>
      </c>
      <c r="V51" s="810">
        <v>19</v>
      </c>
      <c r="W51" s="810">
        <v>20</v>
      </c>
      <c r="X51" s="810">
        <v>21</v>
      </c>
      <c r="Y51" s="810">
        <v>22</v>
      </c>
      <c r="Z51" s="810">
        <v>23</v>
      </c>
      <c r="AA51" s="811">
        <v>24</v>
      </c>
      <c r="AB51" s="810">
        <v>25</v>
      </c>
      <c r="AC51" s="810">
        <v>26</v>
      </c>
      <c r="AD51" s="810">
        <v>27</v>
      </c>
      <c r="AE51" s="810">
        <v>28</v>
      </c>
      <c r="AF51" s="810">
        <v>29</v>
      </c>
      <c r="AG51" s="810">
        <v>30</v>
      </c>
      <c r="AH51" s="810">
        <v>31</v>
      </c>
      <c r="AI51" s="810">
        <v>32</v>
      </c>
      <c r="AJ51" s="810">
        <v>33</v>
      </c>
      <c r="AK51" s="810">
        <v>34</v>
      </c>
      <c r="AL51" s="810">
        <v>35</v>
      </c>
      <c r="AM51" s="810">
        <v>36</v>
      </c>
      <c r="AN51" s="809"/>
      <c r="AO51" s="809"/>
      <c r="AP51" s="809"/>
      <c r="AQ51" s="809"/>
      <c r="AR51" s="809"/>
      <c r="AS51" s="809"/>
      <c r="AT51" s="809"/>
      <c r="AU51" s="809"/>
      <c r="AV51" s="809"/>
      <c r="AW51" s="809"/>
      <c r="AX51" s="809"/>
      <c r="AY51" s="809"/>
      <c r="AZ51" s="809"/>
      <c r="BA51" s="809"/>
      <c r="BB51" s="809"/>
      <c r="BC51" s="809"/>
      <c r="BD51" s="809"/>
      <c r="BE51" s="809"/>
      <c r="BF51" s="809"/>
      <c r="BG51" s="809"/>
      <c r="BH51" s="809"/>
      <c r="BI51" s="809"/>
      <c r="BJ51" s="809"/>
      <c r="BK51" s="809"/>
      <c r="BL51" s="809"/>
      <c r="BM51" s="809"/>
      <c r="BN51" s="809"/>
      <c r="BO51" s="809"/>
      <c r="BP51" s="809"/>
      <c r="BQ51" s="809"/>
      <c r="BR51" s="809"/>
      <c r="BS51" s="809"/>
      <c r="BT51" s="809"/>
      <c r="BU51" s="809"/>
      <c r="BV51" s="809"/>
      <c r="BW51" s="809"/>
      <c r="BX51" s="809"/>
      <c r="BY51" s="809"/>
      <c r="BZ51" s="809"/>
      <c r="CA51" s="809"/>
      <c r="CB51" s="809"/>
      <c r="CC51" s="809"/>
      <c r="CD51" s="809"/>
      <c r="CE51" s="809"/>
      <c r="CF51" s="809"/>
      <c r="CG51" s="809"/>
      <c r="CH51" s="809"/>
      <c r="CI51" s="809"/>
      <c r="CJ51" s="809"/>
      <c r="CK51" s="809"/>
      <c r="CL51" s="809"/>
      <c r="CM51" s="809"/>
      <c r="CN51" s="809"/>
      <c r="CO51" s="809"/>
      <c r="CP51" s="809"/>
      <c r="CQ51" s="809"/>
      <c r="CR51" s="809"/>
      <c r="CS51" s="809"/>
      <c r="CT51" s="809"/>
      <c r="CU51" s="809"/>
      <c r="CV51" s="809"/>
      <c r="CW51" s="809"/>
      <c r="CX51" s="809"/>
      <c r="CY51" s="809"/>
      <c r="CZ51" s="809"/>
      <c r="DA51" s="809"/>
      <c r="DB51" s="809"/>
      <c r="DC51" s="809"/>
      <c r="DD51" s="809"/>
      <c r="DE51" s="809"/>
      <c r="DF51" s="809"/>
      <c r="DG51" s="809"/>
      <c r="DH51" s="809"/>
      <c r="DI51" s="809"/>
      <c r="DJ51" s="809"/>
      <c r="DK51" s="809"/>
      <c r="DL51" s="809"/>
      <c r="DM51" s="809"/>
      <c r="DN51" s="809"/>
      <c r="DO51" s="809"/>
      <c r="DP51" s="809"/>
      <c r="DQ51" s="809"/>
      <c r="DR51" s="809"/>
      <c r="DS51" s="809"/>
      <c r="DT51" s="809"/>
      <c r="DU51" s="809"/>
      <c r="DV51" s="809"/>
      <c r="DW51" s="809"/>
      <c r="DX51" s="809"/>
      <c r="DY51" s="809"/>
      <c r="DZ51" s="809"/>
      <c r="EA51" s="809"/>
      <c r="EB51" s="809"/>
      <c r="EC51" s="809"/>
    </row>
    <row r="53" spans="2:133">
      <c r="B53" s="752" t="s">
        <v>174</v>
      </c>
      <c r="D53" s="812" t="s">
        <v>51</v>
      </c>
      <c r="E53" s="754"/>
      <c r="F53" s="754"/>
      <c r="G53" s="754"/>
      <c r="H53" s="754"/>
      <c r="I53" s="754"/>
      <c r="J53" s="754"/>
      <c r="K53" s="754"/>
      <c r="L53" s="754"/>
      <c r="M53" s="754"/>
      <c r="N53" s="754"/>
      <c r="O53" s="755"/>
      <c r="P53" s="754"/>
      <c r="Q53" s="754"/>
      <c r="R53" s="754"/>
      <c r="S53" s="754"/>
      <c r="T53" s="754"/>
      <c r="U53" s="754"/>
      <c r="V53" s="754"/>
      <c r="W53" s="754"/>
      <c r="X53" s="754"/>
      <c r="Y53" s="754"/>
      <c r="Z53" s="754"/>
      <c r="AA53" s="755"/>
      <c r="AB53" s="754"/>
      <c r="AC53" s="754"/>
      <c r="AD53" s="754"/>
      <c r="AE53" s="754"/>
      <c r="AF53" s="754"/>
      <c r="AG53" s="754"/>
      <c r="AH53" s="754"/>
      <c r="AI53" s="754"/>
      <c r="AJ53" s="754"/>
      <c r="AK53" s="754"/>
      <c r="AL53" s="754"/>
      <c r="AM53" s="754"/>
      <c r="AN53" s="754"/>
      <c r="AO53" s="754"/>
      <c r="AP53" s="754"/>
      <c r="AQ53" s="754"/>
      <c r="AR53" s="754"/>
      <c r="AS53" s="754"/>
      <c r="AT53" s="754"/>
      <c r="AU53" s="754"/>
      <c r="AV53" s="754"/>
      <c r="AW53" s="754"/>
      <c r="AX53" s="754"/>
      <c r="AY53" s="754"/>
      <c r="AZ53" s="754"/>
      <c r="BA53" s="754"/>
      <c r="BB53" s="754"/>
      <c r="BC53" s="754"/>
      <c r="BD53" s="754"/>
      <c r="BE53" s="754"/>
      <c r="BF53" s="754"/>
      <c r="BG53" s="754"/>
      <c r="BH53" s="754"/>
    </row>
    <row r="54" spans="2:133">
      <c r="D54" s="754"/>
      <c r="E54" s="754"/>
      <c r="F54" s="754"/>
      <c r="G54" s="754"/>
      <c r="H54" s="754"/>
      <c r="I54" s="754"/>
      <c r="J54" s="754"/>
      <c r="K54" s="754"/>
      <c r="L54" s="754"/>
      <c r="M54" s="754"/>
      <c r="N54" s="754"/>
      <c r="O54" s="755"/>
      <c r="P54" s="754"/>
      <c r="Q54" s="754"/>
      <c r="R54" s="754"/>
      <c r="S54" s="754"/>
      <c r="T54" s="754"/>
      <c r="U54" s="754"/>
      <c r="V54" s="754"/>
      <c r="W54" s="754"/>
      <c r="X54" s="754"/>
      <c r="Y54" s="754"/>
      <c r="Z54" s="754"/>
      <c r="AA54" s="755"/>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54"/>
      <c r="AY54" s="754"/>
      <c r="AZ54" s="754"/>
      <c r="BA54" s="754"/>
      <c r="BB54" s="754"/>
      <c r="BC54" s="754"/>
      <c r="BD54" s="754"/>
      <c r="BE54" s="754"/>
      <c r="BF54" s="754"/>
      <c r="BG54" s="754"/>
      <c r="BH54" s="754"/>
    </row>
    <row r="55" spans="2:133" s="753" customFormat="1" ht="17" thickBot="1">
      <c r="B55" s="813" t="s">
        <v>175</v>
      </c>
      <c r="C55" s="806"/>
      <c r="D55" s="814"/>
      <c r="E55" s="815"/>
      <c r="F55" s="815"/>
      <c r="G55" s="815"/>
      <c r="H55" s="815"/>
      <c r="I55" s="815"/>
      <c r="J55" s="815"/>
      <c r="K55" s="815"/>
      <c r="L55" s="815"/>
      <c r="M55" s="815"/>
      <c r="N55" s="815"/>
      <c r="O55" s="816"/>
      <c r="P55" s="815"/>
      <c r="Q55" s="815"/>
      <c r="R55" s="815"/>
      <c r="S55" s="815"/>
      <c r="T55" s="815"/>
      <c r="U55" s="815"/>
      <c r="V55" s="815"/>
      <c r="W55" s="815"/>
      <c r="X55" s="815"/>
      <c r="Y55" s="815"/>
      <c r="Z55" s="815"/>
      <c r="AA55" s="816"/>
      <c r="AB55" s="815"/>
      <c r="AC55" s="815"/>
      <c r="AD55" s="815"/>
      <c r="AE55" s="815"/>
      <c r="AF55" s="815"/>
      <c r="AG55" s="815"/>
      <c r="AH55" s="815"/>
      <c r="AI55" s="815"/>
      <c r="AJ55" s="815"/>
      <c r="AK55" s="815"/>
      <c r="AL55" s="815"/>
      <c r="AM55" s="815"/>
      <c r="AN55" s="754"/>
      <c r="AO55" s="754"/>
      <c r="AP55" s="754"/>
      <c r="AQ55" s="754"/>
      <c r="AR55" s="754"/>
      <c r="AS55" s="754"/>
      <c r="AT55" s="754"/>
      <c r="AU55" s="754"/>
      <c r="AV55" s="754"/>
      <c r="AW55" s="754"/>
      <c r="AX55" s="754"/>
      <c r="AY55" s="809"/>
      <c r="AZ55" s="809"/>
      <c r="BA55" s="809"/>
      <c r="BB55" s="809"/>
      <c r="BC55" s="809"/>
      <c r="BD55" s="809"/>
      <c r="BE55" s="809"/>
      <c r="BF55" s="809"/>
      <c r="BG55" s="809"/>
      <c r="BH55" s="809"/>
      <c r="BI55" s="809"/>
      <c r="BJ55" s="809"/>
      <c r="BK55" s="809"/>
      <c r="BL55" s="809"/>
      <c r="BM55" s="809"/>
      <c r="BN55" s="809"/>
      <c r="BO55" s="809"/>
      <c r="BP55" s="809"/>
      <c r="BQ55" s="809"/>
      <c r="BR55" s="809"/>
      <c r="BS55" s="809"/>
      <c r="BT55" s="809"/>
      <c r="BU55" s="809"/>
      <c r="BV55" s="809"/>
      <c r="BW55" s="809"/>
      <c r="BX55" s="809"/>
      <c r="BY55" s="809"/>
      <c r="BZ55" s="809"/>
      <c r="CA55" s="809"/>
      <c r="CB55" s="809"/>
      <c r="CC55" s="809"/>
      <c r="CD55" s="809"/>
      <c r="CE55" s="809"/>
      <c r="CF55" s="809"/>
      <c r="CG55" s="809"/>
      <c r="CH55" s="809"/>
      <c r="CI55" s="809"/>
      <c r="CJ55" s="809"/>
      <c r="CK55" s="809"/>
      <c r="CL55" s="809"/>
      <c r="CM55" s="809"/>
      <c r="CN55" s="809"/>
      <c r="CO55" s="809"/>
      <c r="CP55" s="809"/>
      <c r="CQ55" s="809"/>
      <c r="CR55" s="809"/>
      <c r="CS55" s="809"/>
      <c r="CT55" s="809"/>
      <c r="CU55" s="809"/>
      <c r="CV55" s="809"/>
      <c r="CW55" s="809"/>
      <c r="CX55" s="809"/>
      <c r="CY55" s="809"/>
      <c r="CZ55" s="809"/>
      <c r="DA55" s="809"/>
      <c r="DB55" s="809"/>
      <c r="DC55" s="809"/>
      <c r="DD55" s="809"/>
      <c r="DE55" s="809"/>
      <c r="DF55" s="809"/>
      <c r="DG55" s="809"/>
      <c r="DH55" s="809"/>
      <c r="DI55" s="809"/>
      <c r="DJ55" s="809"/>
      <c r="DK55" s="809"/>
      <c r="DL55" s="809"/>
      <c r="DM55" s="809"/>
      <c r="DN55" s="809"/>
      <c r="DO55" s="809"/>
      <c r="DP55" s="809"/>
      <c r="DQ55" s="809"/>
      <c r="DR55" s="809"/>
      <c r="DS55" s="809"/>
      <c r="DT55" s="809"/>
      <c r="DU55" s="809"/>
      <c r="DV55" s="809"/>
      <c r="DW55" s="809"/>
      <c r="DX55" s="809"/>
      <c r="DY55" s="809"/>
      <c r="DZ55" s="809"/>
      <c r="EA55" s="809"/>
      <c r="EB55" s="809"/>
      <c r="EC55" s="809"/>
    </row>
    <row r="56" spans="2:133" s="753" customFormat="1">
      <c r="B56" s="756" t="s">
        <v>181</v>
      </c>
      <c r="D56" s="757"/>
      <c r="E56" s="757">
        <f>D58</f>
        <v>50000</v>
      </c>
      <c r="F56" s="757">
        <f t="shared" ref="F56:N56" si="22">E58</f>
        <v>50000</v>
      </c>
      <c r="G56" s="757">
        <f t="shared" si="22"/>
        <v>50000</v>
      </c>
      <c r="H56" s="757">
        <f t="shared" si="22"/>
        <v>50000</v>
      </c>
      <c r="I56" s="757">
        <f t="shared" si="22"/>
        <v>50000</v>
      </c>
      <c r="J56" s="757">
        <f t="shared" si="22"/>
        <v>50000</v>
      </c>
      <c r="K56" s="757">
        <f t="shared" si="22"/>
        <v>50000</v>
      </c>
      <c r="L56" s="757">
        <f t="shared" si="22"/>
        <v>50000</v>
      </c>
      <c r="M56" s="757">
        <f t="shared" si="22"/>
        <v>50000</v>
      </c>
      <c r="N56" s="757">
        <f t="shared" si="22"/>
        <v>50000</v>
      </c>
      <c r="O56" s="768">
        <f t="shared" ref="O56:AM56" si="23">N58</f>
        <v>50000</v>
      </c>
      <c r="P56" s="757">
        <f t="shared" si="23"/>
        <v>50000</v>
      </c>
      <c r="Q56" s="757">
        <f t="shared" si="23"/>
        <v>60000</v>
      </c>
      <c r="R56" s="757">
        <f t="shared" si="23"/>
        <v>60000</v>
      </c>
      <c r="S56" s="757">
        <f t="shared" si="23"/>
        <v>60000</v>
      </c>
      <c r="T56" s="757">
        <f t="shared" si="23"/>
        <v>60000</v>
      </c>
      <c r="U56" s="757">
        <f t="shared" si="23"/>
        <v>60000</v>
      </c>
      <c r="V56" s="757">
        <f t="shared" si="23"/>
        <v>60000</v>
      </c>
      <c r="W56" s="757">
        <f t="shared" si="23"/>
        <v>60000</v>
      </c>
      <c r="X56" s="757">
        <f t="shared" si="23"/>
        <v>60000</v>
      </c>
      <c r="Y56" s="757">
        <f t="shared" si="23"/>
        <v>60000</v>
      </c>
      <c r="Z56" s="757">
        <f t="shared" si="23"/>
        <v>60000</v>
      </c>
      <c r="AA56" s="768">
        <f t="shared" si="23"/>
        <v>60000</v>
      </c>
      <c r="AB56" s="757">
        <f t="shared" si="23"/>
        <v>60000</v>
      </c>
      <c r="AC56" s="757">
        <f t="shared" si="23"/>
        <v>70000</v>
      </c>
      <c r="AD56" s="757">
        <f t="shared" si="23"/>
        <v>70000</v>
      </c>
      <c r="AE56" s="757">
        <f t="shared" si="23"/>
        <v>70000</v>
      </c>
      <c r="AF56" s="757">
        <f t="shared" si="23"/>
        <v>70000</v>
      </c>
      <c r="AG56" s="757">
        <f t="shared" si="23"/>
        <v>70000</v>
      </c>
      <c r="AH56" s="757">
        <f t="shared" si="23"/>
        <v>70000</v>
      </c>
      <c r="AI56" s="757">
        <f t="shared" si="23"/>
        <v>70000</v>
      </c>
      <c r="AJ56" s="757">
        <f t="shared" si="23"/>
        <v>70000</v>
      </c>
      <c r="AK56" s="757">
        <f t="shared" si="23"/>
        <v>70000</v>
      </c>
      <c r="AL56" s="757">
        <f t="shared" si="23"/>
        <v>70000</v>
      </c>
      <c r="AM56" s="757">
        <f t="shared" si="23"/>
        <v>70000</v>
      </c>
      <c r="AN56" s="754"/>
      <c r="AO56" s="754"/>
      <c r="AP56" s="754"/>
      <c r="AQ56" s="754"/>
      <c r="AR56" s="754"/>
      <c r="AS56" s="754"/>
      <c r="AT56" s="754"/>
      <c r="AU56" s="754"/>
      <c r="AV56" s="754"/>
      <c r="AW56" s="754"/>
      <c r="AX56" s="754"/>
      <c r="AY56" s="809"/>
      <c r="AZ56" s="809"/>
      <c r="BA56" s="809"/>
      <c r="BB56" s="809"/>
      <c r="BC56" s="809"/>
      <c r="BD56" s="809"/>
      <c r="BE56" s="809"/>
      <c r="BF56" s="809"/>
      <c r="BG56" s="809"/>
      <c r="BH56" s="809"/>
      <c r="BI56" s="809"/>
      <c r="BJ56" s="809"/>
      <c r="BK56" s="809"/>
      <c r="BL56" s="809"/>
      <c r="BM56" s="809"/>
      <c r="BN56" s="809"/>
      <c r="BO56" s="809"/>
      <c r="BP56" s="809"/>
      <c r="BQ56" s="809"/>
      <c r="BR56" s="809"/>
      <c r="BS56" s="809"/>
      <c r="BT56" s="809"/>
      <c r="BU56" s="809"/>
      <c r="BV56" s="809"/>
      <c r="BW56" s="809"/>
      <c r="BX56" s="809"/>
      <c r="BY56" s="809"/>
      <c r="BZ56" s="809"/>
      <c r="CA56" s="809"/>
      <c r="CB56" s="809"/>
      <c r="CC56" s="809"/>
      <c r="CD56" s="809"/>
      <c r="CE56" s="809"/>
      <c r="CF56" s="809"/>
      <c r="CG56" s="809"/>
      <c r="CH56" s="809"/>
      <c r="CI56" s="809"/>
      <c r="CJ56" s="809"/>
      <c r="CK56" s="809"/>
      <c r="CL56" s="809"/>
      <c r="CM56" s="809"/>
      <c r="CN56" s="809"/>
      <c r="CO56" s="809"/>
      <c r="CP56" s="809"/>
      <c r="CQ56" s="809"/>
      <c r="CR56" s="809"/>
      <c r="CS56" s="809"/>
      <c r="CT56" s="809"/>
      <c r="CU56" s="809"/>
      <c r="CV56" s="809"/>
      <c r="CW56" s="809"/>
      <c r="CX56" s="809"/>
      <c r="CY56" s="809"/>
      <c r="CZ56" s="809"/>
      <c r="DA56" s="809"/>
      <c r="DB56" s="809"/>
      <c r="DC56" s="809"/>
      <c r="DD56" s="809"/>
      <c r="DE56" s="809"/>
      <c r="DF56" s="809"/>
      <c r="DG56" s="809"/>
      <c r="DH56" s="809"/>
      <c r="DI56" s="809"/>
      <c r="DJ56" s="809"/>
      <c r="DK56" s="809"/>
      <c r="DL56" s="809"/>
      <c r="DM56" s="809"/>
      <c r="DN56" s="809"/>
      <c r="DO56" s="809"/>
      <c r="DP56" s="809"/>
      <c r="DQ56" s="809"/>
      <c r="DR56" s="809"/>
      <c r="DS56" s="809"/>
      <c r="DT56" s="809"/>
      <c r="DU56" s="809"/>
      <c r="DV56" s="809"/>
      <c r="DW56" s="809"/>
      <c r="DX56" s="809"/>
      <c r="DY56" s="809"/>
      <c r="DZ56" s="809"/>
      <c r="EA56" s="809"/>
      <c r="EB56" s="809"/>
      <c r="EC56" s="809"/>
    </row>
    <row r="57" spans="2:133" s="753" customFormat="1">
      <c r="B57" s="756" t="s">
        <v>183</v>
      </c>
      <c r="D57" s="757">
        <f>'Cash Flow'!D79</f>
        <v>50000</v>
      </c>
      <c r="E57" s="757">
        <f>'Cash Flow'!E79</f>
        <v>0</v>
      </c>
      <c r="F57" s="757">
        <f>'Cash Flow'!F79</f>
        <v>0</v>
      </c>
      <c r="G57" s="757">
        <f>'Cash Flow'!G79</f>
        <v>0</v>
      </c>
      <c r="H57" s="757">
        <f>'Cash Flow'!H79</f>
        <v>0</v>
      </c>
      <c r="I57" s="757">
        <f>'Cash Flow'!I79</f>
        <v>0</v>
      </c>
      <c r="J57" s="757">
        <f>'Cash Flow'!J79</f>
        <v>0</v>
      </c>
      <c r="K57" s="757">
        <f>'Cash Flow'!K79</f>
        <v>0</v>
      </c>
      <c r="L57" s="757">
        <f>'Cash Flow'!L79</f>
        <v>0</v>
      </c>
      <c r="M57" s="757">
        <f>'Cash Flow'!M79</f>
        <v>0</v>
      </c>
      <c r="N57" s="757">
        <f>'Cash Flow'!N79</f>
        <v>0</v>
      </c>
      <c r="O57" s="768">
        <f>'Cash Flow'!O79</f>
        <v>0</v>
      </c>
      <c r="P57" s="757">
        <f>'Cash Flow'!P79</f>
        <v>10000</v>
      </c>
      <c r="Q57" s="757">
        <f>'Cash Flow'!Q79</f>
        <v>0</v>
      </c>
      <c r="R57" s="757">
        <f>'Cash Flow'!R79</f>
        <v>0</v>
      </c>
      <c r="S57" s="757">
        <f>'Cash Flow'!S79</f>
        <v>0</v>
      </c>
      <c r="T57" s="757">
        <f>'Cash Flow'!T79</f>
        <v>0</v>
      </c>
      <c r="U57" s="757">
        <f>'Cash Flow'!U79</f>
        <v>0</v>
      </c>
      <c r="V57" s="757">
        <f>'Cash Flow'!V79</f>
        <v>0</v>
      </c>
      <c r="W57" s="757">
        <f>'Cash Flow'!W79</f>
        <v>0</v>
      </c>
      <c r="X57" s="757">
        <f>'Cash Flow'!X79</f>
        <v>0</v>
      </c>
      <c r="Y57" s="757">
        <f>'Cash Flow'!Y79</f>
        <v>0</v>
      </c>
      <c r="Z57" s="757">
        <f>'Cash Flow'!Z79</f>
        <v>0</v>
      </c>
      <c r="AA57" s="768">
        <f>'Cash Flow'!AA79</f>
        <v>0</v>
      </c>
      <c r="AB57" s="757">
        <f>'Cash Flow'!AB79</f>
        <v>10000</v>
      </c>
      <c r="AC57" s="757">
        <f>'Cash Flow'!AC79</f>
        <v>0</v>
      </c>
      <c r="AD57" s="757">
        <f>'Cash Flow'!AD79</f>
        <v>0</v>
      </c>
      <c r="AE57" s="757">
        <f>'Cash Flow'!AE79</f>
        <v>0</v>
      </c>
      <c r="AF57" s="757">
        <f>'Cash Flow'!AF79</f>
        <v>0</v>
      </c>
      <c r="AG57" s="757">
        <f>'Cash Flow'!AG79</f>
        <v>0</v>
      </c>
      <c r="AH57" s="757">
        <f>'Cash Flow'!AH79</f>
        <v>0</v>
      </c>
      <c r="AI57" s="757">
        <f>'Cash Flow'!AI79</f>
        <v>0</v>
      </c>
      <c r="AJ57" s="757">
        <f>'Cash Flow'!AJ79</f>
        <v>0</v>
      </c>
      <c r="AK57" s="757">
        <f>'Cash Flow'!AK79</f>
        <v>0</v>
      </c>
      <c r="AL57" s="757">
        <f>'Cash Flow'!AL79</f>
        <v>0</v>
      </c>
      <c r="AM57" s="757">
        <f>'Cash Flow'!AM79</f>
        <v>0</v>
      </c>
      <c r="AN57" s="754"/>
      <c r="AO57" s="754"/>
      <c r="AP57" s="754"/>
      <c r="AQ57" s="754"/>
      <c r="AR57" s="754"/>
      <c r="AS57" s="754"/>
      <c r="AT57" s="754"/>
      <c r="AU57" s="754"/>
      <c r="AV57" s="754"/>
      <c r="AW57" s="754"/>
      <c r="AX57" s="754"/>
      <c r="AY57" s="809"/>
      <c r="AZ57" s="809"/>
      <c r="BA57" s="809"/>
      <c r="BB57" s="809"/>
      <c r="BC57" s="809"/>
      <c r="BD57" s="809"/>
      <c r="BE57" s="809"/>
      <c r="BF57" s="809"/>
      <c r="BG57" s="809"/>
      <c r="BH57" s="809"/>
      <c r="BI57" s="809"/>
      <c r="BJ57" s="809"/>
      <c r="BK57" s="809"/>
      <c r="BL57" s="809"/>
      <c r="BM57" s="809"/>
      <c r="BN57" s="809"/>
      <c r="BO57" s="809"/>
      <c r="BP57" s="809"/>
      <c r="BQ57" s="809"/>
      <c r="BR57" s="809"/>
      <c r="BS57" s="809"/>
      <c r="BT57" s="809"/>
      <c r="BU57" s="809"/>
      <c r="BV57" s="809"/>
      <c r="BW57" s="809"/>
      <c r="BX57" s="809"/>
      <c r="BY57" s="809"/>
      <c r="BZ57" s="809"/>
      <c r="CA57" s="809"/>
      <c r="CB57" s="809"/>
      <c r="CC57" s="809"/>
      <c r="CD57" s="809"/>
      <c r="CE57" s="809"/>
      <c r="CF57" s="809"/>
      <c r="CG57" s="809"/>
      <c r="CH57" s="809"/>
      <c r="CI57" s="809"/>
      <c r="CJ57" s="809"/>
      <c r="CK57" s="809"/>
      <c r="CL57" s="809"/>
      <c r="CM57" s="809"/>
      <c r="CN57" s="809"/>
      <c r="CO57" s="809"/>
      <c r="CP57" s="809"/>
      <c r="CQ57" s="809"/>
      <c r="CR57" s="809"/>
      <c r="CS57" s="809"/>
      <c r="CT57" s="809"/>
      <c r="CU57" s="809"/>
      <c r="CV57" s="809"/>
      <c r="CW57" s="809"/>
      <c r="CX57" s="809"/>
      <c r="CY57" s="809"/>
      <c r="CZ57" s="809"/>
      <c r="DA57" s="809"/>
      <c r="DB57" s="809"/>
      <c r="DC57" s="809"/>
      <c r="DD57" s="809"/>
      <c r="DE57" s="809"/>
      <c r="DF57" s="809"/>
      <c r="DG57" s="809"/>
      <c r="DH57" s="809"/>
      <c r="DI57" s="809"/>
      <c r="DJ57" s="809"/>
      <c r="DK57" s="809"/>
      <c r="DL57" s="809"/>
      <c r="DM57" s="809"/>
      <c r="DN57" s="809"/>
      <c r="DO57" s="809"/>
      <c r="DP57" s="809"/>
      <c r="DQ57" s="809"/>
      <c r="DR57" s="809"/>
      <c r="DS57" s="809"/>
      <c r="DT57" s="809"/>
      <c r="DU57" s="809"/>
      <c r="DV57" s="809"/>
      <c r="DW57" s="809"/>
      <c r="DX57" s="809"/>
      <c r="DY57" s="809"/>
      <c r="DZ57" s="809"/>
      <c r="EA57" s="809"/>
      <c r="EB57" s="809"/>
      <c r="EC57" s="809"/>
    </row>
    <row r="58" spans="2:133" s="820" customFormat="1" ht="20" customHeight="1" thickBot="1">
      <c r="B58" s="817" t="s">
        <v>449</v>
      </c>
      <c r="C58" s="818"/>
      <c r="D58" s="790">
        <f>D56+D57</f>
        <v>50000</v>
      </c>
      <c r="E58" s="790">
        <f>E56+E57</f>
        <v>50000</v>
      </c>
      <c r="F58" s="790">
        <f t="shared" ref="F58:N58" si="24">F56+F57</f>
        <v>50000</v>
      </c>
      <c r="G58" s="790">
        <f t="shared" si="24"/>
        <v>50000</v>
      </c>
      <c r="H58" s="790">
        <f t="shared" si="24"/>
        <v>50000</v>
      </c>
      <c r="I58" s="790">
        <f t="shared" si="24"/>
        <v>50000</v>
      </c>
      <c r="J58" s="790">
        <f t="shared" si="24"/>
        <v>50000</v>
      </c>
      <c r="K58" s="790">
        <f t="shared" si="24"/>
        <v>50000</v>
      </c>
      <c r="L58" s="790">
        <f t="shared" si="24"/>
        <v>50000</v>
      </c>
      <c r="M58" s="790">
        <f t="shared" si="24"/>
        <v>50000</v>
      </c>
      <c r="N58" s="790">
        <f t="shared" si="24"/>
        <v>50000</v>
      </c>
      <c r="O58" s="791">
        <f t="shared" ref="O58:AM58" si="25">O56+O57</f>
        <v>50000</v>
      </c>
      <c r="P58" s="790">
        <f t="shared" si="25"/>
        <v>60000</v>
      </c>
      <c r="Q58" s="790">
        <f t="shared" si="25"/>
        <v>60000</v>
      </c>
      <c r="R58" s="790">
        <f t="shared" si="25"/>
        <v>60000</v>
      </c>
      <c r="S58" s="790">
        <f t="shared" si="25"/>
        <v>60000</v>
      </c>
      <c r="T58" s="790">
        <f t="shared" si="25"/>
        <v>60000</v>
      </c>
      <c r="U58" s="790">
        <f t="shared" si="25"/>
        <v>60000</v>
      </c>
      <c r="V58" s="790">
        <f t="shared" si="25"/>
        <v>60000</v>
      </c>
      <c r="W58" s="790">
        <f t="shared" si="25"/>
        <v>60000</v>
      </c>
      <c r="X58" s="790">
        <f t="shared" si="25"/>
        <v>60000</v>
      </c>
      <c r="Y58" s="790">
        <f t="shared" si="25"/>
        <v>60000</v>
      </c>
      <c r="Z58" s="790">
        <f t="shared" si="25"/>
        <v>60000</v>
      </c>
      <c r="AA58" s="791">
        <f t="shared" si="25"/>
        <v>60000</v>
      </c>
      <c r="AB58" s="790">
        <f t="shared" si="25"/>
        <v>70000</v>
      </c>
      <c r="AC58" s="790">
        <f t="shared" si="25"/>
        <v>70000</v>
      </c>
      <c r="AD58" s="790">
        <f t="shared" si="25"/>
        <v>70000</v>
      </c>
      <c r="AE58" s="790">
        <f t="shared" si="25"/>
        <v>70000</v>
      </c>
      <c r="AF58" s="790">
        <f t="shared" si="25"/>
        <v>70000</v>
      </c>
      <c r="AG58" s="790">
        <f t="shared" si="25"/>
        <v>70000</v>
      </c>
      <c r="AH58" s="790">
        <f t="shared" si="25"/>
        <v>70000</v>
      </c>
      <c r="AI58" s="790">
        <f t="shared" si="25"/>
        <v>70000</v>
      </c>
      <c r="AJ58" s="790">
        <f t="shared" si="25"/>
        <v>70000</v>
      </c>
      <c r="AK58" s="790">
        <f t="shared" si="25"/>
        <v>70000</v>
      </c>
      <c r="AL58" s="790">
        <f t="shared" si="25"/>
        <v>70000</v>
      </c>
      <c r="AM58" s="790">
        <f t="shared" si="25"/>
        <v>70000</v>
      </c>
      <c r="AN58" s="787"/>
      <c r="AO58" s="787"/>
      <c r="AP58" s="787"/>
      <c r="AQ58" s="787"/>
      <c r="AR58" s="787"/>
      <c r="AS58" s="787"/>
      <c r="AT58" s="787"/>
      <c r="AU58" s="787"/>
      <c r="AV58" s="787"/>
      <c r="AW58" s="787"/>
      <c r="AX58" s="787"/>
      <c r="AY58" s="819"/>
      <c r="AZ58" s="819"/>
      <c r="BA58" s="819"/>
      <c r="BB58" s="819"/>
      <c r="BC58" s="819"/>
      <c r="BD58" s="819"/>
      <c r="BE58" s="819"/>
      <c r="BF58" s="819"/>
      <c r="BG58" s="819"/>
      <c r="BH58" s="819"/>
      <c r="BI58" s="819"/>
      <c r="BJ58" s="819"/>
      <c r="BK58" s="819"/>
      <c r="BL58" s="819"/>
      <c r="BM58" s="819"/>
      <c r="BN58" s="819"/>
      <c r="BO58" s="819"/>
      <c r="BP58" s="819"/>
      <c r="BQ58" s="819"/>
      <c r="BR58" s="819"/>
      <c r="BS58" s="819"/>
      <c r="BT58" s="819"/>
      <c r="BU58" s="819"/>
      <c r="BV58" s="819"/>
      <c r="BW58" s="819"/>
      <c r="BX58" s="819"/>
      <c r="BY58" s="819"/>
      <c r="BZ58" s="819"/>
      <c r="CA58" s="819"/>
      <c r="CB58" s="819"/>
      <c r="CC58" s="819"/>
      <c r="CD58" s="819"/>
      <c r="CE58" s="819"/>
      <c r="CF58" s="819"/>
      <c r="CG58" s="819"/>
      <c r="CH58" s="819"/>
      <c r="CI58" s="819"/>
      <c r="CJ58" s="819"/>
      <c r="CK58" s="819"/>
      <c r="CL58" s="819"/>
      <c r="CM58" s="819"/>
      <c r="CN58" s="819"/>
      <c r="CO58" s="819"/>
      <c r="CP58" s="819"/>
      <c r="CQ58" s="819"/>
      <c r="CR58" s="819"/>
      <c r="CS58" s="819"/>
      <c r="CT58" s="819"/>
      <c r="CU58" s="819"/>
      <c r="CV58" s="819"/>
      <c r="CW58" s="819"/>
      <c r="CX58" s="819"/>
      <c r="CY58" s="819"/>
      <c r="CZ58" s="819"/>
      <c r="DA58" s="819"/>
      <c r="DB58" s="819"/>
      <c r="DC58" s="819"/>
      <c r="DD58" s="819"/>
      <c r="DE58" s="819"/>
      <c r="DF58" s="819"/>
      <c r="DG58" s="819"/>
      <c r="DH58" s="819"/>
      <c r="DI58" s="819"/>
      <c r="DJ58" s="819"/>
      <c r="DK58" s="819"/>
      <c r="DL58" s="819"/>
      <c r="DM58" s="819"/>
      <c r="DN58" s="819"/>
      <c r="DO58" s="819"/>
      <c r="DP58" s="819"/>
      <c r="DQ58" s="819"/>
      <c r="DR58" s="819"/>
      <c r="DS58" s="819"/>
      <c r="DT58" s="819"/>
      <c r="DU58" s="819"/>
      <c r="DV58" s="819"/>
      <c r="DW58" s="819"/>
      <c r="DX58" s="819"/>
      <c r="DY58" s="819"/>
      <c r="DZ58" s="819"/>
      <c r="EA58" s="819"/>
      <c r="EB58" s="819"/>
      <c r="EC58" s="819"/>
    </row>
    <row r="59" spans="2:133" s="753" customFormat="1" ht="20" customHeight="1" thickTop="1">
      <c r="B59" s="752"/>
      <c r="D59" s="821"/>
      <c r="E59" s="757"/>
      <c r="F59" s="757"/>
      <c r="G59" s="757"/>
      <c r="H59" s="757"/>
      <c r="I59" s="757"/>
      <c r="J59" s="757"/>
      <c r="K59" s="757"/>
      <c r="L59" s="757"/>
      <c r="M59" s="757"/>
      <c r="N59" s="757"/>
      <c r="O59" s="768"/>
      <c r="P59" s="757"/>
      <c r="Q59" s="757"/>
      <c r="R59" s="757"/>
      <c r="S59" s="757"/>
      <c r="T59" s="757"/>
      <c r="U59" s="757"/>
      <c r="V59" s="757"/>
      <c r="W59" s="757"/>
      <c r="X59" s="757"/>
      <c r="Y59" s="757"/>
      <c r="Z59" s="757"/>
      <c r="AA59" s="768"/>
      <c r="AB59" s="757"/>
      <c r="AC59" s="757"/>
      <c r="AD59" s="757"/>
      <c r="AE59" s="757"/>
      <c r="AF59" s="757"/>
      <c r="AG59" s="757"/>
      <c r="AH59" s="757"/>
      <c r="AI59" s="757"/>
      <c r="AJ59" s="757"/>
      <c r="AK59" s="757"/>
      <c r="AL59" s="757"/>
      <c r="AM59" s="757"/>
      <c r="AN59" s="754"/>
      <c r="AO59" s="754"/>
      <c r="AP59" s="754"/>
      <c r="AQ59" s="754"/>
      <c r="AR59" s="754"/>
      <c r="AS59" s="754"/>
      <c r="AT59" s="754"/>
      <c r="AU59" s="754"/>
      <c r="AV59" s="754"/>
      <c r="AW59" s="754"/>
      <c r="AX59" s="754"/>
      <c r="AY59" s="809"/>
      <c r="AZ59" s="809"/>
      <c r="BA59" s="809"/>
      <c r="BB59" s="809"/>
      <c r="BC59" s="809"/>
      <c r="BD59" s="809"/>
      <c r="BE59" s="809"/>
      <c r="BF59" s="809"/>
      <c r="BG59" s="809"/>
      <c r="BH59" s="809"/>
      <c r="BI59" s="809"/>
      <c r="BJ59" s="809"/>
      <c r="BK59" s="809"/>
      <c r="BL59" s="809"/>
      <c r="BM59" s="809"/>
      <c r="BN59" s="809"/>
      <c r="BO59" s="809"/>
      <c r="BP59" s="809"/>
      <c r="BQ59" s="809"/>
      <c r="BR59" s="809"/>
      <c r="BS59" s="809"/>
      <c r="BT59" s="809"/>
      <c r="BU59" s="809"/>
      <c r="BV59" s="809"/>
      <c r="BW59" s="809"/>
      <c r="BX59" s="809"/>
      <c r="BY59" s="809"/>
      <c r="BZ59" s="809"/>
      <c r="CA59" s="809"/>
      <c r="CB59" s="809"/>
      <c r="CC59" s="809"/>
      <c r="CD59" s="809"/>
      <c r="CE59" s="809"/>
      <c r="CF59" s="809"/>
      <c r="CG59" s="809"/>
      <c r="CH59" s="809"/>
      <c r="CI59" s="809"/>
      <c r="CJ59" s="809"/>
      <c r="CK59" s="809"/>
      <c r="CL59" s="809"/>
      <c r="CM59" s="809"/>
      <c r="CN59" s="809"/>
      <c r="CO59" s="809"/>
      <c r="CP59" s="809"/>
      <c r="CQ59" s="809"/>
      <c r="CR59" s="809"/>
      <c r="CS59" s="809"/>
      <c r="CT59" s="809"/>
      <c r="CU59" s="809"/>
      <c r="CV59" s="809"/>
      <c r="CW59" s="809"/>
      <c r="CX59" s="809"/>
      <c r="CY59" s="809"/>
      <c r="CZ59" s="809"/>
      <c r="DA59" s="809"/>
      <c r="DB59" s="809"/>
      <c r="DC59" s="809"/>
      <c r="DD59" s="809"/>
      <c r="DE59" s="809"/>
      <c r="DF59" s="809"/>
      <c r="DG59" s="809"/>
      <c r="DH59" s="809"/>
      <c r="DI59" s="809"/>
      <c r="DJ59" s="809"/>
      <c r="DK59" s="809"/>
      <c r="DL59" s="809"/>
      <c r="DM59" s="809"/>
      <c r="DN59" s="809"/>
      <c r="DO59" s="809"/>
      <c r="DP59" s="809"/>
      <c r="DQ59" s="809"/>
      <c r="DR59" s="809"/>
      <c r="DS59" s="809"/>
      <c r="DT59" s="809"/>
      <c r="DU59" s="809"/>
      <c r="DV59" s="809"/>
      <c r="DW59" s="809"/>
      <c r="DX59" s="809"/>
      <c r="DY59" s="809"/>
      <c r="DZ59" s="809"/>
      <c r="EA59" s="809"/>
      <c r="EB59" s="809"/>
      <c r="EC59" s="809"/>
    </row>
    <row r="60" spans="2:133" s="753" customFormat="1" ht="17" thickBot="1">
      <c r="B60" s="822" t="s">
        <v>176</v>
      </c>
      <c r="C60" s="806"/>
      <c r="D60" s="814"/>
      <c r="E60" s="815"/>
      <c r="F60" s="815"/>
      <c r="G60" s="815"/>
      <c r="H60" s="815"/>
      <c r="I60" s="815"/>
      <c r="J60" s="815"/>
      <c r="K60" s="815"/>
      <c r="L60" s="815"/>
      <c r="M60" s="815"/>
      <c r="N60" s="815"/>
      <c r="O60" s="816"/>
      <c r="P60" s="815"/>
      <c r="Q60" s="815"/>
      <c r="R60" s="815"/>
      <c r="S60" s="815"/>
      <c r="T60" s="815"/>
      <c r="U60" s="815"/>
      <c r="V60" s="815"/>
      <c r="W60" s="815"/>
      <c r="X60" s="815"/>
      <c r="Y60" s="815"/>
      <c r="Z60" s="815"/>
      <c r="AA60" s="816"/>
      <c r="AB60" s="815"/>
      <c r="AC60" s="815"/>
      <c r="AD60" s="815"/>
      <c r="AE60" s="815"/>
      <c r="AF60" s="815"/>
      <c r="AG60" s="815"/>
      <c r="AH60" s="815"/>
      <c r="AI60" s="815"/>
      <c r="AJ60" s="815"/>
      <c r="AK60" s="815"/>
      <c r="AL60" s="815"/>
      <c r="AM60" s="815"/>
      <c r="AN60" s="754"/>
      <c r="AO60" s="754"/>
      <c r="AP60" s="754"/>
      <c r="AQ60" s="754"/>
      <c r="AR60" s="754"/>
      <c r="AS60" s="754"/>
      <c r="AT60" s="754"/>
      <c r="AU60" s="754"/>
      <c r="AV60" s="754"/>
      <c r="AW60" s="754"/>
      <c r="AX60" s="754"/>
      <c r="AY60" s="809"/>
      <c r="AZ60" s="809"/>
      <c r="BA60" s="809"/>
      <c r="BB60" s="809"/>
      <c r="BC60" s="809"/>
      <c r="BD60" s="809"/>
      <c r="BE60" s="809"/>
      <c r="BF60" s="809"/>
      <c r="BG60" s="809"/>
      <c r="BH60" s="809"/>
      <c r="BI60" s="809"/>
      <c r="BJ60" s="809"/>
      <c r="BK60" s="809"/>
      <c r="BL60" s="809"/>
      <c r="BM60" s="809"/>
      <c r="BN60" s="809"/>
      <c r="BO60" s="809"/>
      <c r="BP60" s="809"/>
      <c r="BQ60" s="809"/>
      <c r="BR60" s="809"/>
      <c r="BS60" s="809"/>
      <c r="BT60" s="809"/>
      <c r="BU60" s="809"/>
      <c r="BV60" s="809"/>
      <c r="BW60" s="809"/>
      <c r="BX60" s="809"/>
      <c r="BY60" s="809"/>
      <c r="BZ60" s="809"/>
      <c r="CA60" s="809"/>
      <c r="CB60" s="809"/>
      <c r="CC60" s="809"/>
      <c r="CD60" s="809"/>
      <c r="CE60" s="809"/>
      <c r="CF60" s="809"/>
      <c r="CG60" s="809"/>
      <c r="CH60" s="809"/>
      <c r="CI60" s="809"/>
      <c r="CJ60" s="809"/>
      <c r="CK60" s="809"/>
      <c r="CL60" s="809"/>
      <c r="CM60" s="809"/>
      <c r="CN60" s="809"/>
      <c r="CO60" s="809"/>
      <c r="CP60" s="809"/>
      <c r="CQ60" s="809"/>
      <c r="CR60" s="809"/>
      <c r="CS60" s="809"/>
      <c r="CT60" s="809"/>
      <c r="CU60" s="809"/>
      <c r="CV60" s="809"/>
      <c r="CW60" s="809"/>
      <c r="CX60" s="809"/>
      <c r="CY60" s="809"/>
      <c r="CZ60" s="809"/>
      <c r="DA60" s="809"/>
      <c r="DB60" s="809"/>
      <c r="DC60" s="809"/>
      <c r="DD60" s="809"/>
      <c r="DE60" s="809"/>
      <c r="DF60" s="809"/>
      <c r="DG60" s="809"/>
      <c r="DH60" s="809"/>
      <c r="DI60" s="809"/>
      <c r="DJ60" s="809"/>
      <c r="DK60" s="809"/>
      <c r="DL60" s="809"/>
      <c r="DM60" s="809"/>
      <c r="DN60" s="809"/>
      <c r="DO60" s="809"/>
      <c r="DP60" s="809"/>
      <c r="DQ60" s="809"/>
      <c r="DR60" s="809"/>
      <c r="DS60" s="809"/>
      <c r="DT60" s="809"/>
      <c r="DU60" s="809"/>
      <c r="DV60" s="809"/>
      <c r="DW60" s="809"/>
      <c r="DX60" s="809"/>
      <c r="DY60" s="809"/>
      <c r="DZ60" s="809"/>
      <c r="EA60" s="809"/>
      <c r="EB60" s="809"/>
      <c r="EC60" s="809"/>
    </row>
    <row r="61" spans="2:133" s="753" customFormat="1">
      <c r="B61" s="756" t="s">
        <v>76</v>
      </c>
      <c r="D61" s="757"/>
      <c r="E61" s="757">
        <f>D63</f>
        <v>23997.139999999996</v>
      </c>
      <c r="F61" s="757">
        <f t="shared" ref="F61:M61" si="26">E63</f>
        <v>25816.796799999996</v>
      </c>
      <c r="G61" s="757">
        <f t="shared" si="26"/>
        <v>28200.317999999999</v>
      </c>
      <c r="H61" s="757">
        <f t="shared" si="26"/>
        <v>29940.089199999995</v>
      </c>
      <c r="I61" s="757">
        <f t="shared" si="26"/>
        <v>31901.11039999999</v>
      </c>
      <c r="J61" s="757">
        <f t="shared" si="26"/>
        <v>34080.652799999996</v>
      </c>
      <c r="K61" s="757">
        <f t="shared" si="26"/>
        <v>36288.03839999999</v>
      </c>
      <c r="L61" s="757">
        <f t="shared" si="26"/>
        <v>37442.695199999987</v>
      </c>
      <c r="M61" s="757">
        <f t="shared" si="26"/>
        <v>39826.44519999998</v>
      </c>
      <c r="N61" s="757">
        <f t="shared" ref="N61:AM61" si="27">M63</f>
        <v>42023.101999999984</v>
      </c>
      <c r="O61" s="768">
        <f t="shared" si="27"/>
        <v>44571.487599999986</v>
      </c>
      <c r="P61" s="757">
        <f t="shared" si="27"/>
        <v>46409.873199999995</v>
      </c>
      <c r="Q61" s="757">
        <f t="shared" si="27"/>
        <v>50607.470175999995</v>
      </c>
      <c r="R61" s="757">
        <f t="shared" si="27"/>
        <v>53656.294271999992</v>
      </c>
      <c r="S61" s="757">
        <f t="shared" si="27"/>
        <v>60798.361440000001</v>
      </c>
      <c r="T61" s="757">
        <f t="shared" si="27"/>
        <v>65422.761439999995</v>
      </c>
      <c r="U61" s="757">
        <f t="shared" si="27"/>
        <v>66979.766559999989</v>
      </c>
      <c r="V61" s="757">
        <f t="shared" si="27"/>
        <v>69833.428607999987</v>
      </c>
      <c r="W61" s="757">
        <f t="shared" si="27"/>
        <v>72857.212191999992</v>
      </c>
      <c r="X61" s="757">
        <f t="shared" si="27"/>
        <v>75445.955263999989</v>
      </c>
      <c r="Y61" s="757">
        <f t="shared" si="27"/>
        <v>95421.545656888891</v>
      </c>
      <c r="Z61" s="757">
        <f t="shared" si="27"/>
        <v>96802.318815999985</v>
      </c>
      <c r="AA61" s="768">
        <f t="shared" si="27"/>
        <v>100639.94035199998</v>
      </c>
      <c r="AB61" s="757">
        <f t="shared" si="27"/>
        <v>104058.10239999997</v>
      </c>
      <c r="AC61" s="757">
        <f t="shared" si="27"/>
        <v>111262.58068703997</v>
      </c>
      <c r="AD61" s="757">
        <f t="shared" si="27"/>
        <v>114132.36863831997</v>
      </c>
      <c r="AE61" s="757">
        <f t="shared" si="27"/>
        <v>117425.25257335996</v>
      </c>
      <c r="AF61" s="757">
        <f t="shared" si="27"/>
        <v>121847.54052463996</v>
      </c>
      <c r="AG61" s="757">
        <f t="shared" si="27"/>
        <v>125519.92445967995</v>
      </c>
      <c r="AH61" s="757">
        <f t="shared" si="27"/>
        <v>128886.71241095994</v>
      </c>
      <c r="AI61" s="757">
        <f t="shared" si="27"/>
        <v>132116.09634599998</v>
      </c>
      <c r="AJ61" s="757">
        <f t="shared" si="27"/>
        <v>134961.38429727996</v>
      </c>
      <c r="AK61" s="757">
        <f t="shared" si="27"/>
        <v>137838.26823231997</v>
      </c>
      <c r="AL61" s="757">
        <f t="shared" si="27"/>
        <v>139686.05618359995</v>
      </c>
      <c r="AM61" s="757">
        <f t="shared" si="27"/>
        <v>143969.94011863996</v>
      </c>
      <c r="AN61" s="754"/>
      <c r="AO61" s="754"/>
      <c r="AP61" s="754"/>
      <c r="AQ61" s="754"/>
      <c r="AR61" s="754"/>
      <c r="AS61" s="754"/>
      <c r="AT61" s="754"/>
      <c r="AU61" s="754"/>
      <c r="AV61" s="754"/>
      <c r="AW61" s="754"/>
      <c r="AX61" s="754"/>
      <c r="AY61" s="809"/>
      <c r="AZ61" s="809"/>
      <c r="BA61" s="809"/>
      <c r="BB61" s="809"/>
      <c r="BC61" s="809"/>
      <c r="BD61" s="809"/>
      <c r="BE61" s="809"/>
      <c r="BF61" s="809"/>
      <c r="BG61" s="809"/>
      <c r="BH61" s="809"/>
      <c r="BI61" s="809"/>
      <c r="BJ61" s="809"/>
      <c r="BK61" s="809"/>
      <c r="BL61" s="809"/>
      <c r="BM61" s="809"/>
      <c r="BN61" s="809"/>
      <c r="BO61" s="809"/>
      <c r="BP61" s="809"/>
      <c r="BQ61" s="809"/>
      <c r="BR61" s="809"/>
      <c r="BS61" s="809"/>
      <c r="BT61" s="809"/>
      <c r="BU61" s="809"/>
      <c r="BV61" s="809"/>
      <c r="BW61" s="809"/>
      <c r="BX61" s="809"/>
      <c r="BY61" s="809"/>
      <c r="BZ61" s="809"/>
      <c r="CA61" s="809"/>
      <c r="CB61" s="809"/>
      <c r="CC61" s="809"/>
      <c r="CD61" s="809"/>
      <c r="CE61" s="809"/>
      <c r="CF61" s="809"/>
      <c r="CG61" s="809"/>
      <c r="CH61" s="809"/>
      <c r="CI61" s="809"/>
      <c r="CJ61" s="809"/>
      <c r="CK61" s="809"/>
      <c r="CL61" s="809"/>
      <c r="CM61" s="809"/>
      <c r="CN61" s="809"/>
      <c r="CO61" s="809"/>
      <c r="CP61" s="809"/>
      <c r="CQ61" s="809"/>
      <c r="CR61" s="809"/>
      <c r="CS61" s="809"/>
      <c r="CT61" s="809"/>
      <c r="CU61" s="809"/>
      <c r="CV61" s="809"/>
      <c r="CW61" s="809"/>
      <c r="CX61" s="809"/>
      <c r="CY61" s="809"/>
      <c r="CZ61" s="809"/>
      <c r="DA61" s="809"/>
      <c r="DB61" s="809"/>
      <c r="DC61" s="809"/>
      <c r="DD61" s="809"/>
      <c r="DE61" s="809"/>
      <c r="DF61" s="809"/>
      <c r="DG61" s="809"/>
      <c r="DH61" s="809"/>
      <c r="DI61" s="809"/>
      <c r="DJ61" s="809"/>
      <c r="DK61" s="809"/>
      <c r="DL61" s="809"/>
      <c r="DM61" s="809"/>
      <c r="DN61" s="809"/>
      <c r="DO61" s="809"/>
      <c r="DP61" s="809"/>
      <c r="DQ61" s="809"/>
      <c r="DR61" s="809"/>
      <c r="DS61" s="809"/>
      <c r="DT61" s="809"/>
      <c r="DU61" s="809"/>
      <c r="DV61" s="809"/>
      <c r="DW61" s="809"/>
      <c r="DX61" s="809"/>
      <c r="DY61" s="809"/>
      <c r="DZ61" s="809"/>
      <c r="EA61" s="809"/>
      <c r="EB61" s="809"/>
      <c r="EC61" s="809"/>
    </row>
    <row r="62" spans="2:133" s="753" customFormat="1">
      <c r="B62" s="756" t="s">
        <v>183</v>
      </c>
      <c r="D62" s="757">
        <f>'Cash Flow'!D75</f>
        <v>23997.139999999996</v>
      </c>
      <c r="E62" s="757">
        <f>'Cash Flow'!E75</f>
        <v>1819.6568000000013</v>
      </c>
      <c r="F62" s="757">
        <f>'Cash Flow'!F75</f>
        <v>2383.5212000000042</v>
      </c>
      <c r="G62" s="757">
        <f>'Cash Flow'!G75</f>
        <v>1739.771199999997</v>
      </c>
      <c r="H62" s="757">
        <f>'Cash Flow'!H75</f>
        <v>1961.021199999997</v>
      </c>
      <c r="I62" s="757">
        <f>'Cash Flow'!I75</f>
        <v>2179.5424000000044</v>
      </c>
      <c r="J62" s="757">
        <f>'Cash Flow'!J75</f>
        <v>2207.3855999999969</v>
      </c>
      <c r="K62" s="757">
        <f>'Cash Flow'!K75</f>
        <v>1154.6568</v>
      </c>
      <c r="L62" s="757">
        <f>'Cash Flow'!L75</f>
        <v>2383.7499999999941</v>
      </c>
      <c r="M62" s="757">
        <f>'Cash Flow'!M75</f>
        <v>2196.6568000000029</v>
      </c>
      <c r="N62" s="757">
        <f>'Cash Flow'!N75</f>
        <v>2548.3856000000028</v>
      </c>
      <c r="O62" s="768">
        <f>'Cash Flow'!O75</f>
        <v>1838.3856000000058</v>
      </c>
      <c r="P62" s="757">
        <f>'Cash Flow'!P75</f>
        <v>4197.596975999998</v>
      </c>
      <c r="Q62" s="757">
        <f>'Cash Flow'!Q75</f>
        <v>3048.8240959999994</v>
      </c>
      <c r="R62" s="757">
        <f>'Cash Flow'!R75</f>
        <v>7142.0671680000087</v>
      </c>
      <c r="S62" s="757">
        <f>'Cash Flow'!S75</f>
        <v>4624.3999999999969</v>
      </c>
      <c r="T62" s="757">
        <f>'Cash Flow'!T75</f>
        <v>1557.0051199999871</v>
      </c>
      <c r="U62" s="757">
        <f>'Cash Flow'!U75</f>
        <v>2853.6620479999983</v>
      </c>
      <c r="V62" s="757">
        <f>'Cash Flow'!V75</f>
        <v>3023.7835840000071</v>
      </c>
      <c r="W62" s="757">
        <f>'Cash Flow'!W75</f>
        <v>2588.7430720000002</v>
      </c>
      <c r="X62" s="757">
        <f>'Cash Flow'!X75</f>
        <v>19975.590392888906</v>
      </c>
      <c r="Y62" s="757">
        <f>'Cash Flow'!Y75</f>
        <v>1380.7731591110989</v>
      </c>
      <c r="Z62" s="757">
        <f>'Cash Flow'!Z75</f>
        <v>3837.6215359999915</v>
      </c>
      <c r="AA62" s="768">
        <f>'Cash Flow'!AA75</f>
        <v>3418.1620480000042</v>
      </c>
      <c r="AB62" s="757">
        <f>'Cash Flow'!AB75</f>
        <v>7204.478287039994</v>
      </c>
      <c r="AC62" s="757">
        <f>'Cash Flow'!AC75</f>
        <v>2869.7879512800018</v>
      </c>
      <c r="AD62" s="757">
        <f>'Cash Flow'!AD75</f>
        <v>3292.8839350399967</v>
      </c>
      <c r="AE62" s="757">
        <f>'Cash Flow'!AE75</f>
        <v>4422.2879512800018</v>
      </c>
      <c r="AF62" s="757">
        <f>'Cash Flow'!AF75</f>
        <v>3672.3839350399967</v>
      </c>
      <c r="AG62" s="757">
        <f>'Cash Flow'!AG75</f>
        <v>3366.7879512799905</v>
      </c>
      <c r="AH62" s="757">
        <f>'Cash Flow'!AH75</f>
        <v>3229.3839350400258</v>
      </c>
      <c r="AI62" s="757">
        <f>'Cash Flow'!AI75</f>
        <v>2845.2879512799786</v>
      </c>
      <c r="AJ62" s="757">
        <f>'Cash Flow'!AJ75</f>
        <v>2876.8839350400085</v>
      </c>
      <c r="AK62" s="757">
        <f>'Cash Flow'!AK75</f>
        <v>1847.7879512799962</v>
      </c>
      <c r="AL62" s="757">
        <f>'Cash Flow'!AL75</f>
        <v>4283.8839350400085</v>
      </c>
      <c r="AM62" s="757">
        <f>'Cash Flow'!AM75</f>
        <v>4270.2879512799964</v>
      </c>
      <c r="AN62" s="754"/>
      <c r="AO62" s="754"/>
      <c r="AP62" s="754"/>
      <c r="AQ62" s="754"/>
      <c r="AR62" s="754"/>
      <c r="AS62" s="754"/>
      <c r="AT62" s="754"/>
      <c r="AU62" s="754"/>
      <c r="AV62" s="754"/>
      <c r="AW62" s="754"/>
      <c r="AX62" s="754"/>
      <c r="AY62" s="809"/>
      <c r="AZ62" s="809"/>
      <c r="BA62" s="809"/>
      <c r="BB62" s="809"/>
      <c r="BC62" s="809"/>
      <c r="BD62" s="809"/>
      <c r="BE62" s="809"/>
      <c r="BF62" s="809"/>
      <c r="BG62" s="809"/>
      <c r="BH62" s="809"/>
      <c r="BI62" s="809"/>
      <c r="BJ62" s="809"/>
      <c r="BK62" s="809"/>
      <c r="BL62" s="809"/>
      <c r="BM62" s="809"/>
      <c r="BN62" s="809"/>
      <c r="BO62" s="809"/>
      <c r="BP62" s="809"/>
      <c r="BQ62" s="809"/>
      <c r="BR62" s="809"/>
      <c r="BS62" s="809"/>
      <c r="BT62" s="809"/>
      <c r="BU62" s="809"/>
      <c r="BV62" s="809"/>
      <c r="BW62" s="809"/>
      <c r="BX62" s="809"/>
      <c r="BY62" s="809"/>
      <c r="BZ62" s="809"/>
      <c r="CA62" s="809"/>
      <c r="CB62" s="809"/>
      <c r="CC62" s="809"/>
      <c r="CD62" s="809"/>
      <c r="CE62" s="809"/>
      <c r="CF62" s="809"/>
      <c r="CG62" s="809"/>
      <c r="CH62" s="809"/>
      <c r="CI62" s="809"/>
      <c r="CJ62" s="809"/>
      <c r="CK62" s="809"/>
      <c r="CL62" s="809"/>
      <c r="CM62" s="809"/>
      <c r="CN62" s="809"/>
      <c r="CO62" s="809"/>
      <c r="CP62" s="809"/>
      <c r="CQ62" s="809"/>
      <c r="CR62" s="809"/>
      <c r="CS62" s="809"/>
      <c r="CT62" s="809"/>
      <c r="CU62" s="809"/>
      <c r="CV62" s="809"/>
      <c r="CW62" s="809"/>
      <c r="CX62" s="809"/>
      <c r="CY62" s="809"/>
      <c r="CZ62" s="809"/>
      <c r="DA62" s="809"/>
      <c r="DB62" s="809"/>
      <c r="DC62" s="809"/>
      <c r="DD62" s="809"/>
      <c r="DE62" s="809"/>
      <c r="DF62" s="809"/>
      <c r="DG62" s="809"/>
      <c r="DH62" s="809"/>
      <c r="DI62" s="809"/>
      <c r="DJ62" s="809"/>
      <c r="DK62" s="809"/>
      <c r="DL62" s="809"/>
      <c r="DM62" s="809"/>
      <c r="DN62" s="809"/>
      <c r="DO62" s="809"/>
      <c r="DP62" s="809"/>
      <c r="DQ62" s="809"/>
      <c r="DR62" s="809"/>
      <c r="DS62" s="809"/>
      <c r="DT62" s="809"/>
      <c r="DU62" s="809"/>
      <c r="DV62" s="809"/>
      <c r="DW62" s="809"/>
      <c r="DX62" s="809"/>
      <c r="DY62" s="809"/>
      <c r="DZ62" s="809"/>
      <c r="EA62" s="809"/>
      <c r="EB62" s="809"/>
      <c r="EC62" s="809"/>
    </row>
    <row r="63" spans="2:133" s="820" customFormat="1" ht="20" customHeight="1" thickBot="1">
      <c r="B63" s="817" t="s">
        <v>449</v>
      </c>
      <c r="C63" s="818"/>
      <c r="D63" s="790">
        <f>D61+D62</f>
        <v>23997.139999999996</v>
      </c>
      <c r="E63" s="790">
        <f>E61+E62</f>
        <v>25816.796799999996</v>
      </c>
      <c r="F63" s="790">
        <f t="shared" ref="F63:M63" si="28">F61+F62</f>
        <v>28200.317999999999</v>
      </c>
      <c r="G63" s="790">
        <f t="shared" si="28"/>
        <v>29940.089199999995</v>
      </c>
      <c r="H63" s="790">
        <f t="shared" si="28"/>
        <v>31901.11039999999</v>
      </c>
      <c r="I63" s="790">
        <f t="shared" si="28"/>
        <v>34080.652799999996</v>
      </c>
      <c r="J63" s="790">
        <f t="shared" si="28"/>
        <v>36288.03839999999</v>
      </c>
      <c r="K63" s="790">
        <f t="shared" si="28"/>
        <v>37442.695199999987</v>
      </c>
      <c r="L63" s="790">
        <f t="shared" si="28"/>
        <v>39826.44519999998</v>
      </c>
      <c r="M63" s="790">
        <f t="shared" si="28"/>
        <v>42023.101999999984</v>
      </c>
      <c r="N63" s="790">
        <f t="shared" ref="N63:AM63" si="29">N61+N62</f>
        <v>44571.487599999986</v>
      </c>
      <c r="O63" s="791">
        <f t="shared" si="29"/>
        <v>46409.873199999995</v>
      </c>
      <c r="P63" s="790">
        <f t="shared" si="29"/>
        <v>50607.470175999995</v>
      </c>
      <c r="Q63" s="790">
        <f t="shared" si="29"/>
        <v>53656.294271999992</v>
      </c>
      <c r="R63" s="790">
        <f t="shared" si="29"/>
        <v>60798.361440000001</v>
      </c>
      <c r="S63" s="790">
        <f t="shared" si="29"/>
        <v>65422.761439999995</v>
      </c>
      <c r="T63" s="790">
        <f t="shared" si="29"/>
        <v>66979.766559999989</v>
      </c>
      <c r="U63" s="790">
        <f t="shared" si="29"/>
        <v>69833.428607999987</v>
      </c>
      <c r="V63" s="790">
        <f t="shared" si="29"/>
        <v>72857.212191999992</v>
      </c>
      <c r="W63" s="790">
        <f t="shared" si="29"/>
        <v>75445.955263999989</v>
      </c>
      <c r="X63" s="790">
        <f t="shared" si="29"/>
        <v>95421.545656888891</v>
      </c>
      <c r="Y63" s="790">
        <f t="shared" si="29"/>
        <v>96802.318815999985</v>
      </c>
      <c r="Z63" s="790">
        <f t="shared" si="29"/>
        <v>100639.94035199998</v>
      </c>
      <c r="AA63" s="791">
        <f t="shared" si="29"/>
        <v>104058.10239999997</v>
      </c>
      <c r="AB63" s="790">
        <f t="shared" si="29"/>
        <v>111262.58068703997</v>
      </c>
      <c r="AC63" s="790">
        <f t="shared" si="29"/>
        <v>114132.36863831997</v>
      </c>
      <c r="AD63" s="790">
        <f t="shared" si="29"/>
        <v>117425.25257335996</v>
      </c>
      <c r="AE63" s="790">
        <f t="shared" si="29"/>
        <v>121847.54052463996</v>
      </c>
      <c r="AF63" s="790">
        <f t="shared" si="29"/>
        <v>125519.92445967995</v>
      </c>
      <c r="AG63" s="790">
        <f t="shared" si="29"/>
        <v>128886.71241095994</v>
      </c>
      <c r="AH63" s="790">
        <f t="shared" si="29"/>
        <v>132116.09634599998</v>
      </c>
      <c r="AI63" s="790">
        <f t="shared" si="29"/>
        <v>134961.38429727996</v>
      </c>
      <c r="AJ63" s="790">
        <f t="shared" si="29"/>
        <v>137838.26823231997</v>
      </c>
      <c r="AK63" s="790">
        <f t="shared" si="29"/>
        <v>139686.05618359995</v>
      </c>
      <c r="AL63" s="790">
        <f t="shared" si="29"/>
        <v>143969.94011863996</v>
      </c>
      <c r="AM63" s="790">
        <f t="shared" si="29"/>
        <v>148240.22806991995</v>
      </c>
      <c r="AN63" s="787"/>
      <c r="AO63" s="787"/>
      <c r="AP63" s="787"/>
      <c r="AQ63" s="787"/>
      <c r="AR63" s="787"/>
      <c r="AS63" s="787"/>
      <c r="AT63" s="787"/>
      <c r="AU63" s="787"/>
      <c r="AV63" s="787"/>
      <c r="AW63" s="787"/>
      <c r="AX63" s="787"/>
      <c r="AY63" s="819"/>
      <c r="AZ63" s="819"/>
      <c r="BA63" s="819"/>
      <c r="BB63" s="819"/>
      <c r="BC63" s="819"/>
      <c r="BD63" s="819"/>
      <c r="BE63" s="819"/>
      <c r="BF63" s="819"/>
      <c r="BG63" s="819"/>
      <c r="BH63" s="819"/>
      <c r="BI63" s="819"/>
      <c r="BJ63" s="819"/>
      <c r="BK63" s="819"/>
      <c r="BL63" s="819"/>
      <c r="BM63" s="819"/>
      <c r="BN63" s="819"/>
      <c r="BO63" s="819"/>
      <c r="BP63" s="819"/>
      <c r="BQ63" s="819"/>
      <c r="BR63" s="819"/>
      <c r="BS63" s="819"/>
      <c r="BT63" s="819"/>
      <c r="BU63" s="819"/>
      <c r="BV63" s="819"/>
      <c r="BW63" s="819"/>
      <c r="BX63" s="819"/>
      <c r="BY63" s="819"/>
      <c r="BZ63" s="819"/>
      <c r="CA63" s="819"/>
      <c r="CB63" s="819"/>
      <c r="CC63" s="819"/>
      <c r="CD63" s="819"/>
      <c r="CE63" s="819"/>
      <c r="CF63" s="819"/>
      <c r="CG63" s="819"/>
      <c r="CH63" s="819"/>
      <c r="CI63" s="819"/>
      <c r="CJ63" s="819"/>
      <c r="CK63" s="819"/>
      <c r="CL63" s="819"/>
      <c r="CM63" s="819"/>
      <c r="CN63" s="819"/>
      <c r="CO63" s="819"/>
      <c r="CP63" s="819"/>
      <c r="CQ63" s="819"/>
      <c r="CR63" s="819"/>
      <c r="CS63" s="819"/>
      <c r="CT63" s="819"/>
      <c r="CU63" s="819"/>
      <c r="CV63" s="819"/>
      <c r="CW63" s="819"/>
      <c r="CX63" s="819"/>
      <c r="CY63" s="819"/>
      <c r="CZ63" s="819"/>
      <c r="DA63" s="819"/>
      <c r="DB63" s="819"/>
      <c r="DC63" s="819"/>
      <c r="DD63" s="819"/>
      <c r="DE63" s="819"/>
      <c r="DF63" s="819"/>
      <c r="DG63" s="819"/>
      <c r="DH63" s="819"/>
      <c r="DI63" s="819"/>
      <c r="DJ63" s="819"/>
      <c r="DK63" s="819"/>
      <c r="DL63" s="819"/>
      <c r="DM63" s="819"/>
      <c r="DN63" s="819"/>
      <c r="DO63" s="819"/>
      <c r="DP63" s="819"/>
      <c r="DQ63" s="819"/>
      <c r="DR63" s="819"/>
      <c r="DS63" s="819"/>
      <c r="DT63" s="819"/>
      <c r="DU63" s="819"/>
      <c r="DV63" s="819"/>
      <c r="DW63" s="819"/>
      <c r="DX63" s="819"/>
      <c r="DY63" s="819"/>
      <c r="DZ63" s="819"/>
      <c r="EA63" s="819"/>
      <c r="EB63" s="819"/>
      <c r="EC63" s="819"/>
    </row>
    <row r="64" spans="2:133" s="753" customFormat="1" ht="20" customHeight="1" thickTop="1">
      <c r="B64" s="823"/>
      <c r="D64" s="821"/>
      <c r="E64" s="757"/>
      <c r="F64" s="757"/>
      <c r="G64" s="757"/>
      <c r="H64" s="757"/>
      <c r="I64" s="757"/>
      <c r="J64" s="757"/>
      <c r="K64" s="757"/>
      <c r="L64" s="757"/>
      <c r="M64" s="757"/>
      <c r="N64" s="757"/>
      <c r="O64" s="768"/>
      <c r="P64" s="757"/>
      <c r="Q64" s="757"/>
      <c r="R64" s="757"/>
      <c r="S64" s="757"/>
      <c r="T64" s="757"/>
      <c r="U64" s="757"/>
      <c r="V64" s="757"/>
      <c r="W64" s="757"/>
      <c r="X64" s="757"/>
      <c r="Y64" s="757"/>
      <c r="Z64" s="757"/>
      <c r="AA64" s="768"/>
      <c r="AB64" s="757"/>
      <c r="AC64" s="757"/>
      <c r="AD64" s="757"/>
      <c r="AE64" s="757"/>
      <c r="AF64" s="757"/>
      <c r="AG64" s="757"/>
      <c r="AH64" s="757"/>
      <c r="AI64" s="757"/>
      <c r="AJ64" s="757"/>
      <c r="AK64" s="757"/>
      <c r="AL64" s="757"/>
      <c r="AM64" s="757"/>
      <c r="AN64" s="754"/>
      <c r="AO64" s="754"/>
      <c r="AP64" s="754"/>
      <c r="AQ64" s="754"/>
      <c r="AR64" s="754"/>
      <c r="AS64" s="754"/>
      <c r="AT64" s="754"/>
      <c r="AU64" s="754"/>
      <c r="AV64" s="754"/>
      <c r="AW64" s="754"/>
      <c r="AX64" s="754"/>
      <c r="AY64" s="809"/>
      <c r="AZ64" s="809"/>
      <c r="BA64" s="809"/>
      <c r="BB64" s="809"/>
      <c r="BC64" s="809"/>
      <c r="BD64" s="809"/>
      <c r="BE64" s="809"/>
      <c r="BF64" s="809"/>
      <c r="BG64" s="809"/>
      <c r="BH64" s="809"/>
      <c r="BI64" s="809"/>
      <c r="BJ64" s="809"/>
      <c r="BK64" s="809"/>
      <c r="BL64" s="809"/>
      <c r="BM64" s="809"/>
      <c r="BN64" s="809"/>
      <c r="BO64" s="809"/>
      <c r="BP64" s="809"/>
      <c r="BQ64" s="809"/>
      <c r="BR64" s="809"/>
      <c r="BS64" s="809"/>
      <c r="BT64" s="809"/>
      <c r="BU64" s="809"/>
      <c r="BV64" s="809"/>
      <c r="BW64" s="809"/>
      <c r="BX64" s="809"/>
      <c r="BY64" s="809"/>
      <c r="BZ64" s="809"/>
      <c r="CA64" s="809"/>
      <c r="CB64" s="809"/>
      <c r="CC64" s="809"/>
      <c r="CD64" s="809"/>
      <c r="CE64" s="809"/>
      <c r="CF64" s="809"/>
      <c r="CG64" s="809"/>
      <c r="CH64" s="809"/>
      <c r="CI64" s="809"/>
      <c r="CJ64" s="809"/>
      <c r="CK64" s="809"/>
      <c r="CL64" s="809"/>
      <c r="CM64" s="809"/>
      <c r="CN64" s="809"/>
      <c r="CO64" s="809"/>
      <c r="CP64" s="809"/>
      <c r="CQ64" s="809"/>
      <c r="CR64" s="809"/>
      <c r="CS64" s="809"/>
      <c r="CT64" s="809"/>
      <c r="CU64" s="809"/>
      <c r="CV64" s="809"/>
      <c r="CW64" s="809"/>
      <c r="CX64" s="809"/>
      <c r="CY64" s="809"/>
      <c r="CZ64" s="809"/>
      <c r="DA64" s="809"/>
      <c r="DB64" s="809"/>
      <c r="DC64" s="809"/>
      <c r="DD64" s="809"/>
      <c r="DE64" s="809"/>
      <c r="DF64" s="809"/>
      <c r="DG64" s="809"/>
      <c r="DH64" s="809"/>
      <c r="DI64" s="809"/>
      <c r="DJ64" s="809"/>
      <c r="DK64" s="809"/>
      <c r="DL64" s="809"/>
      <c r="DM64" s="809"/>
      <c r="DN64" s="809"/>
      <c r="DO64" s="809"/>
      <c r="DP64" s="809"/>
      <c r="DQ64" s="809"/>
      <c r="DR64" s="809"/>
      <c r="DS64" s="809"/>
      <c r="DT64" s="809"/>
      <c r="DU64" s="809"/>
      <c r="DV64" s="809"/>
      <c r="DW64" s="809"/>
      <c r="DX64" s="809"/>
      <c r="DY64" s="809"/>
      <c r="DZ64" s="809"/>
      <c r="EA64" s="809"/>
      <c r="EB64" s="809"/>
      <c r="EC64" s="809"/>
    </row>
    <row r="65" spans="2:133" s="753" customFormat="1" ht="17" thickBot="1">
      <c r="B65" s="813" t="s">
        <v>39</v>
      </c>
      <c r="C65" s="806"/>
      <c r="D65" s="815"/>
      <c r="E65" s="815"/>
      <c r="F65" s="815"/>
      <c r="G65" s="815"/>
      <c r="H65" s="815"/>
      <c r="I65" s="815"/>
      <c r="J65" s="815"/>
      <c r="K65" s="815"/>
      <c r="L65" s="815"/>
      <c r="M65" s="815"/>
      <c r="N65" s="815"/>
      <c r="O65" s="816"/>
      <c r="P65" s="815"/>
      <c r="Q65" s="815"/>
      <c r="R65" s="815"/>
      <c r="S65" s="815"/>
      <c r="T65" s="815"/>
      <c r="U65" s="815"/>
      <c r="V65" s="815"/>
      <c r="W65" s="815"/>
      <c r="X65" s="815"/>
      <c r="Y65" s="815"/>
      <c r="Z65" s="815"/>
      <c r="AA65" s="816"/>
      <c r="AB65" s="815"/>
      <c r="AC65" s="815"/>
      <c r="AD65" s="815"/>
      <c r="AE65" s="815"/>
      <c r="AF65" s="815"/>
      <c r="AG65" s="815"/>
      <c r="AH65" s="815"/>
      <c r="AI65" s="815"/>
      <c r="AJ65" s="815"/>
      <c r="AK65" s="815"/>
      <c r="AL65" s="815"/>
      <c r="AM65" s="815"/>
      <c r="AN65" s="754"/>
      <c r="AO65" s="754"/>
      <c r="AP65" s="754"/>
      <c r="AQ65" s="754"/>
      <c r="AR65" s="754"/>
      <c r="AS65" s="754"/>
      <c r="AT65" s="754"/>
      <c r="AU65" s="754"/>
      <c r="AV65" s="754"/>
      <c r="AW65" s="754"/>
      <c r="AX65" s="754"/>
      <c r="AY65" s="809"/>
      <c r="AZ65" s="809"/>
      <c r="BA65" s="809"/>
      <c r="BB65" s="809"/>
      <c r="BC65" s="809"/>
      <c r="BD65" s="809"/>
      <c r="BE65" s="809"/>
      <c r="BF65" s="809"/>
      <c r="BG65" s="809"/>
      <c r="BH65" s="809"/>
      <c r="BI65" s="809"/>
      <c r="BJ65" s="809"/>
      <c r="BK65" s="809"/>
      <c r="BL65" s="809"/>
      <c r="BM65" s="809"/>
      <c r="BN65" s="809"/>
      <c r="BO65" s="809"/>
      <c r="BP65" s="809"/>
      <c r="BQ65" s="809"/>
      <c r="BR65" s="809"/>
      <c r="BS65" s="809"/>
      <c r="BT65" s="809"/>
      <c r="BU65" s="809"/>
      <c r="BV65" s="809"/>
      <c r="BW65" s="809"/>
      <c r="BX65" s="809"/>
      <c r="BY65" s="809"/>
      <c r="BZ65" s="809"/>
      <c r="CA65" s="809"/>
      <c r="CB65" s="809"/>
      <c r="CC65" s="809"/>
      <c r="CD65" s="809"/>
      <c r="CE65" s="809"/>
      <c r="CF65" s="809"/>
      <c r="CG65" s="809"/>
      <c r="CH65" s="809"/>
      <c r="CI65" s="809"/>
      <c r="CJ65" s="809"/>
      <c r="CK65" s="809"/>
      <c r="CL65" s="809"/>
      <c r="CM65" s="809"/>
      <c r="CN65" s="809"/>
      <c r="CO65" s="809"/>
      <c r="CP65" s="809"/>
      <c r="CQ65" s="809"/>
      <c r="CR65" s="809"/>
      <c r="CS65" s="809"/>
      <c r="CT65" s="809"/>
      <c r="CU65" s="809"/>
      <c r="CV65" s="809"/>
      <c r="CW65" s="809"/>
      <c r="CX65" s="809"/>
      <c r="CY65" s="809"/>
      <c r="CZ65" s="809"/>
      <c r="DA65" s="809"/>
      <c r="DB65" s="809"/>
      <c r="DC65" s="809"/>
      <c r="DD65" s="809"/>
      <c r="DE65" s="809"/>
      <c r="DF65" s="809"/>
      <c r="DG65" s="809"/>
      <c r="DH65" s="809"/>
      <c r="DI65" s="809"/>
      <c r="DJ65" s="809"/>
      <c r="DK65" s="809"/>
      <c r="DL65" s="809"/>
      <c r="DM65" s="809"/>
      <c r="DN65" s="809"/>
      <c r="DO65" s="809"/>
      <c r="DP65" s="809"/>
      <c r="DQ65" s="809"/>
      <c r="DR65" s="809"/>
      <c r="DS65" s="809"/>
      <c r="DT65" s="809"/>
      <c r="DU65" s="809"/>
      <c r="DV65" s="809"/>
      <c r="DW65" s="809"/>
      <c r="DX65" s="809"/>
      <c r="DY65" s="809"/>
      <c r="DZ65" s="809"/>
      <c r="EA65" s="809"/>
      <c r="EB65" s="809"/>
      <c r="EC65" s="809"/>
    </row>
    <row r="66" spans="2:133" s="753" customFormat="1">
      <c r="B66" s="756" t="s">
        <v>76</v>
      </c>
      <c r="D66" s="757"/>
      <c r="E66" s="757">
        <f>D68</f>
        <v>8666.6666666666679</v>
      </c>
      <c r="F66" s="757">
        <f>E68</f>
        <v>4333.3333333333339</v>
      </c>
      <c r="G66" s="757">
        <f>F68</f>
        <v>0</v>
      </c>
      <c r="H66" s="757">
        <f>G68</f>
        <v>8666.6666666666679</v>
      </c>
      <c r="I66" s="757">
        <f t="shared" ref="I66:W66" si="30">H68</f>
        <v>4333.3333333333339</v>
      </c>
      <c r="J66" s="757">
        <f t="shared" si="30"/>
        <v>0</v>
      </c>
      <c r="K66" s="757">
        <f t="shared" si="30"/>
        <v>8666.6666666666679</v>
      </c>
      <c r="L66" s="757">
        <f t="shared" si="30"/>
        <v>4333.3333333333339</v>
      </c>
      <c r="M66" s="757">
        <f t="shared" si="30"/>
        <v>0</v>
      </c>
      <c r="N66" s="757">
        <f t="shared" si="30"/>
        <v>8666.6666666666679</v>
      </c>
      <c r="O66" s="768">
        <f t="shared" si="30"/>
        <v>4333.3333333333339</v>
      </c>
      <c r="P66" s="757">
        <f t="shared" si="30"/>
        <v>0</v>
      </c>
      <c r="Q66" s="757">
        <f t="shared" si="30"/>
        <v>12068.888888888891</v>
      </c>
      <c r="R66" s="757">
        <f t="shared" si="30"/>
        <v>6034.4444444444453</v>
      </c>
      <c r="S66" s="757">
        <f t="shared" si="30"/>
        <v>0</v>
      </c>
      <c r="T66" s="757">
        <f t="shared" si="30"/>
        <v>12068.888888888891</v>
      </c>
      <c r="U66" s="757">
        <f t="shared" si="30"/>
        <v>6034.4444444444453</v>
      </c>
      <c r="V66" s="757">
        <f t="shared" si="30"/>
        <v>0</v>
      </c>
      <c r="W66" s="757">
        <f t="shared" si="30"/>
        <v>12068.888888888891</v>
      </c>
      <c r="X66" s="757">
        <f t="shared" ref="X66:AM66" si="31">W68</f>
        <v>6034.4444444444453</v>
      </c>
      <c r="Y66" s="757">
        <f t="shared" si="31"/>
        <v>0</v>
      </c>
      <c r="Z66" s="757">
        <f t="shared" si="31"/>
        <v>12068.888888888891</v>
      </c>
      <c r="AA66" s="768">
        <f t="shared" si="31"/>
        <v>6034.4444444444453</v>
      </c>
      <c r="AB66" s="757">
        <f t="shared" si="31"/>
        <v>0</v>
      </c>
      <c r="AC66" s="757">
        <f t="shared" si="31"/>
        <v>18929.733333333337</v>
      </c>
      <c r="AD66" s="757">
        <f t="shared" si="31"/>
        <v>9464.8666666666686</v>
      </c>
      <c r="AE66" s="757">
        <f t="shared" si="31"/>
        <v>0</v>
      </c>
      <c r="AF66" s="757">
        <f t="shared" si="31"/>
        <v>18929.733333333337</v>
      </c>
      <c r="AG66" s="757">
        <f t="shared" si="31"/>
        <v>9464.8666666666686</v>
      </c>
      <c r="AH66" s="757">
        <f t="shared" si="31"/>
        <v>0</v>
      </c>
      <c r="AI66" s="757">
        <f t="shared" si="31"/>
        <v>18929.733333333337</v>
      </c>
      <c r="AJ66" s="757">
        <f t="shared" si="31"/>
        <v>9464.8666666666686</v>
      </c>
      <c r="AK66" s="757">
        <f t="shared" si="31"/>
        <v>0</v>
      </c>
      <c r="AL66" s="757">
        <f t="shared" si="31"/>
        <v>18929.733333333337</v>
      </c>
      <c r="AM66" s="757">
        <f t="shared" si="31"/>
        <v>9464.8666666666686</v>
      </c>
      <c r="AN66" s="754"/>
      <c r="AO66" s="754"/>
      <c r="AP66" s="754"/>
      <c r="AQ66" s="754"/>
      <c r="AR66" s="754"/>
      <c r="AS66" s="754"/>
      <c r="AT66" s="754"/>
      <c r="AU66" s="754"/>
      <c r="AV66" s="754"/>
      <c r="AW66" s="754"/>
      <c r="AX66" s="754"/>
      <c r="AY66" s="809"/>
      <c r="AZ66" s="809"/>
      <c r="BA66" s="809"/>
      <c r="BB66" s="809"/>
      <c r="BC66" s="809"/>
      <c r="BD66" s="809"/>
      <c r="BE66" s="809"/>
      <c r="BF66" s="809"/>
      <c r="BG66" s="809"/>
      <c r="BH66" s="809"/>
      <c r="BI66" s="809"/>
      <c r="BJ66" s="809"/>
      <c r="BK66" s="809"/>
      <c r="BL66" s="809"/>
      <c r="BM66" s="809"/>
      <c r="BN66" s="809"/>
      <c r="BO66" s="809"/>
      <c r="BP66" s="809"/>
      <c r="BQ66" s="809"/>
      <c r="BR66" s="809"/>
      <c r="BS66" s="809"/>
      <c r="BT66" s="809"/>
      <c r="BU66" s="809"/>
      <c r="BV66" s="809"/>
      <c r="BW66" s="809"/>
      <c r="BX66" s="809"/>
      <c r="BY66" s="809"/>
      <c r="BZ66" s="809"/>
      <c r="CA66" s="809"/>
      <c r="CB66" s="809"/>
      <c r="CC66" s="809"/>
      <c r="CD66" s="809"/>
      <c r="CE66" s="809"/>
      <c r="CF66" s="809"/>
      <c r="CG66" s="809"/>
      <c r="CH66" s="809"/>
      <c r="CI66" s="809"/>
      <c r="CJ66" s="809"/>
      <c r="CK66" s="809"/>
      <c r="CL66" s="809"/>
      <c r="CM66" s="809"/>
      <c r="CN66" s="809"/>
      <c r="CO66" s="809"/>
      <c r="CP66" s="809"/>
      <c r="CQ66" s="809"/>
      <c r="CR66" s="809"/>
      <c r="CS66" s="809"/>
      <c r="CT66" s="809"/>
      <c r="CU66" s="809"/>
      <c r="CV66" s="809"/>
      <c r="CW66" s="809"/>
      <c r="CX66" s="809"/>
      <c r="CY66" s="809"/>
      <c r="CZ66" s="809"/>
      <c r="DA66" s="809"/>
      <c r="DB66" s="809"/>
      <c r="DC66" s="809"/>
      <c r="DD66" s="809"/>
      <c r="DE66" s="809"/>
      <c r="DF66" s="809"/>
      <c r="DG66" s="809"/>
      <c r="DH66" s="809"/>
      <c r="DI66" s="809"/>
      <c r="DJ66" s="809"/>
      <c r="DK66" s="809"/>
      <c r="DL66" s="809"/>
      <c r="DM66" s="809"/>
      <c r="DN66" s="809"/>
      <c r="DO66" s="809"/>
      <c r="DP66" s="809"/>
      <c r="DQ66" s="809"/>
      <c r="DR66" s="809"/>
      <c r="DS66" s="809"/>
      <c r="DT66" s="809"/>
      <c r="DU66" s="809"/>
      <c r="DV66" s="809"/>
      <c r="DW66" s="809"/>
      <c r="DX66" s="809"/>
      <c r="DY66" s="809"/>
      <c r="DZ66" s="809"/>
      <c r="EA66" s="809"/>
      <c r="EB66" s="809"/>
      <c r="EC66" s="809"/>
    </row>
    <row r="67" spans="2:133" s="753" customFormat="1">
      <c r="B67" s="756" t="s">
        <v>183</v>
      </c>
      <c r="D67" s="757">
        <f>'Cash Flow'!D91</f>
        <v>8666.6666666666679</v>
      </c>
      <c r="E67" s="757">
        <f>'Cash Flow'!E91</f>
        <v>-4333.3333333333339</v>
      </c>
      <c r="F67" s="757">
        <f>'Cash Flow'!F91</f>
        <v>-4333.3333333333339</v>
      </c>
      <c r="G67" s="757">
        <f>'Cash Flow'!G91</f>
        <v>8666.6666666666679</v>
      </c>
      <c r="H67" s="757">
        <f>'Cash Flow'!H91</f>
        <v>-4333.3333333333339</v>
      </c>
      <c r="I67" s="757">
        <f>'Cash Flow'!I91</f>
        <v>-4333.3333333333339</v>
      </c>
      <c r="J67" s="757">
        <f>'Cash Flow'!J91</f>
        <v>8666.6666666666679</v>
      </c>
      <c r="K67" s="757">
        <f>'Cash Flow'!K91</f>
        <v>-4333.3333333333339</v>
      </c>
      <c r="L67" s="757">
        <f>'Cash Flow'!L91</f>
        <v>-4333.3333333333339</v>
      </c>
      <c r="M67" s="757">
        <f>'Cash Flow'!M91</f>
        <v>8666.6666666666679</v>
      </c>
      <c r="N67" s="757">
        <f>'Cash Flow'!N91</f>
        <v>-4333.3333333333339</v>
      </c>
      <c r="O67" s="768">
        <f>'Cash Flow'!O91</f>
        <v>-4333.3333333333339</v>
      </c>
      <c r="P67" s="757">
        <f>'Cash Flow'!P91</f>
        <v>12068.888888888891</v>
      </c>
      <c r="Q67" s="757">
        <f>'Cash Flow'!Q91</f>
        <v>-6034.4444444444453</v>
      </c>
      <c r="R67" s="757">
        <f>'Cash Flow'!R91</f>
        <v>-6034.4444444444453</v>
      </c>
      <c r="S67" s="757">
        <f>'Cash Flow'!S91</f>
        <v>12068.888888888891</v>
      </c>
      <c r="T67" s="757">
        <f>'Cash Flow'!T91</f>
        <v>-6034.4444444444453</v>
      </c>
      <c r="U67" s="757">
        <f>'Cash Flow'!U91</f>
        <v>-6034.4444444444453</v>
      </c>
      <c r="V67" s="757">
        <f>'Cash Flow'!V91</f>
        <v>12068.888888888891</v>
      </c>
      <c r="W67" s="757">
        <f>'Cash Flow'!W91</f>
        <v>-6034.4444444444453</v>
      </c>
      <c r="X67" s="757">
        <f>'Cash Flow'!X91</f>
        <v>-6034.4444444444453</v>
      </c>
      <c r="Y67" s="757">
        <f>'Cash Flow'!Y91</f>
        <v>12068.888888888891</v>
      </c>
      <c r="Z67" s="757">
        <f>'Cash Flow'!Z91</f>
        <v>-6034.4444444444453</v>
      </c>
      <c r="AA67" s="768">
        <f>'Cash Flow'!AA91</f>
        <v>-6034.4444444444453</v>
      </c>
      <c r="AB67" s="757">
        <f>'Cash Flow'!AB91</f>
        <v>18929.733333333337</v>
      </c>
      <c r="AC67" s="757">
        <f>'Cash Flow'!AC91</f>
        <v>-9464.8666666666686</v>
      </c>
      <c r="AD67" s="757">
        <f>'Cash Flow'!AD91</f>
        <v>-9464.8666666666686</v>
      </c>
      <c r="AE67" s="757">
        <f>'Cash Flow'!AE91</f>
        <v>18929.733333333337</v>
      </c>
      <c r="AF67" s="757">
        <f>'Cash Flow'!AF91</f>
        <v>-9464.8666666666686</v>
      </c>
      <c r="AG67" s="757">
        <f>'Cash Flow'!AG91</f>
        <v>-9464.8666666666686</v>
      </c>
      <c r="AH67" s="757">
        <f>'Cash Flow'!AH91</f>
        <v>18929.733333333337</v>
      </c>
      <c r="AI67" s="757">
        <f>'Cash Flow'!AI91</f>
        <v>-9464.8666666666686</v>
      </c>
      <c r="AJ67" s="757">
        <f>'Cash Flow'!AJ91</f>
        <v>-9464.8666666666686</v>
      </c>
      <c r="AK67" s="757">
        <f>'Cash Flow'!AK91</f>
        <v>18929.733333333337</v>
      </c>
      <c r="AL67" s="757">
        <f>'Cash Flow'!AL91</f>
        <v>-9464.8666666666686</v>
      </c>
      <c r="AM67" s="757">
        <f>'Cash Flow'!AM91</f>
        <v>-9464.8666666666686</v>
      </c>
      <c r="AN67" s="754"/>
      <c r="AO67" s="754"/>
      <c r="AP67" s="754"/>
      <c r="AQ67" s="754"/>
      <c r="AR67" s="754"/>
      <c r="AS67" s="754"/>
      <c r="AT67" s="754"/>
      <c r="AU67" s="754"/>
      <c r="AV67" s="754"/>
      <c r="AW67" s="754"/>
      <c r="AX67" s="754"/>
      <c r="AY67" s="809"/>
      <c r="AZ67" s="809"/>
      <c r="BA67" s="809"/>
      <c r="BB67" s="809"/>
      <c r="BC67" s="809"/>
      <c r="BD67" s="809"/>
      <c r="BE67" s="809"/>
      <c r="BF67" s="809"/>
      <c r="BG67" s="809"/>
      <c r="BH67" s="809"/>
      <c r="BI67" s="809"/>
      <c r="BJ67" s="809"/>
      <c r="BK67" s="809"/>
      <c r="BL67" s="809"/>
      <c r="BM67" s="809"/>
      <c r="BN67" s="809"/>
      <c r="BO67" s="809"/>
      <c r="BP67" s="809"/>
      <c r="BQ67" s="809"/>
      <c r="BR67" s="809"/>
      <c r="BS67" s="809"/>
      <c r="BT67" s="809"/>
      <c r="BU67" s="809"/>
      <c r="BV67" s="809"/>
      <c r="BW67" s="809"/>
      <c r="BX67" s="809"/>
      <c r="BY67" s="809"/>
      <c r="BZ67" s="809"/>
      <c r="CA67" s="809"/>
      <c r="CB67" s="809"/>
      <c r="CC67" s="809"/>
      <c r="CD67" s="809"/>
      <c r="CE67" s="809"/>
      <c r="CF67" s="809"/>
      <c r="CG67" s="809"/>
      <c r="CH67" s="809"/>
      <c r="CI67" s="809"/>
      <c r="CJ67" s="809"/>
      <c r="CK67" s="809"/>
      <c r="CL67" s="809"/>
      <c r="CM67" s="809"/>
      <c r="CN67" s="809"/>
      <c r="CO67" s="809"/>
      <c r="CP67" s="809"/>
      <c r="CQ67" s="809"/>
      <c r="CR67" s="809"/>
      <c r="CS67" s="809"/>
      <c r="CT67" s="809"/>
      <c r="CU67" s="809"/>
      <c r="CV67" s="809"/>
      <c r="CW67" s="809"/>
      <c r="CX67" s="809"/>
      <c r="CY67" s="809"/>
      <c r="CZ67" s="809"/>
      <c r="DA67" s="809"/>
      <c r="DB67" s="809"/>
      <c r="DC67" s="809"/>
      <c r="DD67" s="809"/>
      <c r="DE67" s="809"/>
      <c r="DF67" s="809"/>
      <c r="DG67" s="809"/>
      <c r="DH67" s="809"/>
      <c r="DI67" s="809"/>
      <c r="DJ67" s="809"/>
      <c r="DK67" s="809"/>
      <c r="DL67" s="809"/>
      <c r="DM67" s="809"/>
      <c r="DN67" s="809"/>
      <c r="DO67" s="809"/>
      <c r="DP67" s="809"/>
      <c r="DQ67" s="809"/>
      <c r="DR67" s="809"/>
      <c r="DS67" s="809"/>
      <c r="DT67" s="809"/>
      <c r="DU67" s="809"/>
      <c r="DV67" s="809"/>
      <c r="DW67" s="809"/>
      <c r="DX67" s="809"/>
      <c r="DY67" s="809"/>
      <c r="DZ67" s="809"/>
      <c r="EA67" s="809"/>
      <c r="EB67" s="809"/>
      <c r="EC67" s="809"/>
    </row>
    <row r="68" spans="2:133" s="820" customFormat="1" ht="20" customHeight="1" thickBot="1">
      <c r="B68" s="817" t="s">
        <v>449</v>
      </c>
      <c r="C68" s="818"/>
      <c r="D68" s="790">
        <f t="shared" ref="D68:AM68" si="32">D66+D67</f>
        <v>8666.6666666666679</v>
      </c>
      <c r="E68" s="790">
        <f t="shared" si="32"/>
        <v>4333.3333333333339</v>
      </c>
      <c r="F68" s="790">
        <f t="shared" si="32"/>
        <v>0</v>
      </c>
      <c r="G68" s="790">
        <f t="shared" si="32"/>
        <v>8666.6666666666679</v>
      </c>
      <c r="H68" s="790">
        <f t="shared" si="32"/>
        <v>4333.3333333333339</v>
      </c>
      <c r="I68" s="790">
        <f t="shared" si="32"/>
        <v>0</v>
      </c>
      <c r="J68" s="790">
        <f t="shared" si="32"/>
        <v>8666.6666666666679</v>
      </c>
      <c r="K68" s="790">
        <f t="shared" si="32"/>
        <v>4333.3333333333339</v>
      </c>
      <c r="L68" s="790">
        <f t="shared" si="32"/>
        <v>0</v>
      </c>
      <c r="M68" s="790">
        <f t="shared" si="32"/>
        <v>8666.6666666666679</v>
      </c>
      <c r="N68" s="790">
        <f t="shared" si="32"/>
        <v>4333.3333333333339</v>
      </c>
      <c r="O68" s="791">
        <f t="shared" si="32"/>
        <v>0</v>
      </c>
      <c r="P68" s="790">
        <f t="shared" si="32"/>
        <v>12068.888888888891</v>
      </c>
      <c r="Q68" s="790">
        <f t="shared" si="32"/>
        <v>6034.4444444444453</v>
      </c>
      <c r="R68" s="790">
        <f t="shared" si="32"/>
        <v>0</v>
      </c>
      <c r="S68" s="790">
        <f t="shared" si="32"/>
        <v>12068.888888888891</v>
      </c>
      <c r="T68" s="790">
        <f t="shared" si="32"/>
        <v>6034.4444444444453</v>
      </c>
      <c r="U68" s="790">
        <f t="shared" si="32"/>
        <v>0</v>
      </c>
      <c r="V68" s="790">
        <f t="shared" si="32"/>
        <v>12068.888888888891</v>
      </c>
      <c r="W68" s="790">
        <f t="shared" si="32"/>
        <v>6034.4444444444453</v>
      </c>
      <c r="X68" s="790">
        <f t="shared" si="32"/>
        <v>0</v>
      </c>
      <c r="Y68" s="790">
        <f t="shared" si="32"/>
        <v>12068.888888888891</v>
      </c>
      <c r="Z68" s="790">
        <f t="shared" si="32"/>
        <v>6034.4444444444453</v>
      </c>
      <c r="AA68" s="791">
        <f t="shared" si="32"/>
        <v>0</v>
      </c>
      <c r="AB68" s="790">
        <f t="shared" si="32"/>
        <v>18929.733333333337</v>
      </c>
      <c r="AC68" s="790">
        <f t="shared" si="32"/>
        <v>9464.8666666666686</v>
      </c>
      <c r="AD68" s="790">
        <f t="shared" si="32"/>
        <v>0</v>
      </c>
      <c r="AE68" s="790">
        <f t="shared" si="32"/>
        <v>18929.733333333337</v>
      </c>
      <c r="AF68" s="790">
        <f t="shared" si="32"/>
        <v>9464.8666666666686</v>
      </c>
      <c r="AG68" s="790">
        <f t="shared" si="32"/>
        <v>0</v>
      </c>
      <c r="AH68" s="790">
        <f t="shared" si="32"/>
        <v>18929.733333333337</v>
      </c>
      <c r="AI68" s="790">
        <f t="shared" si="32"/>
        <v>9464.8666666666686</v>
      </c>
      <c r="AJ68" s="790">
        <f t="shared" si="32"/>
        <v>0</v>
      </c>
      <c r="AK68" s="790">
        <f t="shared" si="32"/>
        <v>18929.733333333337</v>
      </c>
      <c r="AL68" s="790">
        <f t="shared" si="32"/>
        <v>9464.8666666666686</v>
      </c>
      <c r="AM68" s="790">
        <f t="shared" si="32"/>
        <v>0</v>
      </c>
      <c r="AN68" s="787"/>
      <c r="AO68" s="787"/>
      <c r="AP68" s="787"/>
      <c r="AQ68" s="787"/>
      <c r="AR68" s="787"/>
      <c r="AS68" s="787"/>
      <c r="AT68" s="787"/>
      <c r="AU68" s="787"/>
      <c r="AV68" s="787"/>
      <c r="AW68" s="787"/>
      <c r="AX68" s="787"/>
      <c r="AY68" s="819"/>
      <c r="AZ68" s="819"/>
      <c r="BA68" s="819"/>
      <c r="BB68" s="819"/>
      <c r="BC68" s="819"/>
      <c r="BD68" s="819"/>
      <c r="BE68" s="819"/>
      <c r="BF68" s="819"/>
      <c r="BG68" s="819"/>
      <c r="BH68" s="819"/>
      <c r="BI68" s="819"/>
      <c r="BJ68" s="819"/>
      <c r="BK68" s="819"/>
      <c r="BL68" s="819"/>
      <c r="BM68" s="819"/>
      <c r="BN68" s="819"/>
      <c r="BO68" s="819"/>
      <c r="BP68" s="819"/>
      <c r="BQ68" s="819"/>
      <c r="BR68" s="819"/>
      <c r="BS68" s="819"/>
      <c r="BT68" s="819"/>
      <c r="BU68" s="819"/>
      <c r="BV68" s="819"/>
      <c r="BW68" s="819"/>
      <c r="BX68" s="819"/>
      <c r="BY68" s="819"/>
      <c r="BZ68" s="819"/>
      <c r="CA68" s="819"/>
      <c r="CB68" s="819"/>
      <c r="CC68" s="819"/>
      <c r="CD68" s="819"/>
      <c r="CE68" s="819"/>
      <c r="CF68" s="819"/>
      <c r="CG68" s="819"/>
      <c r="CH68" s="819"/>
      <c r="CI68" s="819"/>
      <c r="CJ68" s="819"/>
      <c r="CK68" s="819"/>
      <c r="CL68" s="819"/>
      <c r="CM68" s="819"/>
      <c r="CN68" s="819"/>
      <c r="CO68" s="819"/>
      <c r="CP68" s="819"/>
      <c r="CQ68" s="819"/>
      <c r="CR68" s="819"/>
      <c r="CS68" s="819"/>
      <c r="CT68" s="819"/>
      <c r="CU68" s="819"/>
      <c r="CV68" s="819"/>
      <c r="CW68" s="819"/>
      <c r="CX68" s="819"/>
      <c r="CY68" s="819"/>
      <c r="CZ68" s="819"/>
      <c r="DA68" s="819"/>
      <c r="DB68" s="819"/>
      <c r="DC68" s="819"/>
      <c r="DD68" s="819"/>
      <c r="DE68" s="819"/>
      <c r="DF68" s="819"/>
      <c r="DG68" s="819"/>
      <c r="DH68" s="819"/>
      <c r="DI68" s="819"/>
      <c r="DJ68" s="819"/>
      <c r="DK68" s="819"/>
      <c r="DL68" s="819"/>
      <c r="DM68" s="819"/>
      <c r="DN68" s="819"/>
      <c r="DO68" s="819"/>
      <c r="DP68" s="819"/>
      <c r="DQ68" s="819"/>
      <c r="DR68" s="819"/>
      <c r="DS68" s="819"/>
      <c r="DT68" s="819"/>
      <c r="DU68" s="819"/>
      <c r="DV68" s="819"/>
      <c r="DW68" s="819"/>
      <c r="DX68" s="819"/>
      <c r="DY68" s="819"/>
      <c r="DZ68" s="819"/>
      <c r="EA68" s="819"/>
      <c r="EB68" s="819"/>
      <c r="EC68" s="819"/>
    </row>
    <row r="69" spans="2:133" s="753" customFormat="1" ht="20" customHeight="1" thickTop="1">
      <c r="B69" s="752"/>
      <c r="D69" s="757"/>
      <c r="E69" s="757"/>
      <c r="F69" s="757"/>
      <c r="G69" s="757"/>
      <c r="H69" s="757"/>
      <c r="I69" s="757"/>
      <c r="J69" s="757"/>
      <c r="K69" s="757"/>
      <c r="L69" s="757"/>
      <c r="M69" s="757"/>
      <c r="N69" s="757"/>
      <c r="O69" s="768"/>
      <c r="P69" s="757"/>
      <c r="Q69" s="757"/>
      <c r="R69" s="757"/>
      <c r="S69" s="757"/>
      <c r="T69" s="757"/>
      <c r="U69" s="757"/>
      <c r="V69" s="757"/>
      <c r="W69" s="757"/>
      <c r="X69" s="757"/>
      <c r="Y69" s="757"/>
      <c r="Z69" s="757"/>
      <c r="AA69" s="768"/>
      <c r="AB69" s="757"/>
      <c r="AC69" s="757"/>
      <c r="AD69" s="757"/>
      <c r="AE69" s="757"/>
      <c r="AF69" s="757"/>
      <c r="AG69" s="757"/>
      <c r="AH69" s="757"/>
      <c r="AI69" s="757"/>
      <c r="AJ69" s="757"/>
      <c r="AK69" s="757"/>
      <c r="AL69" s="757"/>
      <c r="AM69" s="757"/>
      <c r="AN69" s="754"/>
      <c r="AO69" s="754"/>
      <c r="AP69" s="754"/>
      <c r="AQ69" s="754"/>
      <c r="AR69" s="754"/>
      <c r="AS69" s="754"/>
      <c r="AT69" s="754"/>
      <c r="AU69" s="754"/>
      <c r="AV69" s="754"/>
      <c r="AW69" s="754"/>
      <c r="AX69" s="754"/>
      <c r="AY69" s="809"/>
      <c r="AZ69" s="809"/>
      <c r="BA69" s="809"/>
      <c r="BB69" s="809"/>
      <c r="BC69" s="809"/>
      <c r="BD69" s="809"/>
      <c r="BE69" s="809"/>
      <c r="BF69" s="809"/>
      <c r="BG69" s="809"/>
      <c r="BH69" s="809"/>
      <c r="BI69" s="809"/>
      <c r="BJ69" s="809"/>
      <c r="BK69" s="809"/>
      <c r="BL69" s="809"/>
      <c r="BM69" s="809"/>
      <c r="BN69" s="809"/>
      <c r="BO69" s="809"/>
      <c r="BP69" s="809"/>
      <c r="BQ69" s="809"/>
      <c r="BR69" s="809"/>
      <c r="BS69" s="809"/>
      <c r="BT69" s="809"/>
      <c r="BU69" s="809"/>
      <c r="BV69" s="809"/>
      <c r="BW69" s="809"/>
      <c r="BX69" s="809"/>
      <c r="BY69" s="809"/>
      <c r="BZ69" s="809"/>
      <c r="CA69" s="809"/>
      <c r="CB69" s="809"/>
      <c r="CC69" s="809"/>
      <c r="CD69" s="809"/>
      <c r="CE69" s="809"/>
      <c r="CF69" s="809"/>
      <c r="CG69" s="809"/>
      <c r="CH69" s="809"/>
      <c r="CI69" s="809"/>
      <c r="CJ69" s="809"/>
      <c r="CK69" s="809"/>
      <c r="CL69" s="809"/>
      <c r="CM69" s="809"/>
      <c r="CN69" s="809"/>
      <c r="CO69" s="809"/>
      <c r="CP69" s="809"/>
      <c r="CQ69" s="809"/>
      <c r="CR69" s="809"/>
      <c r="CS69" s="809"/>
      <c r="CT69" s="809"/>
      <c r="CU69" s="809"/>
      <c r="CV69" s="809"/>
      <c r="CW69" s="809"/>
      <c r="CX69" s="809"/>
      <c r="CY69" s="809"/>
      <c r="CZ69" s="809"/>
      <c r="DA69" s="809"/>
      <c r="DB69" s="809"/>
      <c r="DC69" s="809"/>
      <c r="DD69" s="809"/>
      <c r="DE69" s="809"/>
      <c r="DF69" s="809"/>
      <c r="DG69" s="809"/>
      <c r="DH69" s="809"/>
      <c r="DI69" s="809"/>
      <c r="DJ69" s="809"/>
      <c r="DK69" s="809"/>
      <c r="DL69" s="809"/>
      <c r="DM69" s="809"/>
      <c r="DN69" s="809"/>
      <c r="DO69" s="809"/>
      <c r="DP69" s="809"/>
      <c r="DQ69" s="809"/>
      <c r="DR69" s="809"/>
      <c r="DS69" s="809"/>
      <c r="DT69" s="809"/>
      <c r="DU69" s="809"/>
      <c r="DV69" s="809"/>
      <c r="DW69" s="809"/>
      <c r="DX69" s="809"/>
      <c r="DY69" s="809"/>
      <c r="DZ69" s="809"/>
      <c r="EA69" s="809"/>
      <c r="EB69" s="809"/>
      <c r="EC69" s="809"/>
    </row>
    <row r="70" spans="2:133" s="753" customFormat="1" ht="17" thickBot="1">
      <c r="B70" s="813" t="s">
        <v>177</v>
      </c>
      <c r="C70" s="806"/>
      <c r="D70" s="815"/>
      <c r="E70" s="815"/>
      <c r="F70" s="815"/>
      <c r="G70" s="815"/>
      <c r="H70" s="815"/>
      <c r="I70" s="815"/>
      <c r="J70" s="815"/>
      <c r="K70" s="815"/>
      <c r="L70" s="815"/>
      <c r="M70" s="815"/>
      <c r="N70" s="815"/>
      <c r="O70" s="816"/>
      <c r="P70" s="815"/>
      <c r="Q70" s="815"/>
      <c r="R70" s="815"/>
      <c r="S70" s="815"/>
      <c r="T70" s="815"/>
      <c r="U70" s="815"/>
      <c r="V70" s="815"/>
      <c r="W70" s="815"/>
      <c r="X70" s="815"/>
      <c r="Y70" s="815"/>
      <c r="Z70" s="815"/>
      <c r="AA70" s="816"/>
      <c r="AB70" s="815"/>
      <c r="AC70" s="815"/>
      <c r="AD70" s="815"/>
      <c r="AE70" s="815"/>
      <c r="AF70" s="815"/>
      <c r="AG70" s="815"/>
      <c r="AH70" s="815"/>
      <c r="AI70" s="815"/>
      <c r="AJ70" s="815"/>
      <c r="AK70" s="815"/>
      <c r="AL70" s="815"/>
      <c r="AM70" s="815"/>
      <c r="AN70" s="754"/>
      <c r="AO70" s="754"/>
      <c r="AP70" s="754"/>
      <c r="AQ70" s="754"/>
      <c r="AR70" s="754"/>
      <c r="AS70" s="754"/>
      <c r="AT70" s="754"/>
      <c r="AU70" s="754"/>
      <c r="AV70" s="754"/>
      <c r="AW70" s="754"/>
      <c r="AX70" s="754"/>
      <c r="AY70" s="809"/>
      <c r="AZ70" s="809"/>
      <c r="BA70" s="809"/>
      <c r="BB70" s="809"/>
      <c r="BC70" s="809"/>
      <c r="BD70" s="809"/>
      <c r="BE70" s="809"/>
      <c r="BF70" s="809"/>
      <c r="BG70" s="809"/>
      <c r="BH70" s="809"/>
      <c r="BI70" s="809"/>
      <c r="BJ70" s="809"/>
      <c r="BK70" s="809"/>
      <c r="BL70" s="809"/>
      <c r="BM70" s="809"/>
      <c r="BN70" s="809"/>
      <c r="BO70" s="809"/>
      <c r="BP70" s="809"/>
      <c r="BQ70" s="809"/>
      <c r="BR70" s="809"/>
      <c r="BS70" s="809"/>
      <c r="BT70" s="809"/>
      <c r="BU70" s="809"/>
      <c r="BV70" s="809"/>
      <c r="BW70" s="809"/>
      <c r="BX70" s="809"/>
      <c r="BY70" s="809"/>
      <c r="BZ70" s="809"/>
      <c r="CA70" s="809"/>
      <c r="CB70" s="809"/>
      <c r="CC70" s="809"/>
      <c r="CD70" s="809"/>
      <c r="CE70" s="809"/>
      <c r="CF70" s="809"/>
      <c r="CG70" s="809"/>
      <c r="CH70" s="809"/>
      <c r="CI70" s="809"/>
      <c r="CJ70" s="809"/>
      <c r="CK70" s="809"/>
      <c r="CL70" s="809"/>
      <c r="CM70" s="809"/>
      <c r="CN70" s="809"/>
      <c r="CO70" s="809"/>
      <c r="CP70" s="809"/>
      <c r="CQ70" s="809"/>
      <c r="CR70" s="809"/>
      <c r="CS70" s="809"/>
      <c r="CT70" s="809"/>
      <c r="CU70" s="809"/>
      <c r="CV70" s="809"/>
      <c r="CW70" s="809"/>
      <c r="CX70" s="809"/>
      <c r="CY70" s="809"/>
      <c r="CZ70" s="809"/>
      <c r="DA70" s="809"/>
      <c r="DB70" s="809"/>
      <c r="DC70" s="809"/>
      <c r="DD70" s="809"/>
      <c r="DE70" s="809"/>
      <c r="DF70" s="809"/>
      <c r="DG70" s="809"/>
      <c r="DH70" s="809"/>
      <c r="DI70" s="809"/>
      <c r="DJ70" s="809"/>
      <c r="DK70" s="809"/>
      <c r="DL70" s="809"/>
      <c r="DM70" s="809"/>
      <c r="DN70" s="809"/>
      <c r="DO70" s="809"/>
      <c r="DP70" s="809"/>
      <c r="DQ70" s="809"/>
      <c r="DR70" s="809"/>
      <c r="DS70" s="809"/>
      <c r="DT70" s="809"/>
      <c r="DU70" s="809"/>
      <c r="DV70" s="809"/>
      <c r="DW70" s="809"/>
      <c r="DX70" s="809"/>
      <c r="DY70" s="809"/>
      <c r="DZ70" s="809"/>
      <c r="EA70" s="809"/>
      <c r="EB70" s="809"/>
      <c r="EC70" s="809"/>
    </row>
    <row r="71" spans="2:133">
      <c r="B71" s="756" t="s">
        <v>76</v>
      </c>
      <c r="D71" s="757"/>
      <c r="E71" s="757">
        <f>D74</f>
        <v>88586.223401085706</v>
      </c>
      <c r="F71" s="757">
        <f t="shared" ref="F71:S71" si="33">E74</f>
        <v>28803.522016987423</v>
      </c>
      <c r="G71" s="757">
        <f t="shared" si="33"/>
        <v>3645.8878855885705</v>
      </c>
      <c r="H71" s="757">
        <f t="shared" si="33"/>
        <v>3879.4506681897155</v>
      </c>
      <c r="I71" s="757">
        <f t="shared" si="33"/>
        <v>4135.457368790856</v>
      </c>
      <c r="J71" s="757">
        <f t="shared" si="33"/>
        <v>4407.0981865645708</v>
      </c>
      <c r="K71" s="757">
        <f t="shared" si="33"/>
        <v>4709.9946678651422</v>
      </c>
      <c r="L71" s="757">
        <f t="shared" si="33"/>
        <v>4840.6515717668581</v>
      </c>
      <c r="M71" s="757">
        <f t="shared" si="33"/>
        <v>5762.6753137668484</v>
      </c>
      <c r="N71" s="757">
        <f t="shared" si="33"/>
        <v>6045.2327165257102</v>
      </c>
      <c r="O71" s="768">
        <f t="shared" si="33"/>
        <v>6066.711126969135</v>
      </c>
      <c r="P71" s="757">
        <f t="shared" si="33"/>
        <v>6328.75012484114</v>
      </c>
      <c r="Q71" s="757">
        <f t="shared" si="33"/>
        <v>18972.008449769088</v>
      </c>
      <c r="R71" s="757">
        <f t="shared" si="33"/>
        <v>7390.1128891265616</v>
      </c>
      <c r="S71" s="757">
        <f t="shared" si="33"/>
        <v>8422.8550820192977</v>
      </c>
      <c r="T71" s="757">
        <f t="shared" ref="T71:AM71" si="34">S74</f>
        <v>9082.6902523964309</v>
      </c>
      <c r="U71" s="757">
        <f t="shared" si="34"/>
        <v>8940.5430572104051</v>
      </c>
      <c r="V71" s="757">
        <f t="shared" si="34"/>
        <v>9353.883563094867</v>
      </c>
      <c r="W71" s="757">
        <f t="shared" si="34"/>
        <v>9791.6379317583742</v>
      </c>
      <c r="X71" s="757">
        <f t="shared" si="34"/>
        <v>10125.753261087901</v>
      </c>
      <c r="Y71" s="757">
        <f t="shared" si="34"/>
        <v>14652.243145449922</v>
      </c>
      <c r="Z71" s="757">
        <f t="shared" si="34"/>
        <v>13412.484543113402</v>
      </c>
      <c r="AA71" s="768">
        <f t="shared" si="34"/>
        <v>13928.632222692455</v>
      </c>
      <c r="AB71" s="757">
        <f t="shared" si="34"/>
        <v>14386.941600005483</v>
      </c>
      <c r="AC71" s="757">
        <f t="shared" si="34"/>
        <v>27623.253307682236</v>
      </c>
      <c r="AD71" s="757">
        <f t="shared" si="34"/>
        <v>16076.56891448044</v>
      </c>
      <c r="AE71" s="757">
        <f t="shared" si="34"/>
        <v>16569.247995980364</v>
      </c>
      <c r="AF71" s="757">
        <f t="shared" si="34"/>
        <v>17188.860214193632</v>
      </c>
      <c r="AG71" s="757">
        <f t="shared" si="34"/>
        <v>17701.812154966694</v>
      </c>
      <c r="AH71" s="757">
        <f t="shared" si="34"/>
        <v>18198.292795317087</v>
      </c>
      <c r="AI71" s="757">
        <f t="shared" si="34"/>
        <v>18656.576053658759</v>
      </c>
      <c r="AJ71" s="757">
        <f t="shared" si="34"/>
        <v>19080.195885785735</v>
      </c>
      <c r="AK71" s="757">
        <f t="shared" si="34"/>
        <v>19483.186600057084</v>
      </c>
      <c r="AL71" s="757">
        <f t="shared" si="34"/>
        <v>19765.426689250937</v>
      </c>
      <c r="AM71" s="757">
        <f t="shared" si="34"/>
        <v>20293.956849470858</v>
      </c>
      <c r="AN71" s="754"/>
      <c r="AO71" s="754"/>
      <c r="AP71" s="754"/>
      <c r="AQ71" s="754"/>
      <c r="AR71" s="754"/>
      <c r="AS71" s="754"/>
      <c r="AT71" s="754"/>
      <c r="AU71" s="754"/>
      <c r="AV71" s="754"/>
      <c r="AW71" s="754"/>
      <c r="AX71" s="754"/>
      <c r="AY71" s="754"/>
      <c r="AZ71" s="754"/>
      <c r="BA71" s="754"/>
      <c r="BB71" s="754"/>
      <c r="BC71" s="754"/>
      <c r="BD71" s="754"/>
      <c r="BE71" s="754"/>
      <c r="BF71" s="754"/>
      <c r="BG71" s="754"/>
      <c r="BH71" s="754"/>
      <c r="BI71" s="754"/>
      <c r="BJ71" s="754"/>
      <c r="BK71" s="754"/>
      <c r="BL71" s="754"/>
      <c r="BM71" s="754"/>
      <c r="BN71" s="754"/>
      <c r="BO71" s="754"/>
      <c r="BP71" s="754"/>
      <c r="BQ71" s="754"/>
      <c r="BR71" s="754"/>
      <c r="BS71" s="754"/>
      <c r="BT71" s="754"/>
      <c r="BU71" s="754"/>
      <c r="BV71" s="754"/>
      <c r="BW71" s="754"/>
      <c r="BX71" s="754"/>
      <c r="BY71" s="754"/>
      <c r="BZ71" s="754"/>
      <c r="CA71" s="754"/>
      <c r="CB71" s="754"/>
      <c r="CC71" s="754"/>
      <c r="CD71" s="754"/>
      <c r="CE71" s="754"/>
      <c r="CF71" s="754"/>
      <c r="CG71" s="754"/>
      <c r="CH71" s="754"/>
      <c r="CI71" s="754"/>
      <c r="CJ71" s="754"/>
      <c r="CK71" s="754"/>
      <c r="CL71" s="754"/>
      <c r="CM71" s="754"/>
      <c r="CN71" s="754"/>
      <c r="CO71" s="754"/>
      <c r="CP71" s="754"/>
      <c r="CQ71" s="754"/>
      <c r="CR71" s="754"/>
      <c r="CS71" s="754"/>
      <c r="CT71" s="754"/>
      <c r="CU71" s="754"/>
      <c r="CV71" s="754"/>
      <c r="CW71" s="754"/>
      <c r="CX71" s="754"/>
      <c r="CY71" s="754"/>
      <c r="CZ71" s="754"/>
      <c r="DA71" s="754"/>
      <c r="DB71" s="754"/>
      <c r="DC71" s="754"/>
      <c r="DD71" s="754"/>
      <c r="DE71" s="754"/>
      <c r="DF71" s="754"/>
      <c r="DG71" s="754"/>
      <c r="DH71" s="754"/>
      <c r="DI71" s="754"/>
      <c r="DJ71" s="754"/>
      <c r="DK71" s="754"/>
      <c r="DL71" s="754"/>
      <c r="DM71" s="754"/>
      <c r="DN71" s="754"/>
      <c r="DO71" s="754"/>
      <c r="DP71" s="754"/>
      <c r="DQ71" s="754"/>
      <c r="DR71" s="754"/>
      <c r="DS71" s="754"/>
      <c r="DT71" s="754"/>
      <c r="DU71" s="754"/>
      <c r="DV71" s="754"/>
      <c r="DW71" s="754"/>
      <c r="DX71" s="754"/>
      <c r="DY71" s="754"/>
      <c r="DZ71" s="754"/>
      <c r="EA71" s="754"/>
      <c r="EB71" s="754"/>
      <c r="EC71" s="754"/>
    </row>
    <row r="72" spans="2:133">
      <c r="B72" s="756" t="s">
        <v>185</v>
      </c>
      <c r="D72" s="757">
        <f>'Cash Flow'!D84</f>
        <v>63110.223401085706</v>
      </c>
      <c r="E72" s="757">
        <f>'Cash Flow'!E84</f>
        <v>-59782.701384098284</v>
      </c>
      <c r="F72" s="757">
        <f>'Cash Flow'!F84</f>
        <v>318.36586860114767</v>
      </c>
      <c r="G72" s="757">
        <f>'Cash Flow'!G84</f>
        <v>233.56278260114505</v>
      </c>
      <c r="H72" s="757">
        <f>'Cash Flow'!H84</f>
        <v>256.00670060114044</v>
      </c>
      <c r="I72" s="757">
        <f>'Cash Flow'!I84</f>
        <v>271.64081777371484</v>
      </c>
      <c r="J72" s="757">
        <f>'Cash Flow'!J84</f>
        <v>302.89648130057139</v>
      </c>
      <c r="K72" s="757">
        <f>'Cash Flow'!K84</f>
        <v>130.65690390171585</v>
      </c>
      <c r="L72" s="757">
        <f>'Cash Flow'!L84</f>
        <v>562.02374199999031</v>
      </c>
      <c r="M72" s="757">
        <f>'Cash Flow'!M84</f>
        <v>282.55740275886183</v>
      </c>
      <c r="N72" s="757">
        <f>'Cash Flow'!N84</f>
        <v>381.47841044342476</v>
      </c>
      <c r="O72" s="768">
        <f>'Cash Flow'!O84</f>
        <v>262.03899787200498</v>
      </c>
      <c r="P72" s="757">
        <f>'Cash Flow'!P84</f>
        <v>12643.258324927949</v>
      </c>
      <c r="Q72" s="757">
        <f>'Cash Flow'!Q84</f>
        <v>-11581.895560642526</v>
      </c>
      <c r="R72" s="757">
        <f>'Cash Flow'!R84</f>
        <v>1032.7421928927351</v>
      </c>
      <c r="S72" s="757">
        <f>'Cash Flow'!S84</f>
        <v>659.83517037713318</v>
      </c>
      <c r="T72" s="757">
        <f>'Cash Flow'!T84</f>
        <v>-142.14719518602578</v>
      </c>
      <c r="U72" s="757">
        <f>'Cash Flow'!U84</f>
        <v>413.34050588446189</v>
      </c>
      <c r="V72" s="757">
        <f>'Cash Flow'!V84</f>
        <v>437.75436866350719</v>
      </c>
      <c r="W72" s="757">
        <f>'Cash Flow'!W84</f>
        <v>334.1153293295265</v>
      </c>
      <c r="X72" s="757">
        <f>'Cash Flow'!X84</f>
        <v>4526.4898843620213</v>
      </c>
      <c r="Y72" s="757">
        <f>'Cash Flow'!Y84</f>
        <v>-1239.7586023365202</v>
      </c>
      <c r="Z72" s="757">
        <f>'Cash Flow'!Z84</f>
        <v>516.14767957905315</v>
      </c>
      <c r="AA72" s="768">
        <f>'Cash Flow'!AA84</f>
        <v>458.30937731302765</v>
      </c>
      <c r="AB72" s="757">
        <f>'Cash Flow'!AB84</f>
        <v>13236.311707676754</v>
      </c>
      <c r="AC72" s="757">
        <f>'Cash Flow'!AC84</f>
        <v>-11546.684393201796</v>
      </c>
      <c r="AD72" s="757">
        <f>'Cash Flow'!AD84</f>
        <v>492.679081499924</v>
      </c>
      <c r="AE72" s="757">
        <f>'Cash Flow'!AE84</f>
        <v>619.61221821326762</v>
      </c>
      <c r="AF72" s="757">
        <f>'Cash Flow'!AF84</f>
        <v>512.95194077306223</v>
      </c>
      <c r="AG72" s="757">
        <f>'Cash Flow'!AG84</f>
        <v>496.48064035039351</v>
      </c>
      <c r="AH72" s="757">
        <f>'Cash Flow'!AH84</f>
        <v>458.28325834167117</v>
      </c>
      <c r="AI72" s="757">
        <f>'Cash Flow'!AI84</f>
        <v>423.61983212697669</v>
      </c>
      <c r="AJ72" s="757">
        <f>'Cash Flow'!AJ84</f>
        <v>402.99071427134913</v>
      </c>
      <c r="AK72" s="757">
        <f>'Cash Flow'!AK84</f>
        <v>282.24008919385233</v>
      </c>
      <c r="AL72" s="757">
        <f>'Cash Flow'!AL84</f>
        <v>528.53016021992153</v>
      </c>
      <c r="AM72" s="757">
        <f>'Cash Flow'!AM84</f>
        <v>542.25297672642773</v>
      </c>
      <c r="AN72" s="754"/>
      <c r="AO72" s="754"/>
      <c r="AP72" s="754"/>
      <c r="AQ72" s="754"/>
      <c r="AR72" s="754"/>
      <c r="AS72" s="754"/>
      <c r="AT72" s="754"/>
      <c r="AU72" s="754"/>
      <c r="AV72" s="754"/>
      <c r="AW72" s="754"/>
      <c r="AX72" s="754"/>
      <c r="AY72" s="754"/>
      <c r="AZ72" s="754"/>
      <c r="BA72" s="754"/>
      <c r="BB72" s="754"/>
      <c r="BC72" s="754"/>
      <c r="BD72" s="754"/>
      <c r="BE72" s="754"/>
      <c r="BF72" s="754"/>
      <c r="BG72" s="754"/>
      <c r="BH72" s="754"/>
      <c r="BI72" s="754"/>
      <c r="BJ72" s="754"/>
      <c r="BK72" s="754"/>
      <c r="BL72" s="754"/>
      <c r="BM72" s="754"/>
      <c r="BN72" s="754"/>
      <c r="BO72" s="754"/>
      <c r="BP72" s="754"/>
      <c r="BQ72" s="754"/>
      <c r="BR72" s="754"/>
      <c r="BS72" s="754"/>
      <c r="BT72" s="754"/>
      <c r="BU72" s="754"/>
      <c r="BV72" s="754"/>
      <c r="BW72" s="754"/>
      <c r="BX72" s="754"/>
      <c r="BY72" s="754"/>
      <c r="BZ72" s="754"/>
      <c r="CA72" s="754"/>
      <c r="CB72" s="754"/>
      <c r="CC72" s="754"/>
      <c r="CD72" s="754"/>
      <c r="CE72" s="754"/>
      <c r="CF72" s="754"/>
      <c r="CG72" s="754"/>
      <c r="CH72" s="754"/>
      <c r="CI72" s="754"/>
      <c r="CJ72" s="754"/>
      <c r="CK72" s="754"/>
      <c r="CL72" s="754"/>
      <c r="CM72" s="754"/>
      <c r="CN72" s="754"/>
      <c r="CO72" s="754"/>
      <c r="CP72" s="754"/>
      <c r="CQ72" s="754"/>
      <c r="CR72" s="754"/>
      <c r="CS72" s="754"/>
      <c r="CT72" s="754"/>
      <c r="CU72" s="754"/>
      <c r="CV72" s="754"/>
      <c r="CW72" s="754"/>
      <c r="CX72" s="754"/>
      <c r="CY72" s="754"/>
      <c r="CZ72" s="754"/>
      <c r="DA72" s="754"/>
      <c r="DB72" s="754"/>
      <c r="DC72" s="754"/>
      <c r="DD72" s="754"/>
      <c r="DE72" s="754"/>
      <c r="DF72" s="754"/>
      <c r="DG72" s="754"/>
      <c r="DH72" s="754"/>
      <c r="DI72" s="754"/>
      <c r="DJ72" s="754"/>
      <c r="DK72" s="754"/>
      <c r="DL72" s="754"/>
      <c r="DM72" s="754"/>
      <c r="DN72" s="754"/>
      <c r="DO72" s="754"/>
      <c r="DP72" s="754"/>
      <c r="DQ72" s="754"/>
      <c r="DR72" s="754"/>
      <c r="DS72" s="754"/>
      <c r="DT72" s="754"/>
      <c r="DU72" s="754"/>
      <c r="DV72" s="754"/>
      <c r="DW72" s="754"/>
      <c r="DX72" s="754"/>
      <c r="DY72" s="754"/>
      <c r="DZ72" s="754"/>
      <c r="EA72" s="754"/>
      <c r="EB72" s="754"/>
      <c r="EC72" s="754"/>
    </row>
    <row r="73" spans="2:133">
      <c r="B73" s="756" t="s">
        <v>184</v>
      </c>
      <c r="D73" s="757">
        <f>'Cash Flow'!D124</f>
        <v>25476</v>
      </c>
      <c r="E73" s="757">
        <f>'Cash Flow'!E124</f>
        <v>0</v>
      </c>
      <c r="F73" s="757">
        <f>'Cash Flow'!F124</f>
        <v>-25476</v>
      </c>
      <c r="G73" s="757">
        <f>'Cash Flow'!G124</f>
        <v>0</v>
      </c>
      <c r="H73" s="757">
        <f>'Cash Flow'!H124</f>
        <v>0</v>
      </c>
      <c r="I73" s="757">
        <f>'Cash Flow'!I124</f>
        <v>0</v>
      </c>
      <c r="J73" s="757">
        <f>'Cash Flow'!J124</f>
        <v>0</v>
      </c>
      <c r="K73" s="757">
        <f>'Cash Flow'!K124</f>
        <v>0</v>
      </c>
      <c r="L73" s="757">
        <f>'Cash Flow'!L124</f>
        <v>360</v>
      </c>
      <c r="M73" s="757">
        <f>'Cash Flow'!M124</f>
        <v>0</v>
      </c>
      <c r="N73" s="757">
        <f>'Cash Flow'!N124</f>
        <v>-360</v>
      </c>
      <c r="O73" s="768">
        <f>'Cash Flow'!O124</f>
        <v>0</v>
      </c>
      <c r="P73" s="757">
        <f>'Cash Flow'!P124</f>
        <v>0</v>
      </c>
      <c r="Q73" s="757">
        <f>'Cash Flow'!Q124</f>
        <v>0</v>
      </c>
      <c r="R73" s="757">
        <f>'Cash Flow'!R124</f>
        <v>0</v>
      </c>
      <c r="S73" s="757">
        <f>'Cash Flow'!S124</f>
        <v>0</v>
      </c>
      <c r="T73" s="757">
        <f>'Cash Flow'!T124</f>
        <v>0</v>
      </c>
      <c r="U73" s="757">
        <f>'Cash Flow'!U124</f>
        <v>0</v>
      </c>
      <c r="V73" s="757">
        <f>'Cash Flow'!V124</f>
        <v>0</v>
      </c>
      <c r="W73" s="757">
        <f>'Cash Flow'!W124</f>
        <v>0</v>
      </c>
      <c r="X73" s="757">
        <f>'Cash Flow'!X124</f>
        <v>0</v>
      </c>
      <c r="Y73" s="757">
        <f>'Cash Flow'!Y124</f>
        <v>0</v>
      </c>
      <c r="Z73" s="757">
        <f>'Cash Flow'!Z124</f>
        <v>0</v>
      </c>
      <c r="AA73" s="768">
        <f>'Cash Flow'!AA124</f>
        <v>0</v>
      </c>
      <c r="AB73" s="757">
        <f>'Cash Flow'!AB124</f>
        <v>0</v>
      </c>
      <c r="AC73" s="757">
        <f>'Cash Flow'!AC124</f>
        <v>0</v>
      </c>
      <c r="AD73" s="757">
        <f>'Cash Flow'!AD124</f>
        <v>0</v>
      </c>
      <c r="AE73" s="757">
        <f>'Cash Flow'!AE124</f>
        <v>0</v>
      </c>
      <c r="AF73" s="757">
        <f>'Cash Flow'!AF124</f>
        <v>0</v>
      </c>
      <c r="AG73" s="757">
        <f>'Cash Flow'!AG124</f>
        <v>0</v>
      </c>
      <c r="AH73" s="757">
        <f>'Cash Flow'!AH124</f>
        <v>0</v>
      </c>
      <c r="AI73" s="757">
        <f>'Cash Flow'!AI124</f>
        <v>0</v>
      </c>
      <c r="AJ73" s="757">
        <f>'Cash Flow'!AJ124</f>
        <v>0</v>
      </c>
      <c r="AK73" s="757">
        <f>'Cash Flow'!AK124</f>
        <v>0</v>
      </c>
      <c r="AL73" s="757">
        <f>'Cash Flow'!AL124</f>
        <v>0</v>
      </c>
      <c r="AM73" s="757">
        <f>'Cash Flow'!AM124</f>
        <v>0</v>
      </c>
      <c r="AN73" s="754"/>
      <c r="AO73" s="754"/>
      <c r="AP73" s="754"/>
      <c r="AQ73" s="754"/>
      <c r="AR73" s="754"/>
      <c r="AS73" s="754"/>
      <c r="AT73" s="754"/>
      <c r="AU73" s="754"/>
      <c r="AV73" s="754"/>
      <c r="AW73" s="754"/>
      <c r="AX73" s="754"/>
      <c r="AY73" s="754"/>
      <c r="AZ73" s="754"/>
      <c r="BA73" s="754"/>
      <c r="BB73" s="754"/>
      <c r="BC73" s="754"/>
      <c r="BD73" s="754"/>
      <c r="BE73" s="754"/>
      <c r="BF73" s="754"/>
      <c r="BG73" s="754"/>
      <c r="BH73" s="754"/>
      <c r="BI73" s="754"/>
      <c r="BJ73" s="754"/>
      <c r="BK73" s="754"/>
      <c r="BL73" s="754"/>
      <c r="BM73" s="754"/>
      <c r="BN73" s="754"/>
      <c r="BO73" s="754"/>
      <c r="BP73" s="754"/>
      <c r="BQ73" s="754"/>
      <c r="BR73" s="754"/>
      <c r="BS73" s="754"/>
      <c r="BT73" s="754"/>
      <c r="BU73" s="754"/>
      <c r="BV73" s="754"/>
      <c r="BW73" s="754"/>
      <c r="BX73" s="754"/>
      <c r="BY73" s="754"/>
      <c r="BZ73" s="754"/>
      <c r="CA73" s="754"/>
      <c r="CB73" s="754"/>
      <c r="CC73" s="754"/>
      <c r="CD73" s="754"/>
      <c r="CE73" s="754"/>
      <c r="CF73" s="754"/>
      <c r="CG73" s="754"/>
      <c r="CH73" s="754"/>
      <c r="CI73" s="754"/>
      <c r="CJ73" s="754"/>
      <c r="CK73" s="754"/>
      <c r="CL73" s="754"/>
      <c r="CM73" s="754"/>
      <c r="CN73" s="754"/>
      <c r="CO73" s="754"/>
      <c r="CP73" s="754"/>
      <c r="CQ73" s="754"/>
      <c r="CR73" s="754"/>
      <c r="CS73" s="754"/>
      <c r="CT73" s="754"/>
      <c r="CU73" s="754"/>
      <c r="CV73" s="754"/>
      <c r="CW73" s="754"/>
      <c r="CX73" s="754"/>
      <c r="CY73" s="754"/>
      <c r="CZ73" s="754"/>
      <c r="DA73" s="754"/>
      <c r="DB73" s="754"/>
      <c r="DC73" s="754"/>
      <c r="DD73" s="754"/>
      <c r="DE73" s="754"/>
      <c r="DF73" s="754"/>
      <c r="DG73" s="754"/>
      <c r="DH73" s="754"/>
      <c r="DI73" s="754"/>
      <c r="DJ73" s="754"/>
      <c r="DK73" s="754"/>
      <c r="DL73" s="754"/>
      <c r="DM73" s="754"/>
      <c r="DN73" s="754"/>
      <c r="DO73" s="754"/>
      <c r="DP73" s="754"/>
      <c r="DQ73" s="754"/>
      <c r="DR73" s="754"/>
      <c r="DS73" s="754"/>
      <c r="DT73" s="754"/>
      <c r="DU73" s="754"/>
      <c r="DV73" s="754"/>
      <c r="DW73" s="754"/>
      <c r="DX73" s="754"/>
      <c r="DY73" s="754"/>
      <c r="DZ73" s="754"/>
      <c r="EA73" s="754"/>
      <c r="EB73" s="754"/>
      <c r="EC73" s="754"/>
    </row>
    <row r="74" spans="2:133" s="820" customFormat="1" ht="20" customHeight="1" thickBot="1">
      <c r="B74" s="817" t="s">
        <v>449</v>
      </c>
      <c r="C74" s="818"/>
      <c r="D74" s="790">
        <f>D71+SUM(D72:D73)</f>
        <v>88586.223401085706</v>
      </c>
      <c r="E74" s="790">
        <f>E71+SUM(E72:E73)</f>
        <v>28803.522016987423</v>
      </c>
      <c r="F74" s="790">
        <f t="shared" ref="F74:S74" si="35">F71+SUM(F72:F73)</f>
        <v>3645.8878855885705</v>
      </c>
      <c r="G74" s="790">
        <f t="shared" si="35"/>
        <v>3879.4506681897155</v>
      </c>
      <c r="H74" s="790">
        <f t="shared" si="35"/>
        <v>4135.457368790856</v>
      </c>
      <c r="I74" s="790">
        <f t="shared" si="35"/>
        <v>4407.0981865645708</v>
      </c>
      <c r="J74" s="790">
        <f t="shared" si="35"/>
        <v>4709.9946678651422</v>
      </c>
      <c r="K74" s="790">
        <f t="shared" si="35"/>
        <v>4840.6515717668581</v>
      </c>
      <c r="L74" s="790">
        <f t="shared" si="35"/>
        <v>5762.6753137668484</v>
      </c>
      <c r="M74" s="790">
        <f t="shared" si="35"/>
        <v>6045.2327165257102</v>
      </c>
      <c r="N74" s="790">
        <f t="shared" si="35"/>
        <v>6066.711126969135</v>
      </c>
      <c r="O74" s="791">
        <f t="shared" si="35"/>
        <v>6328.75012484114</v>
      </c>
      <c r="P74" s="790">
        <f t="shared" si="35"/>
        <v>18972.008449769088</v>
      </c>
      <c r="Q74" s="790">
        <f t="shared" si="35"/>
        <v>7390.1128891265616</v>
      </c>
      <c r="R74" s="790">
        <f t="shared" si="35"/>
        <v>8422.8550820192977</v>
      </c>
      <c r="S74" s="790">
        <f t="shared" si="35"/>
        <v>9082.6902523964309</v>
      </c>
      <c r="T74" s="790">
        <f t="shared" ref="T74:AM74" si="36">T71+SUM(T72:T73)</f>
        <v>8940.5430572104051</v>
      </c>
      <c r="U74" s="790">
        <f t="shared" si="36"/>
        <v>9353.883563094867</v>
      </c>
      <c r="V74" s="790">
        <f t="shared" si="36"/>
        <v>9791.6379317583742</v>
      </c>
      <c r="W74" s="790">
        <f t="shared" si="36"/>
        <v>10125.753261087901</v>
      </c>
      <c r="X74" s="790">
        <f t="shared" si="36"/>
        <v>14652.243145449922</v>
      </c>
      <c r="Y74" s="790">
        <f t="shared" si="36"/>
        <v>13412.484543113402</v>
      </c>
      <c r="Z74" s="790">
        <f t="shared" si="36"/>
        <v>13928.632222692455</v>
      </c>
      <c r="AA74" s="791">
        <f t="shared" si="36"/>
        <v>14386.941600005483</v>
      </c>
      <c r="AB74" s="790">
        <f t="shared" si="36"/>
        <v>27623.253307682236</v>
      </c>
      <c r="AC74" s="790">
        <f t="shared" si="36"/>
        <v>16076.56891448044</v>
      </c>
      <c r="AD74" s="790">
        <f t="shared" si="36"/>
        <v>16569.247995980364</v>
      </c>
      <c r="AE74" s="790">
        <f t="shared" si="36"/>
        <v>17188.860214193632</v>
      </c>
      <c r="AF74" s="790">
        <f t="shared" si="36"/>
        <v>17701.812154966694</v>
      </c>
      <c r="AG74" s="790">
        <f t="shared" si="36"/>
        <v>18198.292795317087</v>
      </c>
      <c r="AH74" s="790">
        <f t="shared" si="36"/>
        <v>18656.576053658759</v>
      </c>
      <c r="AI74" s="790">
        <f t="shared" si="36"/>
        <v>19080.195885785735</v>
      </c>
      <c r="AJ74" s="790">
        <f t="shared" si="36"/>
        <v>19483.186600057084</v>
      </c>
      <c r="AK74" s="790">
        <f t="shared" si="36"/>
        <v>19765.426689250937</v>
      </c>
      <c r="AL74" s="790">
        <f t="shared" si="36"/>
        <v>20293.956849470858</v>
      </c>
      <c r="AM74" s="790">
        <f t="shared" si="36"/>
        <v>20836.209826197286</v>
      </c>
      <c r="AN74" s="787"/>
      <c r="AO74" s="787"/>
      <c r="AP74" s="787"/>
      <c r="AQ74" s="787"/>
      <c r="AR74" s="787"/>
      <c r="AS74" s="787"/>
      <c r="AT74" s="787"/>
      <c r="AU74" s="787"/>
      <c r="AV74" s="787"/>
      <c r="AW74" s="787"/>
      <c r="AX74" s="787"/>
      <c r="AY74" s="819"/>
      <c r="AZ74" s="819"/>
      <c r="BA74" s="819"/>
      <c r="BB74" s="819"/>
      <c r="BC74" s="819"/>
      <c r="BD74" s="819"/>
      <c r="BE74" s="819"/>
      <c r="BF74" s="819"/>
      <c r="BG74" s="819"/>
      <c r="BH74" s="819"/>
      <c r="BI74" s="819"/>
      <c r="BJ74" s="819"/>
      <c r="BK74" s="819"/>
      <c r="BL74" s="819"/>
      <c r="BM74" s="819"/>
      <c r="BN74" s="819"/>
      <c r="BO74" s="819"/>
      <c r="BP74" s="819"/>
      <c r="BQ74" s="819"/>
      <c r="BR74" s="819"/>
      <c r="BS74" s="819"/>
      <c r="BT74" s="819"/>
      <c r="BU74" s="819"/>
      <c r="BV74" s="819"/>
      <c r="BW74" s="819"/>
      <c r="BX74" s="819"/>
      <c r="BY74" s="819"/>
      <c r="BZ74" s="819"/>
      <c r="CA74" s="819"/>
      <c r="CB74" s="819"/>
      <c r="CC74" s="819"/>
      <c r="CD74" s="819"/>
      <c r="CE74" s="819"/>
      <c r="CF74" s="819"/>
      <c r="CG74" s="819"/>
      <c r="CH74" s="819"/>
      <c r="CI74" s="819"/>
      <c r="CJ74" s="819"/>
      <c r="CK74" s="819"/>
      <c r="CL74" s="819"/>
      <c r="CM74" s="819"/>
      <c r="CN74" s="819"/>
      <c r="CO74" s="819"/>
      <c r="CP74" s="819"/>
      <c r="CQ74" s="819"/>
      <c r="CR74" s="819"/>
      <c r="CS74" s="819"/>
      <c r="CT74" s="819"/>
      <c r="CU74" s="819"/>
      <c r="CV74" s="819"/>
      <c r="CW74" s="819"/>
      <c r="CX74" s="819"/>
      <c r="CY74" s="819"/>
      <c r="CZ74" s="819"/>
      <c r="DA74" s="819"/>
      <c r="DB74" s="819"/>
      <c r="DC74" s="819"/>
      <c r="DD74" s="819"/>
      <c r="DE74" s="819"/>
      <c r="DF74" s="819"/>
      <c r="DG74" s="819"/>
      <c r="DH74" s="819"/>
      <c r="DI74" s="819"/>
      <c r="DJ74" s="819"/>
      <c r="DK74" s="819"/>
      <c r="DL74" s="819"/>
      <c r="DM74" s="819"/>
      <c r="DN74" s="819"/>
      <c r="DO74" s="819"/>
      <c r="DP74" s="819"/>
      <c r="DQ74" s="819"/>
      <c r="DR74" s="819"/>
      <c r="DS74" s="819"/>
      <c r="DT74" s="819"/>
      <c r="DU74" s="819"/>
      <c r="DV74" s="819"/>
      <c r="DW74" s="819"/>
      <c r="DX74" s="819"/>
      <c r="DY74" s="819"/>
      <c r="DZ74" s="819"/>
      <c r="EA74" s="819"/>
      <c r="EB74" s="819"/>
      <c r="EC74" s="819"/>
    </row>
    <row r="75" spans="2:133" ht="20" customHeight="1" thickTop="1">
      <c r="D75" s="757"/>
      <c r="E75" s="757"/>
      <c r="F75" s="757"/>
      <c r="G75" s="757"/>
      <c r="H75" s="757"/>
      <c r="I75" s="757"/>
      <c r="J75" s="757"/>
      <c r="K75" s="757"/>
      <c r="L75" s="757"/>
      <c r="M75" s="757"/>
      <c r="N75" s="757"/>
      <c r="O75" s="768"/>
      <c r="P75" s="757"/>
      <c r="Q75" s="757"/>
      <c r="R75" s="757"/>
      <c r="S75" s="757"/>
      <c r="T75" s="757"/>
      <c r="U75" s="757"/>
      <c r="V75" s="757"/>
      <c r="W75" s="757"/>
      <c r="X75" s="757"/>
      <c r="Y75" s="757"/>
      <c r="Z75" s="757"/>
      <c r="AA75" s="768"/>
      <c r="AB75" s="757"/>
      <c r="AC75" s="757"/>
      <c r="AD75" s="757"/>
      <c r="AE75" s="757"/>
      <c r="AF75" s="757"/>
      <c r="AG75" s="757"/>
      <c r="AH75" s="757"/>
      <c r="AI75" s="757"/>
      <c r="AJ75" s="757"/>
      <c r="AK75" s="757"/>
      <c r="AL75" s="757"/>
      <c r="AM75" s="757"/>
      <c r="AN75" s="754"/>
      <c r="AO75" s="754"/>
      <c r="AP75" s="754"/>
      <c r="AQ75" s="754"/>
      <c r="AR75" s="754"/>
      <c r="AS75" s="754"/>
      <c r="AT75" s="754"/>
      <c r="AU75" s="754"/>
      <c r="AV75" s="754"/>
      <c r="AW75" s="754"/>
      <c r="AX75" s="754"/>
      <c r="AY75" s="754"/>
      <c r="AZ75" s="754"/>
      <c r="BA75" s="754"/>
      <c r="BB75" s="754"/>
      <c r="BC75" s="754"/>
      <c r="BD75" s="754"/>
      <c r="BE75" s="754"/>
      <c r="BF75" s="754"/>
      <c r="BG75" s="754"/>
      <c r="BH75" s="754"/>
    </row>
    <row r="76" spans="2:133" s="753" customFormat="1" ht="17" thickBot="1">
      <c r="B76" s="813" t="s">
        <v>178</v>
      </c>
      <c r="C76" s="806"/>
      <c r="D76" s="815"/>
      <c r="E76" s="815"/>
      <c r="F76" s="815"/>
      <c r="G76" s="815"/>
      <c r="H76" s="815"/>
      <c r="I76" s="815"/>
      <c r="J76" s="815"/>
      <c r="K76" s="815"/>
      <c r="L76" s="815"/>
      <c r="M76" s="815"/>
      <c r="N76" s="815"/>
      <c r="O76" s="816"/>
      <c r="P76" s="815"/>
      <c r="Q76" s="815"/>
      <c r="R76" s="815"/>
      <c r="S76" s="815"/>
      <c r="T76" s="815"/>
      <c r="U76" s="815"/>
      <c r="V76" s="815"/>
      <c r="W76" s="815"/>
      <c r="X76" s="815"/>
      <c r="Y76" s="815"/>
      <c r="Z76" s="815"/>
      <c r="AA76" s="816"/>
      <c r="AB76" s="815"/>
      <c r="AC76" s="815"/>
      <c r="AD76" s="815"/>
      <c r="AE76" s="815"/>
      <c r="AF76" s="815"/>
      <c r="AG76" s="815"/>
      <c r="AH76" s="815"/>
      <c r="AI76" s="815"/>
      <c r="AJ76" s="815"/>
      <c r="AK76" s="815"/>
      <c r="AL76" s="815"/>
      <c r="AM76" s="815"/>
      <c r="AN76" s="754"/>
      <c r="AO76" s="754"/>
      <c r="AP76" s="754"/>
      <c r="AQ76" s="754"/>
      <c r="AR76" s="754"/>
      <c r="AS76" s="754"/>
      <c r="AT76" s="754"/>
      <c r="AU76" s="754"/>
      <c r="AV76" s="754"/>
      <c r="AW76" s="754"/>
      <c r="AX76" s="754"/>
      <c r="AY76" s="809"/>
      <c r="AZ76" s="809"/>
      <c r="BA76" s="809"/>
      <c r="BB76" s="809"/>
      <c r="BC76" s="809"/>
      <c r="BD76" s="809"/>
      <c r="BE76" s="809"/>
      <c r="BF76" s="809"/>
      <c r="BG76" s="809"/>
      <c r="BH76" s="809"/>
      <c r="BI76" s="809"/>
      <c r="BJ76" s="809"/>
      <c r="BK76" s="809"/>
      <c r="BL76" s="809"/>
      <c r="BM76" s="809"/>
      <c r="BN76" s="809"/>
      <c r="BO76" s="809"/>
      <c r="BP76" s="809"/>
      <c r="BQ76" s="809"/>
      <c r="BR76" s="809"/>
      <c r="BS76" s="809"/>
      <c r="BT76" s="809"/>
      <c r="BU76" s="809"/>
      <c r="BV76" s="809"/>
      <c r="BW76" s="809"/>
      <c r="BX76" s="809"/>
      <c r="BY76" s="809"/>
      <c r="BZ76" s="809"/>
      <c r="CA76" s="809"/>
      <c r="CB76" s="809"/>
      <c r="CC76" s="809"/>
      <c r="CD76" s="809"/>
      <c r="CE76" s="809"/>
      <c r="CF76" s="809"/>
      <c r="CG76" s="809"/>
      <c r="CH76" s="809"/>
      <c r="CI76" s="809"/>
      <c r="CJ76" s="809"/>
      <c r="CK76" s="809"/>
      <c r="CL76" s="809"/>
      <c r="CM76" s="809"/>
      <c r="CN76" s="809"/>
      <c r="CO76" s="809"/>
      <c r="CP76" s="809"/>
      <c r="CQ76" s="809"/>
      <c r="CR76" s="809"/>
      <c r="CS76" s="809"/>
      <c r="CT76" s="809"/>
      <c r="CU76" s="809"/>
      <c r="CV76" s="809"/>
      <c r="CW76" s="809"/>
      <c r="CX76" s="809"/>
      <c r="CY76" s="809"/>
      <c r="CZ76" s="809"/>
      <c r="DA76" s="809"/>
      <c r="DB76" s="809"/>
      <c r="DC76" s="809"/>
      <c r="DD76" s="809"/>
      <c r="DE76" s="809"/>
      <c r="DF76" s="809"/>
      <c r="DG76" s="809"/>
      <c r="DH76" s="809"/>
      <c r="DI76" s="809"/>
      <c r="DJ76" s="809"/>
      <c r="DK76" s="809"/>
      <c r="DL76" s="809"/>
      <c r="DM76" s="809"/>
      <c r="DN76" s="809"/>
      <c r="DO76" s="809"/>
      <c r="DP76" s="809"/>
      <c r="DQ76" s="809"/>
      <c r="DR76" s="809"/>
      <c r="DS76" s="809"/>
      <c r="DT76" s="809"/>
      <c r="DU76" s="809"/>
      <c r="DV76" s="809"/>
      <c r="DW76" s="809"/>
      <c r="DX76" s="809"/>
      <c r="DY76" s="809"/>
      <c r="DZ76" s="809"/>
      <c r="EA76" s="809"/>
      <c r="EB76" s="809"/>
      <c r="EC76" s="809"/>
    </row>
    <row r="77" spans="2:133">
      <c r="B77" s="756" t="s">
        <v>76</v>
      </c>
      <c r="D77" s="757"/>
      <c r="E77" s="757">
        <f t="shared" ref="E77:J77" si="37">D79</f>
        <v>1375</v>
      </c>
      <c r="F77" s="757">
        <f t="shared" si="37"/>
        <v>2750</v>
      </c>
      <c r="G77" s="757">
        <f t="shared" si="37"/>
        <v>0</v>
      </c>
      <c r="H77" s="757">
        <f t="shared" si="37"/>
        <v>1375</v>
      </c>
      <c r="I77" s="757">
        <f t="shared" si="37"/>
        <v>2750</v>
      </c>
      <c r="J77" s="757">
        <f t="shared" si="37"/>
        <v>0</v>
      </c>
      <c r="K77" s="757">
        <f t="shared" ref="K77:AM77" si="38">J79</f>
        <v>1375</v>
      </c>
      <c r="L77" s="757">
        <f t="shared" si="38"/>
        <v>2750</v>
      </c>
      <c r="M77" s="757">
        <f t="shared" si="38"/>
        <v>0</v>
      </c>
      <c r="N77" s="757">
        <f t="shared" si="38"/>
        <v>1375</v>
      </c>
      <c r="O77" s="768">
        <f t="shared" si="38"/>
        <v>2750</v>
      </c>
      <c r="P77" s="757">
        <f t="shared" si="38"/>
        <v>0</v>
      </c>
      <c r="Q77" s="757">
        <f t="shared" si="38"/>
        <v>1906.666666666667</v>
      </c>
      <c r="R77" s="757">
        <f t="shared" si="38"/>
        <v>3813.3333333333339</v>
      </c>
      <c r="S77" s="757">
        <f t="shared" si="38"/>
        <v>0</v>
      </c>
      <c r="T77" s="757">
        <f t="shared" si="38"/>
        <v>1906.666666666667</v>
      </c>
      <c r="U77" s="757">
        <f t="shared" si="38"/>
        <v>3813.3333333333339</v>
      </c>
      <c r="V77" s="757">
        <f t="shared" si="38"/>
        <v>0</v>
      </c>
      <c r="W77" s="757">
        <f t="shared" si="38"/>
        <v>1906.666666666667</v>
      </c>
      <c r="X77" s="757">
        <f t="shared" si="38"/>
        <v>3813.3333333333339</v>
      </c>
      <c r="Y77" s="757">
        <f t="shared" si="38"/>
        <v>0</v>
      </c>
      <c r="Z77" s="757">
        <f t="shared" si="38"/>
        <v>1906.666666666667</v>
      </c>
      <c r="AA77" s="768">
        <f t="shared" si="38"/>
        <v>3813.3333333333339</v>
      </c>
      <c r="AB77" s="757">
        <f t="shared" si="38"/>
        <v>0</v>
      </c>
      <c r="AC77" s="757">
        <f t="shared" si="38"/>
        <v>2981.5500000000006</v>
      </c>
      <c r="AD77" s="757">
        <f t="shared" si="38"/>
        <v>5963.1000000000013</v>
      </c>
      <c r="AE77" s="757">
        <f t="shared" si="38"/>
        <v>0</v>
      </c>
      <c r="AF77" s="757">
        <f t="shared" si="38"/>
        <v>2981.5500000000006</v>
      </c>
      <c r="AG77" s="757">
        <f t="shared" si="38"/>
        <v>5963.1000000000013</v>
      </c>
      <c r="AH77" s="757">
        <f t="shared" si="38"/>
        <v>0</v>
      </c>
      <c r="AI77" s="757">
        <f t="shared" si="38"/>
        <v>2981.5500000000006</v>
      </c>
      <c r="AJ77" s="757">
        <f t="shared" si="38"/>
        <v>5963.1000000000013</v>
      </c>
      <c r="AK77" s="757">
        <f t="shared" si="38"/>
        <v>0</v>
      </c>
      <c r="AL77" s="757">
        <f t="shared" si="38"/>
        <v>2981.5500000000006</v>
      </c>
      <c r="AM77" s="757">
        <f t="shared" si="38"/>
        <v>5963.1000000000013</v>
      </c>
      <c r="AN77" s="754"/>
      <c r="AO77" s="754"/>
      <c r="AP77" s="754"/>
      <c r="AQ77" s="754"/>
      <c r="AR77" s="754"/>
      <c r="AS77" s="754"/>
      <c r="AT77" s="754"/>
      <c r="AU77" s="754"/>
      <c r="AV77" s="754"/>
      <c r="AW77" s="754"/>
      <c r="AX77" s="754"/>
      <c r="AY77" s="754"/>
      <c r="AZ77" s="754"/>
      <c r="BA77" s="754"/>
      <c r="BB77" s="754"/>
      <c r="BC77" s="754"/>
      <c r="BD77" s="754"/>
      <c r="BE77" s="754"/>
      <c r="BF77" s="754"/>
      <c r="BG77" s="754"/>
      <c r="BH77" s="754"/>
    </row>
    <row r="78" spans="2:133">
      <c r="B78" s="756" t="s">
        <v>183</v>
      </c>
      <c r="D78" s="757">
        <f>'Cash Flow'!D96</f>
        <v>1375</v>
      </c>
      <c r="E78" s="757">
        <f>'Cash Flow'!E96</f>
        <v>1375</v>
      </c>
      <c r="F78" s="757">
        <f>'Cash Flow'!F96</f>
        <v>-2750</v>
      </c>
      <c r="G78" s="757">
        <f>'Cash Flow'!G96</f>
        <v>1375</v>
      </c>
      <c r="H78" s="757">
        <f>'Cash Flow'!H96</f>
        <v>1375</v>
      </c>
      <c r="I78" s="757">
        <f>'Cash Flow'!I96</f>
        <v>-2750</v>
      </c>
      <c r="J78" s="757">
        <f>'Cash Flow'!J96</f>
        <v>1375</v>
      </c>
      <c r="K78" s="757">
        <f>'Cash Flow'!K96</f>
        <v>1375</v>
      </c>
      <c r="L78" s="757">
        <f>'Cash Flow'!L96</f>
        <v>-2750</v>
      </c>
      <c r="M78" s="757">
        <f>'Cash Flow'!M96</f>
        <v>1375</v>
      </c>
      <c r="N78" s="757">
        <f>'Cash Flow'!N96</f>
        <v>1375</v>
      </c>
      <c r="O78" s="768">
        <f>'Cash Flow'!O96</f>
        <v>-2750</v>
      </c>
      <c r="P78" s="757">
        <f>'Cash Flow'!P96</f>
        <v>1906.666666666667</v>
      </c>
      <c r="Q78" s="757">
        <f>'Cash Flow'!Q96</f>
        <v>1906.666666666667</v>
      </c>
      <c r="R78" s="757">
        <f>'Cash Flow'!R96</f>
        <v>-3813.3333333333339</v>
      </c>
      <c r="S78" s="757">
        <f>'Cash Flow'!S96</f>
        <v>1906.666666666667</v>
      </c>
      <c r="T78" s="757">
        <f>'Cash Flow'!T96</f>
        <v>1906.666666666667</v>
      </c>
      <c r="U78" s="757">
        <f>'Cash Flow'!U96</f>
        <v>-3813.3333333333339</v>
      </c>
      <c r="V78" s="757">
        <f>'Cash Flow'!V96</f>
        <v>1906.666666666667</v>
      </c>
      <c r="W78" s="757">
        <f>'Cash Flow'!W96</f>
        <v>1906.666666666667</v>
      </c>
      <c r="X78" s="757">
        <f>'Cash Flow'!X96</f>
        <v>-3813.3333333333339</v>
      </c>
      <c r="Y78" s="757">
        <f>'Cash Flow'!Y96</f>
        <v>1906.666666666667</v>
      </c>
      <c r="Z78" s="757">
        <f>'Cash Flow'!Z96</f>
        <v>1906.666666666667</v>
      </c>
      <c r="AA78" s="768">
        <f>'Cash Flow'!AA96</f>
        <v>-3813.3333333333339</v>
      </c>
      <c r="AB78" s="757">
        <f>'Cash Flow'!AB96</f>
        <v>2981.5500000000006</v>
      </c>
      <c r="AC78" s="757">
        <f>'Cash Flow'!AC96</f>
        <v>2981.5500000000006</v>
      </c>
      <c r="AD78" s="757">
        <f>'Cash Flow'!AD96</f>
        <v>-5963.1</v>
      </c>
      <c r="AE78" s="757">
        <f>'Cash Flow'!AE96</f>
        <v>2981.5500000000006</v>
      </c>
      <c r="AF78" s="757">
        <f>'Cash Flow'!AF96</f>
        <v>2981.5500000000006</v>
      </c>
      <c r="AG78" s="757">
        <f>'Cash Flow'!AG96</f>
        <v>-5963.1</v>
      </c>
      <c r="AH78" s="757">
        <f>'Cash Flow'!AH96</f>
        <v>2981.5500000000006</v>
      </c>
      <c r="AI78" s="757">
        <f>'Cash Flow'!AI96</f>
        <v>2981.5500000000006</v>
      </c>
      <c r="AJ78" s="757">
        <f>'Cash Flow'!AJ96</f>
        <v>-5963.1</v>
      </c>
      <c r="AK78" s="757">
        <f>'Cash Flow'!AK96</f>
        <v>2981.5500000000006</v>
      </c>
      <c r="AL78" s="757">
        <f>'Cash Flow'!AL96</f>
        <v>2981.5500000000006</v>
      </c>
      <c r="AM78" s="757">
        <f>'Cash Flow'!AM96</f>
        <v>-5963.1</v>
      </c>
      <c r="AN78" s="754"/>
      <c r="AO78" s="754"/>
      <c r="AP78" s="754"/>
      <c r="AQ78" s="754"/>
      <c r="AR78" s="754"/>
      <c r="AS78" s="754"/>
      <c r="AT78" s="754"/>
      <c r="AU78" s="754"/>
      <c r="AV78" s="754"/>
      <c r="AW78" s="754"/>
      <c r="AX78" s="754"/>
      <c r="AY78" s="754"/>
      <c r="AZ78" s="754"/>
      <c r="BA78" s="754"/>
      <c r="BB78" s="754"/>
      <c r="BC78" s="754"/>
      <c r="BD78" s="754"/>
      <c r="BE78" s="754"/>
      <c r="BF78" s="754"/>
      <c r="BG78" s="754"/>
      <c r="BH78" s="754"/>
    </row>
    <row r="79" spans="2:133" s="820" customFormat="1" ht="20" customHeight="1" thickBot="1">
      <c r="B79" s="817" t="s">
        <v>449</v>
      </c>
      <c r="C79" s="818"/>
      <c r="D79" s="790">
        <f t="shared" ref="D79:AM79" si="39">SUM(D77:D78)</f>
        <v>1375</v>
      </c>
      <c r="E79" s="790">
        <f t="shared" si="39"/>
        <v>2750</v>
      </c>
      <c r="F79" s="790">
        <f t="shared" si="39"/>
        <v>0</v>
      </c>
      <c r="G79" s="790">
        <f t="shared" si="39"/>
        <v>1375</v>
      </c>
      <c r="H79" s="790">
        <f t="shared" si="39"/>
        <v>2750</v>
      </c>
      <c r="I79" s="790">
        <f t="shared" si="39"/>
        <v>0</v>
      </c>
      <c r="J79" s="790">
        <f t="shared" si="39"/>
        <v>1375</v>
      </c>
      <c r="K79" s="790">
        <f t="shared" si="39"/>
        <v>2750</v>
      </c>
      <c r="L79" s="790">
        <f t="shared" si="39"/>
        <v>0</v>
      </c>
      <c r="M79" s="790">
        <f t="shared" si="39"/>
        <v>1375</v>
      </c>
      <c r="N79" s="790">
        <f t="shared" si="39"/>
        <v>2750</v>
      </c>
      <c r="O79" s="791">
        <f t="shared" si="39"/>
        <v>0</v>
      </c>
      <c r="P79" s="790">
        <f t="shared" si="39"/>
        <v>1906.666666666667</v>
      </c>
      <c r="Q79" s="790">
        <f t="shared" si="39"/>
        <v>3813.3333333333339</v>
      </c>
      <c r="R79" s="790">
        <f t="shared" si="39"/>
        <v>0</v>
      </c>
      <c r="S79" s="790">
        <f t="shared" si="39"/>
        <v>1906.666666666667</v>
      </c>
      <c r="T79" s="790">
        <f t="shared" si="39"/>
        <v>3813.3333333333339</v>
      </c>
      <c r="U79" s="790">
        <f t="shared" si="39"/>
        <v>0</v>
      </c>
      <c r="V79" s="790">
        <f t="shared" si="39"/>
        <v>1906.666666666667</v>
      </c>
      <c r="W79" s="790">
        <f t="shared" si="39"/>
        <v>3813.3333333333339</v>
      </c>
      <c r="X79" s="790">
        <f t="shared" si="39"/>
        <v>0</v>
      </c>
      <c r="Y79" s="790">
        <f t="shared" si="39"/>
        <v>1906.666666666667</v>
      </c>
      <c r="Z79" s="790">
        <f t="shared" si="39"/>
        <v>3813.3333333333339</v>
      </c>
      <c r="AA79" s="791">
        <f t="shared" si="39"/>
        <v>0</v>
      </c>
      <c r="AB79" s="790">
        <f t="shared" si="39"/>
        <v>2981.5500000000006</v>
      </c>
      <c r="AC79" s="790">
        <f t="shared" si="39"/>
        <v>5963.1000000000013</v>
      </c>
      <c r="AD79" s="790">
        <f t="shared" si="39"/>
        <v>0</v>
      </c>
      <c r="AE79" s="790">
        <f t="shared" si="39"/>
        <v>2981.5500000000006</v>
      </c>
      <c r="AF79" s="790">
        <f t="shared" si="39"/>
        <v>5963.1000000000013</v>
      </c>
      <c r="AG79" s="790">
        <f t="shared" si="39"/>
        <v>0</v>
      </c>
      <c r="AH79" s="790">
        <f t="shared" si="39"/>
        <v>2981.5500000000006</v>
      </c>
      <c r="AI79" s="790">
        <f t="shared" si="39"/>
        <v>5963.1000000000013</v>
      </c>
      <c r="AJ79" s="790">
        <f t="shared" si="39"/>
        <v>0</v>
      </c>
      <c r="AK79" s="790">
        <f t="shared" si="39"/>
        <v>2981.5500000000006</v>
      </c>
      <c r="AL79" s="790">
        <f t="shared" si="39"/>
        <v>5963.1000000000013</v>
      </c>
      <c r="AM79" s="790">
        <f t="shared" si="39"/>
        <v>0</v>
      </c>
      <c r="AN79" s="787"/>
      <c r="AO79" s="787"/>
      <c r="AP79" s="787"/>
      <c r="AQ79" s="787"/>
      <c r="AR79" s="787"/>
      <c r="AS79" s="787"/>
      <c r="AT79" s="787"/>
      <c r="AU79" s="787"/>
      <c r="AV79" s="787"/>
      <c r="AW79" s="787"/>
      <c r="AX79" s="787"/>
      <c r="AY79" s="819"/>
      <c r="AZ79" s="819"/>
      <c r="BA79" s="819"/>
      <c r="BB79" s="819"/>
      <c r="BC79" s="819"/>
      <c r="BD79" s="819"/>
      <c r="BE79" s="819"/>
      <c r="BF79" s="819"/>
      <c r="BG79" s="819"/>
      <c r="BH79" s="819"/>
      <c r="BI79" s="819"/>
      <c r="BJ79" s="819"/>
      <c r="BK79" s="819"/>
      <c r="BL79" s="819"/>
      <c r="BM79" s="819"/>
      <c r="BN79" s="819"/>
      <c r="BO79" s="819"/>
      <c r="BP79" s="819"/>
      <c r="BQ79" s="819"/>
      <c r="BR79" s="819"/>
      <c r="BS79" s="819"/>
      <c r="BT79" s="819"/>
      <c r="BU79" s="819"/>
      <c r="BV79" s="819"/>
      <c r="BW79" s="819"/>
      <c r="BX79" s="819"/>
      <c r="BY79" s="819"/>
      <c r="BZ79" s="819"/>
      <c r="CA79" s="819"/>
      <c r="CB79" s="819"/>
      <c r="CC79" s="819"/>
      <c r="CD79" s="819"/>
      <c r="CE79" s="819"/>
      <c r="CF79" s="819"/>
      <c r="CG79" s="819"/>
      <c r="CH79" s="819"/>
      <c r="CI79" s="819"/>
      <c r="CJ79" s="819"/>
      <c r="CK79" s="819"/>
      <c r="CL79" s="819"/>
      <c r="CM79" s="819"/>
      <c r="CN79" s="819"/>
      <c r="CO79" s="819"/>
      <c r="CP79" s="819"/>
      <c r="CQ79" s="819"/>
      <c r="CR79" s="819"/>
      <c r="CS79" s="819"/>
      <c r="CT79" s="819"/>
      <c r="CU79" s="819"/>
      <c r="CV79" s="819"/>
      <c r="CW79" s="819"/>
      <c r="CX79" s="819"/>
      <c r="CY79" s="819"/>
      <c r="CZ79" s="819"/>
      <c r="DA79" s="819"/>
      <c r="DB79" s="819"/>
      <c r="DC79" s="819"/>
      <c r="DD79" s="819"/>
      <c r="DE79" s="819"/>
      <c r="DF79" s="819"/>
      <c r="DG79" s="819"/>
      <c r="DH79" s="819"/>
      <c r="DI79" s="819"/>
      <c r="DJ79" s="819"/>
      <c r="DK79" s="819"/>
      <c r="DL79" s="819"/>
      <c r="DM79" s="819"/>
      <c r="DN79" s="819"/>
      <c r="DO79" s="819"/>
      <c r="DP79" s="819"/>
      <c r="DQ79" s="819"/>
      <c r="DR79" s="819"/>
      <c r="DS79" s="819"/>
      <c r="DT79" s="819"/>
      <c r="DU79" s="819"/>
      <c r="DV79" s="819"/>
      <c r="DW79" s="819"/>
      <c r="DX79" s="819"/>
      <c r="DY79" s="819"/>
      <c r="DZ79" s="819"/>
      <c r="EA79" s="819"/>
      <c r="EB79" s="819"/>
      <c r="EC79" s="819"/>
    </row>
    <row r="80" spans="2:133" ht="20" customHeight="1" thickTop="1">
      <c r="D80" s="757"/>
      <c r="E80" s="757"/>
      <c r="F80" s="757"/>
      <c r="G80" s="757"/>
      <c r="H80" s="757"/>
      <c r="I80" s="757"/>
      <c r="J80" s="757"/>
      <c r="K80" s="757"/>
      <c r="L80" s="757"/>
      <c r="M80" s="757"/>
      <c r="N80" s="757"/>
      <c r="O80" s="768"/>
      <c r="P80" s="757"/>
      <c r="Q80" s="757"/>
      <c r="R80" s="757"/>
      <c r="S80" s="757"/>
      <c r="T80" s="757"/>
      <c r="U80" s="757"/>
      <c r="V80" s="757"/>
      <c r="W80" s="757"/>
      <c r="X80" s="757"/>
      <c r="Y80" s="757"/>
      <c r="Z80" s="757"/>
      <c r="AA80" s="768"/>
      <c r="AB80" s="757"/>
      <c r="AC80" s="757"/>
      <c r="AD80" s="757"/>
      <c r="AE80" s="757"/>
      <c r="AF80" s="757"/>
      <c r="AG80" s="757"/>
      <c r="AH80" s="757"/>
      <c r="AI80" s="757"/>
      <c r="AJ80" s="757"/>
      <c r="AK80" s="757"/>
      <c r="AL80" s="757"/>
      <c r="AM80" s="757"/>
      <c r="AN80" s="754"/>
      <c r="AO80" s="754"/>
      <c r="AP80" s="754"/>
      <c r="AQ80" s="754"/>
      <c r="AR80" s="754"/>
      <c r="AS80" s="754"/>
      <c r="AT80" s="754"/>
      <c r="AU80" s="754"/>
      <c r="AV80" s="754"/>
      <c r="AW80" s="754"/>
      <c r="AX80" s="754"/>
      <c r="AY80" s="754"/>
      <c r="AZ80" s="754"/>
      <c r="BA80" s="754"/>
      <c r="BB80" s="754"/>
      <c r="BC80" s="754"/>
      <c r="BD80" s="754"/>
      <c r="BE80" s="754"/>
      <c r="BF80" s="754"/>
      <c r="BG80" s="754"/>
      <c r="BH80" s="754"/>
    </row>
    <row r="81" spans="2:133" s="753" customFormat="1" ht="17" thickBot="1">
      <c r="B81" s="813" t="s">
        <v>188</v>
      </c>
      <c r="C81" s="806"/>
      <c r="D81" s="815"/>
      <c r="E81" s="815"/>
      <c r="F81" s="815"/>
      <c r="G81" s="815"/>
      <c r="H81" s="815"/>
      <c r="I81" s="815"/>
      <c r="J81" s="815"/>
      <c r="K81" s="815"/>
      <c r="L81" s="815"/>
      <c r="M81" s="815"/>
      <c r="N81" s="815"/>
      <c r="O81" s="816"/>
      <c r="P81" s="815"/>
      <c r="Q81" s="815"/>
      <c r="R81" s="815"/>
      <c r="S81" s="815"/>
      <c r="T81" s="815"/>
      <c r="U81" s="815"/>
      <c r="V81" s="815"/>
      <c r="W81" s="815"/>
      <c r="X81" s="815"/>
      <c r="Y81" s="815"/>
      <c r="Z81" s="815"/>
      <c r="AA81" s="816"/>
      <c r="AB81" s="815"/>
      <c r="AC81" s="815"/>
      <c r="AD81" s="815"/>
      <c r="AE81" s="815"/>
      <c r="AF81" s="815"/>
      <c r="AG81" s="815"/>
      <c r="AH81" s="815"/>
      <c r="AI81" s="815"/>
      <c r="AJ81" s="815"/>
      <c r="AK81" s="815"/>
      <c r="AL81" s="815"/>
      <c r="AM81" s="815"/>
      <c r="AN81" s="754"/>
      <c r="AO81" s="754"/>
      <c r="AP81" s="754"/>
      <c r="AQ81" s="754"/>
      <c r="AR81" s="754"/>
      <c r="AS81" s="754"/>
      <c r="AT81" s="754"/>
      <c r="AU81" s="754"/>
      <c r="AV81" s="754"/>
      <c r="AW81" s="754"/>
      <c r="AX81" s="754"/>
      <c r="AY81" s="809"/>
      <c r="AZ81" s="809"/>
      <c r="BA81" s="809"/>
      <c r="BB81" s="809"/>
      <c r="BC81" s="809"/>
      <c r="BD81" s="809"/>
      <c r="BE81" s="809"/>
      <c r="BF81" s="809"/>
      <c r="BG81" s="809"/>
      <c r="BH81" s="809"/>
      <c r="BI81" s="809"/>
      <c r="BJ81" s="809"/>
      <c r="BK81" s="809"/>
      <c r="BL81" s="809"/>
      <c r="BM81" s="809"/>
      <c r="BN81" s="809"/>
      <c r="BO81" s="809"/>
      <c r="BP81" s="809"/>
      <c r="BQ81" s="809"/>
      <c r="BR81" s="809"/>
      <c r="BS81" s="809"/>
      <c r="BT81" s="809"/>
      <c r="BU81" s="809"/>
      <c r="BV81" s="809"/>
      <c r="BW81" s="809"/>
      <c r="BX81" s="809"/>
      <c r="BY81" s="809"/>
      <c r="BZ81" s="809"/>
      <c r="CA81" s="809"/>
      <c r="CB81" s="809"/>
      <c r="CC81" s="809"/>
      <c r="CD81" s="809"/>
      <c r="CE81" s="809"/>
      <c r="CF81" s="809"/>
      <c r="CG81" s="809"/>
      <c r="CH81" s="809"/>
      <c r="CI81" s="809"/>
      <c r="CJ81" s="809"/>
      <c r="CK81" s="809"/>
      <c r="CL81" s="809"/>
      <c r="CM81" s="809"/>
      <c r="CN81" s="809"/>
      <c r="CO81" s="809"/>
      <c r="CP81" s="809"/>
      <c r="CQ81" s="809"/>
      <c r="CR81" s="809"/>
      <c r="CS81" s="809"/>
      <c r="CT81" s="809"/>
      <c r="CU81" s="809"/>
      <c r="CV81" s="809"/>
      <c r="CW81" s="809"/>
      <c r="CX81" s="809"/>
      <c r="CY81" s="809"/>
      <c r="CZ81" s="809"/>
      <c r="DA81" s="809"/>
      <c r="DB81" s="809"/>
      <c r="DC81" s="809"/>
      <c r="DD81" s="809"/>
      <c r="DE81" s="809"/>
      <c r="DF81" s="809"/>
      <c r="DG81" s="809"/>
      <c r="DH81" s="809"/>
      <c r="DI81" s="809"/>
      <c r="DJ81" s="809"/>
      <c r="DK81" s="809"/>
      <c r="DL81" s="809"/>
      <c r="DM81" s="809"/>
      <c r="DN81" s="809"/>
      <c r="DO81" s="809"/>
      <c r="DP81" s="809"/>
      <c r="DQ81" s="809"/>
      <c r="DR81" s="809"/>
      <c r="DS81" s="809"/>
      <c r="DT81" s="809"/>
      <c r="DU81" s="809"/>
      <c r="DV81" s="809"/>
      <c r="DW81" s="809"/>
      <c r="DX81" s="809"/>
      <c r="DY81" s="809"/>
      <c r="DZ81" s="809"/>
      <c r="EA81" s="809"/>
      <c r="EB81" s="809"/>
      <c r="EC81" s="809"/>
    </row>
    <row r="82" spans="2:133">
      <c r="B82" s="756" t="s">
        <v>179</v>
      </c>
      <c r="D82" s="757">
        <f>'Profit &amp; Loss'!M25</f>
        <v>50000</v>
      </c>
      <c r="E82" s="757"/>
      <c r="F82" s="757"/>
      <c r="G82" s="757"/>
      <c r="H82" s="757"/>
      <c r="I82" s="757"/>
      <c r="J82" s="757"/>
      <c r="K82" s="757"/>
      <c r="L82" s="757"/>
      <c r="M82" s="757"/>
      <c r="N82" s="757"/>
      <c r="O82" s="768"/>
      <c r="P82" s="757"/>
      <c r="Q82" s="757"/>
      <c r="R82" s="757"/>
      <c r="S82" s="757"/>
      <c r="T82" s="757"/>
      <c r="U82" s="757"/>
      <c r="V82" s="757"/>
      <c r="W82" s="757"/>
      <c r="X82" s="757"/>
      <c r="Y82" s="757"/>
      <c r="Z82" s="757"/>
      <c r="AA82" s="768"/>
      <c r="AB82" s="757"/>
      <c r="AC82" s="757"/>
      <c r="AD82" s="757"/>
      <c r="AE82" s="757"/>
      <c r="AF82" s="757"/>
      <c r="AG82" s="757"/>
      <c r="AH82" s="757"/>
      <c r="AI82" s="757"/>
      <c r="AJ82" s="757"/>
      <c r="AK82" s="757"/>
      <c r="AL82" s="757"/>
      <c r="AM82" s="757"/>
      <c r="AN82" s="754"/>
      <c r="AO82" s="754"/>
      <c r="AP82" s="754"/>
      <c r="AQ82" s="754"/>
      <c r="AR82" s="754"/>
      <c r="AS82" s="754"/>
      <c r="AT82" s="754"/>
      <c r="AU82" s="754"/>
      <c r="AV82" s="754"/>
      <c r="AW82" s="754"/>
      <c r="AX82" s="754"/>
      <c r="AY82" s="754"/>
      <c r="AZ82" s="754"/>
      <c r="BA82" s="754"/>
      <c r="BB82" s="754"/>
      <c r="BC82" s="754"/>
      <c r="BD82" s="754"/>
      <c r="BE82" s="754"/>
      <c r="BF82" s="754"/>
      <c r="BG82" s="754"/>
      <c r="BH82" s="754"/>
    </row>
    <row r="83" spans="2:133">
      <c r="B83" s="756" t="s">
        <v>186</v>
      </c>
      <c r="D83" s="757">
        <f>-'Cash Flow'!D140</f>
        <v>-682.26181843607878</v>
      </c>
      <c r="E83" s="757">
        <f>-'Cash Flow'!E140</f>
        <v>-686.75337540744954</v>
      </c>
      <c r="F83" s="757">
        <f>-'Cash Flow'!F140</f>
        <v>-691.27450179554864</v>
      </c>
      <c r="G83" s="757">
        <f>-'Cash Flow'!G140</f>
        <v>-695.8253922657027</v>
      </c>
      <c r="H83" s="757">
        <f>-'Cash Flow'!H140</f>
        <v>-700.40624276478525</v>
      </c>
      <c r="I83" s="757">
        <f>-'Cash Flow'!I140</f>
        <v>-705.01725052965344</v>
      </c>
      <c r="J83" s="757">
        <f>-'Cash Flow'!J140</f>
        <v>-709.65861409564025</v>
      </c>
      <c r="K83" s="757">
        <f>-'Cash Flow'!K140</f>
        <v>-714.33053330510324</v>
      </c>
      <c r="L83" s="757">
        <f>-'Cash Flow'!L140</f>
        <v>-719.03320931602855</v>
      </c>
      <c r="M83" s="757">
        <f>-'Cash Flow'!M140</f>
        <v>-723.76684461069237</v>
      </c>
      <c r="N83" s="757">
        <f>-'Cash Flow'!N140</f>
        <v>-728.53164300437948</v>
      </c>
      <c r="O83" s="768">
        <f>-'Cash Flow'!O140</f>
        <v>-733.32780965415827</v>
      </c>
      <c r="P83" s="757">
        <f>-'Cash Flow'!P140</f>
        <v>-738.15555106771467</v>
      </c>
      <c r="Q83" s="757">
        <f>-'Cash Flow'!Q140</f>
        <v>-743.01507511224395</v>
      </c>
      <c r="R83" s="757">
        <f>-'Cash Flow'!R140</f>
        <v>-747.90659102339953</v>
      </c>
      <c r="S83" s="757">
        <f>-'Cash Flow'!S140</f>
        <v>-752.83030941430354</v>
      </c>
      <c r="T83" s="757">
        <f>-'Cash Flow'!T140</f>
        <v>-757.7864422846144</v>
      </c>
      <c r="U83" s="757">
        <f>-'Cash Flow'!U140</f>
        <v>-762.77520302965479</v>
      </c>
      <c r="V83" s="757">
        <f>-'Cash Flow'!V140</f>
        <v>-767.79680644960001</v>
      </c>
      <c r="W83" s="757">
        <f>-'Cash Flow'!W140</f>
        <v>-772.85146875872647</v>
      </c>
      <c r="X83" s="757">
        <f>-'Cash Flow'!X140</f>
        <v>-777.9394075947215</v>
      </c>
      <c r="Y83" s="757">
        <f>-'Cash Flow'!Y140</f>
        <v>-783.06084202805334</v>
      </c>
      <c r="Z83" s="757">
        <f>-'Cash Flow'!Z140</f>
        <v>-788.21599257140474</v>
      </c>
      <c r="AA83" s="768">
        <f>-'Cash Flow'!AA140</f>
        <v>-793.40508118916648</v>
      </c>
      <c r="AB83" s="757">
        <f>-'Cash Flow'!AB140</f>
        <v>-798.62833130699516</v>
      </c>
      <c r="AC83" s="757">
        <f>-'Cash Flow'!AC140</f>
        <v>-803.88596782143281</v>
      </c>
      <c r="AD83" s="757">
        <f>-'Cash Flow'!AD140</f>
        <v>-809.17821710959061</v>
      </c>
      <c r="AE83" s="757">
        <f>-'Cash Flow'!AE140</f>
        <v>-814.50530703889547</v>
      </c>
      <c r="AF83" s="757">
        <f>-'Cash Flow'!AF140</f>
        <v>-819.86746697690148</v>
      </c>
      <c r="AG83" s="757">
        <f>-'Cash Flow'!AG140</f>
        <v>-825.2649278011661</v>
      </c>
      <c r="AH83" s="757">
        <f>-'Cash Flow'!AH140</f>
        <v>-830.69792190919043</v>
      </c>
      <c r="AI83" s="757">
        <f>-'Cash Flow'!AI140</f>
        <v>-836.166683228426</v>
      </c>
      <c r="AJ83" s="757">
        <f>-'Cash Flow'!AJ140</f>
        <v>-841.67144722634646</v>
      </c>
      <c r="AK83" s="757">
        <f>-'Cash Flow'!AK140</f>
        <v>-847.21245092058655</v>
      </c>
      <c r="AL83" s="757">
        <f>-'Cash Flow'!AL140</f>
        <v>-852.78993288914705</v>
      </c>
      <c r="AM83" s="757">
        <f>-'Cash Flow'!AM140</f>
        <v>-858.40413328066722</v>
      </c>
      <c r="AN83" s="754"/>
      <c r="AO83" s="754"/>
      <c r="AP83" s="754"/>
      <c r="AQ83" s="754"/>
      <c r="AR83" s="754"/>
      <c r="AS83" s="754"/>
      <c r="AT83" s="754"/>
      <c r="AU83" s="754"/>
      <c r="AV83" s="754"/>
      <c r="AW83" s="754"/>
      <c r="AX83" s="754"/>
      <c r="AY83" s="754"/>
      <c r="AZ83" s="754"/>
      <c r="BA83" s="754"/>
      <c r="BB83" s="754"/>
      <c r="BC83" s="754"/>
      <c r="BD83" s="754"/>
      <c r="BE83" s="754"/>
      <c r="BF83" s="754"/>
      <c r="BG83" s="754"/>
      <c r="BH83" s="754"/>
    </row>
    <row r="84" spans="2:133">
      <c r="B84" s="756" t="s">
        <v>180</v>
      </c>
      <c r="D84" s="757">
        <f>D82+D83</f>
        <v>49317.738181563924</v>
      </c>
      <c r="E84" s="757">
        <f>E83+D84</f>
        <v>48630.984806156477</v>
      </c>
      <c r="F84" s="757">
        <f t="shared" ref="F84:AM84" si="40">F83+E84</f>
        <v>47939.710304360931</v>
      </c>
      <c r="G84" s="757">
        <f t="shared" si="40"/>
        <v>47243.884912095229</v>
      </c>
      <c r="H84" s="757">
        <f t="shared" si="40"/>
        <v>46543.478669330441</v>
      </c>
      <c r="I84" s="757">
        <f t="shared" si="40"/>
        <v>45838.461418800791</v>
      </c>
      <c r="J84" s="757">
        <f t="shared" si="40"/>
        <v>45128.802804705148</v>
      </c>
      <c r="K84" s="757">
        <f t="shared" si="40"/>
        <v>44414.472271400045</v>
      </c>
      <c r="L84" s="757">
        <f t="shared" si="40"/>
        <v>43695.43906208402</v>
      </c>
      <c r="M84" s="757">
        <f t="shared" si="40"/>
        <v>42971.67221747333</v>
      </c>
      <c r="N84" s="757">
        <f t="shared" si="40"/>
        <v>42243.140574468947</v>
      </c>
      <c r="O84" s="768">
        <f t="shared" si="40"/>
        <v>41509.812764814786</v>
      </c>
      <c r="P84" s="757">
        <f t="shared" si="40"/>
        <v>40771.657213747072</v>
      </c>
      <c r="Q84" s="757">
        <f t="shared" si="40"/>
        <v>40028.64213863483</v>
      </c>
      <c r="R84" s="757">
        <f t="shared" si="40"/>
        <v>39280.735547611432</v>
      </c>
      <c r="S84" s="757">
        <f t="shared" si="40"/>
        <v>38527.905238197127</v>
      </c>
      <c r="T84" s="757">
        <f t="shared" si="40"/>
        <v>37770.118795912509</v>
      </c>
      <c r="U84" s="757">
        <f t="shared" si="40"/>
        <v>37007.343592882855</v>
      </c>
      <c r="V84" s="757">
        <f t="shared" si="40"/>
        <v>36239.546786433253</v>
      </c>
      <c r="W84" s="757">
        <f t="shared" si="40"/>
        <v>35466.69531767453</v>
      </c>
      <c r="X84" s="757">
        <f t="shared" si="40"/>
        <v>34688.75591007981</v>
      </c>
      <c r="Y84" s="757">
        <f t="shared" si="40"/>
        <v>33905.695068051755</v>
      </c>
      <c r="Z84" s="757">
        <f t="shared" si="40"/>
        <v>33117.479075480347</v>
      </c>
      <c r="AA84" s="768">
        <f t="shared" si="40"/>
        <v>32324.073994291182</v>
      </c>
      <c r="AB84" s="757">
        <f t="shared" si="40"/>
        <v>31525.445662984188</v>
      </c>
      <c r="AC84" s="757">
        <f t="shared" si="40"/>
        <v>30721.559695162756</v>
      </c>
      <c r="AD84" s="757">
        <f t="shared" si="40"/>
        <v>29912.381478053165</v>
      </c>
      <c r="AE84" s="757">
        <f t="shared" si="40"/>
        <v>29097.876171014268</v>
      </c>
      <c r="AF84" s="757">
        <f t="shared" si="40"/>
        <v>28278.008704037366</v>
      </c>
      <c r="AG84" s="757">
        <f t="shared" si="40"/>
        <v>27452.743776236199</v>
      </c>
      <c r="AH84" s="757">
        <f t="shared" si="40"/>
        <v>26622.045854327007</v>
      </c>
      <c r="AI84" s="757">
        <f t="shared" si="40"/>
        <v>25785.879171098582</v>
      </c>
      <c r="AJ84" s="757">
        <f t="shared" si="40"/>
        <v>24944.207723872238</v>
      </c>
      <c r="AK84" s="757">
        <f t="shared" si="40"/>
        <v>24096.995272951652</v>
      </c>
      <c r="AL84" s="757">
        <f t="shared" si="40"/>
        <v>23244.205340062505</v>
      </c>
      <c r="AM84" s="757">
        <f t="shared" si="40"/>
        <v>22385.801206781838</v>
      </c>
      <c r="AN84" s="754"/>
      <c r="AO84" s="754"/>
      <c r="AP84" s="754"/>
      <c r="AQ84" s="754"/>
      <c r="AR84" s="754"/>
      <c r="AS84" s="754"/>
      <c r="AT84" s="754"/>
      <c r="AU84" s="754"/>
      <c r="AV84" s="754"/>
      <c r="AW84" s="754"/>
      <c r="AX84" s="754"/>
      <c r="AY84" s="754"/>
      <c r="AZ84" s="754"/>
      <c r="BA84" s="754"/>
      <c r="BB84" s="754"/>
      <c r="BC84" s="754"/>
      <c r="BD84" s="754"/>
      <c r="BE84" s="754"/>
      <c r="BF84" s="754"/>
      <c r="BG84" s="754"/>
      <c r="BH84" s="754"/>
    </row>
    <row r="85" spans="2:133" s="753" customFormat="1">
      <c r="B85" s="824" t="s">
        <v>450</v>
      </c>
      <c r="C85" s="825"/>
      <c r="D85" s="826">
        <f>IF(E51&gt;'Profit &amp; Loss'!$M27,0,-CUMPRINC('Profit &amp; Loss'!$M26/12,'Profit &amp; Loss'!$M27,'Profit &amp; Loss'!$M25,D51+1,MIN(D51+12,'Profit &amp; Loss'!$M27),0))</f>
        <v>8546.0809678168553</v>
      </c>
      <c r="E85" s="826">
        <f>IF(F51&gt;'Profit &amp; Loss'!$M27,0,-CUMPRINC('Profit &amp; Loss'!$M26/12,'Profit &amp; Loss'!$M27,'Profit &amp; Loss'!$M25,E51+1,MIN(E51+12,'Profit &amp; Loss'!$M27),0))</f>
        <v>8602.3426675216506</v>
      </c>
      <c r="F85" s="826">
        <f>IF(G51&gt;'Profit &amp; Loss'!$M27,0,-CUMPRINC('Profit &amp; Loss'!$M26/12,'Profit &amp; Loss'!$M27,'Profit &amp; Loss'!$M25,F51+1,MIN(F51+12,'Profit &amp; Loss'!$M27),0))</f>
        <v>8658.9747567495015</v>
      </c>
      <c r="G85" s="826">
        <f>IF(H51&gt;'Profit &amp; Loss'!$M27,0,-CUMPRINC('Profit &amp; Loss'!$M26/12,'Profit &amp; Loss'!$M27,'Profit &amp; Loss'!$M25,G51+1,MIN(G51+12,'Profit &amp; Loss'!$M27),0))</f>
        <v>8715.9796738981004</v>
      </c>
      <c r="H85" s="826">
        <f>IF(I51&gt;'Profit &amp; Loss'!$M27,0,-CUMPRINC('Profit &amp; Loss'!$M26/12,'Profit &amp; Loss'!$M27,'Profit &amp; Loss'!$M25,H51+1,MIN(H51+12,'Profit &amp; Loss'!$M27),0))</f>
        <v>8773.3598734179304</v>
      </c>
      <c r="I85" s="826">
        <f>IF(J51&gt;'Profit &amp; Loss'!$M27,0,-CUMPRINC('Profit &amp; Loss'!$M26/12,'Profit &amp; Loss'!$M27,'Profit &amp; Loss'!$M25,I51+1,MIN(I51+12,'Profit &amp; Loss'!$M27),0))</f>
        <v>8831.1178259179324</v>
      </c>
      <c r="J85" s="826">
        <f>IF(K51&gt;'Profit &amp; Loss'!$M27,0,-CUMPRINC('Profit &amp; Loss'!$M26/12,'Profit &amp; Loss'!$M27,'Profit &amp; Loss'!$M25,J51+1,MIN(J51+12,'Profit &amp; Loss'!$M27),0))</f>
        <v>8889.2560182718917</v>
      </c>
      <c r="K85" s="826">
        <f>IF(L51&gt;'Profit &amp; Loss'!$M27,0,-CUMPRINC('Profit &amp; Loss'!$M26/12,'Profit &amp; Loss'!$M27,'Profit &amp; Loss'!$M25,K51+1,MIN(K51+12,'Profit &amp; Loss'!$M27),0))</f>
        <v>8947.7769537255153</v>
      </c>
      <c r="L85" s="826">
        <f>IF(M51&gt;'Profit &amp; Loss'!$M27,0,-CUMPRINC('Profit &amp; Loss'!$M26/12,'Profit &amp; Loss'!$M27,'Profit &amp; Loss'!$M25,L51+1,MIN(L51+12,'Profit &amp; Loss'!$M27),0))</f>
        <v>9006.6831520042088</v>
      </c>
      <c r="M85" s="826">
        <f>IF(N51&gt;'Profit &amp; Loss'!$M27,0,-CUMPRINC('Profit &amp; Loss'!$M26/12,'Profit &amp; Loss'!$M27,'Profit &amp; Loss'!$M25,M51+1,MIN(M51+12,'Profit &amp; Loss'!$M27),0))</f>
        <v>9065.9771494215693</v>
      </c>
      <c r="N85" s="826">
        <f>IF(O51&gt;'Profit &amp; Loss'!$M27,0,-CUMPRINC('Profit &amp; Loss'!$M26/12,'Profit &amp; Loss'!$M27,'Profit &amp; Loss'!$M25,N51+1,MIN(N51+12,'Profit &amp; Loss'!$M27),0))</f>
        <v>9125.6614989885948</v>
      </c>
      <c r="O85" s="827">
        <f>IF(P51&gt;'Profit &amp; Loss'!$M27,0,-CUMPRINC('Profit &amp; Loss'!$M26/12,'Profit &amp; Loss'!$M27,'Profit &amp; Loss'!$M25,O51+1,MIN(O51+12,'Profit &amp; Loss'!$M27),0))</f>
        <v>9185.7387705236033</v>
      </c>
      <c r="P85" s="826">
        <f>IF(Q51&gt;'Profit &amp; Loss'!$M27,0,-CUMPRINC('Profit &amp; Loss'!$M26/12,'Profit &amp; Loss'!$M27,'Profit &amp; Loss'!$M25,P51+1,MIN(P51+12,'Profit &amp; Loss'!$M27),0))</f>
        <v>9246.2115507628841</v>
      </c>
      <c r="Q85" s="826">
        <f>IF(R51&gt;'Profit &amp; Loss'!$M27,0,-CUMPRINC('Profit &amp; Loss'!$M26/12,'Profit &amp; Loss'!$M27,'Profit &amp; Loss'!$M25,Q51+1,MIN(Q51+12,'Profit &amp; Loss'!$M27),0))</f>
        <v>9307.0824434720726</v>
      </c>
      <c r="R85" s="826">
        <f>IF(S51&gt;'Profit &amp; Loss'!$M27,0,-CUMPRINC('Profit &amp; Loss'!$M26/12,'Profit &amp; Loss'!$M27,'Profit &amp; Loss'!$M25,R51+1,MIN(R51+12,'Profit &amp; Loss'!$M27),0))</f>
        <v>9368.3540695582633</v>
      </c>
      <c r="S85" s="826">
        <f>IF(T51&gt;'Profit &amp; Loss'!$M27,0,-CUMPRINC('Profit &amp; Loss'!$M26/12,'Profit &amp; Loss'!$M27,'Profit &amp; Loss'!$M25,S51+1,MIN(S51+12,'Profit &amp; Loss'!$M27),0))</f>
        <v>9430.0290671828552</v>
      </c>
      <c r="T85" s="826">
        <f>IF(U51&gt;'Profit &amp; Loss'!$M27,0,-CUMPRINC('Profit &amp; Loss'!$M26/12,'Profit &amp; Loss'!$M27,'Profit &amp; Loss'!$M25,T51+1,MIN(T51+12,'Profit &amp; Loss'!$M27),0))</f>
        <v>9492.1100918751436</v>
      </c>
      <c r="U85" s="826">
        <f>IF(V51&gt;'Profit &amp; Loss'!$M27,0,-CUMPRINC('Profit &amp; Loss'!$M26/12,'Profit &amp; Loss'!$M27,'Profit &amp; Loss'!$M25,U51+1,MIN(U51+12,'Profit &amp; Loss'!$M27),0))</f>
        <v>9554.5998166466543</v>
      </c>
      <c r="V85" s="826">
        <f>IF(W51&gt;'Profit &amp; Loss'!$M27,0,-CUMPRINC('Profit &amp; Loss'!$M26/12,'Profit &amp; Loss'!$M27,'Profit &amp; Loss'!$M25,V51+1,MIN(V51+12,'Profit &amp; Loss'!$M27),0))</f>
        <v>9617.5009321062444</v>
      </c>
      <c r="W85" s="826">
        <f>IF(X51&gt;'Profit &amp; Loss'!$M27,0,-CUMPRINC('Profit &amp; Loss'!$M26/12,'Profit &amp; Loss'!$M27,'Profit &amp; Loss'!$M25,W51+1,MIN(W51+12,'Profit &amp; Loss'!$M27),0))</f>
        <v>9680.816146575944</v>
      </c>
      <c r="X85" s="826">
        <f>IF(Y51&gt;'Profit &amp; Loss'!$M27,0,-CUMPRINC('Profit &amp; Loss'!$M26/12,'Profit &amp; Loss'!$M27,'Profit &amp; Loss'!$M25,X51+1,MIN(X51+12,'Profit &amp; Loss'!$M27),0))</f>
        <v>9744.5481862075685</v>
      </c>
      <c r="Y85" s="826">
        <f>IF(Z51&gt;'Profit &amp; Loss'!$M27,0,-CUMPRINC('Profit &amp; Loss'!$M26/12,'Profit &amp; Loss'!$M27,'Profit &amp; Loss'!$M25,Y51+1,MIN(Y51+12,'Profit &amp; Loss'!$M27),0))</f>
        <v>9808.6997951001031</v>
      </c>
      <c r="Z85" s="826">
        <f>IF(AA51&gt;'Profit &amp; Loss'!$M27,0,-CUMPRINC('Profit &amp; Loss'!$M26/12,'Profit &amp; Loss'!$M27,'Profit &amp; Loss'!$M25,Z51+1,MIN(Z51+12,'Profit &amp; Loss'!$M27),0))</f>
        <v>9873.2737354178444</v>
      </c>
      <c r="AA85" s="827">
        <f>IF(AB51&gt;'Profit &amp; Loss'!$M27,0,-CUMPRINC('Profit &amp; Loss'!$M26/12,'Profit &amp; Loss'!$M27,'Profit &amp; Loss'!$M25,AA51+1,MIN(AA51+12,'Profit &amp; Loss'!$M27),0))</f>
        <v>9938.2727875093442</v>
      </c>
      <c r="AB85" s="826">
        <f>IF(AC51&gt;'Profit &amp; Loss'!$M27,0,-CUMPRINC('Profit &amp; Loss'!$M26/12,'Profit &amp; Loss'!$M27,'Profit &amp; Loss'!$M25,AB51+1,MIN(AB51+12,'Profit &amp; Loss'!$M27),0))</f>
        <v>10003.699750027115</v>
      </c>
      <c r="AC85" s="826">
        <f>IF(AD51&gt;'Profit &amp; Loss'!$M27,0,-CUMPRINC('Profit &amp; Loss'!$M26/12,'Profit &amp; Loss'!$M27,'Profit &amp; Loss'!$M25,AC51+1,MIN(AC51+12,'Profit &amp; Loss'!$M27),0))</f>
        <v>10069.557440048127</v>
      </c>
      <c r="AD85" s="826">
        <f>IF(AE51&gt;'Profit &amp; Loss'!$M27,0,-CUMPRINC('Profit &amp; Loss'!$M26/12,'Profit &amp; Loss'!$M27,'Profit &amp; Loss'!$M25,AD51+1,MIN(AD51+12,'Profit &amp; Loss'!$M27),0))</f>
        <v>10135.84869319511</v>
      </c>
      <c r="AE85" s="826">
        <f>IF(AF51&gt;'Profit &amp; Loss'!$M27,0,-CUMPRINC('Profit &amp; Loss'!$M26/12,'Profit &amp; Loss'!$M27,'Profit &amp; Loss'!$M25,AE51+1,MIN(AE51+12,'Profit &amp; Loss'!$M27),0))</f>
        <v>10202.576363758644</v>
      </c>
      <c r="AF85" s="826">
        <f>IF(AG51&gt;'Profit &amp; Loss'!$M27,0,-CUMPRINC('Profit &amp; Loss'!$M26/12,'Profit &amp; Loss'!$M27,'Profit &amp; Loss'!$M25,AF51+1,MIN(AF51+12,'Profit &amp; Loss'!$M27),0))</f>
        <v>10269.743324820054</v>
      </c>
      <c r="AG85" s="826">
        <f>IF(AH51&gt;'Profit &amp; Loss'!$M27,0,-CUMPRINC('Profit &amp; Loss'!$M26/12,'Profit &amp; Loss'!$M27,'Profit &amp; Loss'!$M25,AG51+1,MIN(AG51+12,'Profit &amp; Loss'!$M27),0))</f>
        <v>10337.352468375122</v>
      </c>
      <c r="AH85" s="826">
        <f>IF(AI51&gt;'Profit &amp; Loss'!$M27,0,-CUMPRINC('Profit &amp; Loss'!$M26/12,'Profit &amp; Loss'!$M27,'Profit &amp; Loss'!$M25,AH51+1,MIN(AH51+12,'Profit &amp; Loss'!$M27),0))</f>
        <v>10405.40670545859</v>
      </c>
      <c r="AI85" s="826">
        <f>IF(AJ51&gt;'Profit &amp; Loss'!$M27,0,-CUMPRINC('Profit &amp; Loss'!$M26/12,'Profit &amp; Loss'!$M27,'Profit &amp; Loss'!$M25,AI51+1,MIN(AI51+12,'Profit &amp; Loss'!$M27),0))</f>
        <v>10473.908966269524</v>
      </c>
      <c r="AJ85" s="826">
        <f>IF(AK51&gt;'Profit &amp; Loss'!$M27,0,-CUMPRINC('Profit &amp; Loss'!$M26/12,'Profit &amp; Loss'!$M27,'Profit &amp; Loss'!$M25,AJ51+1,MIN(AJ51+12,'Profit &amp; Loss'!$M27),0))</f>
        <v>10542.862200297466</v>
      </c>
      <c r="AK85" s="826">
        <f>IF(AL51&gt;'Profit &amp; Loss'!$M27,0,-CUMPRINC('Profit &amp; Loss'!$M26/12,'Profit &amp; Loss'!$M27,'Profit &amp; Loss'!$M25,AK51+1,MIN(AK51+12,'Profit &amp; Loss'!$M27),0))</f>
        <v>10612.269376449425</v>
      </c>
      <c r="AL85" s="826">
        <f>IF(AM51&gt;'Profit &amp; Loss'!$M27,0,-CUMPRINC('Profit &amp; Loss'!$M26/12,'Profit &amp; Loss'!$M27,'Profit &amp; Loss'!$M25,AL51+1,MIN(AL51+12,'Profit &amp; Loss'!$M27),0))</f>
        <v>10682.133483177717</v>
      </c>
      <c r="AM85" s="826">
        <f>IF(AN51&gt;'Profit &amp; Loss'!$M27,0,-CUMPRINC('Profit &amp; Loss'!$M26/12,'Profit &amp; Loss'!$M27,'Profit &amp; Loss'!$M25,AM51+1,MIN(AM51+12,'Profit &amp; Loss'!$M27),0))</f>
        <v>10752.457528608636</v>
      </c>
      <c r="AN85" s="769"/>
      <c r="AO85" s="769"/>
      <c r="AP85" s="769"/>
      <c r="AQ85" s="769"/>
      <c r="AR85" s="769"/>
      <c r="AS85" s="769"/>
      <c r="AT85" s="769"/>
      <c r="AU85" s="769"/>
      <c r="AV85" s="769"/>
      <c r="AW85" s="769"/>
      <c r="AX85" s="769"/>
      <c r="AY85" s="769"/>
      <c r="AZ85" s="769"/>
      <c r="BA85" s="769"/>
      <c r="BB85" s="769"/>
      <c r="BC85" s="769"/>
      <c r="BD85" s="769"/>
      <c r="BE85" s="769"/>
      <c r="BF85" s="769"/>
      <c r="BG85" s="769"/>
      <c r="BH85" s="769"/>
    </row>
    <row r="86" spans="2:133" s="753" customFormat="1" ht="17" thickBot="1">
      <c r="B86" s="828" t="s">
        <v>451</v>
      </c>
      <c r="C86" s="829"/>
      <c r="D86" s="830">
        <f>D84-D85</f>
        <v>40771.657213747065</v>
      </c>
      <c r="E86" s="830">
        <f t="shared" ref="E86:AM86" si="41">E84-E85</f>
        <v>40028.642138634823</v>
      </c>
      <c r="F86" s="830">
        <f t="shared" si="41"/>
        <v>39280.735547611432</v>
      </c>
      <c r="G86" s="830">
        <f t="shared" si="41"/>
        <v>38527.905238197127</v>
      </c>
      <c r="H86" s="830">
        <f t="shared" si="41"/>
        <v>37770.118795912509</v>
      </c>
      <c r="I86" s="830">
        <f t="shared" si="41"/>
        <v>37007.343592882855</v>
      </c>
      <c r="J86" s="830">
        <f t="shared" si="41"/>
        <v>36239.54678643326</v>
      </c>
      <c r="K86" s="830">
        <f t="shared" si="41"/>
        <v>35466.69531767453</v>
      </c>
      <c r="L86" s="830">
        <f t="shared" si="41"/>
        <v>34688.75591007981</v>
      </c>
      <c r="M86" s="830">
        <f t="shared" si="41"/>
        <v>33905.695068051762</v>
      </c>
      <c r="N86" s="830">
        <f t="shared" si="41"/>
        <v>33117.479075480354</v>
      </c>
      <c r="O86" s="831">
        <f t="shared" si="41"/>
        <v>32324.073994291182</v>
      </c>
      <c r="P86" s="830">
        <f t="shared" si="41"/>
        <v>31525.445662984188</v>
      </c>
      <c r="Q86" s="830">
        <f t="shared" si="41"/>
        <v>30721.559695162759</v>
      </c>
      <c r="R86" s="830">
        <f t="shared" si="41"/>
        <v>29912.381478053168</v>
      </c>
      <c r="S86" s="830">
        <f t="shared" si="41"/>
        <v>29097.876171014272</v>
      </c>
      <c r="T86" s="830">
        <f t="shared" si="41"/>
        <v>28278.008704037366</v>
      </c>
      <c r="U86" s="830">
        <f t="shared" si="41"/>
        <v>27452.743776236202</v>
      </c>
      <c r="V86" s="830">
        <f t="shared" si="41"/>
        <v>26622.045854327007</v>
      </c>
      <c r="W86" s="830">
        <f t="shared" si="41"/>
        <v>25785.879171098586</v>
      </c>
      <c r="X86" s="830">
        <f t="shared" si="41"/>
        <v>24944.207723872241</v>
      </c>
      <c r="Y86" s="830">
        <f t="shared" si="41"/>
        <v>24096.995272951652</v>
      </c>
      <c r="Z86" s="830">
        <f t="shared" si="41"/>
        <v>23244.205340062501</v>
      </c>
      <c r="AA86" s="831">
        <f t="shared" si="41"/>
        <v>22385.801206781838</v>
      </c>
      <c r="AB86" s="830">
        <f t="shared" si="41"/>
        <v>21521.745912957071</v>
      </c>
      <c r="AC86" s="830">
        <f t="shared" si="41"/>
        <v>20652.002255114628</v>
      </c>
      <c r="AD86" s="830">
        <f t="shared" si="41"/>
        <v>19776.532784858056</v>
      </c>
      <c r="AE86" s="830">
        <f t="shared" si="41"/>
        <v>18895.299807255622</v>
      </c>
      <c r="AF86" s="830">
        <f t="shared" si="41"/>
        <v>18008.265379217311</v>
      </c>
      <c r="AG86" s="830">
        <f t="shared" si="41"/>
        <v>17115.391307861079</v>
      </c>
      <c r="AH86" s="830">
        <f t="shared" si="41"/>
        <v>16216.639148868417</v>
      </c>
      <c r="AI86" s="830">
        <f t="shared" si="41"/>
        <v>15311.970204829058</v>
      </c>
      <c r="AJ86" s="830">
        <f t="shared" si="41"/>
        <v>14401.345523574772</v>
      </c>
      <c r="AK86" s="830">
        <f t="shared" si="41"/>
        <v>13484.725896502227</v>
      </c>
      <c r="AL86" s="830">
        <f t="shared" si="41"/>
        <v>12562.071856884788</v>
      </c>
      <c r="AM86" s="830">
        <f t="shared" si="41"/>
        <v>11633.343678173202</v>
      </c>
      <c r="AN86" s="769"/>
      <c r="AO86" s="769"/>
      <c r="AP86" s="769"/>
      <c r="AQ86" s="769"/>
      <c r="AR86" s="769"/>
      <c r="AS86" s="769"/>
      <c r="AT86" s="769"/>
      <c r="AU86" s="769"/>
      <c r="AV86" s="769"/>
      <c r="AW86" s="769"/>
      <c r="AX86" s="769"/>
      <c r="AY86" s="769"/>
      <c r="AZ86" s="769"/>
      <c r="BA86" s="769"/>
      <c r="BB86" s="769"/>
      <c r="BC86" s="769"/>
      <c r="BD86" s="769"/>
      <c r="BE86" s="769"/>
      <c r="BF86" s="769"/>
      <c r="BG86" s="769"/>
      <c r="BH86" s="769"/>
    </row>
    <row r="87" spans="2:133" ht="20" customHeight="1" thickTop="1">
      <c r="D87" s="757"/>
      <c r="E87" s="757"/>
      <c r="F87" s="832"/>
      <c r="G87" s="833"/>
      <c r="H87" s="833"/>
      <c r="I87" s="833"/>
      <c r="J87" s="833"/>
      <c r="K87" s="757"/>
      <c r="L87" s="757"/>
      <c r="M87" s="757"/>
      <c r="N87" s="757"/>
      <c r="O87" s="768"/>
      <c r="P87" s="776"/>
      <c r="Q87" s="757"/>
      <c r="R87" s="757"/>
      <c r="S87" s="757"/>
      <c r="T87" s="757"/>
      <c r="U87" s="757"/>
      <c r="V87" s="757"/>
      <c r="W87" s="757"/>
      <c r="X87" s="757"/>
      <c r="Y87" s="757"/>
      <c r="Z87" s="757"/>
      <c r="AA87" s="768"/>
      <c r="AB87" s="776"/>
      <c r="AC87" s="757"/>
      <c r="AD87" s="757"/>
      <c r="AE87" s="757"/>
      <c r="AF87" s="757"/>
      <c r="AG87" s="757"/>
      <c r="AH87" s="757"/>
      <c r="AI87" s="757"/>
      <c r="AJ87" s="757"/>
      <c r="AK87" s="757"/>
      <c r="AL87" s="757"/>
      <c r="AM87" s="757"/>
      <c r="AN87" s="754"/>
      <c r="AO87" s="754"/>
      <c r="AP87" s="754"/>
      <c r="AQ87" s="754"/>
      <c r="AR87" s="754"/>
      <c r="AS87" s="754"/>
      <c r="AT87" s="754"/>
      <c r="AU87" s="754"/>
      <c r="AV87" s="754"/>
      <c r="AW87" s="754"/>
      <c r="AX87" s="754"/>
      <c r="AY87" s="754"/>
      <c r="AZ87" s="754"/>
      <c r="BA87" s="754"/>
      <c r="BB87" s="754"/>
      <c r="BC87" s="754"/>
      <c r="BD87" s="754"/>
      <c r="BE87" s="754"/>
      <c r="BF87" s="754"/>
      <c r="BG87" s="754"/>
      <c r="BH87" s="754"/>
    </row>
    <row r="88" spans="2:133" s="753" customFormat="1" ht="17" thickBot="1">
      <c r="B88" s="813" t="s">
        <v>190</v>
      </c>
      <c r="C88" s="806"/>
      <c r="D88" s="815"/>
      <c r="E88" s="815"/>
      <c r="F88" s="815"/>
      <c r="G88" s="815"/>
      <c r="H88" s="815"/>
      <c r="I88" s="815"/>
      <c r="J88" s="815"/>
      <c r="K88" s="815"/>
      <c r="L88" s="815"/>
      <c r="M88" s="815"/>
      <c r="N88" s="815"/>
      <c r="O88" s="816"/>
      <c r="P88" s="815"/>
      <c r="Q88" s="815"/>
      <c r="R88" s="815"/>
      <c r="S88" s="815"/>
      <c r="T88" s="815"/>
      <c r="U88" s="815"/>
      <c r="V88" s="815"/>
      <c r="W88" s="815"/>
      <c r="X88" s="815"/>
      <c r="Y88" s="815"/>
      <c r="Z88" s="815"/>
      <c r="AA88" s="816"/>
      <c r="AB88" s="815"/>
      <c r="AC88" s="815"/>
      <c r="AD88" s="815"/>
      <c r="AE88" s="815"/>
      <c r="AF88" s="815"/>
      <c r="AG88" s="815"/>
      <c r="AH88" s="815"/>
      <c r="AI88" s="815"/>
      <c r="AJ88" s="815"/>
      <c r="AK88" s="815"/>
      <c r="AL88" s="815"/>
      <c r="AM88" s="815"/>
      <c r="AN88" s="754"/>
      <c r="AO88" s="754"/>
      <c r="AP88" s="754"/>
      <c r="AQ88" s="754"/>
      <c r="AR88" s="754"/>
      <c r="AS88" s="754"/>
      <c r="AT88" s="754"/>
      <c r="AU88" s="754"/>
      <c r="AV88" s="754"/>
      <c r="AW88" s="754"/>
      <c r="AX88" s="754"/>
      <c r="AY88" s="809"/>
      <c r="AZ88" s="809"/>
      <c r="BA88" s="809"/>
      <c r="BB88" s="809"/>
      <c r="BC88" s="809"/>
      <c r="BD88" s="809"/>
      <c r="BE88" s="809"/>
      <c r="BF88" s="809"/>
      <c r="BG88" s="809"/>
      <c r="BH88" s="809"/>
      <c r="BI88" s="809"/>
      <c r="BJ88" s="809"/>
      <c r="BK88" s="809"/>
      <c r="BL88" s="809"/>
      <c r="BM88" s="809"/>
      <c r="BN88" s="809"/>
      <c r="BO88" s="809"/>
      <c r="BP88" s="809"/>
      <c r="BQ88" s="809"/>
      <c r="BR88" s="809"/>
      <c r="BS88" s="809"/>
      <c r="BT88" s="809"/>
      <c r="BU88" s="809"/>
      <c r="BV88" s="809"/>
      <c r="BW88" s="809"/>
      <c r="BX88" s="809"/>
      <c r="BY88" s="809"/>
      <c r="BZ88" s="809"/>
      <c r="CA88" s="809"/>
      <c r="CB88" s="809"/>
      <c r="CC88" s="809"/>
      <c r="CD88" s="809"/>
      <c r="CE88" s="809"/>
      <c r="CF88" s="809"/>
      <c r="CG88" s="809"/>
      <c r="CH88" s="809"/>
      <c r="CI88" s="809"/>
      <c r="CJ88" s="809"/>
      <c r="CK88" s="809"/>
      <c r="CL88" s="809"/>
      <c r="CM88" s="809"/>
      <c r="CN88" s="809"/>
      <c r="CO88" s="809"/>
      <c r="CP88" s="809"/>
      <c r="CQ88" s="809"/>
      <c r="CR88" s="809"/>
      <c r="CS88" s="809"/>
      <c r="CT88" s="809"/>
      <c r="CU88" s="809"/>
      <c r="CV88" s="809"/>
      <c r="CW88" s="809"/>
      <c r="CX88" s="809"/>
      <c r="CY88" s="809"/>
      <c r="CZ88" s="809"/>
      <c r="DA88" s="809"/>
      <c r="DB88" s="809"/>
      <c r="DC88" s="809"/>
      <c r="DD88" s="809"/>
      <c r="DE88" s="809"/>
      <c r="DF88" s="809"/>
      <c r="DG88" s="809"/>
      <c r="DH88" s="809"/>
      <c r="DI88" s="809"/>
      <c r="DJ88" s="809"/>
      <c r="DK88" s="809"/>
      <c r="DL88" s="809"/>
      <c r="DM88" s="809"/>
      <c r="DN88" s="809"/>
      <c r="DO88" s="809"/>
      <c r="DP88" s="809"/>
      <c r="DQ88" s="809"/>
      <c r="DR88" s="809"/>
      <c r="DS88" s="809"/>
      <c r="DT88" s="809"/>
      <c r="DU88" s="809"/>
      <c r="DV88" s="809"/>
      <c r="DW88" s="809"/>
      <c r="DX88" s="809"/>
      <c r="DY88" s="809"/>
      <c r="DZ88" s="809"/>
      <c r="EA88" s="809"/>
      <c r="EB88" s="809"/>
      <c r="EC88" s="809"/>
    </row>
    <row r="89" spans="2:133">
      <c r="B89" s="756" t="s">
        <v>30</v>
      </c>
      <c r="D89" s="757"/>
      <c r="E89" s="757">
        <f t="shared" ref="E89:J89" si="42">D92</f>
        <v>-10764.847233514285</v>
      </c>
      <c r="F89" s="757">
        <f t="shared" si="42"/>
        <v>-7016.6347696788562</v>
      </c>
      <c r="G89" s="757">
        <f t="shared" si="42"/>
        <v>0</v>
      </c>
      <c r="H89" s="757">
        <f t="shared" si="42"/>
        <v>4343.4397553017143</v>
      </c>
      <c r="I89" s="757">
        <f t="shared" si="42"/>
        <v>8971.0485938365709</v>
      </c>
      <c r="J89" s="757">
        <f t="shared" si="42"/>
        <v>0</v>
      </c>
      <c r="K89" s="757">
        <f t="shared" ref="K89:AM89" si="43">J92</f>
        <v>5263.007288689143</v>
      </c>
      <c r="L89" s="757">
        <f t="shared" si="43"/>
        <v>10696.681226728</v>
      </c>
      <c r="M89" s="757">
        <f t="shared" si="43"/>
        <v>0</v>
      </c>
      <c r="N89" s="757">
        <f t="shared" si="43"/>
        <v>6056.3115472457139</v>
      </c>
      <c r="O89" s="768">
        <f t="shared" si="43"/>
        <v>12473.774292750859</v>
      </c>
      <c r="P89" s="757">
        <f t="shared" si="43"/>
        <v>0</v>
      </c>
      <c r="Q89" s="757">
        <f t="shared" si="43"/>
        <v>5272.5769543718179</v>
      </c>
      <c r="R89" s="757">
        <f t="shared" si="43"/>
        <v>12983.607184850724</v>
      </c>
      <c r="S89" s="757">
        <f t="shared" si="43"/>
        <v>0</v>
      </c>
      <c r="T89" s="757">
        <f t="shared" si="43"/>
        <v>9390.0118646005976</v>
      </c>
      <c r="U89" s="757">
        <f t="shared" si="43"/>
        <v>19063.215781732197</v>
      </c>
      <c r="V89" s="757">
        <f t="shared" si="43"/>
        <v>0</v>
      </c>
      <c r="W89" s="757">
        <f t="shared" si="43"/>
        <v>10510.929043373604</v>
      </c>
      <c r="X89" s="757">
        <f t="shared" si="43"/>
        <v>21397.629377192286</v>
      </c>
      <c r="Y89" s="757">
        <f t="shared" si="43"/>
        <v>0</v>
      </c>
      <c r="Z89" s="757">
        <f t="shared" si="43"/>
        <v>13898.305712147767</v>
      </c>
      <c r="AA89" s="768">
        <f t="shared" si="43"/>
        <v>28350.190400365693</v>
      </c>
      <c r="AB89" s="757">
        <f t="shared" si="43"/>
        <v>0</v>
      </c>
      <c r="AC89" s="757">
        <f t="shared" si="43"/>
        <v>13939.887896559627</v>
      </c>
      <c r="AD89" s="757">
        <f t="shared" si="43"/>
        <v>30282.521183866222</v>
      </c>
      <c r="AE89" s="757">
        <f t="shared" si="43"/>
        <v>0</v>
      </c>
      <c r="AF89" s="757">
        <f t="shared" si="43"/>
        <v>17443.113385074394</v>
      </c>
      <c r="AG89" s="757">
        <f t="shared" si="43"/>
        <v>35412.798769193279</v>
      </c>
      <c r="AH89" s="757">
        <f t="shared" si="43"/>
        <v>0</v>
      </c>
      <c r="AI89" s="757">
        <f t="shared" si="43"/>
        <v>18909.920048723543</v>
      </c>
      <c r="AJ89" s="757">
        <f t="shared" si="43"/>
        <v>38223.451450639252</v>
      </c>
      <c r="AK89" s="757">
        <f t="shared" si="43"/>
        <v>0</v>
      </c>
      <c r="AL89" s="757">
        <f t="shared" si="43"/>
        <v>19986.771582391513</v>
      </c>
      <c r="AM89" s="757">
        <f t="shared" si="43"/>
        <v>40599.435460586377</v>
      </c>
      <c r="AN89" s="754"/>
      <c r="AO89" s="754"/>
      <c r="AP89" s="754"/>
      <c r="AQ89" s="754"/>
      <c r="AR89" s="754"/>
      <c r="AS89" s="754"/>
      <c r="AT89" s="754"/>
      <c r="AU89" s="754"/>
      <c r="AV89" s="754"/>
      <c r="AW89" s="754"/>
      <c r="AX89" s="754"/>
      <c r="AY89" s="754"/>
      <c r="AZ89" s="754"/>
      <c r="BA89" s="754"/>
      <c r="BB89" s="754"/>
      <c r="BC89" s="754"/>
      <c r="BD89" s="754"/>
      <c r="BE89" s="754"/>
      <c r="BF89" s="754"/>
      <c r="BG89" s="754"/>
      <c r="BH89" s="754"/>
    </row>
    <row r="90" spans="2:133">
      <c r="B90" s="756" t="s">
        <v>185</v>
      </c>
      <c r="D90" s="757">
        <f>'Cash Flow'!D107</f>
        <v>-6518.8472335142851</v>
      </c>
      <c r="E90" s="757">
        <f>'Cash Flow'!E107</f>
        <v>3748.2124638354289</v>
      </c>
      <c r="F90" s="757">
        <f>'Cash Flow'!F107</f>
        <v>2770.6347696788562</v>
      </c>
      <c r="G90" s="757">
        <f>'Cash Flow'!G107</f>
        <v>4343.4397553017143</v>
      </c>
      <c r="H90" s="757">
        <f>'Cash Flow'!H107</f>
        <v>4627.6088385348567</v>
      </c>
      <c r="I90" s="757">
        <f>'Cash Flow'!I107</f>
        <v>-8971.0485938365709</v>
      </c>
      <c r="J90" s="757">
        <f>'Cash Flow'!J107</f>
        <v>5263.007288689143</v>
      </c>
      <c r="K90" s="757">
        <f>'Cash Flow'!K107</f>
        <v>5433.6739380388562</v>
      </c>
      <c r="L90" s="757">
        <f>'Cash Flow'!L107</f>
        <v>-10696.681226728004</v>
      </c>
      <c r="M90" s="757">
        <f>'Cash Flow'!M107</f>
        <v>6056.3115472457139</v>
      </c>
      <c r="N90" s="757">
        <f>'Cash Flow'!N107</f>
        <v>6417.4627455051441</v>
      </c>
      <c r="O90" s="768">
        <f>'Cash Flow'!O107</f>
        <v>-12473.774292750859</v>
      </c>
      <c r="P90" s="757">
        <f>'Cash Flow'!P107</f>
        <v>5272.5769543718179</v>
      </c>
      <c r="Q90" s="757">
        <f>'Cash Flow'!Q107</f>
        <v>7711.0302304789066</v>
      </c>
      <c r="R90" s="757">
        <f>'Cash Flow'!R107</f>
        <v>-12983.607184850724</v>
      </c>
      <c r="S90" s="757">
        <f>'Cash Flow'!S107</f>
        <v>9390.0118646005976</v>
      </c>
      <c r="T90" s="757">
        <f>'Cash Flow'!T107</f>
        <v>9673.2039171315992</v>
      </c>
      <c r="U90" s="757">
        <f>'Cash Flow'!U107</f>
        <v>-19063.215781732197</v>
      </c>
      <c r="V90" s="757">
        <f>'Cash Flow'!V107</f>
        <v>10510.929043373604</v>
      </c>
      <c r="W90" s="757">
        <f>'Cash Flow'!W107</f>
        <v>10886.700333818684</v>
      </c>
      <c r="X90" s="757">
        <f>'Cash Flow'!X107</f>
        <v>-21397.629377192294</v>
      </c>
      <c r="Y90" s="757">
        <f>'Cash Flow'!Y107</f>
        <v>13898.305712147767</v>
      </c>
      <c r="Z90" s="757">
        <f>'Cash Flow'!Z107</f>
        <v>14451.884688217926</v>
      </c>
      <c r="AA90" s="768">
        <f>'Cash Flow'!AA107</f>
        <v>-28350.190400365689</v>
      </c>
      <c r="AB90" s="757">
        <f>'Cash Flow'!AB107</f>
        <v>13939.887896559627</v>
      </c>
      <c r="AC90" s="757">
        <f>'Cash Flow'!AC107</f>
        <v>16342.633287306593</v>
      </c>
      <c r="AD90" s="757">
        <f>'Cash Flow'!AD107</f>
        <v>-30282.521183866214</v>
      </c>
      <c r="AE90" s="757">
        <f>'Cash Flow'!AE107</f>
        <v>17443.113385074394</v>
      </c>
      <c r="AF90" s="757">
        <f>'Cash Flow'!AF107</f>
        <v>17969.685384118886</v>
      </c>
      <c r="AG90" s="757">
        <f>'Cash Flow'!AG107</f>
        <v>-35412.798769193279</v>
      </c>
      <c r="AH90" s="757">
        <f>'Cash Flow'!AH107</f>
        <v>18909.920048723543</v>
      </c>
      <c r="AI90" s="757">
        <f>'Cash Flow'!AI107</f>
        <v>19313.531401915709</v>
      </c>
      <c r="AJ90" s="757">
        <f>'Cash Flow'!AJ107</f>
        <v>-38223.451450639259</v>
      </c>
      <c r="AK90" s="757">
        <f>'Cash Flow'!AK107</f>
        <v>19986.771582391513</v>
      </c>
      <c r="AL90" s="757">
        <f>'Cash Flow'!AL107</f>
        <v>20612.66387819486</v>
      </c>
      <c r="AM90" s="757">
        <f>'Cash Flow'!AM107</f>
        <v>-40599.435460586377</v>
      </c>
      <c r="AN90" s="754"/>
      <c r="AO90" s="754"/>
      <c r="AP90" s="754"/>
      <c r="AQ90" s="754"/>
      <c r="AR90" s="754"/>
      <c r="AS90" s="754"/>
      <c r="AT90" s="754"/>
      <c r="AU90" s="754"/>
      <c r="AV90" s="754"/>
      <c r="AW90" s="754"/>
      <c r="AX90" s="754"/>
      <c r="AY90" s="754"/>
      <c r="AZ90" s="754"/>
      <c r="BA90" s="754"/>
      <c r="BB90" s="754"/>
      <c r="BC90" s="754"/>
      <c r="BD90" s="754"/>
      <c r="BE90" s="754"/>
      <c r="BF90" s="754"/>
      <c r="BG90" s="754"/>
      <c r="BH90" s="754"/>
    </row>
    <row r="91" spans="2:133">
      <c r="B91" s="756" t="s">
        <v>184</v>
      </c>
      <c r="D91" s="757">
        <f>'Cash Flow'!D111</f>
        <v>-4246</v>
      </c>
      <c r="E91" s="757">
        <f>'Cash Flow'!E111</f>
        <v>0</v>
      </c>
      <c r="F91" s="757">
        <f>'Cash Flow'!F111</f>
        <v>4246</v>
      </c>
      <c r="G91" s="757">
        <f>'Cash Flow'!G111</f>
        <v>0</v>
      </c>
      <c r="H91" s="757">
        <f>'Cash Flow'!H111</f>
        <v>0</v>
      </c>
      <c r="I91" s="757">
        <f>'Cash Flow'!I111</f>
        <v>0</v>
      </c>
      <c r="J91" s="757">
        <f>'Cash Flow'!J111</f>
        <v>0</v>
      </c>
      <c r="K91" s="757">
        <f>'Cash Flow'!K111</f>
        <v>0</v>
      </c>
      <c r="L91" s="757">
        <f>'Cash Flow'!L111</f>
        <v>0</v>
      </c>
      <c r="M91" s="757">
        <f>'Cash Flow'!M111</f>
        <v>0</v>
      </c>
      <c r="N91" s="757">
        <f>'Cash Flow'!N111</f>
        <v>0</v>
      </c>
      <c r="O91" s="768">
        <f>'Cash Flow'!O111</f>
        <v>0</v>
      </c>
      <c r="P91" s="757">
        <f>'Cash Flow'!P111</f>
        <v>0</v>
      </c>
      <c r="Q91" s="757">
        <f>'Cash Flow'!Q111</f>
        <v>0</v>
      </c>
      <c r="R91" s="757">
        <f>'Cash Flow'!R111</f>
        <v>0</v>
      </c>
      <c r="S91" s="757">
        <f>'Cash Flow'!S111</f>
        <v>0</v>
      </c>
      <c r="T91" s="757">
        <f>'Cash Flow'!T111</f>
        <v>0</v>
      </c>
      <c r="U91" s="757">
        <f>'Cash Flow'!U111</f>
        <v>0</v>
      </c>
      <c r="V91" s="757">
        <f>'Cash Flow'!V111</f>
        <v>0</v>
      </c>
      <c r="W91" s="757">
        <f>'Cash Flow'!W111</f>
        <v>0</v>
      </c>
      <c r="X91" s="757">
        <f>'Cash Flow'!X111</f>
        <v>0</v>
      </c>
      <c r="Y91" s="757">
        <f>'Cash Flow'!Y111</f>
        <v>0</v>
      </c>
      <c r="Z91" s="757">
        <f>'Cash Flow'!Z111</f>
        <v>0</v>
      </c>
      <c r="AA91" s="768">
        <f>'Cash Flow'!AA111</f>
        <v>0</v>
      </c>
      <c r="AB91" s="757">
        <f>'Cash Flow'!AB111</f>
        <v>0</v>
      </c>
      <c r="AC91" s="757">
        <f>'Cash Flow'!AC111</f>
        <v>0</v>
      </c>
      <c r="AD91" s="757">
        <f>'Cash Flow'!AD111</f>
        <v>0</v>
      </c>
      <c r="AE91" s="757">
        <f>'Cash Flow'!AE111</f>
        <v>0</v>
      </c>
      <c r="AF91" s="757">
        <f>'Cash Flow'!AF111</f>
        <v>0</v>
      </c>
      <c r="AG91" s="757">
        <f>'Cash Flow'!AG111</f>
        <v>0</v>
      </c>
      <c r="AH91" s="757">
        <f>'Cash Flow'!AH111</f>
        <v>0</v>
      </c>
      <c r="AI91" s="757">
        <f>'Cash Flow'!AI111</f>
        <v>0</v>
      </c>
      <c r="AJ91" s="757">
        <f>'Cash Flow'!AJ111</f>
        <v>0</v>
      </c>
      <c r="AK91" s="757">
        <f>'Cash Flow'!AK111</f>
        <v>0</v>
      </c>
      <c r="AL91" s="757">
        <f>'Cash Flow'!AL111</f>
        <v>0</v>
      </c>
      <c r="AM91" s="757">
        <f>'Cash Flow'!AM111</f>
        <v>0</v>
      </c>
      <c r="AN91" s="754"/>
      <c r="AO91" s="754"/>
      <c r="AP91" s="754"/>
      <c r="AQ91" s="754"/>
      <c r="AR91" s="754"/>
      <c r="AS91" s="754"/>
      <c r="AT91" s="754"/>
      <c r="AU91" s="754"/>
      <c r="AV91" s="754"/>
      <c r="AW91" s="754"/>
      <c r="AX91" s="754"/>
      <c r="AY91" s="754"/>
      <c r="AZ91" s="754"/>
      <c r="BA91" s="754"/>
      <c r="BB91" s="754"/>
      <c r="BC91" s="754"/>
      <c r="BD91" s="754"/>
      <c r="BE91" s="754"/>
      <c r="BF91" s="754"/>
      <c r="BG91" s="754"/>
      <c r="BH91" s="754"/>
    </row>
    <row r="92" spans="2:133" s="820" customFormat="1" ht="20" customHeight="1" thickBot="1">
      <c r="B92" s="817" t="s">
        <v>449</v>
      </c>
      <c r="C92" s="818"/>
      <c r="D92" s="790">
        <f t="shared" ref="D92:AM92" si="44">D89+SUM(D90:D91)</f>
        <v>-10764.847233514285</v>
      </c>
      <c r="E92" s="790">
        <f t="shared" si="44"/>
        <v>-7016.6347696788562</v>
      </c>
      <c r="F92" s="790">
        <f t="shared" si="44"/>
        <v>0</v>
      </c>
      <c r="G92" s="790">
        <f t="shared" si="44"/>
        <v>4343.4397553017143</v>
      </c>
      <c r="H92" s="790">
        <f t="shared" si="44"/>
        <v>8971.0485938365709</v>
      </c>
      <c r="I92" s="790">
        <f t="shared" si="44"/>
        <v>0</v>
      </c>
      <c r="J92" s="790">
        <f t="shared" si="44"/>
        <v>5263.007288689143</v>
      </c>
      <c r="K92" s="790">
        <f t="shared" si="44"/>
        <v>10696.681226728</v>
      </c>
      <c r="L92" s="790">
        <f t="shared" si="44"/>
        <v>0</v>
      </c>
      <c r="M92" s="790">
        <f t="shared" si="44"/>
        <v>6056.3115472457139</v>
      </c>
      <c r="N92" s="790">
        <f t="shared" si="44"/>
        <v>12473.774292750859</v>
      </c>
      <c r="O92" s="791">
        <f t="shared" si="44"/>
        <v>0</v>
      </c>
      <c r="P92" s="790">
        <f t="shared" si="44"/>
        <v>5272.5769543718179</v>
      </c>
      <c r="Q92" s="790">
        <f t="shared" si="44"/>
        <v>12983.607184850724</v>
      </c>
      <c r="R92" s="790">
        <f t="shared" si="44"/>
        <v>0</v>
      </c>
      <c r="S92" s="790">
        <f t="shared" si="44"/>
        <v>9390.0118646005976</v>
      </c>
      <c r="T92" s="790">
        <f t="shared" si="44"/>
        <v>19063.215781732197</v>
      </c>
      <c r="U92" s="790">
        <f t="shared" si="44"/>
        <v>0</v>
      </c>
      <c r="V92" s="790">
        <f t="shared" si="44"/>
        <v>10510.929043373604</v>
      </c>
      <c r="W92" s="790">
        <f t="shared" si="44"/>
        <v>21397.629377192286</v>
      </c>
      <c r="X92" s="790">
        <f t="shared" si="44"/>
        <v>0</v>
      </c>
      <c r="Y92" s="790">
        <f t="shared" si="44"/>
        <v>13898.305712147767</v>
      </c>
      <c r="Z92" s="790">
        <f t="shared" si="44"/>
        <v>28350.190400365693</v>
      </c>
      <c r="AA92" s="791">
        <f t="shared" si="44"/>
        <v>0</v>
      </c>
      <c r="AB92" s="790">
        <f t="shared" si="44"/>
        <v>13939.887896559627</v>
      </c>
      <c r="AC92" s="790">
        <f t="shared" si="44"/>
        <v>30282.521183866222</v>
      </c>
      <c r="AD92" s="790">
        <f t="shared" si="44"/>
        <v>0</v>
      </c>
      <c r="AE92" s="790">
        <f t="shared" si="44"/>
        <v>17443.113385074394</v>
      </c>
      <c r="AF92" s="790">
        <f t="shared" si="44"/>
        <v>35412.798769193279</v>
      </c>
      <c r="AG92" s="790">
        <f t="shared" si="44"/>
        <v>0</v>
      </c>
      <c r="AH92" s="790">
        <f t="shared" si="44"/>
        <v>18909.920048723543</v>
      </c>
      <c r="AI92" s="790">
        <f t="shared" si="44"/>
        <v>38223.451450639252</v>
      </c>
      <c r="AJ92" s="790">
        <f t="shared" si="44"/>
        <v>0</v>
      </c>
      <c r="AK92" s="790">
        <f t="shared" si="44"/>
        <v>19986.771582391513</v>
      </c>
      <c r="AL92" s="790">
        <f t="shared" si="44"/>
        <v>40599.435460586377</v>
      </c>
      <c r="AM92" s="790">
        <f t="shared" si="44"/>
        <v>0</v>
      </c>
      <c r="AN92" s="787"/>
      <c r="AO92" s="787"/>
      <c r="AP92" s="787"/>
      <c r="AQ92" s="787"/>
      <c r="AR92" s="787"/>
      <c r="AS92" s="787"/>
      <c r="AT92" s="787"/>
      <c r="AU92" s="787"/>
      <c r="AV92" s="787"/>
      <c r="AW92" s="787"/>
      <c r="AX92" s="787"/>
      <c r="AY92" s="819"/>
      <c r="AZ92" s="819"/>
      <c r="BA92" s="819"/>
      <c r="BB92" s="819"/>
      <c r="BC92" s="819"/>
      <c r="BD92" s="819"/>
      <c r="BE92" s="819"/>
      <c r="BF92" s="819"/>
      <c r="BG92" s="819"/>
      <c r="BH92" s="819"/>
      <c r="BI92" s="819"/>
      <c r="BJ92" s="819"/>
      <c r="BK92" s="819"/>
      <c r="BL92" s="819"/>
      <c r="BM92" s="819"/>
      <c r="BN92" s="819"/>
      <c r="BO92" s="819"/>
      <c r="BP92" s="819"/>
      <c r="BQ92" s="819"/>
      <c r="BR92" s="819"/>
      <c r="BS92" s="819"/>
      <c r="BT92" s="819"/>
      <c r="BU92" s="819"/>
      <c r="BV92" s="819"/>
      <c r="BW92" s="819"/>
      <c r="BX92" s="819"/>
      <c r="BY92" s="819"/>
      <c r="BZ92" s="819"/>
      <c r="CA92" s="819"/>
      <c r="CB92" s="819"/>
      <c r="CC92" s="819"/>
      <c r="CD92" s="819"/>
      <c r="CE92" s="819"/>
      <c r="CF92" s="819"/>
      <c r="CG92" s="819"/>
      <c r="CH92" s="819"/>
      <c r="CI92" s="819"/>
      <c r="CJ92" s="819"/>
      <c r="CK92" s="819"/>
      <c r="CL92" s="819"/>
      <c r="CM92" s="819"/>
      <c r="CN92" s="819"/>
      <c r="CO92" s="819"/>
      <c r="CP92" s="819"/>
      <c r="CQ92" s="819"/>
      <c r="CR92" s="819"/>
      <c r="CS92" s="819"/>
      <c r="CT92" s="819"/>
      <c r="CU92" s="819"/>
      <c r="CV92" s="819"/>
      <c r="CW92" s="819"/>
      <c r="CX92" s="819"/>
      <c r="CY92" s="819"/>
      <c r="CZ92" s="819"/>
      <c r="DA92" s="819"/>
      <c r="DB92" s="819"/>
      <c r="DC92" s="819"/>
      <c r="DD92" s="819"/>
      <c r="DE92" s="819"/>
      <c r="DF92" s="819"/>
      <c r="DG92" s="819"/>
      <c r="DH92" s="819"/>
      <c r="DI92" s="819"/>
      <c r="DJ92" s="819"/>
      <c r="DK92" s="819"/>
      <c r="DL92" s="819"/>
      <c r="DM92" s="819"/>
      <c r="DN92" s="819"/>
      <c r="DO92" s="819"/>
      <c r="DP92" s="819"/>
      <c r="DQ92" s="819"/>
      <c r="DR92" s="819"/>
      <c r="DS92" s="819"/>
      <c r="DT92" s="819"/>
      <c r="DU92" s="819"/>
      <c r="DV92" s="819"/>
      <c r="DW92" s="819"/>
      <c r="DX92" s="819"/>
      <c r="DY92" s="819"/>
      <c r="DZ92" s="819"/>
      <c r="EA92" s="819"/>
      <c r="EB92" s="819"/>
      <c r="EC92" s="819"/>
    </row>
    <row r="93" spans="2:133" ht="20" customHeight="1" thickTop="1">
      <c r="B93" s="754"/>
      <c r="C93" s="754"/>
      <c r="D93" s="757"/>
      <c r="E93" s="757"/>
      <c r="F93" s="757"/>
      <c r="G93" s="757"/>
      <c r="H93" s="757"/>
      <c r="I93" s="757"/>
      <c r="J93" s="757"/>
      <c r="K93" s="757"/>
      <c r="L93" s="757"/>
      <c r="M93" s="757"/>
      <c r="N93" s="757"/>
      <c r="O93" s="768"/>
      <c r="P93" s="757"/>
      <c r="Q93" s="757"/>
      <c r="R93" s="757"/>
      <c r="S93" s="757"/>
      <c r="T93" s="757"/>
      <c r="U93" s="757"/>
      <c r="V93" s="757"/>
      <c r="W93" s="757"/>
      <c r="X93" s="757"/>
      <c r="Y93" s="757"/>
      <c r="Z93" s="757"/>
      <c r="AA93" s="768"/>
      <c r="AB93" s="757"/>
      <c r="AC93" s="757"/>
      <c r="AD93" s="757"/>
      <c r="AE93" s="757"/>
      <c r="AF93" s="757"/>
      <c r="AG93" s="757"/>
      <c r="AH93" s="757"/>
      <c r="AI93" s="757"/>
      <c r="AJ93" s="757"/>
      <c r="AK93" s="757"/>
      <c r="AL93" s="757"/>
      <c r="AM93" s="757"/>
      <c r="AN93" s="754"/>
      <c r="AO93" s="754"/>
      <c r="AP93" s="754"/>
      <c r="AQ93" s="754"/>
      <c r="AR93" s="754"/>
      <c r="AS93" s="754"/>
      <c r="AT93" s="754"/>
      <c r="AU93" s="754"/>
      <c r="AV93" s="754"/>
      <c r="AW93" s="754"/>
      <c r="AX93" s="754"/>
      <c r="AY93" s="754"/>
      <c r="AZ93" s="754"/>
      <c r="BA93" s="754"/>
      <c r="BB93" s="754"/>
      <c r="BC93" s="754"/>
      <c r="BD93" s="754"/>
      <c r="BE93" s="754"/>
      <c r="BF93" s="754"/>
      <c r="BG93" s="754"/>
      <c r="BH93" s="754"/>
    </row>
    <row r="94" spans="2:133" s="753" customFormat="1" ht="17" thickBot="1">
      <c r="B94" s="813" t="s">
        <v>0</v>
      </c>
      <c r="C94" s="806"/>
      <c r="D94" s="815"/>
      <c r="E94" s="815"/>
      <c r="F94" s="815"/>
      <c r="G94" s="815"/>
      <c r="H94" s="815"/>
      <c r="I94" s="815"/>
      <c r="J94" s="815"/>
      <c r="K94" s="815"/>
      <c r="L94" s="815"/>
      <c r="M94" s="815"/>
      <c r="N94" s="815"/>
      <c r="O94" s="816"/>
      <c r="P94" s="815"/>
      <c r="Q94" s="815"/>
      <c r="R94" s="815"/>
      <c r="S94" s="815"/>
      <c r="T94" s="815"/>
      <c r="U94" s="815"/>
      <c r="V94" s="815"/>
      <c r="W94" s="815"/>
      <c r="X94" s="815"/>
      <c r="Y94" s="815"/>
      <c r="Z94" s="815"/>
      <c r="AA94" s="816"/>
      <c r="AB94" s="815"/>
      <c r="AC94" s="815"/>
      <c r="AD94" s="815"/>
      <c r="AE94" s="815"/>
      <c r="AF94" s="815"/>
      <c r="AG94" s="815"/>
      <c r="AH94" s="815"/>
      <c r="AI94" s="815"/>
      <c r="AJ94" s="815"/>
      <c r="AK94" s="815"/>
      <c r="AL94" s="815"/>
      <c r="AM94" s="815"/>
      <c r="AN94" s="754"/>
      <c r="AO94" s="754"/>
      <c r="AP94" s="754"/>
      <c r="AQ94" s="754"/>
      <c r="AR94" s="754"/>
      <c r="AS94" s="754"/>
      <c r="AT94" s="754"/>
      <c r="AU94" s="754"/>
      <c r="AV94" s="754"/>
      <c r="AW94" s="754"/>
      <c r="AX94" s="754"/>
      <c r="AY94" s="809"/>
      <c r="AZ94" s="809"/>
      <c r="BA94" s="809"/>
      <c r="BB94" s="809"/>
      <c r="BC94" s="809"/>
      <c r="BD94" s="809"/>
      <c r="BE94" s="809"/>
      <c r="BF94" s="809"/>
      <c r="BG94" s="809"/>
      <c r="BH94" s="809"/>
      <c r="BI94" s="809"/>
      <c r="BJ94" s="809"/>
      <c r="BK94" s="809"/>
      <c r="BL94" s="809"/>
      <c r="BM94" s="809"/>
      <c r="BN94" s="809"/>
      <c r="BO94" s="809"/>
      <c r="BP94" s="809"/>
      <c r="BQ94" s="809"/>
      <c r="BR94" s="809"/>
      <c r="BS94" s="809"/>
      <c r="BT94" s="809"/>
      <c r="BU94" s="809"/>
      <c r="BV94" s="809"/>
      <c r="BW94" s="809"/>
      <c r="BX94" s="809"/>
      <c r="BY94" s="809"/>
      <c r="BZ94" s="809"/>
      <c r="CA94" s="809"/>
      <c r="CB94" s="809"/>
      <c r="CC94" s="809"/>
      <c r="CD94" s="809"/>
      <c r="CE94" s="809"/>
      <c r="CF94" s="809"/>
      <c r="CG94" s="809"/>
      <c r="CH94" s="809"/>
      <c r="CI94" s="809"/>
      <c r="CJ94" s="809"/>
      <c r="CK94" s="809"/>
      <c r="CL94" s="809"/>
      <c r="CM94" s="809"/>
      <c r="CN94" s="809"/>
      <c r="CO94" s="809"/>
      <c r="CP94" s="809"/>
      <c r="CQ94" s="809"/>
      <c r="CR94" s="809"/>
      <c r="CS94" s="809"/>
      <c r="CT94" s="809"/>
      <c r="CU94" s="809"/>
      <c r="CV94" s="809"/>
      <c r="CW94" s="809"/>
      <c r="CX94" s="809"/>
      <c r="CY94" s="809"/>
      <c r="CZ94" s="809"/>
      <c r="DA94" s="809"/>
      <c r="DB94" s="809"/>
      <c r="DC94" s="809"/>
      <c r="DD94" s="809"/>
      <c r="DE94" s="809"/>
      <c r="DF94" s="809"/>
      <c r="DG94" s="809"/>
      <c r="DH94" s="809"/>
      <c r="DI94" s="809"/>
      <c r="DJ94" s="809"/>
      <c r="DK94" s="809"/>
      <c r="DL94" s="809"/>
      <c r="DM94" s="809"/>
      <c r="DN94" s="809"/>
      <c r="DO94" s="809"/>
      <c r="DP94" s="809"/>
      <c r="DQ94" s="809"/>
      <c r="DR94" s="809"/>
      <c r="DS94" s="809"/>
      <c r="DT94" s="809"/>
      <c r="DU94" s="809"/>
      <c r="DV94" s="809"/>
      <c r="DW94" s="809"/>
      <c r="DX94" s="809"/>
      <c r="DY94" s="809"/>
      <c r="DZ94" s="809"/>
      <c r="EA94" s="809"/>
      <c r="EB94" s="809"/>
      <c r="EC94" s="809"/>
    </row>
    <row r="95" spans="2:133">
      <c r="B95" s="756" t="s">
        <v>76</v>
      </c>
      <c r="C95" s="754"/>
      <c r="D95" s="757"/>
      <c r="E95" s="757">
        <f>D97</f>
        <v>0</v>
      </c>
      <c r="F95" s="757">
        <f t="shared" ref="F95:AM95" si="45">E97</f>
        <v>0</v>
      </c>
      <c r="G95" s="757">
        <f t="shared" si="45"/>
        <v>0</v>
      </c>
      <c r="H95" s="757">
        <f t="shared" si="45"/>
        <v>0</v>
      </c>
      <c r="I95" s="757">
        <f t="shared" si="45"/>
        <v>0</v>
      </c>
      <c r="J95" s="757">
        <f t="shared" si="45"/>
        <v>0</v>
      </c>
      <c r="K95" s="757">
        <f t="shared" si="45"/>
        <v>0</v>
      </c>
      <c r="L95" s="757">
        <f t="shared" si="45"/>
        <v>0</v>
      </c>
      <c r="M95" s="757">
        <f t="shared" si="45"/>
        <v>0</v>
      </c>
      <c r="N95" s="757">
        <f t="shared" si="45"/>
        <v>0</v>
      </c>
      <c r="O95" s="768">
        <f t="shared" si="45"/>
        <v>0</v>
      </c>
      <c r="P95" s="757">
        <f t="shared" si="45"/>
        <v>0</v>
      </c>
      <c r="Q95" s="757">
        <f t="shared" si="45"/>
        <v>0</v>
      </c>
      <c r="R95" s="757">
        <f t="shared" si="45"/>
        <v>0</v>
      </c>
      <c r="S95" s="757">
        <f t="shared" si="45"/>
        <v>0</v>
      </c>
      <c r="T95" s="757">
        <f t="shared" si="45"/>
        <v>0</v>
      </c>
      <c r="U95" s="757">
        <f t="shared" si="45"/>
        <v>0</v>
      </c>
      <c r="V95" s="757">
        <f t="shared" si="45"/>
        <v>0</v>
      </c>
      <c r="W95" s="757">
        <f t="shared" si="45"/>
        <v>0</v>
      </c>
      <c r="X95" s="757">
        <f t="shared" si="45"/>
        <v>0</v>
      </c>
      <c r="Y95" s="757">
        <f t="shared" ca="1" si="45"/>
        <v>0</v>
      </c>
      <c r="Z95" s="757">
        <f t="shared" ca="1" si="45"/>
        <v>0</v>
      </c>
      <c r="AA95" s="768">
        <f t="shared" ca="1" si="45"/>
        <v>819.19905920310907</v>
      </c>
      <c r="AB95" s="757">
        <f t="shared" ca="1" si="45"/>
        <v>4241.6550888651727</v>
      </c>
      <c r="AC95" s="757">
        <f t="shared" ca="1" si="45"/>
        <v>5580.2012274700401</v>
      </c>
      <c r="AD95" s="757">
        <f t="shared" ca="1" si="45"/>
        <v>7395.0495675070088</v>
      </c>
      <c r="AE95" s="757">
        <f t="shared" ca="1" si="45"/>
        <v>9761.8903535111403</v>
      </c>
      <c r="AF95" s="757">
        <f t="shared" ca="1" si="45"/>
        <v>12848.633394641329</v>
      </c>
      <c r="AG95" s="757">
        <f t="shared" ca="1" si="45"/>
        <v>16558.362654917539</v>
      </c>
      <c r="AH95" s="757">
        <f t="shared" ca="1" si="45"/>
        <v>20833.962453238688</v>
      </c>
      <c r="AI95" s="757">
        <f t="shared" ca="1" si="45"/>
        <v>25656.091697113767</v>
      </c>
      <c r="AJ95" s="757">
        <f t="shared" ca="1" si="45"/>
        <v>30955.833214627481</v>
      </c>
      <c r="AK95" s="757">
        <f t="shared" ca="1" si="45"/>
        <v>32511.916502443652</v>
      </c>
      <c r="AL95" s="757">
        <f t="shared" ca="1" si="45"/>
        <v>38618.849746751235</v>
      </c>
      <c r="AM95" s="757">
        <f t="shared" ca="1" si="45"/>
        <v>45476.579666825026</v>
      </c>
      <c r="AN95" s="754"/>
      <c r="AO95" s="754"/>
      <c r="AP95" s="754"/>
      <c r="AQ95" s="754"/>
      <c r="AR95" s="754"/>
      <c r="AS95" s="754"/>
      <c r="AT95" s="754"/>
      <c r="AU95" s="754"/>
      <c r="AV95" s="754"/>
      <c r="AW95" s="754"/>
      <c r="AX95" s="754"/>
      <c r="AY95" s="754"/>
      <c r="AZ95" s="754"/>
      <c r="BA95" s="754"/>
      <c r="BB95" s="754"/>
      <c r="BC95" s="754"/>
      <c r="BD95" s="754"/>
      <c r="BE95" s="754"/>
      <c r="BF95" s="754"/>
      <c r="BG95" s="754"/>
      <c r="BH95" s="754"/>
    </row>
    <row r="96" spans="2:133">
      <c r="B96" s="756" t="s">
        <v>183</v>
      </c>
      <c r="C96" s="754"/>
      <c r="D96" s="757">
        <f>'Cash Flow'!D117</f>
        <v>0</v>
      </c>
      <c r="E96" s="757">
        <f>'Cash Flow'!E117</f>
        <v>0</v>
      </c>
      <c r="F96" s="757">
        <f>'Cash Flow'!F117</f>
        <v>0</v>
      </c>
      <c r="G96" s="757">
        <f>'Cash Flow'!G117</f>
        <v>0</v>
      </c>
      <c r="H96" s="757">
        <f>'Cash Flow'!H117</f>
        <v>0</v>
      </c>
      <c r="I96" s="757">
        <f>'Cash Flow'!I117</f>
        <v>0</v>
      </c>
      <c r="J96" s="757">
        <f>'Cash Flow'!J117</f>
        <v>0</v>
      </c>
      <c r="K96" s="757">
        <f>'Cash Flow'!K117</f>
        <v>0</v>
      </c>
      <c r="L96" s="757">
        <f>'Cash Flow'!L117</f>
        <v>0</v>
      </c>
      <c r="M96" s="757">
        <f>'Cash Flow'!M117</f>
        <v>0</v>
      </c>
      <c r="N96" s="757">
        <f>'Cash Flow'!N117</f>
        <v>0</v>
      </c>
      <c r="O96" s="768">
        <f>'Cash Flow'!O117</f>
        <v>0</v>
      </c>
      <c r="P96" s="757">
        <f>'Cash Flow'!P117</f>
        <v>0</v>
      </c>
      <c r="Q96" s="757">
        <f>'Cash Flow'!Q117</f>
        <v>0</v>
      </c>
      <c r="R96" s="757">
        <f>'Cash Flow'!R117</f>
        <v>0</v>
      </c>
      <c r="S96" s="757">
        <f>'Cash Flow'!S117</f>
        <v>0</v>
      </c>
      <c r="T96" s="757">
        <f>'Cash Flow'!T117</f>
        <v>0</v>
      </c>
      <c r="U96" s="757">
        <f>'Cash Flow'!U117</f>
        <v>0</v>
      </c>
      <c r="V96" s="757">
        <f>'Cash Flow'!V117</f>
        <v>0</v>
      </c>
      <c r="W96" s="757">
        <f>'Cash Flow'!W117</f>
        <v>0</v>
      </c>
      <c r="X96" s="757">
        <f ca="1">'Cash Flow'!X117</f>
        <v>0</v>
      </c>
      <c r="Y96" s="757">
        <f>'Cash Flow'!Y117</f>
        <v>0</v>
      </c>
      <c r="Z96" s="757">
        <f>'Cash Flow'!Z117</f>
        <v>819.19905920310907</v>
      </c>
      <c r="AA96" s="768">
        <f>'Cash Flow'!AA117</f>
        <v>3422.4560296620634</v>
      </c>
      <c r="AB96" s="757">
        <f>'Cash Flow'!AB117</f>
        <v>1338.5461386048671</v>
      </c>
      <c r="AC96" s="757">
        <f>'Cash Flow'!AC117</f>
        <v>1814.8483400369685</v>
      </c>
      <c r="AD96" s="757">
        <f>'Cash Flow'!AD117</f>
        <v>2366.8407860041311</v>
      </c>
      <c r="AE96" s="757">
        <f>'Cash Flow'!AE117</f>
        <v>3086.7430411301893</v>
      </c>
      <c r="AF96" s="757">
        <f>'Cash Flow'!AF117</f>
        <v>3709.7292602762095</v>
      </c>
      <c r="AG96" s="757">
        <f>'Cash Flow'!AG117</f>
        <v>4275.59979832115</v>
      </c>
      <c r="AH96" s="757">
        <f>'Cash Flow'!AH117</f>
        <v>4822.1292438750779</v>
      </c>
      <c r="AI96" s="757">
        <f>'Cash Flow'!AI117</f>
        <v>5299.7415175137139</v>
      </c>
      <c r="AJ96" s="757">
        <f ca="1">'Cash Flow'!AJ117</f>
        <v>1556.0832878161727</v>
      </c>
      <c r="AK96" s="757">
        <f>'Cash Flow'!AK117</f>
        <v>6106.9332443075818</v>
      </c>
      <c r="AL96" s="757">
        <f>'Cash Flow'!AL117</f>
        <v>6857.7299200737934</v>
      </c>
      <c r="AM96" s="757">
        <f>'Cash Flow'!AM117</f>
        <v>7593.1451049250663</v>
      </c>
      <c r="AN96" s="754"/>
      <c r="AO96" s="754"/>
      <c r="AP96" s="754"/>
      <c r="AQ96" s="754"/>
      <c r="AR96" s="754"/>
      <c r="AS96" s="754"/>
      <c r="AT96" s="754"/>
      <c r="AU96" s="754"/>
      <c r="AV96" s="754"/>
      <c r="AW96" s="754"/>
      <c r="AX96" s="754"/>
      <c r="AY96" s="754"/>
      <c r="AZ96" s="754"/>
      <c r="BA96" s="754"/>
      <c r="BB96" s="754"/>
      <c r="BC96" s="754"/>
      <c r="BD96" s="754"/>
      <c r="BE96" s="754"/>
      <c r="BF96" s="754"/>
      <c r="BG96" s="754"/>
      <c r="BH96" s="754"/>
    </row>
    <row r="97" spans="2:133" s="820" customFormat="1" ht="20" customHeight="1" thickBot="1">
      <c r="B97" s="817" t="s">
        <v>449</v>
      </c>
      <c r="C97" s="818"/>
      <c r="D97" s="790">
        <f>SUM(D95:D96)</f>
        <v>0</v>
      </c>
      <c r="E97" s="790">
        <f>SUM(E95:E96)</f>
        <v>0</v>
      </c>
      <c r="F97" s="790">
        <f t="shared" ref="F97:AM97" si="46">SUM(F95:F96)</f>
        <v>0</v>
      </c>
      <c r="G97" s="790">
        <f t="shared" si="46"/>
        <v>0</v>
      </c>
      <c r="H97" s="790">
        <f t="shared" si="46"/>
        <v>0</v>
      </c>
      <c r="I97" s="790">
        <f t="shared" si="46"/>
        <v>0</v>
      </c>
      <c r="J97" s="790">
        <f t="shared" si="46"/>
        <v>0</v>
      </c>
      <c r="K97" s="790">
        <f t="shared" si="46"/>
        <v>0</v>
      </c>
      <c r="L97" s="790">
        <f t="shared" si="46"/>
        <v>0</v>
      </c>
      <c r="M97" s="790">
        <f t="shared" si="46"/>
        <v>0</v>
      </c>
      <c r="N97" s="790">
        <f t="shared" si="46"/>
        <v>0</v>
      </c>
      <c r="O97" s="791">
        <f t="shared" si="46"/>
        <v>0</v>
      </c>
      <c r="P97" s="790">
        <f t="shared" si="46"/>
        <v>0</v>
      </c>
      <c r="Q97" s="790">
        <f t="shared" si="46"/>
        <v>0</v>
      </c>
      <c r="R97" s="790">
        <f t="shared" si="46"/>
        <v>0</v>
      </c>
      <c r="S97" s="790">
        <f t="shared" si="46"/>
        <v>0</v>
      </c>
      <c r="T97" s="790">
        <f t="shared" si="46"/>
        <v>0</v>
      </c>
      <c r="U97" s="790">
        <f t="shared" si="46"/>
        <v>0</v>
      </c>
      <c r="V97" s="790">
        <f t="shared" si="46"/>
        <v>0</v>
      </c>
      <c r="W97" s="790">
        <f t="shared" si="46"/>
        <v>0</v>
      </c>
      <c r="X97" s="790">
        <f t="shared" ca="1" si="46"/>
        <v>0</v>
      </c>
      <c r="Y97" s="790">
        <f t="shared" ca="1" si="46"/>
        <v>0</v>
      </c>
      <c r="Z97" s="790">
        <f t="shared" ca="1" si="46"/>
        <v>819.19905920310907</v>
      </c>
      <c r="AA97" s="791">
        <f t="shared" ca="1" si="46"/>
        <v>4241.6550888651727</v>
      </c>
      <c r="AB97" s="790">
        <f t="shared" ca="1" si="46"/>
        <v>5580.2012274700401</v>
      </c>
      <c r="AC97" s="790">
        <f t="shared" ca="1" si="46"/>
        <v>7395.0495675070088</v>
      </c>
      <c r="AD97" s="790">
        <f t="shared" ca="1" si="46"/>
        <v>9761.8903535111403</v>
      </c>
      <c r="AE97" s="790">
        <f t="shared" ca="1" si="46"/>
        <v>12848.633394641329</v>
      </c>
      <c r="AF97" s="790">
        <f t="shared" ca="1" si="46"/>
        <v>16558.362654917539</v>
      </c>
      <c r="AG97" s="790">
        <f t="shared" ca="1" si="46"/>
        <v>20833.962453238688</v>
      </c>
      <c r="AH97" s="790">
        <f t="shared" ca="1" si="46"/>
        <v>25656.091697113767</v>
      </c>
      <c r="AI97" s="790">
        <f t="shared" ca="1" si="46"/>
        <v>30955.833214627481</v>
      </c>
      <c r="AJ97" s="790">
        <f t="shared" ca="1" si="46"/>
        <v>32511.916502443652</v>
      </c>
      <c r="AK97" s="790">
        <f t="shared" ca="1" si="46"/>
        <v>38618.849746751235</v>
      </c>
      <c r="AL97" s="790">
        <f t="shared" ca="1" si="46"/>
        <v>45476.579666825026</v>
      </c>
      <c r="AM97" s="790">
        <f t="shared" ca="1" si="46"/>
        <v>53069.724771750094</v>
      </c>
      <c r="AN97" s="787"/>
      <c r="AO97" s="787"/>
      <c r="AP97" s="787"/>
      <c r="AQ97" s="787"/>
      <c r="AR97" s="787"/>
      <c r="AS97" s="787"/>
      <c r="AT97" s="787"/>
      <c r="AU97" s="787"/>
      <c r="AV97" s="787"/>
      <c r="AW97" s="787"/>
      <c r="AX97" s="787"/>
      <c r="AY97" s="819"/>
      <c r="AZ97" s="819"/>
      <c r="BA97" s="819"/>
      <c r="BB97" s="819"/>
      <c r="BC97" s="819"/>
      <c r="BD97" s="819"/>
      <c r="BE97" s="819"/>
      <c r="BF97" s="819"/>
      <c r="BG97" s="819"/>
      <c r="BH97" s="819"/>
      <c r="BI97" s="819"/>
      <c r="BJ97" s="819"/>
      <c r="BK97" s="819"/>
      <c r="BL97" s="819"/>
      <c r="BM97" s="819"/>
      <c r="BN97" s="819"/>
      <c r="BO97" s="819"/>
      <c r="BP97" s="819"/>
      <c r="BQ97" s="819"/>
      <c r="BR97" s="819"/>
      <c r="BS97" s="819"/>
      <c r="BT97" s="819"/>
      <c r="BU97" s="819"/>
      <c r="BV97" s="819"/>
      <c r="BW97" s="819"/>
      <c r="BX97" s="819"/>
      <c r="BY97" s="819"/>
      <c r="BZ97" s="819"/>
      <c r="CA97" s="819"/>
      <c r="CB97" s="819"/>
      <c r="CC97" s="819"/>
      <c r="CD97" s="819"/>
      <c r="CE97" s="819"/>
      <c r="CF97" s="819"/>
      <c r="CG97" s="819"/>
      <c r="CH97" s="819"/>
      <c r="CI97" s="819"/>
      <c r="CJ97" s="819"/>
      <c r="CK97" s="819"/>
      <c r="CL97" s="819"/>
      <c r="CM97" s="819"/>
      <c r="CN97" s="819"/>
      <c r="CO97" s="819"/>
      <c r="CP97" s="819"/>
      <c r="CQ97" s="819"/>
      <c r="CR97" s="819"/>
      <c r="CS97" s="819"/>
      <c r="CT97" s="819"/>
      <c r="CU97" s="819"/>
      <c r="CV97" s="819"/>
      <c r="CW97" s="819"/>
      <c r="CX97" s="819"/>
      <c r="CY97" s="819"/>
      <c r="CZ97" s="819"/>
      <c r="DA97" s="819"/>
      <c r="DB97" s="819"/>
      <c r="DC97" s="819"/>
      <c r="DD97" s="819"/>
      <c r="DE97" s="819"/>
      <c r="DF97" s="819"/>
      <c r="DG97" s="819"/>
      <c r="DH97" s="819"/>
      <c r="DI97" s="819"/>
      <c r="DJ97" s="819"/>
      <c r="DK97" s="819"/>
      <c r="DL97" s="819"/>
      <c r="DM97" s="819"/>
      <c r="DN97" s="819"/>
      <c r="DO97" s="819"/>
      <c r="DP97" s="819"/>
      <c r="DQ97" s="819"/>
      <c r="DR97" s="819"/>
      <c r="DS97" s="819"/>
      <c r="DT97" s="819"/>
      <c r="DU97" s="819"/>
      <c r="DV97" s="819"/>
      <c r="DW97" s="819"/>
      <c r="DX97" s="819"/>
      <c r="DY97" s="819"/>
      <c r="DZ97" s="819"/>
      <c r="EA97" s="819"/>
      <c r="EB97" s="819"/>
      <c r="EC97" s="819"/>
    </row>
    <row r="98" spans="2:133" ht="20" customHeight="1" thickTop="1">
      <c r="B98" s="754"/>
      <c r="C98" s="754"/>
      <c r="D98" s="757"/>
      <c r="E98" s="757"/>
      <c r="F98" s="757"/>
      <c r="G98" s="757"/>
      <c r="H98" s="757"/>
      <c r="I98" s="757"/>
      <c r="J98" s="757"/>
      <c r="K98" s="757"/>
      <c r="L98" s="757"/>
      <c r="M98" s="757"/>
      <c r="N98" s="757"/>
      <c r="O98" s="768"/>
      <c r="P98" s="757"/>
      <c r="Q98" s="757"/>
      <c r="R98" s="757"/>
      <c r="S98" s="757"/>
      <c r="T98" s="757"/>
      <c r="U98" s="757"/>
      <c r="V98" s="757"/>
      <c r="W98" s="757"/>
      <c r="X98" s="757"/>
      <c r="Y98" s="757"/>
      <c r="Z98" s="757"/>
      <c r="AA98" s="768"/>
      <c r="AB98" s="757"/>
      <c r="AC98" s="757"/>
      <c r="AD98" s="757"/>
      <c r="AE98" s="757"/>
      <c r="AF98" s="757"/>
      <c r="AG98" s="757"/>
      <c r="AH98" s="757"/>
      <c r="AI98" s="757"/>
      <c r="AJ98" s="757"/>
      <c r="AK98" s="757"/>
      <c r="AL98" s="757"/>
      <c r="AM98" s="757"/>
      <c r="AN98" s="754"/>
      <c r="AO98" s="754"/>
      <c r="AP98" s="754"/>
      <c r="AQ98" s="754"/>
      <c r="AR98" s="754"/>
      <c r="AS98" s="754"/>
      <c r="AT98" s="754"/>
      <c r="AU98" s="754"/>
      <c r="AV98" s="754"/>
      <c r="AW98" s="754"/>
      <c r="AX98" s="754"/>
      <c r="AY98" s="754"/>
      <c r="AZ98" s="754"/>
      <c r="BA98" s="754"/>
      <c r="BB98" s="754"/>
      <c r="BC98" s="754"/>
      <c r="BD98" s="754"/>
      <c r="BE98" s="754"/>
      <c r="BF98" s="754"/>
      <c r="BG98" s="754"/>
      <c r="BH98" s="754"/>
    </row>
    <row r="99" spans="2:133" s="753" customFormat="1" ht="17" thickBot="1">
      <c r="B99" s="813" t="s">
        <v>189</v>
      </c>
      <c r="C99" s="806"/>
      <c r="D99" s="815"/>
      <c r="E99" s="815"/>
      <c r="F99" s="815"/>
      <c r="G99" s="815"/>
      <c r="H99" s="815"/>
      <c r="I99" s="815"/>
      <c r="J99" s="815"/>
      <c r="K99" s="815"/>
      <c r="L99" s="815"/>
      <c r="M99" s="815"/>
      <c r="N99" s="815"/>
      <c r="O99" s="816"/>
      <c r="P99" s="815"/>
      <c r="Q99" s="815"/>
      <c r="R99" s="815"/>
      <c r="S99" s="815"/>
      <c r="T99" s="815"/>
      <c r="U99" s="815"/>
      <c r="V99" s="815"/>
      <c r="W99" s="815"/>
      <c r="X99" s="815"/>
      <c r="Y99" s="815"/>
      <c r="Z99" s="815"/>
      <c r="AA99" s="816"/>
      <c r="AB99" s="815"/>
      <c r="AC99" s="815"/>
      <c r="AD99" s="815"/>
      <c r="AE99" s="815"/>
      <c r="AF99" s="815"/>
      <c r="AG99" s="815"/>
      <c r="AH99" s="815"/>
      <c r="AI99" s="815"/>
      <c r="AJ99" s="815"/>
      <c r="AK99" s="815"/>
      <c r="AL99" s="815"/>
      <c r="AM99" s="815"/>
      <c r="AN99" s="754"/>
      <c r="AO99" s="754"/>
      <c r="AP99" s="754"/>
      <c r="AQ99" s="754"/>
      <c r="AR99" s="754"/>
      <c r="AS99" s="754"/>
      <c r="AT99" s="754"/>
      <c r="AU99" s="754"/>
      <c r="AV99" s="754"/>
      <c r="AW99" s="754"/>
      <c r="AX99" s="754"/>
      <c r="AY99" s="809"/>
      <c r="AZ99" s="809"/>
      <c r="BA99" s="809"/>
      <c r="BB99" s="809"/>
      <c r="BC99" s="809"/>
      <c r="BD99" s="809"/>
      <c r="BE99" s="809"/>
      <c r="BF99" s="809"/>
      <c r="BG99" s="809"/>
      <c r="BH99" s="809"/>
      <c r="BI99" s="809"/>
      <c r="BJ99" s="809"/>
      <c r="BK99" s="809"/>
      <c r="BL99" s="809"/>
      <c r="BM99" s="809"/>
      <c r="BN99" s="809"/>
      <c r="BO99" s="809"/>
      <c r="BP99" s="809"/>
      <c r="BQ99" s="809"/>
      <c r="BR99" s="809"/>
      <c r="BS99" s="809"/>
      <c r="BT99" s="809"/>
      <c r="BU99" s="809"/>
      <c r="BV99" s="809"/>
      <c r="BW99" s="809"/>
      <c r="BX99" s="809"/>
      <c r="BY99" s="809"/>
      <c r="BZ99" s="809"/>
      <c r="CA99" s="809"/>
      <c r="CB99" s="809"/>
      <c r="CC99" s="809"/>
      <c r="CD99" s="809"/>
      <c r="CE99" s="809"/>
      <c r="CF99" s="809"/>
      <c r="CG99" s="809"/>
      <c r="CH99" s="809"/>
      <c r="CI99" s="809"/>
      <c r="CJ99" s="809"/>
      <c r="CK99" s="809"/>
      <c r="CL99" s="809"/>
      <c r="CM99" s="809"/>
      <c r="CN99" s="809"/>
      <c r="CO99" s="809"/>
      <c r="CP99" s="809"/>
      <c r="CQ99" s="809"/>
      <c r="CR99" s="809"/>
      <c r="CS99" s="809"/>
      <c r="CT99" s="809"/>
      <c r="CU99" s="809"/>
      <c r="CV99" s="809"/>
      <c r="CW99" s="809"/>
      <c r="CX99" s="809"/>
      <c r="CY99" s="809"/>
      <c r="CZ99" s="809"/>
      <c r="DA99" s="809"/>
      <c r="DB99" s="809"/>
      <c r="DC99" s="809"/>
      <c r="DD99" s="809"/>
      <c r="DE99" s="809"/>
      <c r="DF99" s="809"/>
      <c r="DG99" s="809"/>
      <c r="DH99" s="809"/>
      <c r="DI99" s="809"/>
      <c r="DJ99" s="809"/>
      <c r="DK99" s="809"/>
      <c r="DL99" s="809"/>
      <c r="DM99" s="809"/>
      <c r="DN99" s="809"/>
      <c r="DO99" s="809"/>
      <c r="DP99" s="809"/>
      <c r="DQ99" s="809"/>
      <c r="DR99" s="809"/>
      <c r="DS99" s="809"/>
      <c r="DT99" s="809"/>
      <c r="DU99" s="809"/>
      <c r="DV99" s="809"/>
      <c r="DW99" s="809"/>
      <c r="DX99" s="809"/>
      <c r="DY99" s="809"/>
      <c r="DZ99" s="809"/>
      <c r="EA99" s="809"/>
      <c r="EB99" s="809"/>
      <c r="EC99" s="809"/>
    </row>
    <row r="100" spans="2:133">
      <c r="B100" s="756" t="s">
        <v>76</v>
      </c>
      <c r="D100" s="757"/>
      <c r="E100" s="757">
        <f>D102</f>
        <v>250000</v>
      </c>
      <c r="F100" s="757">
        <f t="shared" ref="F100:AM100" si="47">E102</f>
        <v>250000</v>
      </c>
      <c r="G100" s="757">
        <f t="shared" si="47"/>
        <v>250000</v>
      </c>
      <c r="H100" s="757">
        <f t="shared" si="47"/>
        <v>250000</v>
      </c>
      <c r="I100" s="757">
        <f t="shared" si="47"/>
        <v>250000</v>
      </c>
      <c r="J100" s="757">
        <f t="shared" si="47"/>
        <v>250000</v>
      </c>
      <c r="K100" s="757">
        <f t="shared" si="47"/>
        <v>250000</v>
      </c>
      <c r="L100" s="757">
        <f t="shared" si="47"/>
        <v>250000</v>
      </c>
      <c r="M100" s="757">
        <f t="shared" si="47"/>
        <v>250000</v>
      </c>
      <c r="N100" s="757">
        <f t="shared" si="47"/>
        <v>250000</v>
      </c>
      <c r="O100" s="768">
        <f t="shared" si="47"/>
        <v>250000</v>
      </c>
      <c r="P100" s="757">
        <f t="shared" si="47"/>
        <v>250000</v>
      </c>
      <c r="Q100" s="757">
        <f t="shared" si="47"/>
        <v>250000</v>
      </c>
      <c r="R100" s="757">
        <f t="shared" si="47"/>
        <v>200000</v>
      </c>
      <c r="S100" s="757">
        <f t="shared" si="47"/>
        <v>200000</v>
      </c>
      <c r="T100" s="757">
        <f t="shared" si="47"/>
        <v>200000</v>
      </c>
      <c r="U100" s="757">
        <f t="shared" si="47"/>
        <v>200000</v>
      </c>
      <c r="V100" s="757">
        <f t="shared" si="47"/>
        <v>200000</v>
      </c>
      <c r="W100" s="757">
        <f t="shared" si="47"/>
        <v>200000</v>
      </c>
      <c r="X100" s="757">
        <f t="shared" si="47"/>
        <v>200000</v>
      </c>
      <c r="Y100" s="757">
        <f t="shared" si="47"/>
        <v>200000</v>
      </c>
      <c r="Z100" s="757">
        <f t="shared" si="47"/>
        <v>200000</v>
      </c>
      <c r="AA100" s="768">
        <f t="shared" si="47"/>
        <v>200000</v>
      </c>
      <c r="AB100" s="757">
        <f t="shared" si="47"/>
        <v>200000</v>
      </c>
      <c r="AC100" s="757">
        <f t="shared" si="47"/>
        <v>200000</v>
      </c>
      <c r="AD100" s="757">
        <f t="shared" si="47"/>
        <v>125000</v>
      </c>
      <c r="AE100" s="757">
        <f t="shared" si="47"/>
        <v>125000</v>
      </c>
      <c r="AF100" s="757">
        <f t="shared" si="47"/>
        <v>125000</v>
      </c>
      <c r="AG100" s="757">
        <f t="shared" si="47"/>
        <v>125000</v>
      </c>
      <c r="AH100" s="757">
        <f t="shared" si="47"/>
        <v>125000</v>
      </c>
      <c r="AI100" s="757">
        <f t="shared" si="47"/>
        <v>125000</v>
      </c>
      <c r="AJ100" s="757">
        <f t="shared" si="47"/>
        <v>125000</v>
      </c>
      <c r="AK100" s="757">
        <f t="shared" si="47"/>
        <v>100000</v>
      </c>
      <c r="AL100" s="757">
        <f t="shared" si="47"/>
        <v>100000</v>
      </c>
      <c r="AM100" s="757">
        <f t="shared" si="47"/>
        <v>100000</v>
      </c>
      <c r="AN100" s="754"/>
      <c r="AO100" s="754"/>
      <c r="AP100" s="754"/>
      <c r="AQ100" s="754"/>
      <c r="AR100" s="754"/>
      <c r="AS100" s="754"/>
      <c r="AT100" s="754"/>
      <c r="AU100" s="754"/>
      <c r="AV100" s="754"/>
      <c r="AW100" s="754"/>
      <c r="AX100" s="754"/>
      <c r="AY100" s="754"/>
      <c r="AZ100" s="754"/>
      <c r="BA100" s="754"/>
      <c r="BB100" s="754"/>
      <c r="BC100" s="754"/>
      <c r="BD100" s="754"/>
      <c r="BE100" s="754"/>
      <c r="BF100" s="754"/>
      <c r="BG100" s="754"/>
      <c r="BH100" s="754"/>
    </row>
    <row r="101" spans="2:133">
      <c r="B101" s="756" t="s">
        <v>204</v>
      </c>
      <c r="D101" s="757">
        <f>'Cash Flow'!D136</f>
        <v>250000</v>
      </c>
      <c r="E101" s="757">
        <f>'Cash Flow'!E136</f>
        <v>0</v>
      </c>
      <c r="F101" s="757">
        <f>'Cash Flow'!F136</f>
        <v>0</v>
      </c>
      <c r="G101" s="757">
        <f>'Cash Flow'!G136</f>
        <v>0</v>
      </c>
      <c r="H101" s="757">
        <f>'Cash Flow'!H136</f>
        <v>0</v>
      </c>
      <c r="I101" s="757">
        <f>'Cash Flow'!I136</f>
        <v>0</v>
      </c>
      <c r="J101" s="757">
        <f>'Cash Flow'!J136</f>
        <v>0</v>
      </c>
      <c r="K101" s="757">
        <f>'Cash Flow'!K136</f>
        <v>0</v>
      </c>
      <c r="L101" s="757">
        <f>'Cash Flow'!L136</f>
        <v>0</v>
      </c>
      <c r="M101" s="757">
        <f>'Cash Flow'!M136</f>
        <v>0</v>
      </c>
      <c r="N101" s="757">
        <f>'Cash Flow'!N136</f>
        <v>0</v>
      </c>
      <c r="O101" s="768">
        <f>'Cash Flow'!O136</f>
        <v>0</v>
      </c>
      <c r="P101" s="757">
        <f>'Cash Flow'!P136</f>
        <v>0</v>
      </c>
      <c r="Q101" s="757">
        <f>'Cash Flow'!Q136</f>
        <v>-50000</v>
      </c>
      <c r="R101" s="757">
        <f>'Cash Flow'!R136</f>
        <v>0</v>
      </c>
      <c r="S101" s="757">
        <f>'Cash Flow'!S136</f>
        <v>0</v>
      </c>
      <c r="T101" s="757">
        <f>'Cash Flow'!T136</f>
        <v>0</v>
      </c>
      <c r="U101" s="757">
        <f>'Cash Flow'!U136</f>
        <v>0</v>
      </c>
      <c r="V101" s="757">
        <f>'Cash Flow'!V136</f>
        <v>0</v>
      </c>
      <c r="W101" s="757">
        <f>'Cash Flow'!W136</f>
        <v>0</v>
      </c>
      <c r="X101" s="757">
        <f>'Cash Flow'!X136</f>
        <v>0</v>
      </c>
      <c r="Y101" s="757">
        <f>'Cash Flow'!Y136</f>
        <v>0</v>
      </c>
      <c r="Z101" s="757">
        <f>'Cash Flow'!Z136</f>
        <v>0</v>
      </c>
      <c r="AA101" s="768">
        <f>'Cash Flow'!AA136</f>
        <v>0</v>
      </c>
      <c r="AB101" s="757">
        <f>'Cash Flow'!AB136</f>
        <v>0</v>
      </c>
      <c r="AC101" s="757">
        <f>'Cash Flow'!AC136</f>
        <v>-75000</v>
      </c>
      <c r="AD101" s="757">
        <f>'Cash Flow'!AD136</f>
        <v>0</v>
      </c>
      <c r="AE101" s="757">
        <f>'Cash Flow'!AE136</f>
        <v>0</v>
      </c>
      <c r="AF101" s="757">
        <f>'Cash Flow'!AF136</f>
        <v>0</v>
      </c>
      <c r="AG101" s="757">
        <f>'Cash Flow'!AG136</f>
        <v>0</v>
      </c>
      <c r="AH101" s="757">
        <f>'Cash Flow'!AH136</f>
        <v>0</v>
      </c>
      <c r="AI101" s="757">
        <f>'Cash Flow'!AI136</f>
        <v>0</v>
      </c>
      <c r="AJ101" s="757">
        <f>'Cash Flow'!AJ136</f>
        <v>-25000</v>
      </c>
      <c r="AK101" s="757">
        <f>'Cash Flow'!AK136</f>
        <v>0</v>
      </c>
      <c r="AL101" s="757">
        <f>'Cash Flow'!AL136</f>
        <v>0</v>
      </c>
      <c r="AM101" s="757">
        <f>'Cash Flow'!AM136</f>
        <v>-50000</v>
      </c>
      <c r="AN101" s="754"/>
      <c r="AO101" s="754"/>
      <c r="AP101" s="754"/>
      <c r="AQ101" s="754"/>
      <c r="AR101" s="754"/>
      <c r="AS101" s="754"/>
      <c r="AT101" s="754"/>
      <c r="AU101" s="754"/>
      <c r="AV101" s="754"/>
      <c r="AW101" s="754"/>
      <c r="AX101" s="754"/>
      <c r="AY101" s="754"/>
      <c r="AZ101" s="754"/>
      <c r="BA101" s="754"/>
      <c r="BB101" s="754"/>
      <c r="BC101" s="754"/>
      <c r="BD101" s="754"/>
      <c r="BE101" s="754"/>
      <c r="BF101" s="754"/>
      <c r="BG101" s="754"/>
      <c r="BH101" s="754"/>
    </row>
    <row r="102" spans="2:133" s="820" customFormat="1" ht="20" customHeight="1" thickBot="1">
      <c r="B102" s="817" t="s">
        <v>449</v>
      </c>
      <c r="C102" s="818"/>
      <c r="D102" s="790">
        <f>D100+D101</f>
        <v>250000</v>
      </c>
      <c r="E102" s="790">
        <f>E100+E101</f>
        <v>250000</v>
      </c>
      <c r="F102" s="790">
        <f t="shared" ref="F102:AM102" si="48">F100+F101</f>
        <v>250000</v>
      </c>
      <c r="G102" s="790">
        <f t="shared" si="48"/>
        <v>250000</v>
      </c>
      <c r="H102" s="790">
        <f t="shared" si="48"/>
        <v>250000</v>
      </c>
      <c r="I102" s="790">
        <f t="shared" si="48"/>
        <v>250000</v>
      </c>
      <c r="J102" s="790">
        <f t="shared" si="48"/>
        <v>250000</v>
      </c>
      <c r="K102" s="790">
        <f t="shared" si="48"/>
        <v>250000</v>
      </c>
      <c r="L102" s="790">
        <f t="shared" si="48"/>
        <v>250000</v>
      </c>
      <c r="M102" s="790">
        <f t="shared" si="48"/>
        <v>250000</v>
      </c>
      <c r="N102" s="790">
        <f t="shared" si="48"/>
        <v>250000</v>
      </c>
      <c r="O102" s="791">
        <f t="shared" si="48"/>
        <v>250000</v>
      </c>
      <c r="P102" s="790">
        <f t="shared" si="48"/>
        <v>250000</v>
      </c>
      <c r="Q102" s="790">
        <f t="shared" si="48"/>
        <v>200000</v>
      </c>
      <c r="R102" s="790">
        <f t="shared" si="48"/>
        <v>200000</v>
      </c>
      <c r="S102" s="790">
        <f t="shared" si="48"/>
        <v>200000</v>
      </c>
      <c r="T102" s="790">
        <f t="shared" si="48"/>
        <v>200000</v>
      </c>
      <c r="U102" s="790">
        <f t="shared" si="48"/>
        <v>200000</v>
      </c>
      <c r="V102" s="790">
        <f t="shared" si="48"/>
        <v>200000</v>
      </c>
      <c r="W102" s="790">
        <f t="shared" si="48"/>
        <v>200000</v>
      </c>
      <c r="X102" s="790">
        <f t="shared" si="48"/>
        <v>200000</v>
      </c>
      <c r="Y102" s="790">
        <f t="shared" si="48"/>
        <v>200000</v>
      </c>
      <c r="Z102" s="790">
        <f t="shared" si="48"/>
        <v>200000</v>
      </c>
      <c r="AA102" s="791">
        <f t="shared" si="48"/>
        <v>200000</v>
      </c>
      <c r="AB102" s="790">
        <f t="shared" si="48"/>
        <v>200000</v>
      </c>
      <c r="AC102" s="790">
        <f t="shared" si="48"/>
        <v>125000</v>
      </c>
      <c r="AD102" s="790">
        <f t="shared" si="48"/>
        <v>125000</v>
      </c>
      <c r="AE102" s="790">
        <f t="shared" si="48"/>
        <v>125000</v>
      </c>
      <c r="AF102" s="790">
        <f t="shared" si="48"/>
        <v>125000</v>
      </c>
      <c r="AG102" s="790">
        <f t="shared" si="48"/>
        <v>125000</v>
      </c>
      <c r="AH102" s="790">
        <f t="shared" si="48"/>
        <v>125000</v>
      </c>
      <c r="AI102" s="790">
        <f t="shared" si="48"/>
        <v>125000</v>
      </c>
      <c r="AJ102" s="790">
        <f t="shared" si="48"/>
        <v>100000</v>
      </c>
      <c r="AK102" s="790">
        <f t="shared" si="48"/>
        <v>100000</v>
      </c>
      <c r="AL102" s="790">
        <f t="shared" si="48"/>
        <v>100000</v>
      </c>
      <c r="AM102" s="790">
        <f t="shared" si="48"/>
        <v>50000</v>
      </c>
      <c r="AN102" s="787"/>
      <c r="AO102" s="787"/>
      <c r="AP102" s="787"/>
      <c r="AQ102" s="787"/>
      <c r="AR102" s="787"/>
      <c r="AS102" s="787"/>
      <c r="AT102" s="787"/>
      <c r="AU102" s="787"/>
      <c r="AV102" s="787"/>
      <c r="AW102" s="787"/>
      <c r="AX102" s="787"/>
      <c r="AY102" s="819"/>
      <c r="AZ102" s="819"/>
      <c r="BA102" s="819"/>
      <c r="BB102" s="819"/>
      <c r="BC102" s="819"/>
      <c r="BD102" s="819"/>
      <c r="BE102" s="819"/>
      <c r="BF102" s="819"/>
      <c r="BG102" s="819"/>
      <c r="BH102" s="819"/>
      <c r="BI102" s="819"/>
      <c r="BJ102" s="819"/>
      <c r="BK102" s="819"/>
      <c r="BL102" s="819"/>
      <c r="BM102" s="819"/>
      <c r="BN102" s="819"/>
      <c r="BO102" s="819"/>
      <c r="BP102" s="819"/>
      <c r="BQ102" s="819"/>
      <c r="BR102" s="819"/>
      <c r="BS102" s="819"/>
      <c r="BT102" s="819"/>
      <c r="BU102" s="819"/>
      <c r="BV102" s="819"/>
      <c r="BW102" s="819"/>
      <c r="BX102" s="819"/>
      <c r="BY102" s="819"/>
      <c r="BZ102" s="819"/>
      <c r="CA102" s="819"/>
      <c r="CB102" s="819"/>
      <c r="CC102" s="819"/>
      <c r="CD102" s="819"/>
      <c r="CE102" s="819"/>
      <c r="CF102" s="819"/>
      <c r="CG102" s="819"/>
      <c r="CH102" s="819"/>
      <c r="CI102" s="819"/>
      <c r="CJ102" s="819"/>
      <c r="CK102" s="819"/>
      <c r="CL102" s="819"/>
      <c r="CM102" s="819"/>
      <c r="CN102" s="819"/>
      <c r="CO102" s="819"/>
      <c r="CP102" s="819"/>
      <c r="CQ102" s="819"/>
      <c r="CR102" s="819"/>
      <c r="CS102" s="819"/>
      <c r="CT102" s="819"/>
      <c r="CU102" s="819"/>
      <c r="CV102" s="819"/>
      <c r="CW102" s="819"/>
      <c r="CX102" s="819"/>
      <c r="CY102" s="819"/>
      <c r="CZ102" s="819"/>
      <c r="DA102" s="819"/>
      <c r="DB102" s="819"/>
      <c r="DC102" s="819"/>
      <c r="DD102" s="819"/>
      <c r="DE102" s="819"/>
      <c r="DF102" s="819"/>
      <c r="DG102" s="819"/>
      <c r="DH102" s="819"/>
      <c r="DI102" s="819"/>
      <c r="DJ102" s="819"/>
      <c r="DK102" s="819"/>
      <c r="DL102" s="819"/>
      <c r="DM102" s="819"/>
      <c r="DN102" s="819"/>
      <c r="DO102" s="819"/>
      <c r="DP102" s="819"/>
      <c r="DQ102" s="819"/>
      <c r="DR102" s="819"/>
      <c r="DS102" s="819"/>
      <c r="DT102" s="819"/>
      <c r="DU102" s="819"/>
      <c r="DV102" s="819"/>
      <c r="DW102" s="819"/>
      <c r="DX102" s="819"/>
      <c r="DY102" s="819"/>
      <c r="DZ102" s="819"/>
      <c r="EA102" s="819"/>
      <c r="EB102" s="819"/>
      <c r="EC102" s="819"/>
    </row>
    <row r="103" spans="2:133" ht="20" customHeight="1" thickTop="1">
      <c r="B103" s="754"/>
      <c r="C103" s="754"/>
      <c r="D103" s="757"/>
      <c r="E103" s="757"/>
      <c r="F103" s="757"/>
      <c r="G103" s="757"/>
      <c r="H103" s="757"/>
      <c r="I103" s="757"/>
      <c r="J103" s="757"/>
      <c r="K103" s="757"/>
      <c r="L103" s="757"/>
      <c r="M103" s="757"/>
      <c r="N103" s="757"/>
      <c r="O103" s="768"/>
      <c r="P103" s="757"/>
      <c r="Q103" s="757"/>
      <c r="R103" s="757"/>
      <c r="S103" s="757"/>
      <c r="T103" s="757"/>
      <c r="U103" s="757"/>
      <c r="V103" s="757"/>
      <c r="W103" s="757"/>
      <c r="X103" s="757"/>
      <c r="Y103" s="757"/>
      <c r="Z103" s="757"/>
      <c r="AA103" s="768"/>
      <c r="AB103" s="757"/>
      <c r="AC103" s="757"/>
      <c r="AD103" s="757"/>
      <c r="AE103" s="757"/>
      <c r="AF103" s="757"/>
      <c r="AG103" s="757"/>
      <c r="AH103" s="757"/>
      <c r="AI103" s="757"/>
      <c r="AJ103" s="757"/>
      <c r="AK103" s="757"/>
      <c r="AL103" s="757"/>
      <c r="AM103" s="757"/>
      <c r="AN103" s="754"/>
      <c r="AO103" s="754"/>
      <c r="AP103" s="754"/>
      <c r="AQ103" s="754"/>
      <c r="AR103" s="754"/>
      <c r="AS103" s="754"/>
      <c r="AT103" s="754"/>
      <c r="AU103" s="754"/>
      <c r="AV103" s="754"/>
      <c r="AW103" s="754"/>
      <c r="AX103" s="754"/>
      <c r="AY103" s="754"/>
      <c r="AZ103" s="754"/>
      <c r="BA103" s="754"/>
      <c r="BB103" s="754"/>
      <c r="BC103" s="754"/>
      <c r="BD103" s="754"/>
      <c r="BE103" s="754"/>
      <c r="BF103" s="754"/>
      <c r="BG103" s="754"/>
      <c r="BH103" s="754"/>
    </row>
    <row r="104" spans="2:133" s="753" customFormat="1" ht="17" thickBot="1">
      <c r="B104" s="813" t="s">
        <v>41</v>
      </c>
      <c r="C104" s="806"/>
      <c r="D104" s="815"/>
      <c r="E104" s="815"/>
      <c r="F104" s="815"/>
      <c r="G104" s="815"/>
      <c r="H104" s="815"/>
      <c r="I104" s="815"/>
      <c r="J104" s="815"/>
      <c r="K104" s="815"/>
      <c r="L104" s="815"/>
      <c r="M104" s="815"/>
      <c r="N104" s="815"/>
      <c r="O104" s="816"/>
      <c r="P104" s="815"/>
      <c r="Q104" s="815"/>
      <c r="R104" s="815"/>
      <c r="S104" s="815"/>
      <c r="T104" s="815"/>
      <c r="U104" s="815"/>
      <c r="V104" s="815"/>
      <c r="W104" s="815"/>
      <c r="X104" s="815"/>
      <c r="Y104" s="815"/>
      <c r="Z104" s="815"/>
      <c r="AA104" s="816"/>
      <c r="AB104" s="815"/>
      <c r="AC104" s="815"/>
      <c r="AD104" s="815"/>
      <c r="AE104" s="815"/>
      <c r="AF104" s="815"/>
      <c r="AG104" s="815"/>
      <c r="AH104" s="815"/>
      <c r="AI104" s="815"/>
      <c r="AJ104" s="815"/>
      <c r="AK104" s="815"/>
      <c r="AL104" s="815"/>
      <c r="AM104" s="815"/>
      <c r="AN104" s="754"/>
      <c r="AO104" s="754"/>
      <c r="AP104" s="754"/>
      <c r="AQ104" s="754"/>
      <c r="AR104" s="754"/>
      <c r="AS104" s="754"/>
      <c r="AT104" s="754"/>
      <c r="AU104" s="754"/>
      <c r="AV104" s="754"/>
      <c r="AW104" s="754"/>
      <c r="AX104" s="754"/>
      <c r="AY104" s="809"/>
      <c r="AZ104" s="809"/>
      <c r="BA104" s="809"/>
      <c r="BB104" s="809"/>
      <c r="BC104" s="809"/>
      <c r="BD104" s="809"/>
      <c r="BE104" s="809"/>
      <c r="BF104" s="809"/>
      <c r="BG104" s="809"/>
      <c r="BH104" s="809"/>
      <c r="BI104" s="809"/>
      <c r="BJ104" s="809"/>
      <c r="BK104" s="809"/>
      <c r="BL104" s="809"/>
      <c r="BM104" s="809"/>
      <c r="BN104" s="809"/>
      <c r="BO104" s="809"/>
      <c r="BP104" s="809"/>
      <c r="BQ104" s="809"/>
      <c r="BR104" s="809"/>
      <c r="BS104" s="809"/>
      <c r="BT104" s="809"/>
      <c r="BU104" s="809"/>
      <c r="BV104" s="809"/>
      <c r="BW104" s="809"/>
      <c r="BX104" s="809"/>
      <c r="BY104" s="809"/>
      <c r="BZ104" s="809"/>
      <c r="CA104" s="809"/>
      <c r="CB104" s="809"/>
      <c r="CC104" s="809"/>
      <c r="CD104" s="809"/>
      <c r="CE104" s="809"/>
      <c r="CF104" s="809"/>
      <c r="CG104" s="809"/>
      <c r="CH104" s="809"/>
      <c r="CI104" s="809"/>
      <c r="CJ104" s="809"/>
      <c r="CK104" s="809"/>
      <c r="CL104" s="809"/>
      <c r="CM104" s="809"/>
      <c r="CN104" s="809"/>
      <c r="CO104" s="809"/>
      <c r="CP104" s="809"/>
      <c r="CQ104" s="809"/>
      <c r="CR104" s="809"/>
      <c r="CS104" s="809"/>
      <c r="CT104" s="809"/>
      <c r="CU104" s="809"/>
      <c r="CV104" s="809"/>
      <c r="CW104" s="809"/>
      <c r="CX104" s="809"/>
      <c r="CY104" s="809"/>
      <c r="CZ104" s="809"/>
      <c r="DA104" s="809"/>
      <c r="DB104" s="809"/>
      <c r="DC104" s="809"/>
      <c r="DD104" s="809"/>
      <c r="DE104" s="809"/>
      <c r="DF104" s="809"/>
      <c r="DG104" s="809"/>
      <c r="DH104" s="809"/>
      <c r="DI104" s="809"/>
      <c r="DJ104" s="809"/>
      <c r="DK104" s="809"/>
      <c r="DL104" s="809"/>
      <c r="DM104" s="809"/>
      <c r="DN104" s="809"/>
      <c r="DO104" s="809"/>
      <c r="DP104" s="809"/>
      <c r="DQ104" s="809"/>
      <c r="DR104" s="809"/>
      <c r="DS104" s="809"/>
      <c r="DT104" s="809"/>
      <c r="DU104" s="809"/>
      <c r="DV104" s="809"/>
      <c r="DW104" s="809"/>
      <c r="DX104" s="809"/>
      <c r="DY104" s="809"/>
      <c r="DZ104" s="809"/>
      <c r="EA104" s="809"/>
      <c r="EB104" s="809"/>
      <c r="EC104" s="809"/>
    </row>
    <row r="105" spans="2:133" s="754" customFormat="1">
      <c r="B105" s="756" t="s">
        <v>76</v>
      </c>
      <c r="D105" s="757"/>
      <c r="E105" s="757">
        <f>D107</f>
        <v>60000</v>
      </c>
      <c r="F105" s="757">
        <f t="shared" ref="F105:AM105" si="49">E107</f>
        <v>60000</v>
      </c>
      <c r="G105" s="757">
        <f t="shared" si="49"/>
        <v>60000</v>
      </c>
      <c r="H105" s="757">
        <f t="shared" si="49"/>
        <v>60000</v>
      </c>
      <c r="I105" s="757">
        <f t="shared" si="49"/>
        <v>60000</v>
      </c>
      <c r="J105" s="757">
        <f t="shared" si="49"/>
        <v>60000</v>
      </c>
      <c r="K105" s="757">
        <f t="shared" si="49"/>
        <v>60000</v>
      </c>
      <c r="L105" s="757">
        <f t="shared" si="49"/>
        <v>60000</v>
      </c>
      <c r="M105" s="757">
        <f t="shared" si="49"/>
        <v>60000</v>
      </c>
      <c r="N105" s="757">
        <f t="shared" si="49"/>
        <v>60000</v>
      </c>
      <c r="O105" s="768">
        <f t="shared" si="49"/>
        <v>60000</v>
      </c>
      <c r="P105" s="757">
        <f t="shared" si="49"/>
        <v>60000</v>
      </c>
      <c r="Q105" s="757">
        <f t="shared" si="49"/>
        <v>60000</v>
      </c>
      <c r="R105" s="757">
        <f t="shared" si="49"/>
        <v>60000</v>
      </c>
      <c r="S105" s="757">
        <f t="shared" si="49"/>
        <v>60000</v>
      </c>
      <c r="T105" s="757">
        <f t="shared" si="49"/>
        <v>60000</v>
      </c>
      <c r="U105" s="757">
        <f t="shared" si="49"/>
        <v>312000</v>
      </c>
      <c r="V105" s="757">
        <f t="shared" si="49"/>
        <v>312000</v>
      </c>
      <c r="W105" s="757">
        <f t="shared" si="49"/>
        <v>312000</v>
      </c>
      <c r="X105" s="757">
        <f t="shared" si="49"/>
        <v>312000</v>
      </c>
      <c r="Y105" s="757">
        <f t="shared" si="49"/>
        <v>312000</v>
      </c>
      <c r="Z105" s="757">
        <f t="shared" si="49"/>
        <v>312000</v>
      </c>
      <c r="AA105" s="768">
        <f t="shared" si="49"/>
        <v>312000</v>
      </c>
      <c r="AB105" s="757">
        <f t="shared" si="49"/>
        <v>312000</v>
      </c>
      <c r="AC105" s="757">
        <f t="shared" si="49"/>
        <v>312000</v>
      </c>
      <c r="AD105" s="757">
        <f t="shared" si="49"/>
        <v>312000</v>
      </c>
      <c r="AE105" s="757">
        <f t="shared" si="49"/>
        <v>312000</v>
      </c>
      <c r="AF105" s="757">
        <f t="shared" si="49"/>
        <v>312000</v>
      </c>
      <c r="AG105" s="757">
        <f t="shared" si="49"/>
        <v>312000</v>
      </c>
      <c r="AH105" s="757">
        <f t="shared" si="49"/>
        <v>312000</v>
      </c>
      <c r="AI105" s="757">
        <f t="shared" si="49"/>
        <v>312000</v>
      </c>
      <c r="AJ105" s="757">
        <f t="shared" si="49"/>
        <v>312000</v>
      </c>
      <c r="AK105" s="757">
        <f t="shared" si="49"/>
        <v>312000</v>
      </c>
      <c r="AL105" s="757">
        <f t="shared" si="49"/>
        <v>312000</v>
      </c>
      <c r="AM105" s="757">
        <f t="shared" si="49"/>
        <v>312000</v>
      </c>
    </row>
    <row r="106" spans="2:133" s="754" customFormat="1">
      <c r="B106" s="756" t="s">
        <v>203</v>
      </c>
      <c r="D106" s="757">
        <f>'Cash Flow'!D41</f>
        <v>60000</v>
      </c>
      <c r="E106" s="757">
        <f>'Cash Flow'!E41</f>
        <v>0</v>
      </c>
      <c r="F106" s="757">
        <f>'Cash Flow'!F41</f>
        <v>0</v>
      </c>
      <c r="G106" s="757">
        <f>'Cash Flow'!G41</f>
        <v>0</v>
      </c>
      <c r="H106" s="757">
        <f>'Cash Flow'!H41</f>
        <v>0</v>
      </c>
      <c r="I106" s="757">
        <f>'Cash Flow'!I41</f>
        <v>0</v>
      </c>
      <c r="J106" s="757">
        <f>'Cash Flow'!J41</f>
        <v>0</v>
      </c>
      <c r="K106" s="757">
        <f>'Cash Flow'!K41</f>
        <v>0</v>
      </c>
      <c r="L106" s="757">
        <f>'Cash Flow'!L41</f>
        <v>0</v>
      </c>
      <c r="M106" s="757">
        <f>'Cash Flow'!M41</f>
        <v>0</v>
      </c>
      <c r="N106" s="757">
        <f>'Cash Flow'!N41</f>
        <v>0</v>
      </c>
      <c r="O106" s="768">
        <f>'Cash Flow'!O41</f>
        <v>0</v>
      </c>
      <c r="P106" s="757">
        <f>'Cash Flow'!P41</f>
        <v>0</v>
      </c>
      <c r="Q106" s="757">
        <f>'Cash Flow'!Q41</f>
        <v>0</v>
      </c>
      <c r="R106" s="757">
        <f>'Cash Flow'!R41</f>
        <v>0</v>
      </c>
      <c r="S106" s="757">
        <f>'Cash Flow'!S41</f>
        <v>0</v>
      </c>
      <c r="T106" s="757">
        <f>'Cash Flow'!T41</f>
        <v>252000</v>
      </c>
      <c r="U106" s="757">
        <f>'Cash Flow'!U41</f>
        <v>0</v>
      </c>
      <c r="V106" s="757">
        <f>'Cash Flow'!V41</f>
        <v>0</v>
      </c>
      <c r="W106" s="757">
        <f>'Cash Flow'!W41</f>
        <v>0</v>
      </c>
      <c r="X106" s="757">
        <f>'Cash Flow'!X41</f>
        <v>0</v>
      </c>
      <c r="Y106" s="757">
        <f>'Cash Flow'!Y41</f>
        <v>0</v>
      </c>
      <c r="Z106" s="757">
        <f>'Cash Flow'!Z41</f>
        <v>0</v>
      </c>
      <c r="AA106" s="768">
        <f>'Cash Flow'!AA41</f>
        <v>0</v>
      </c>
      <c r="AB106" s="757">
        <f>'Cash Flow'!AB41</f>
        <v>0</v>
      </c>
      <c r="AC106" s="757">
        <f>'Cash Flow'!AC41</f>
        <v>0</v>
      </c>
      <c r="AD106" s="757">
        <f>'Cash Flow'!AD41</f>
        <v>0</v>
      </c>
      <c r="AE106" s="757">
        <f>'Cash Flow'!AE41</f>
        <v>0</v>
      </c>
      <c r="AF106" s="757">
        <f>'Cash Flow'!AF41</f>
        <v>0</v>
      </c>
      <c r="AG106" s="757">
        <f>'Cash Flow'!AG41</f>
        <v>0</v>
      </c>
      <c r="AH106" s="757">
        <f>'Cash Flow'!AH41</f>
        <v>0</v>
      </c>
      <c r="AI106" s="757">
        <f>'Cash Flow'!AI41</f>
        <v>0</v>
      </c>
      <c r="AJ106" s="757">
        <f>'Cash Flow'!AJ41</f>
        <v>0</v>
      </c>
      <c r="AK106" s="757">
        <f>'Cash Flow'!AK41</f>
        <v>0</v>
      </c>
      <c r="AL106" s="757">
        <f>'Cash Flow'!AL41</f>
        <v>0</v>
      </c>
      <c r="AM106" s="757">
        <f>'Cash Flow'!AM41</f>
        <v>0</v>
      </c>
    </row>
    <row r="107" spans="2:133" s="820" customFormat="1" ht="20" customHeight="1" thickBot="1">
      <c r="B107" s="817" t="s">
        <v>449</v>
      </c>
      <c r="C107" s="818"/>
      <c r="D107" s="790">
        <f>D105+D106</f>
        <v>60000</v>
      </c>
      <c r="E107" s="790">
        <f>E105+E106</f>
        <v>60000</v>
      </c>
      <c r="F107" s="790">
        <f t="shared" ref="F107:AM107" si="50">F105+F106</f>
        <v>60000</v>
      </c>
      <c r="G107" s="790">
        <f t="shared" si="50"/>
        <v>60000</v>
      </c>
      <c r="H107" s="790">
        <f t="shared" si="50"/>
        <v>60000</v>
      </c>
      <c r="I107" s="790">
        <f t="shared" si="50"/>
        <v>60000</v>
      </c>
      <c r="J107" s="790">
        <f t="shared" si="50"/>
        <v>60000</v>
      </c>
      <c r="K107" s="790">
        <f t="shared" si="50"/>
        <v>60000</v>
      </c>
      <c r="L107" s="790">
        <f t="shared" si="50"/>
        <v>60000</v>
      </c>
      <c r="M107" s="790">
        <f t="shared" si="50"/>
        <v>60000</v>
      </c>
      <c r="N107" s="790">
        <f t="shared" si="50"/>
        <v>60000</v>
      </c>
      <c r="O107" s="791">
        <f t="shared" si="50"/>
        <v>60000</v>
      </c>
      <c r="P107" s="790">
        <f t="shared" si="50"/>
        <v>60000</v>
      </c>
      <c r="Q107" s="790">
        <f t="shared" si="50"/>
        <v>60000</v>
      </c>
      <c r="R107" s="790">
        <f t="shared" si="50"/>
        <v>60000</v>
      </c>
      <c r="S107" s="790">
        <f t="shared" si="50"/>
        <v>60000</v>
      </c>
      <c r="T107" s="790">
        <f t="shared" si="50"/>
        <v>312000</v>
      </c>
      <c r="U107" s="790">
        <f t="shared" si="50"/>
        <v>312000</v>
      </c>
      <c r="V107" s="790">
        <f t="shared" si="50"/>
        <v>312000</v>
      </c>
      <c r="W107" s="790">
        <f t="shared" si="50"/>
        <v>312000</v>
      </c>
      <c r="X107" s="790">
        <f t="shared" si="50"/>
        <v>312000</v>
      </c>
      <c r="Y107" s="790">
        <f t="shared" si="50"/>
        <v>312000</v>
      </c>
      <c r="Z107" s="790">
        <f t="shared" si="50"/>
        <v>312000</v>
      </c>
      <c r="AA107" s="791">
        <f t="shared" si="50"/>
        <v>312000</v>
      </c>
      <c r="AB107" s="790">
        <f t="shared" si="50"/>
        <v>312000</v>
      </c>
      <c r="AC107" s="790">
        <f t="shared" si="50"/>
        <v>312000</v>
      </c>
      <c r="AD107" s="790">
        <f t="shared" si="50"/>
        <v>312000</v>
      </c>
      <c r="AE107" s="790">
        <f t="shared" si="50"/>
        <v>312000</v>
      </c>
      <c r="AF107" s="790">
        <f t="shared" si="50"/>
        <v>312000</v>
      </c>
      <c r="AG107" s="790">
        <f t="shared" si="50"/>
        <v>312000</v>
      </c>
      <c r="AH107" s="790">
        <f t="shared" si="50"/>
        <v>312000</v>
      </c>
      <c r="AI107" s="790">
        <f t="shared" si="50"/>
        <v>312000</v>
      </c>
      <c r="AJ107" s="790">
        <f t="shared" si="50"/>
        <v>312000</v>
      </c>
      <c r="AK107" s="790">
        <f t="shared" si="50"/>
        <v>312000</v>
      </c>
      <c r="AL107" s="790">
        <f t="shared" si="50"/>
        <v>312000</v>
      </c>
      <c r="AM107" s="790">
        <f t="shared" si="50"/>
        <v>312000</v>
      </c>
      <c r="AN107" s="787"/>
      <c r="AO107" s="787"/>
      <c r="AP107" s="787"/>
      <c r="AQ107" s="787"/>
      <c r="AR107" s="787"/>
      <c r="AS107" s="787"/>
      <c r="AT107" s="787"/>
      <c r="AU107" s="787"/>
      <c r="AV107" s="787"/>
      <c r="AW107" s="787"/>
      <c r="AX107" s="787"/>
      <c r="AY107" s="819"/>
      <c r="AZ107" s="819"/>
      <c r="BA107" s="819"/>
      <c r="BB107" s="819"/>
      <c r="BC107" s="819"/>
      <c r="BD107" s="819"/>
      <c r="BE107" s="819"/>
      <c r="BF107" s="819"/>
      <c r="BG107" s="819"/>
      <c r="BH107" s="819"/>
      <c r="BI107" s="819"/>
      <c r="BJ107" s="819"/>
      <c r="BK107" s="819"/>
      <c r="BL107" s="819"/>
      <c r="BM107" s="819"/>
      <c r="BN107" s="819"/>
      <c r="BO107" s="819"/>
      <c r="BP107" s="819"/>
      <c r="BQ107" s="819"/>
      <c r="BR107" s="819"/>
      <c r="BS107" s="819"/>
      <c r="BT107" s="819"/>
      <c r="BU107" s="819"/>
      <c r="BV107" s="819"/>
      <c r="BW107" s="819"/>
      <c r="BX107" s="819"/>
      <c r="BY107" s="819"/>
      <c r="BZ107" s="819"/>
      <c r="CA107" s="819"/>
      <c r="CB107" s="819"/>
      <c r="CC107" s="819"/>
      <c r="CD107" s="819"/>
      <c r="CE107" s="819"/>
      <c r="CF107" s="819"/>
      <c r="CG107" s="819"/>
      <c r="CH107" s="819"/>
      <c r="CI107" s="819"/>
      <c r="CJ107" s="819"/>
      <c r="CK107" s="819"/>
      <c r="CL107" s="819"/>
      <c r="CM107" s="819"/>
      <c r="CN107" s="819"/>
      <c r="CO107" s="819"/>
      <c r="CP107" s="819"/>
      <c r="CQ107" s="819"/>
      <c r="CR107" s="819"/>
      <c r="CS107" s="819"/>
      <c r="CT107" s="819"/>
      <c r="CU107" s="819"/>
      <c r="CV107" s="819"/>
      <c r="CW107" s="819"/>
      <c r="CX107" s="819"/>
      <c r="CY107" s="819"/>
      <c r="CZ107" s="819"/>
      <c r="DA107" s="819"/>
      <c r="DB107" s="819"/>
      <c r="DC107" s="819"/>
      <c r="DD107" s="819"/>
      <c r="DE107" s="819"/>
      <c r="DF107" s="819"/>
      <c r="DG107" s="819"/>
      <c r="DH107" s="819"/>
      <c r="DI107" s="819"/>
      <c r="DJ107" s="819"/>
      <c r="DK107" s="819"/>
      <c r="DL107" s="819"/>
      <c r="DM107" s="819"/>
      <c r="DN107" s="819"/>
      <c r="DO107" s="819"/>
      <c r="DP107" s="819"/>
      <c r="DQ107" s="819"/>
      <c r="DR107" s="819"/>
      <c r="DS107" s="819"/>
      <c r="DT107" s="819"/>
      <c r="DU107" s="819"/>
      <c r="DV107" s="819"/>
      <c r="DW107" s="819"/>
      <c r="DX107" s="819"/>
      <c r="DY107" s="819"/>
      <c r="DZ107" s="819"/>
      <c r="EA107" s="819"/>
      <c r="EB107" s="819"/>
      <c r="EC107" s="819"/>
    </row>
    <row r="108" spans="2:133" ht="20" customHeight="1" thickTop="1">
      <c r="B108" s="754"/>
      <c r="C108" s="754"/>
      <c r="D108" s="757"/>
      <c r="E108" s="757"/>
      <c r="F108" s="757"/>
      <c r="G108" s="757"/>
      <c r="H108" s="757"/>
      <c r="I108" s="757"/>
      <c r="J108" s="757"/>
      <c r="K108" s="757"/>
      <c r="L108" s="757"/>
      <c r="M108" s="757"/>
      <c r="N108" s="757"/>
      <c r="O108" s="768"/>
      <c r="P108" s="757"/>
      <c r="Q108" s="757"/>
      <c r="R108" s="757"/>
      <c r="S108" s="757"/>
      <c r="T108" s="757"/>
      <c r="U108" s="757"/>
      <c r="V108" s="757"/>
      <c r="W108" s="757"/>
      <c r="X108" s="757"/>
      <c r="Y108" s="757"/>
      <c r="Z108" s="757"/>
      <c r="AA108" s="768"/>
      <c r="AB108" s="757"/>
      <c r="AC108" s="757"/>
      <c r="AD108" s="757"/>
      <c r="AE108" s="757"/>
      <c r="AF108" s="757"/>
      <c r="AG108" s="757"/>
      <c r="AH108" s="757"/>
      <c r="AI108" s="757"/>
      <c r="AJ108" s="757"/>
      <c r="AK108" s="757"/>
      <c r="AL108" s="757"/>
      <c r="AM108" s="757"/>
      <c r="AN108" s="754"/>
      <c r="AO108" s="754"/>
      <c r="AP108" s="754"/>
      <c r="AQ108" s="754"/>
      <c r="AR108" s="754"/>
      <c r="AS108" s="754"/>
      <c r="AT108" s="754"/>
      <c r="AU108" s="754"/>
      <c r="AV108" s="754"/>
      <c r="AW108" s="754"/>
      <c r="AX108" s="754"/>
      <c r="AY108" s="754"/>
      <c r="AZ108" s="754"/>
      <c r="BA108" s="754"/>
      <c r="BB108" s="754"/>
      <c r="BC108" s="754"/>
      <c r="BD108" s="754"/>
      <c r="BE108" s="754"/>
      <c r="BF108" s="754"/>
      <c r="BG108" s="754"/>
      <c r="BH108" s="754"/>
    </row>
    <row r="109" spans="2:133" s="753" customFormat="1" ht="17" thickBot="1">
      <c r="B109" s="813" t="s">
        <v>26</v>
      </c>
      <c r="C109" s="806"/>
      <c r="D109" s="815"/>
      <c r="E109" s="815"/>
      <c r="F109" s="815"/>
      <c r="G109" s="815"/>
      <c r="H109" s="815"/>
      <c r="I109" s="815"/>
      <c r="J109" s="815"/>
      <c r="K109" s="815"/>
      <c r="L109" s="815"/>
      <c r="M109" s="815"/>
      <c r="N109" s="815"/>
      <c r="O109" s="816"/>
      <c r="P109" s="815"/>
      <c r="Q109" s="815"/>
      <c r="R109" s="815"/>
      <c r="S109" s="815"/>
      <c r="T109" s="815"/>
      <c r="U109" s="815"/>
      <c r="V109" s="815"/>
      <c r="W109" s="815"/>
      <c r="X109" s="815"/>
      <c r="Y109" s="815"/>
      <c r="Z109" s="815"/>
      <c r="AA109" s="816"/>
      <c r="AB109" s="815"/>
      <c r="AC109" s="815"/>
      <c r="AD109" s="815"/>
      <c r="AE109" s="815"/>
      <c r="AF109" s="815"/>
      <c r="AG109" s="815"/>
      <c r="AH109" s="815"/>
      <c r="AI109" s="815"/>
      <c r="AJ109" s="815"/>
      <c r="AK109" s="815"/>
      <c r="AL109" s="815"/>
      <c r="AM109" s="815"/>
      <c r="AN109" s="754"/>
      <c r="AO109" s="754"/>
      <c r="AP109" s="754"/>
      <c r="AQ109" s="754"/>
      <c r="AR109" s="754"/>
      <c r="AS109" s="754"/>
      <c r="AT109" s="754"/>
      <c r="AU109" s="754"/>
      <c r="AV109" s="754"/>
      <c r="AW109" s="754"/>
      <c r="AX109" s="754"/>
      <c r="AY109" s="809"/>
      <c r="AZ109" s="809"/>
      <c r="BA109" s="809"/>
      <c r="BB109" s="809"/>
      <c r="BC109" s="809"/>
      <c r="BD109" s="809"/>
      <c r="BE109" s="809"/>
      <c r="BF109" s="809"/>
      <c r="BG109" s="809"/>
      <c r="BH109" s="809"/>
      <c r="BI109" s="809"/>
      <c r="BJ109" s="809"/>
      <c r="BK109" s="809"/>
      <c r="BL109" s="809"/>
      <c r="BM109" s="809"/>
      <c r="BN109" s="809"/>
      <c r="BO109" s="809"/>
      <c r="BP109" s="809"/>
      <c r="BQ109" s="809"/>
      <c r="BR109" s="809"/>
      <c r="BS109" s="809"/>
      <c r="BT109" s="809"/>
      <c r="BU109" s="809"/>
      <c r="BV109" s="809"/>
      <c r="BW109" s="809"/>
      <c r="BX109" s="809"/>
      <c r="BY109" s="809"/>
      <c r="BZ109" s="809"/>
      <c r="CA109" s="809"/>
      <c r="CB109" s="809"/>
      <c r="CC109" s="809"/>
      <c r="CD109" s="809"/>
      <c r="CE109" s="809"/>
      <c r="CF109" s="809"/>
      <c r="CG109" s="809"/>
      <c r="CH109" s="809"/>
      <c r="CI109" s="809"/>
      <c r="CJ109" s="809"/>
      <c r="CK109" s="809"/>
      <c r="CL109" s="809"/>
      <c r="CM109" s="809"/>
      <c r="CN109" s="809"/>
      <c r="CO109" s="809"/>
      <c r="CP109" s="809"/>
      <c r="CQ109" s="809"/>
      <c r="CR109" s="809"/>
      <c r="CS109" s="809"/>
      <c r="CT109" s="809"/>
      <c r="CU109" s="809"/>
      <c r="CV109" s="809"/>
      <c r="CW109" s="809"/>
      <c r="CX109" s="809"/>
      <c r="CY109" s="809"/>
      <c r="CZ109" s="809"/>
      <c r="DA109" s="809"/>
      <c r="DB109" s="809"/>
      <c r="DC109" s="809"/>
      <c r="DD109" s="809"/>
      <c r="DE109" s="809"/>
      <c r="DF109" s="809"/>
      <c r="DG109" s="809"/>
      <c r="DH109" s="809"/>
      <c r="DI109" s="809"/>
      <c r="DJ109" s="809"/>
      <c r="DK109" s="809"/>
      <c r="DL109" s="809"/>
      <c r="DM109" s="809"/>
      <c r="DN109" s="809"/>
      <c r="DO109" s="809"/>
      <c r="DP109" s="809"/>
      <c r="DQ109" s="809"/>
      <c r="DR109" s="809"/>
      <c r="DS109" s="809"/>
      <c r="DT109" s="809"/>
      <c r="DU109" s="809"/>
      <c r="DV109" s="809"/>
      <c r="DW109" s="809"/>
      <c r="DX109" s="809"/>
      <c r="DY109" s="809"/>
      <c r="DZ109" s="809"/>
      <c r="EA109" s="809"/>
      <c r="EB109" s="809"/>
      <c r="EC109" s="809"/>
    </row>
    <row r="110" spans="2:133">
      <c r="B110" s="754" t="s">
        <v>30</v>
      </c>
      <c r="C110" s="754"/>
      <c r="D110" s="757"/>
      <c r="E110" s="757">
        <f>D113</f>
        <v>-11429.59818146032</v>
      </c>
      <c r="F110" s="757">
        <f t="shared" ref="F110:AM110" si="51">E113</f>
        <v>-21576.270594200698</v>
      </c>
      <c r="G110" s="757">
        <f t="shared" si="51"/>
        <v>-29671.944141887259</v>
      </c>
      <c r="H110" s="757">
        <f t="shared" si="51"/>
        <v>-36162.26096793796</v>
      </c>
      <c r="I110" s="757">
        <f t="shared" si="51"/>
        <v>-41288.433439823864</v>
      </c>
      <c r="J110" s="757">
        <f t="shared" si="51"/>
        <v>-44988.187618756325</v>
      </c>
      <c r="K110" s="757">
        <f t="shared" si="51"/>
        <v>-47165.20696853994</v>
      </c>
      <c r="L110" s="757">
        <f t="shared" si="51"/>
        <v>-48460.30417736552</v>
      </c>
      <c r="M110" s="757">
        <f t="shared" si="51"/>
        <v>-48300.419016013504</v>
      </c>
      <c r="N110" s="757">
        <f t="shared" si="51"/>
        <v>-46609.362913332545</v>
      </c>
      <c r="O110" s="768">
        <f t="shared" si="51"/>
        <v>-43187.423070960751</v>
      </c>
      <c r="P110" s="757">
        <f t="shared" si="51"/>
        <v>-38504.514443499174</v>
      </c>
      <c r="Q110" s="757">
        <f t="shared" si="51"/>
        <v>-41910.386048675115</v>
      </c>
      <c r="R110" s="757">
        <f t="shared" si="51"/>
        <v>-43214.407502271089</v>
      </c>
      <c r="S110" s="757">
        <f t="shared" si="51"/>
        <v>-39645.622893033178</v>
      </c>
      <c r="T110" s="757">
        <f t="shared" si="51"/>
        <v>-32912.623040718645</v>
      </c>
      <c r="U110" s="757">
        <f t="shared" si="51"/>
        <v>-24847.363202878787</v>
      </c>
      <c r="V110" s="757">
        <f t="shared" si="51"/>
        <v>-14832.690258197606</v>
      </c>
      <c r="W110" s="757">
        <f t="shared" si="51"/>
        <v>-3212.4646009827338</v>
      </c>
      <c r="X110" s="757">
        <f t="shared" si="51"/>
        <v>9910.7739497666644</v>
      </c>
      <c r="Y110" s="757">
        <f t="shared" si="51"/>
        <v>16511.064897914577</v>
      </c>
      <c r="Z110" s="757">
        <f t="shared" si="51"/>
        <v>25757.104587146623</v>
      </c>
      <c r="AA110" s="768">
        <f t="shared" si="51"/>
        <v>37097.06957506969</v>
      </c>
      <c r="AB110" s="757">
        <f t="shared" si="51"/>
        <v>38198.693009390714</v>
      </c>
      <c r="AC110" s="757">
        <f t="shared" si="51"/>
        <v>41612.430732330562</v>
      </c>
      <c r="AD110" s="757">
        <f t="shared" si="51"/>
        <v>46479.169970610077</v>
      </c>
      <c r="AE110" s="757">
        <f t="shared" si="51"/>
        <v>53029.810433857318</v>
      </c>
      <c r="AF110" s="757">
        <f t="shared" si="51"/>
        <v>61776.575677652581</v>
      </c>
      <c r="AG110" s="757">
        <f t="shared" si="51"/>
        <v>72423.814859492282</v>
      </c>
      <c r="AH110" s="757">
        <f t="shared" si="51"/>
        <v>84797.291599741802</v>
      </c>
      <c r="AI110" s="757">
        <f t="shared" si="51"/>
        <v>98838.004204490702</v>
      </c>
      <c r="AJ110" s="757">
        <f t="shared" si="51"/>
        <v>114335.71481440355</v>
      </c>
      <c r="AK110" s="757">
        <f t="shared" si="51"/>
        <v>131352.60839015056</v>
      </c>
      <c r="AL110" s="757">
        <f t="shared" si="51"/>
        <v>149312.7279468932</v>
      </c>
      <c r="AM110" s="757">
        <f t="shared" si="51"/>
        <v>169563.21841588494</v>
      </c>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row>
    <row r="111" spans="2:133">
      <c r="B111" s="754" t="s">
        <v>187</v>
      </c>
      <c r="C111" s="754"/>
      <c r="D111" s="757">
        <f>'Profit &amp; Loss'!D109</f>
        <v>-11429.59818146032</v>
      </c>
      <c r="E111" s="757">
        <f>'Profit &amp; Loss'!E109</f>
        <v>-10146.672412740378</v>
      </c>
      <c r="F111" s="757">
        <f>'Profit &amp; Loss'!F109</f>
        <v>-8095.6735476865597</v>
      </c>
      <c r="G111" s="757">
        <f>'Profit &amp; Loss'!G109</f>
        <v>-6490.3168260506982</v>
      </c>
      <c r="H111" s="757">
        <f>'Profit &amp; Loss'!H109</f>
        <v>-5126.1724718859041</v>
      </c>
      <c r="I111" s="757">
        <f>'Profit &amp; Loss'!I109</f>
        <v>-3699.7541789324587</v>
      </c>
      <c r="J111" s="757">
        <f>'Profit &amp; Loss'!J109</f>
        <v>-2177.0193497836144</v>
      </c>
      <c r="K111" s="757">
        <f>'Profit &amp; Loss'!K109</f>
        <v>-1295.097208825581</v>
      </c>
      <c r="L111" s="757">
        <f>'Profit &amp; Loss'!L109</f>
        <v>159.88516135201411</v>
      </c>
      <c r="M111" s="757">
        <f>'Profit &amp; Loss'!M109</f>
        <v>1691.0561026809619</v>
      </c>
      <c r="N111" s="757">
        <f>'Profit &amp; Loss'!N109</f>
        <v>3421.9398423717926</v>
      </c>
      <c r="O111" s="768">
        <f>'Profit &amp; Loss'!O109</f>
        <v>4682.9086274615747</v>
      </c>
      <c r="P111" s="757">
        <f>'Profit &amp; Loss'!P109</f>
        <v>-3405.8716051759397</v>
      </c>
      <c r="Q111" s="757">
        <f>'Profit &amp; Loss'!Q109</f>
        <v>-1304.0214535959738</v>
      </c>
      <c r="R111" s="757">
        <f>'Profit &amp; Loss'!R109</f>
        <v>3568.7846092379114</v>
      </c>
      <c r="S111" s="757">
        <f>'Profit &amp; Loss'!S109</f>
        <v>6732.9998523145314</v>
      </c>
      <c r="T111" s="757">
        <f>'Profit &amp; Loss'!T109</f>
        <v>8065.259837839857</v>
      </c>
      <c r="U111" s="757">
        <f>'Profit &amp; Loss'!U109</f>
        <v>10014.672944681181</v>
      </c>
      <c r="V111" s="757">
        <f>'Profit &amp; Loss'!V109</f>
        <v>11620.225657214873</v>
      </c>
      <c r="W111" s="757">
        <f>'Profit &amp; Loss'!W109</f>
        <v>13123.238550749398</v>
      </c>
      <c r="X111" s="757">
        <f>'Profit &amp; Loss'!X109</f>
        <v>6600.2909481479146</v>
      </c>
      <c r="Y111" s="757">
        <f>'Profit &amp; Loss'!Y109</f>
        <v>9246.0396892320459</v>
      </c>
      <c r="Z111" s="757">
        <f>'Profit &amp; Loss'!Z109</f>
        <v>11339.964987923066</v>
      </c>
      <c r="AA111" s="768">
        <f>'Profit &amp; Loss'!AA109</f>
        <v>11101.623434321022</v>
      </c>
      <c r="AB111" s="757">
        <f>'Profit &amp; Loss'!AB109</f>
        <v>3413.7377229398453</v>
      </c>
      <c r="AC111" s="757">
        <f>'Profit &amp; Loss'!AC109</f>
        <v>4866.7392382795178</v>
      </c>
      <c r="AD111" s="757">
        <f>'Profit &amp; Loss'!AD109</f>
        <v>6550.640463247244</v>
      </c>
      <c r="AE111" s="757">
        <f>'Profit &amp; Loss'!AE109</f>
        <v>8746.7652437952602</v>
      </c>
      <c r="AF111" s="757">
        <f>'Profit &amp; Loss'!AF109</f>
        <v>10647.239181839695</v>
      </c>
      <c r="AG111" s="757">
        <f>'Profit &amp; Loss'!AG109</f>
        <v>12373.47674024952</v>
      </c>
      <c r="AH111" s="757">
        <f>'Profit &amp; Loss'!AH109</f>
        <v>14040.7126047489</v>
      </c>
      <c r="AI111" s="757">
        <f>'Profit &amp; Loss'!AI109</f>
        <v>15497.71060991284</v>
      </c>
      <c r="AJ111" s="757">
        <f>'Profit &amp; Loss'!AJ109</f>
        <v>17016.893575747017</v>
      </c>
      <c r="AK111" s="757">
        <f>'Profit &amp; Loss'!AK109</f>
        <v>17960.11955674264</v>
      </c>
      <c r="AL111" s="757">
        <f>'Profit &amp; Loss'!AL109</f>
        <v>20250.490468991735</v>
      </c>
      <c r="AM111" s="757">
        <f>'Profit &amp; Loss'!AM109</f>
        <v>22493.938798182447</v>
      </c>
      <c r="AN111" s="754"/>
      <c r="AO111" s="754"/>
      <c r="AP111" s="754"/>
      <c r="AQ111" s="754"/>
      <c r="AR111" s="754"/>
      <c r="AS111" s="754"/>
      <c r="AT111" s="754"/>
      <c r="AU111" s="754"/>
      <c r="AV111" s="754"/>
      <c r="AW111" s="754"/>
      <c r="AX111" s="754"/>
      <c r="AY111" s="754"/>
      <c r="AZ111" s="754"/>
      <c r="BA111" s="754"/>
      <c r="BB111" s="754"/>
      <c r="BC111" s="754"/>
      <c r="BD111" s="754"/>
      <c r="BE111" s="754"/>
      <c r="BF111" s="754"/>
      <c r="BG111" s="754"/>
      <c r="BH111" s="754"/>
    </row>
    <row r="112" spans="2:133">
      <c r="B112" s="754" t="s">
        <v>202</v>
      </c>
      <c r="C112" s="754"/>
      <c r="D112" s="757">
        <f>'Cash Flow'!D143</f>
        <v>0</v>
      </c>
      <c r="E112" s="757">
        <f>'Cash Flow'!E143</f>
        <v>0</v>
      </c>
      <c r="F112" s="757">
        <f>'Cash Flow'!F143</f>
        <v>0</v>
      </c>
      <c r="G112" s="757">
        <f>'Cash Flow'!G143</f>
        <v>0</v>
      </c>
      <c r="H112" s="757">
        <f>'Cash Flow'!H143</f>
        <v>0</v>
      </c>
      <c r="I112" s="757">
        <f>'Cash Flow'!I143</f>
        <v>0</v>
      </c>
      <c r="J112" s="757">
        <f>'Cash Flow'!J143</f>
        <v>0</v>
      </c>
      <c r="K112" s="757">
        <f>'Cash Flow'!K143</f>
        <v>0</v>
      </c>
      <c r="L112" s="757">
        <f>'Cash Flow'!L143</f>
        <v>0</v>
      </c>
      <c r="M112" s="757">
        <f>'Cash Flow'!M143</f>
        <v>0</v>
      </c>
      <c r="N112" s="757">
        <f>'Cash Flow'!N143</f>
        <v>0</v>
      </c>
      <c r="O112" s="768">
        <f>'Cash Flow'!O143</f>
        <v>0</v>
      </c>
      <c r="P112" s="757">
        <f>'Cash Flow'!P143</f>
        <v>0</v>
      </c>
      <c r="Q112" s="757">
        <f>'Cash Flow'!Q143</f>
        <v>0</v>
      </c>
      <c r="R112" s="757">
        <f>'Cash Flow'!R143</f>
        <v>0</v>
      </c>
      <c r="S112" s="757">
        <f>'Cash Flow'!S143</f>
        <v>0</v>
      </c>
      <c r="T112" s="757">
        <f>'Cash Flow'!T143</f>
        <v>0</v>
      </c>
      <c r="U112" s="757">
        <f>'Cash Flow'!U143</f>
        <v>0</v>
      </c>
      <c r="V112" s="757">
        <f>'Cash Flow'!V143</f>
        <v>0</v>
      </c>
      <c r="W112" s="757">
        <f>'Cash Flow'!W143</f>
        <v>0</v>
      </c>
      <c r="X112" s="757">
        <f>'Cash Flow'!X143</f>
        <v>0</v>
      </c>
      <c r="Y112" s="757">
        <f>'Cash Flow'!Y143</f>
        <v>0</v>
      </c>
      <c r="Z112" s="757">
        <f>'Cash Flow'!Z143</f>
        <v>0</v>
      </c>
      <c r="AA112" s="768">
        <f>'Cash Flow'!AA143</f>
        <v>-10000</v>
      </c>
      <c r="AB112" s="757">
        <f>'Cash Flow'!AB143</f>
        <v>0</v>
      </c>
      <c r="AC112" s="757">
        <f>'Cash Flow'!AC143</f>
        <v>0</v>
      </c>
      <c r="AD112" s="757">
        <f>'Cash Flow'!AD143</f>
        <v>0</v>
      </c>
      <c r="AE112" s="757">
        <f>'Cash Flow'!AE143</f>
        <v>0</v>
      </c>
      <c r="AF112" s="757">
        <f>'Cash Flow'!AF143</f>
        <v>0</v>
      </c>
      <c r="AG112" s="757">
        <f>'Cash Flow'!AG143</f>
        <v>0</v>
      </c>
      <c r="AH112" s="757">
        <f>'Cash Flow'!AH143</f>
        <v>0</v>
      </c>
      <c r="AI112" s="757">
        <f>'Cash Flow'!AI143</f>
        <v>0</v>
      </c>
      <c r="AJ112" s="757">
        <f>'Cash Flow'!AJ143</f>
        <v>0</v>
      </c>
      <c r="AK112" s="757">
        <f>'Cash Flow'!AK143</f>
        <v>0</v>
      </c>
      <c r="AL112" s="757">
        <f>'Cash Flow'!AL143</f>
        <v>0</v>
      </c>
      <c r="AM112" s="757">
        <f>'Cash Flow'!AM143</f>
        <v>-10000</v>
      </c>
      <c r="AN112" s="754"/>
      <c r="AO112" s="754"/>
      <c r="AP112" s="754"/>
      <c r="AQ112" s="754"/>
      <c r="AR112" s="754"/>
      <c r="AS112" s="754"/>
      <c r="AT112" s="754"/>
      <c r="AU112" s="754"/>
      <c r="AV112" s="754"/>
      <c r="AW112" s="754"/>
      <c r="AX112" s="754"/>
      <c r="AY112" s="754"/>
      <c r="AZ112" s="754"/>
      <c r="BA112" s="754"/>
      <c r="BB112" s="754"/>
      <c r="BC112" s="754"/>
      <c r="BD112" s="754"/>
      <c r="BE112" s="754"/>
      <c r="BF112" s="754"/>
      <c r="BG112" s="754"/>
      <c r="BH112" s="754"/>
    </row>
    <row r="113" spans="2:133" s="820" customFormat="1" ht="20" customHeight="1" thickBot="1">
      <c r="B113" s="817" t="s">
        <v>449</v>
      </c>
      <c r="C113" s="818"/>
      <c r="D113" s="790">
        <f>SUM(D110:D112)</f>
        <v>-11429.59818146032</v>
      </c>
      <c r="E113" s="790">
        <f t="shared" ref="E113:AM113" si="52">SUM(E110:E112)</f>
        <v>-21576.270594200698</v>
      </c>
      <c r="F113" s="790">
        <f t="shared" si="52"/>
        <v>-29671.944141887259</v>
      </c>
      <c r="G113" s="790">
        <f t="shared" si="52"/>
        <v>-36162.26096793796</v>
      </c>
      <c r="H113" s="790">
        <f t="shared" si="52"/>
        <v>-41288.433439823864</v>
      </c>
      <c r="I113" s="790">
        <f t="shared" si="52"/>
        <v>-44988.187618756325</v>
      </c>
      <c r="J113" s="790">
        <f t="shared" si="52"/>
        <v>-47165.20696853994</v>
      </c>
      <c r="K113" s="790">
        <f t="shared" si="52"/>
        <v>-48460.30417736552</v>
      </c>
      <c r="L113" s="790">
        <f t="shared" si="52"/>
        <v>-48300.419016013504</v>
      </c>
      <c r="M113" s="790">
        <f t="shared" si="52"/>
        <v>-46609.362913332545</v>
      </c>
      <c r="N113" s="790">
        <f t="shared" si="52"/>
        <v>-43187.423070960751</v>
      </c>
      <c r="O113" s="791">
        <f t="shared" si="52"/>
        <v>-38504.514443499174</v>
      </c>
      <c r="P113" s="790">
        <f t="shared" si="52"/>
        <v>-41910.386048675115</v>
      </c>
      <c r="Q113" s="790">
        <f t="shared" si="52"/>
        <v>-43214.407502271089</v>
      </c>
      <c r="R113" s="790">
        <f t="shared" si="52"/>
        <v>-39645.622893033178</v>
      </c>
      <c r="S113" s="790">
        <f t="shared" si="52"/>
        <v>-32912.623040718645</v>
      </c>
      <c r="T113" s="790">
        <f t="shared" si="52"/>
        <v>-24847.363202878787</v>
      </c>
      <c r="U113" s="790">
        <f t="shared" si="52"/>
        <v>-14832.690258197606</v>
      </c>
      <c r="V113" s="790">
        <f t="shared" si="52"/>
        <v>-3212.4646009827338</v>
      </c>
      <c r="W113" s="790">
        <f t="shared" si="52"/>
        <v>9910.7739497666644</v>
      </c>
      <c r="X113" s="790">
        <f t="shared" si="52"/>
        <v>16511.064897914577</v>
      </c>
      <c r="Y113" s="790">
        <f t="shared" si="52"/>
        <v>25757.104587146623</v>
      </c>
      <c r="Z113" s="790">
        <f t="shared" si="52"/>
        <v>37097.06957506969</v>
      </c>
      <c r="AA113" s="791">
        <f t="shared" si="52"/>
        <v>38198.693009390714</v>
      </c>
      <c r="AB113" s="790">
        <f t="shared" si="52"/>
        <v>41612.430732330562</v>
      </c>
      <c r="AC113" s="790">
        <f t="shared" si="52"/>
        <v>46479.169970610077</v>
      </c>
      <c r="AD113" s="790">
        <f t="shared" si="52"/>
        <v>53029.810433857318</v>
      </c>
      <c r="AE113" s="790">
        <f t="shared" si="52"/>
        <v>61776.575677652581</v>
      </c>
      <c r="AF113" s="790">
        <f t="shared" si="52"/>
        <v>72423.814859492282</v>
      </c>
      <c r="AG113" s="790">
        <f t="shared" si="52"/>
        <v>84797.291599741802</v>
      </c>
      <c r="AH113" s="790">
        <f t="shared" si="52"/>
        <v>98838.004204490702</v>
      </c>
      <c r="AI113" s="790">
        <f t="shared" si="52"/>
        <v>114335.71481440355</v>
      </c>
      <c r="AJ113" s="790">
        <f t="shared" si="52"/>
        <v>131352.60839015056</v>
      </c>
      <c r="AK113" s="790">
        <f t="shared" si="52"/>
        <v>149312.7279468932</v>
      </c>
      <c r="AL113" s="790">
        <f t="shared" si="52"/>
        <v>169563.21841588494</v>
      </c>
      <c r="AM113" s="790">
        <f t="shared" si="52"/>
        <v>182057.15721406738</v>
      </c>
      <c r="AN113" s="787"/>
      <c r="AO113" s="787"/>
      <c r="AP113" s="787"/>
      <c r="AQ113" s="787"/>
      <c r="AR113" s="787"/>
      <c r="AS113" s="787"/>
      <c r="AT113" s="787"/>
      <c r="AU113" s="787"/>
      <c r="AV113" s="787"/>
      <c r="AW113" s="787"/>
      <c r="AX113" s="787"/>
      <c r="AY113" s="819"/>
      <c r="AZ113" s="819"/>
      <c r="BA113" s="819"/>
      <c r="BB113" s="819"/>
      <c r="BC113" s="819"/>
      <c r="BD113" s="819"/>
      <c r="BE113" s="819"/>
      <c r="BF113" s="819"/>
      <c r="BG113" s="819"/>
      <c r="BH113" s="819"/>
      <c r="BI113" s="819"/>
      <c r="BJ113" s="819"/>
      <c r="BK113" s="819"/>
      <c r="BL113" s="819"/>
      <c r="BM113" s="819"/>
      <c r="BN113" s="819"/>
      <c r="BO113" s="819"/>
      <c r="BP113" s="819"/>
      <c r="BQ113" s="819"/>
      <c r="BR113" s="819"/>
      <c r="BS113" s="819"/>
      <c r="BT113" s="819"/>
      <c r="BU113" s="819"/>
      <c r="BV113" s="819"/>
      <c r="BW113" s="819"/>
      <c r="BX113" s="819"/>
      <c r="BY113" s="819"/>
      <c r="BZ113" s="819"/>
      <c r="CA113" s="819"/>
      <c r="CB113" s="819"/>
      <c r="CC113" s="819"/>
      <c r="CD113" s="819"/>
      <c r="CE113" s="819"/>
      <c r="CF113" s="819"/>
      <c r="CG113" s="819"/>
      <c r="CH113" s="819"/>
      <c r="CI113" s="819"/>
      <c r="CJ113" s="819"/>
      <c r="CK113" s="819"/>
      <c r="CL113" s="819"/>
      <c r="CM113" s="819"/>
      <c r="CN113" s="819"/>
      <c r="CO113" s="819"/>
      <c r="CP113" s="819"/>
      <c r="CQ113" s="819"/>
      <c r="CR113" s="819"/>
      <c r="CS113" s="819"/>
      <c r="CT113" s="819"/>
      <c r="CU113" s="819"/>
      <c r="CV113" s="819"/>
      <c r="CW113" s="819"/>
      <c r="CX113" s="819"/>
      <c r="CY113" s="819"/>
      <c r="CZ113" s="819"/>
      <c r="DA113" s="819"/>
      <c r="DB113" s="819"/>
      <c r="DC113" s="819"/>
      <c r="DD113" s="819"/>
      <c r="DE113" s="819"/>
      <c r="DF113" s="819"/>
      <c r="DG113" s="819"/>
      <c r="DH113" s="819"/>
      <c r="DI113" s="819"/>
      <c r="DJ113" s="819"/>
      <c r="DK113" s="819"/>
      <c r="DL113" s="819"/>
      <c r="DM113" s="819"/>
      <c r="DN113" s="819"/>
      <c r="DO113" s="819"/>
      <c r="DP113" s="819"/>
      <c r="DQ113" s="819"/>
      <c r="DR113" s="819"/>
      <c r="DS113" s="819"/>
      <c r="DT113" s="819"/>
      <c r="DU113" s="819"/>
      <c r="DV113" s="819"/>
      <c r="DW113" s="819"/>
      <c r="DX113" s="819"/>
      <c r="DY113" s="819"/>
      <c r="DZ113" s="819"/>
      <c r="EA113" s="819"/>
      <c r="EB113" s="819"/>
      <c r="EC113" s="819"/>
    </row>
    <row r="114" spans="2:133" ht="20" customHeight="1" thickTop="1">
      <c r="B114" s="754"/>
      <c r="C114" s="754"/>
      <c r="D114" s="757"/>
      <c r="E114" s="757"/>
      <c r="F114" s="757"/>
      <c r="G114" s="757"/>
      <c r="H114" s="757"/>
      <c r="I114" s="757"/>
      <c r="J114" s="757"/>
      <c r="K114" s="757"/>
      <c r="L114" s="757"/>
      <c r="M114" s="757"/>
      <c r="N114" s="757"/>
      <c r="O114" s="768"/>
      <c r="P114" s="757"/>
      <c r="Q114" s="757"/>
      <c r="R114" s="757"/>
      <c r="S114" s="757"/>
      <c r="T114" s="757"/>
      <c r="U114" s="757"/>
      <c r="V114" s="757"/>
      <c r="W114" s="757"/>
      <c r="X114" s="757"/>
      <c r="Y114" s="757"/>
      <c r="Z114" s="757"/>
      <c r="AA114" s="768"/>
      <c r="AB114" s="757"/>
      <c r="AC114" s="757"/>
      <c r="AD114" s="757"/>
      <c r="AE114" s="757"/>
      <c r="AF114" s="757"/>
      <c r="AG114" s="757"/>
      <c r="AH114" s="757"/>
      <c r="AI114" s="757"/>
      <c r="AJ114" s="757"/>
      <c r="AK114" s="757"/>
      <c r="AL114" s="757"/>
      <c r="AM114" s="757"/>
      <c r="AN114" s="754"/>
      <c r="AO114" s="754"/>
      <c r="AP114" s="754"/>
      <c r="AQ114" s="754"/>
      <c r="AR114" s="754"/>
      <c r="AS114" s="754"/>
      <c r="AT114" s="754"/>
      <c r="AU114" s="754"/>
      <c r="AV114" s="754"/>
      <c r="AW114" s="754"/>
      <c r="AX114" s="754"/>
      <c r="AY114" s="754"/>
      <c r="AZ114" s="754"/>
      <c r="BA114" s="754"/>
      <c r="BB114" s="754"/>
      <c r="BC114" s="754"/>
      <c r="BD114" s="754"/>
      <c r="BE114" s="754"/>
      <c r="BF114" s="754"/>
      <c r="BG114" s="754"/>
      <c r="BH114" s="754"/>
    </row>
    <row r="120" spans="2:133">
      <c r="P120" s="834"/>
      <c r="Q120" s="834"/>
      <c r="R120" s="834"/>
      <c r="S120" s="834"/>
      <c r="T120" s="834"/>
      <c r="U120" s="834"/>
      <c r="V120" s="834"/>
      <c r="W120" s="834"/>
      <c r="X120" s="834"/>
      <c r="Y120" s="834"/>
      <c r="Z120" s="834"/>
      <c r="AA120" s="835"/>
      <c r="AB120" s="834"/>
      <c r="AC120" s="834"/>
      <c r="AD120" s="834"/>
      <c r="AE120" s="834"/>
      <c r="AF120" s="834"/>
      <c r="AG120" s="834"/>
      <c r="AH120" s="834"/>
      <c r="AI120" s="834"/>
      <c r="AJ120" s="834"/>
      <c r="AK120" s="834"/>
      <c r="AL120" s="834"/>
      <c r="AM120" s="834"/>
    </row>
    <row r="122" spans="2:133" s="754" customFormat="1">
      <c r="B122" s="836"/>
      <c r="O122" s="755"/>
      <c r="P122" s="766"/>
      <c r="AA122" s="755"/>
      <c r="AB122" s="766"/>
    </row>
    <row r="123" spans="2:133" s="754" customFormat="1">
      <c r="B123" s="836"/>
      <c r="O123" s="755"/>
      <c r="P123" s="766"/>
      <c r="AA123" s="755"/>
      <c r="AB123" s="766"/>
    </row>
    <row r="124" spans="2:133" s="754" customFormat="1">
      <c r="B124" s="836"/>
      <c r="O124" s="755"/>
      <c r="P124" s="766"/>
      <c r="AA124" s="755"/>
      <c r="AB124" s="766"/>
    </row>
    <row r="140" spans="2:28" s="754" customFormat="1">
      <c r="B140" s="756"/>
      <c r="O140" s="755"/>
      <c r="P140" s="766"/>
      <c r="AA140" s="755"/>
      <c r="AB140" s="766"/>
    </row>
    <row r="141" spans="2:28" s="754" customFormat="1">
      <c r="B141" s="756"/>
      <c r="C141" s="837"/>
      <c r="O141" s="755"/>
      <c r="P141" s="766"/>
      <c r="AA141" s="755"/>
      <c r="AB141" s="766"/>
    </row>
    <row r="142" spans="2:28" s="754" customFormat="1">
      <c r="B142" s="756"/>
      <c r="O142" s="755"/>
      <c r="P142" s="766"/>
      <c r="AA142" s="755"/>
      <c r="AB142" s="766"/>
    </row>
    <row r="143" spans="2:28" s="754" customFormat="1">
      <c r="B143" s="756"/>
      <c r="O143" s="755"/>
      <c r="P143" s="766"/>
      <c r="AA143" s="755"/>
      <c r="AB143" s="766"/>
    </row>
    <row r="144" spans="2:28" s="754" customFormat="1">
      <c r="B144" s="756"/>
      <c r="O144" s="755"/>
      <c r="P144" s="766"/>
      <c r="AA144" s="755"/>
      <c r="AB144" s="766"/>
    </row>
    <row r="145" spans="2:28" s="754" customFormat="1">
      <c r="B145" s="838"/>
      <c r="O145" s="755"/>
      <c r="P145" s="766"/>
      <c r="AA145" s="755"/>
      <c r="AB145" s="766"/>
    </row>
    <row r="146" spans="2:28" s="754" customFormat="1">
      <c r="B146" s="756"/>
      <c r="O146" s="755"/>
      <c r="P146" s="766"/>
      <c r="AA146" s="755"/>
      <c r="AB146" s="766"/>
    </row>
    <row r="147" spans="2:28" s="754" customFormat="1">
      <c r="B147" s="756"/>
      <c r="O147" s="755"/>
      <c r="P147" s="766"/>
      <c r="AA147" s="755"/>
      <c r="AB147" s="766"/>
    </row>
    <row r="148" spans="2:28" s="754" customFormat="1">
      <c r="B148" s="756"/>
      <c r="O148" s="755"/>
      <c r="P148" s="766"/>
      <c r="AA148" s="755"/>
      <c r="AB148" s="766"/>
    </row>
    <row r="149" spans="2:28" s="754" customFormat="1">
      <c r="B149" s="756"/>
      <c r="O149" s="755"/>
      <c r="P149" s="766"/>
      <c r="AA149" s="755"/>
      <c r="AB149" s="766"/>
    </row>
    <row r="150" spans="2:28" s="754" customFormat="1">
      <c r="B150" s="756"/>
      <c r="O150" s="755"/>
      <c r="P150" s="766"/>
      <c r="AA150" s="755"/>
      <c r="AB150" s="766"/>
    </row>
    <row r="151" spans="2:28" s="754" customFormat="1">
      <c r="B151" s="756"/>
      <c r="O151" s="755"/>
      <c r="P151" s="766"/>
      <c r="AA151" s="755"/>
      <c r="AB151" s="766"/>
    </row>
    <row r="152" spans="2:28" s="754" customFormat="1">
      <c r="B152" s="756"/>
      <c r="O152" s="755"/>
      <c r="P152" s="766"/>
      <c r="AA152" s="755"/>
      <c r="AB152" s="766"/>
    </row>
    <row r="153" spans="2:28" s="839" customFormat="1" ht="13">
      <c r="B153" s="838"/>
      <c r="O153" s="840"/>
      <c r="P153" s="841"/>
      <c r="AA153" s="840"/>
      <c r="AB153" s="841"/>
    </row>
    <row r="154" spans="2:28" s="839" customFormat="1" ht="13">
      <c r="B154" s="838"/>
      <c r="O154" s="840"/>
      <c r="P154" s="841"/>
      <c r="AA154" s="840"/>
      <c r="AB154" s="841"/>
    </row>
    <row r="155" spans="2:28" s="754" customFormat="1">
      <c r="B155" s="756"/>
      <c r="O155" s="755"/>
      <c r="P155" s="766"/>
      <c r="AA155" s="755"/>
      <c r="AB155" s="766"/>
    </row>
    <row r="1003" spans="1:1">
      <c r="A1003" s="842">
        <v>30217</v>
      </c>
    </row>
  </sheetData>
  <sheetProtection formatCells="0" formatColumns="0" formatRows="0" insertColumns="0" insertRows="0" insertHyperlinks="0" deleteColumns="0" deleteRows="0" sort="0" autoFilter="0" pivotTables="0"/>
  <pageMargins left="0.75" right="0.75" top="1" bottom="1" header="0.5" footer="0.5"/>
  <pageSetup paperSize="9" orientation="portrait" horizontalDpi="4294967292" verticalDpi="4294967292"/>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4" tint="0.39997558519241921"/>
  </sheetPr>
  <dimension ref="A1:Z170"/>
  <sheetViews>
    <sheetView showGridLines="0" zoomScaleNormal="84" zoomScalePageLayoutView="125" workbookViewId="0">
      <selection activeCell="E62" sqref="E62"/>
    </sheetView>
  </sheetViews>
  <sheetFormatPr baseColWidth="10" defaultRowHeight="16" outlineLevelRow="1"/>
  <cols>
    <col min="1" max="1" width="23.33203125" style="49" customWidth="1"/>
    <col min="2" max="2" width="25.6640625" style="49" customWidth="1"/>
    <col min="3" max="3" width="9.6640625" style="49" customWidth="1"/>
    <col min="4" max="6" width="14.5" style="49" customWidth="1"/>
    <col min="7" max="7" width="6.1640625" style="49" customWidth="1"/>
    <col min="8" max="16384" width="10.83203125" style="49"/>
  </cols>
  <sheetData>
    <row r="1" spans="2:26" s="48" customFormat="1" ht="20" customHeight="1">
      <c r="B1" s="378" t="str">
        <f>"v"&amp;'COPYRIGHT PROTECTION'!C15&amp;"     "&amp;'COPYRIGHT PROTECTION'!C6</f>
        <v xml:space="preserve">v2025.1     © Simon Hulme and Chris Drew, 2011-2025     IF PART OF AN ACADEMIC ASSIGNMENT, PLEASE DO NOT DELETE THIS SINGLE LINE.  DELETING IT MAY INVALIDATE YOUR SUBMISSION. </v>
      </c>
    </row>
    <row r="2" spans="2:26" s="48" customFormat="1" ht="20" customHeight="1"/>
    <row r="3" spans="2:26" ht="28">
      <c r="B3" s="380" t="s">
        <v>479</v>
      </c>
      <c r="Z3" s="1017"/>
    </row>
    <row r="4" spans="2:26">
      <c r="B4" s="429"/>
      <c r="C4" s="1018"/>
      <c r="D4" s="1018"/>
      <c r="E4" s="1018"/>
      <c r="F4" s="1018"/>
    </row>
    <row r="5" spans="2:26" s="1019" customFormat="1" ht="24" thickBot="1">
      <c r="B5" s="179" t="s">
        <v>23</v>
      </c>
      <c r="C5" s="1020"/>
      <c r="D5" s="1020"/>
      <c r="E5" s="1020"/>
      <c r="F5" s="1020"/>
      <c r="Z5" s="1021"/>
    </row>
    <row r="6" spans="2:26" ht="20" customHeight="1">
      <c r="C6" s="1018"/>
      <c r="D6" s="1018"/>
      <c r="E6" s="1018"/>
    </row>
    <row r="7" spans="2:26">
      <c r="C7" s="1018"/>
      <c r="D7" s="1018"/>
      <c r="E7" s="1018"/>
      <c r="F7" s="1018"/>
    </row>
    <row r="8" spans="2:26" s="1022" customFormat="1" ht="19" thickBot="1">
      <c r="B8" s="1023" t="s">
        <v>71</v>
      </c>
      <c r="C8" s="1024"/>
      <c r="D8" s="1025">
        <f>'Pricing Model'!C6</f>
        <v>2025</v>
      </c>
      <c r="E8" s="1025">
        <f>D8+1</f>
        <v>2026</v>
      </c>
      <c r="F8" s="1025">
        <f>E8+1</f>
        <v>2027</v>
      </c>
    </row>
    <row r="9" spans="2:26" s="1022" customFormat="1" ht="12" customHeight="1">
      <c r="B9" s="1026"/>
      <c r="C9" s="1027"/>
      <c r="D9" s="1028"/>
      <c r="E9" s="1028"/>
      <c r="F9" s="1028"/>
    </row>
    <row r="10" spans="2:26">
      <c r="B10" s="408" t="str">
        <f>'Profit &amp; Loss'!B81</f>
        <v>Sales (excl VAT)</v>
      </c>
      <c r="C10" s="408"/>
      <c r="D10" s="1029">
        <f>SUM('Profit &amp; Loss'!D81:O81)</f>
        <v>350414.7906666667</v>
      </c>
      <c r="E10" s="1029">
        <f>SUM('Profit &amp; Loss'!P81:AA81)</f>
        <v>760435.96431407414</v>
      </c>
      <c r="F10" s="1029">
        <f>SUM('Profit &amp; Loss'!AB81:AM81)</f>
        <v>1296571.9604514667</v>
      </c>
    </row>
    <row r="11" spans="2:26" ht="12" customHeight="1">
      <c r="B11" s="408"/>
      <c r="C11" s="408"/>
      <c r="D11" s="1029"/>
      <c r="E11" s="1029"/>
      <c r="F11" s="1029"/>
    </row>
    <row r="12" spans="2:26">
      <c r="B12" s="412" t="str">
        <f>'Profit &amp; Loss'!B83</f>
        <v>Cost of sales</v>
      </c>
      <c r="C12" s="1030"/>
      <c r="D12" s="1031">
        <f>SUM('Profit &amp; Loss'!D83:O83)</f>
        <v>-46283.045874118092</v>
      </c>
      <c r="E12" s="1031">
        <f>SUM('Profit &amp; Loss'!P83:AA83)</f>
        <v>-105383.15499810354</v>
      </c>
      <c r="F12" s="1031">
        <f>SUM('Profit &amp; Loss'!AB83:AM83)</f>
        <v>-182894.6560725343</v>
      </c>
    </row>
    <row r="13" spans="2:26" outlineLevel="1">
      <c r="B13" s="1065" t="str">
        <f>'Pricing Model'!B19</f>
        <v>Appetisers</v>
      </c>
      <c r="C13" s="1066"/>
      <c r="D13" s="1067">
        <f>SUM('Sales Forecast'!H42:S42)</f>
        <v>66591.869216666659</v>
      </c>
      <c r="E13" s="1067">
        <f>SUM('Sales Forecast'!T42:AE42)</f>
        <v>150747.07235466663</v>
      </c>
      <c r="F13" s="1067">
        <f>SUM('Sales Forecast'!AF42:AQ42)</f>
        <v>263837.41463836998</v>
      </c>
    </row>
    <row r="14" spans="2:26" outlineLevel="1">
      <c r="B14" s="1065" t="str">
        <f>'Pricing Model'!B59</f>
        <v>Main Dishes</v>
      </c>
      <c r="C14" s="1066"/>
      <c r="D14" s="1067">
        <f>SUM('Sales Forecast'!H75:S75)</f>
        <v>161819.04987111999</v>
      </c>
      <c r="E14" s="1067">
        <f>SUM('Sales Forecast'!T75:AE75)</f>
        <v>322170.59920686163</v>
      </c>
      <c r="F14" s="1067">
        <f>SUM('Sales Forecast'!AF75:AQ75)</f>
        <v>502855.81074262608</v>
      </c>
    </row>
    <row r="15" spans="2:26" outlineLevel="1">
      <c r="B15" s="1065" t="str">
        <f>'Pricing Model'!B110</f>
        <v>Drinks</v>
      </c>
      <c r="C15" s="1066"/>
      <c r="D15" s="1067">
        <f>SUM('Sales Forecast'!H114:S114)</f>
        <v>31918.976871428575</v>
      </c>
      <c r="E15" s="1067">
        <f>SUM('Sales Forecast'!T114:AE114)</f>
        <v>87080.642215183048</v>
      </c>
      <c r="F15" s="1067">
        <f>SUM('Sales Forecast'!AF114:AQ114)</f>
        <v>184912.5839415029</v>
      </c>
    </row>
    <row r="16" spans="2:26" outlineLevel="1">
      <c r="B16" s="1065" t="s">
        <v>376</v>
      </c>
      <c r="C16" s="1066"/>
      <c r="D16" s="1067">
        <f>D10*'Sales Forecast'!$N$4</f>
        <v>43801.848833333337</v>
      </c>
      <c r="E16" s="1067">
        <f>E10*'Sales Forecast'!$N$4</f>
        <v>95054.495539259267</v>
      </c>
      <c r="F16" s="1067">
        <f>F10*'Sales Forecast'!$N$4</f>
        <v>162071.49505643334</v>
      </c>
    </row>
    <row r="17" spans="1:14">
      <c r="A17" s="1037" t="s">
        <v>452</v>
      </c>
      <c r="B17" s="408" t="str">
        <f>'Profit &amp; Loss'!B84</f>
        <v>Gross profit</v>
      </c>
      <c r="C17" s="1033"/>
      <c r="D17" s="1029">
        <f>SUM(D13:D16)</f>
        <v>304131.74479254853</v>
      </c>
      <c r="E17" s="1029">
        <f>SUM(E13:E16)</f>
        <v>655052.80931597052</v>
      </c>
      <c r="F17" s="1029">
        <f>SUM(F13:F16)</f>
        <v>1113677.3043789323</v>
      </c>
    </row>
    <row r="18" spans="1:14" s="1034" customFormat="1" ht="14" customHeight="1" outlineLevel="1">
      <c r="B18" s="1034" t="s">
        <v>1</v>
      </c>
      <c r="D18" s="1035">
        <f>D10+D12</f>
        <v>304131.74479254859</v>
      </c>
      <c r="E18" s="1035">
        <f>E10+E12</f>
        <v>655052.80931597063</v>
      </c>
      <c r="F18" s="1035">
        <f>F10+F12</f>
        <v>1113677.3043789323</v>
      </c>
      <c r="M18" s="1036"/>
      <c r="N18" s="1036"/>
    </row>
    <row r="19" spans="1:14" s="848" customFormat="1">
      <c r="A19" s="1037" t="s">
        <v>22</v>
      </c>
      <c r="B19" s="1038"/>
      <c r="C19" s="1039"/>
      <c r="D19" s="1040">
        <f>D17/D10</f>
        <v>0.86791925710080808</v>
      </c>
      <c r="E19" s="1040">
        <f>E17/E10</f>
        <v>0.86141745006345016</v>
      </c>
      <c r="F19" s="1040">
        <f>F17/F10</f>
        <v>0.85893983392263829</v>
      </c>
      <c r="M19" s="1041"/>
      <c r="N19" s="1041"/>
    </row>
    <row r="20" spans="1:14" s="848" customFormat="1" ht="12" customHeight="1">
      <c r="A20" s="1037"/>
      <c r="B20" s="1038"/>
      <c r="C20" s="1042"/>
      <c r="D20" s="1043"/>
      <c r="E20" s="1043"/>
      <c r="F20" s="1043"/>
      <c r="M20" s="1041"/>
      <c r="N20" s="1041"/>
    </row>
    <row r="21" spans="1:14" outlineLevel="1">
      <c r="B21" s="408" t="s">
        <v>156</v>
      </c>
      <c r="C21" s="1018"/>
      <c r="D21" s="1029"/>
      <c r="E21" s="1029"/>
      <c r="F21" s="1029"/>
    </row>
    <row r="22" spans="1:14" outlineLevel="1">
      <c r="B22" s="429" t="str">
        <f>'Profit &amp; Loss'!B88</f>
        <v>Employee Wages</v>
      </c>
      <c r="C22" s="1018"/>
      <c r="D22" s="730">
        <f>SUM('Profit &amp; Loss'!D88:O88)</f>
        <v>-224719.99999999997</v>
      </c>
      <c r="E22" s="730">
        <f>SUM('Profit &amp; Loss'!P88:AA88)</f>
        <v>-392624.26666666672</v>
      </c>
      <c r="F22" s="730">
        <f>SUM('Profit &amp; Loss'!AB88:AM88)</f>
        <v>-652720.92599999998</v>
      </c>
    </row>
    <row r="23" spans="1:14" ht="15" customHeight="1" outlineLevel="1">
      <c r="B23" s="429" t="str">
        <f>'Profit &amp; Loss'!B89</f>
        <v>Staff Tips (From Service Charge)</v>
      </c>
      <c r="C23" s="1018"/>
      <c r="D23" s="730">
        <f>SUM('Profit &amp; Loss'!D89:O89)</f>
        <v>-13140.554649999998</v>
      </c>
      <c r="E23" s="730">
        <f>SUM('Profit &amp; Loss'!P89:AA89)</f>
        <v>-28516.348661777774</v>
      </c>
      <c r="F23" s="730">
        <f>SUM('Profit &amp; Loss'!AB89:AM89)</f>
        <v>-48621.448516929995</v>
      </c>
    </row>
    <row r="24" spans="1:14" outlineLevel="1">
      <c r="B24" s="429" t="str">
        <f>'Profit &amp; Loss'!B90</f>
        <v>Property Rent</v>
      </c>
      <c r="C24" s="1018"/>
      <c r="D24" s="730">
        <f>SUM('Profit &amp; Loss'!D90:O90)</f>
        <v>-52000.000000000022</v>
      </c>
      <c r="E24" s="730">
        <f>SUM('Profit &amp; Loss'!P90:AA90)</f>
        <v>-72413.333333333343</v>
      </c>
      <c r="F24" s="730">
        <f>SUM('Profit &amp; Loss'!AB90:AM90)</f>
        <v>-113578.40000000002</v>
      </c>
    </row>
    <row r="25" spans="1:14" outlineLevel="1">
      <c r="B25" s="429" t="str">
        <f>'Profit &amp; Loss'!B91</f>
        <v>Business Rates</v>
      </c>
      <c r="C25" s="1018"/>
      <c r="D25" s="730">
        <f>SUM('Profit &amp; Loss'!D91:O91)</f>
        <v>-21408.75</v>
      </c>
      <c r="E25" s="730">
        <f>SUM('Profit &amp; Loss'!P91:AA91)</f>
        <v>-26295.999999999996</v>
      </c>
      <c r="F25" s="730">
        <f>SUM('Profit &amp; Loss'!AB91:AM91)</f>
        <v>-36070.5</v>
      </c>
    </row>
    <row r="26" spans="1:14" outlineLevel="1">
      <c r="B26" s="429" t="str">
        <f>'Profit &amp; Loss'!B92</f>
        <v>Utilities</v>
      </c>
      <c r="C26" s="1018"/>
      <c r="D26" s="730">
        <f>SUM('Profit &amp; Loss'!D92:O92)</f>
        <v>-16500</v>
      </c>
      <c r="E26" s="730">
        <f>SUM('Profit &amp; Loss'!P92:AA92)</f>
        <v>-22880.000000000011</v>
      </c>
      <c r="F26" s="730">
        <f>SUM('Profit &amp; Loss'!AB92:AM92)</f>
        <v>-35778.600000000006</v>
      </c>
    </row>
    <row r="27" spans="1:14" outlineLevel="1">
      <c r="B27" s="429" t="str">
        <f>'Profit &amp; Loss'!B93</f>
        <v>Accounting services</v>
      </c>
      <c r="C27" s="1018"/>
      <c r="D27" s="730">
        <f>SUM('Profit &amp; Loss'!D93:O93)</f>
        <v>0</v>
      </c>
      <c r="E27" s="730">
        <f>SUM('Profit &amp; Loss'!P93:AA93)</f>
        <v>-3000</v>
      </c>
      <c r="F27" s="730">
        <f>SUM('Profit &amp; Loss'!AB93:AM93)</f>
        <v>-3120</v>
      </c>
    </row>
    <row r="28" spans="1:14" outlineLevel="1">
      <c r="B28" s="429" t="str">
        <f>'Profit &amp; Loss'!B94</f>
        <v>Dinnerware</v>
      </c>
      <c r="C28" s="1018"/>
      <c r="D28" s="730">
        <f>SUM('Profit &amp; Loss'!D94:O94)</f>
        <v>-1700.0000000000002</v>
      </c>
      <c r="E28" s="730">
        <f>SUM('Profit &amp; Loss'!P94:AA94)</f>
        <v>-2550</v>
      </c>
      <c r="F28" s="730">
        <f>SUM('Profit &amp; Loss'!AB94:AM94)</f>
        <v>-1785</v>
      </c>
    </row>
    <row r="29" spans="1:14" outlineLevel="1">
      <c r="B29" s="429" t="str">
        <f>'Profit &amp; Loss'!B95</f>
        <v>Cookware</v>
      </c>
      <c r="C29" s="1018"/>
      <c r="D29" s="730">
        <f>SUM('Profit &amp; Loss'!D95:O95)</f>
        <v>-1500</v>
      </c>
      <c r="E29" s="730">
        <f>SUM('Profit &amp; Loss'!P95:AA95)</f>
        <v>-2000.0000000000002</v>
      </c>
      <c r="F29" s="730">
        <f>SUM('Profit &amp; Loss'!AB95:AM95)</f>
        <v>-500.00000000000006</v>
      </c>
    </row>
    <row r="30" spans="1:14" outlineLevel="1">
      <c r="B30" s="429" t="str">
        <f>'Profit &amp; Loss'!B96</f>
        <v>Other misc. costs (stationery, menu)</v>
      </c>
      <c r="C30" s="1018"/>
      <c r="D30" s="730">
        <f>SUM('Profit &amp; Loss'!D96:O96)</f>
        <v>-1000.0000000000001</v>
      </c>
      <c r="E30" s="730">
        <f>SUM('Profit &amp; Loss'!P96:AA96)</f>
        <v>-2500</v>
      </c>
      <c r="F30" s="730">
        <f>SUM('Profit &amp; Loss'!AB96:AM96)</f>
        <v>-3499.9999999999995</v>
      </c>
    </row>
    <row r="31" spans="1:14" outlineLevel="1">
      <c r="B31" s="429" t="str">
        <f>'Profit &amp; Loss'!B97</f>
        <v>Advertising</v>
      </c>
      <c r="C31" s="1018"/>
      <c r="D31" s="730">
        <f>SUM('Profit &amp; Loss'!D97:O97)</f>
        <v>-2400</v>
      </c>
      <c r="E31" s="730">
        <f>SUM('Profit &amp; Loss'!P97:AA97)</f>
        <v>-2560</v>
      </c>
      <c r="F31" s="730">
        <f>SUM('Profit &amp; Loss'!AB97:AM97)</f>
        <v>-840</v>
      </c>
    </row>
    <row r="32" spans="1:14" s="466" customFormat="1">
      <c r="A32" s="1032" t="s">
        <v>21</v>
      </c>
      <c r="B32" s="429" t="str">
        <f>'Profit &amp; Loss'!B87</f>
        <v>Operating expenses</v>
      </c>
      <c r="C32" s="1033"/>
      <c r="D32" s="730">
        <f>SUM('Profit &amp; Loss'!D98:O98)</f>
        <v>-334369.30465000001</v>
      </c>
      <c r="E32" s="730">
        <f>SUM('Profit &amp; Loss'!P98:AA98)</f>
        <v>-555339.94866177777</v>
      </c>
      <c r="F32" s="730">
        <f>SUM('Profit &amp; Loss'!AB98:AM98)</f>
        <v>-896514.87451693008</v>
      </c>
    </row>
    <row r="33" spans="1:14" s="1034" customFormat="1" ht="14" customHeight="1" outlineLevel="1">
      <c r="B33" s="1044" t="s">
        <v>1</v>
      </c>
      <c r="C33" s="1044"/>
      <c r="D33" s="1045">
        <f>SUM(D22:D31)</f>
        <v>-334369.30465000001</v>
      </c>
      <c r="E33" s="1045">
        <f>SUM(E22:E31)</f>
        <v>-555339.94866177789</v>
      </c>
      <c r="F33" s="1045">
        <f>SUM(F22:F31)</f>
        <v>-896514.87451692997</v>
      </c>
      <c r="M33" s="1036"/>
      <c r="N33" s="1036"/>
    </row>
    <row r="34" spans="1:14" s="466" customFormat="1">
      <c r="A34" s="1037" t="s">
        <v>22</v>
      </c>
      <c r="B34" s="408" t="str">
        <f>'Profit &amp; Loss'!B100</f>
        <v>EBITDA</v>
      </c>
      <c r="C34" s="1033"/>
      <c r="D34" s="1029">
        <f>SUM('Profit &amp; Loss'!D100:O100)</f>
        <v>-30237.559857451444</v>
      </c>
      <c r="E34" s="1029">
        <f>SUM('Profit &amp; Loss'!P100:AA100)</f>
        <v>99712.860654192802</v>
      </c>
      <c r="F34" s="1029">
        <f>SUM('Profit &amp; Loss'!AB100:AM100)</f>
        <v>217162.4298620022</v>
      </c>
    </row>
    <row r="35" spans="1:14">
      <c r="A35" s="1037"/>
      <c r="B35" s="429"/>
      <c r="C35" s="1018"/>
      <c r="D35" s="730"/>
      <c r="E35" s="730"/>
      <c r="F35" s="730"/>
    </row>
    <row r="36" spans="1:14">
      <c r="A36" s="1037"/>
      <c r="B36" s="412" t="str">
        <f>'Profit &amp; Loss'!B102</f>
        <v>Depreciation</v>
      </c>
      <c r="C36" s="1030"/>
      <c r="D36" s="1031">
        <f>SUM('Profit &amp; Loss'!D102:O102)</f>
        <v>-4620</v>
      </c>
      <c r="E36" s="1031">
        <f>SUM('Profit &amp; Loss'!P102:AA102)</f>
        <v>-5816.5950617283925</v>
      </c>
      <c r="F36" s="1031">
        <f>SUM('Profit &amp; Loss'!AB102:AM102)</f>
        <v>-8035.3718518518535</v>
      </c>
    </row>
    <row r="37" spans="1:14" s="466" customFormat="1">
      <c r="A37" s="1032"/>
      <c r="B37" s="408" t="str">
        <f>'Profit &amp; Loss'!B103</f>
        <v>Operating profit (EBIT)</v>
      </c>
      <c r="C37" s="1033"/>
      <c r="D37" s="1029">
        <f>SUM('Profit &amp; Loss'!D103:O103)</f>
        <v>-34857.559857451437</v>
      </c>
      <c r="E37" s="1029">
        <f>SUM('Profit &amp; Loss'!P103:AA103)</f>
        <v>93896.26559246442</v>
      </c>
      <c r="F37" s="1029">
        <f>SUM('Profit &amp; Loss'!AB103:AM103)</f>
        <v>209127.05801015036</v>
      </c>
    </row>
    <row r="38" spans="1:14">
      <c r="A38" s="1037"/>
      <c r="B38" s="429"/>
      <c r="C38" s="1018"/>
      <c r="D38" s="730"/>
      <c r="E38" s="730"/>
      <c r="F38" s="730"/>
    </row>
    <row r="39" spans="1:14">
      <c r="B39" s="412" t="str">
        <f>'Profit &amp; Loss'!B105</f>
        <v>Loan interest</v>
      </c>
      <c r="C39" s="1030"/>
      <c r="D39" s="1031">
        <f>SUM('Profit &amp; Loss'!D105:O105)</f>
        <v>-3646.9545860477247</v>
      </c>
      <c r="E39" s="1031">
        <f>SUM('Profit &amp; Loss'!P105:AA105)</f>
        <v>-2951.4030507093416</v>
      </c>
      <c r="F39" s="1031">
        <f>SUM('Profit &amp; Loss'!AB105:AM105)</f>
        <v>-2198.8690337235998</v>
      </c>
    </row>
    <row r="40" spans="1:14" s="466" customFormat="1">
      <c r="A40" s="1032"/>
      <c r="B40" s="408" t="str">
        <f>'Profit &amp; Loss'!B106</f>
        <v>Profit before tax</v>
      </c>
      <c r="C40" s="1033"/>
      <c r="D40" s="1029">
        <f>SUM('Profit &amp; Loss'!D106:O106)</f>
        <v>-38504.514443499174</v>
      </c>
      <c r="E40" s="1029">
        <f>SUM('Profit &amp; Loss'!P106:AA106)</f>
        <v>90944.862541755065</v>
      </c>
      <c r="F40" s="1029">
        <f>SUM('Profit &amp; Loss'!AB106:AM106)</f>
        <v>206928.18897642675</v>
      </c>
    </row>
    <row r="41" spans="1:14">
      <c r="B41" s="429"/>
      <c r="C41" s="1018"/>
      <c r="D41" s="1040">
        <f>D40/D$10</f>
        <v>-0.1098826746731896</v>
      </c>
      <c r="E41" s="1040">
        <f t="shared" ref="E41:F41" si="0">E40/E$10</f>
        <v>0.11959568827572331</v>
      </c>
      <c r="F41" s="1040">
        <f t="shared" si="0"/>
        <v>0.1595963782097943</v>
      </c>
    </row>
    <row r="42" spans="1:14">
      <c r="B42" s="429" t="str">
        <f>'Profit &amp; Loss'!B108</f>
        <v>Corporation tax</v>
      </c>
      <c r="C42" s="1018"/>
      <c r="D42" s="730">
        <f>SUM('Profit &amp; Loss'!D108:O108)</f>
        <v>0</v>
      </c>
      <c r="E42" s="730">
        <f>SUM('Profit &amp; Loss'!P108:AA108)</f>
        <v>-4241.6550888651727</v>
      </c>
      <c r="F42" s="730">
        <f>SUM('Profit &amp; Loss'!AB108:AM108)</f>
        <v>-53069.724771750094</v>
      </c>
    </row>
    <row r="43" spans="1:14" s="720" customFormat="1" ht="20" customHeight="1" thickBot="1">
      <c r="A43" s="1046"/>
      <c r="B43" s="1047" t="str">
        <f>'Profit &amp; Loss'!B109</f>
        <v>Profit after tax</v>
      </c>
      <c r="C43" s="1048"/>
      <c r="D43" s="1049">
        <f>SUM('Profit &amp; Loss'!D109:O109)</f>
        <v>-38504.514443499174</v>
      </c>
      <c r="E43" s="1049">
        <f>SUM('Profit &amp; Loss'!P109:AA109)</f>
        <v>86703.207452889896</v>
      </c>
      <c r="F43" s="1049">
        <f>SUM('Profit &amp; Loss'!AB109:AM109)</f>
        <v>153858.46420467665</v>
      </c>
    </row>
    <row r="44" spans="1:14" s="1034" customFormat="1" ht="14" customHeight="1" outlineLevel="1" thickTop="1">
      <c r="B44" s="1034" t="s">
        <v>1</v>
      </c>
      <c r="D44" s="1050">
        <f>D17+D32+D36+D39+D42</f>
        <v>-38504.514443499196</v>
      </c>
      <c r="E44" s="1050">
        <f>E17+E32+E36+E39+E42</f>
        <v>86703.207452889837</v>
      </c>
      <c r="F44" s="1050">
        <f>F17+F32+F36+F39+F42</f>
        <v>153858.46420467671</v>
      </c>
      <c r="M44" s="1036"/>
      <c r="N44" s="1036"/>
    </row>
    <row r="45" spans="1:14">
      <c r="A45" s="1037" t="s">
        <v>22</v>
      </c>
      <c r="B45" s="429"/>
      <c r="C45" s="1018"/>
      <c r="D45" s="1040">
        <f>D43/D$10</f>
        <v>-0.1098826746731896</v>
      </c>
      <c r="E45" s="1040">
        <f t="shared" ref="E45:F45" si="1">E43/E$10</f>
        <v>0.11401776286461889</v>
      </c>
      <c r="F45" s="1040">
        <f t="shared" si="1"/>
        <v>0.11866558039023387</v>
      </c>
    </row>
    <row r="46" spans="1:14">
      <c r="D46" s="458"/>
      <c r="E46" s="458"/>
      <c r="F46" s="458"/>
    </row>
    <row r="47" spans="1:14" s="1022" customFormat="1" ht="19" thickBot="1">
      <c r="B47" s="1023" t="s">
        <v>192</v>
      </c>
      <c r="C47" s="1024"/>
      <c r="D47" s="1025">
        <f>D8</f>
        <v>2025</v>
      </c>
      <c r="E47" s="1025">
        <f>D47+1</f>
        <v>2026</v>
      </c>
      <c r="F47" s="1025">
        <f>E47+1</f>
        <v>2027</v>
      </c>
    </row>
    <row r="48" spans="1:14" ht="12" customHeight="1">
      <c r="B48" s="429"/>
      <c r="C48" s="1018"/>
      <c r="D48" s="1051"/>
      <c r="E48" s="1051"/>
      <c r="F48" s="1051"/>
    </row>
    <row r="49" spans="2:6">
      <c r="B49" s="429" t="s">
        <v>42</v>
      </c>
      <c r="C49" s="1018"/>
      <c r="D49" s="641">
        <f>SUM('Cash Flow'!D24:O24)</f>
        <v>-123965.63751865804</v>
      </c>
      <c r="E49" s="641">
        <f ca="1">SUM('Cash Flow'!P24:AA24)</f>
        <v>37171.419878647808</v>
      </c>
      <c r="F49" s="641">
        <f ca="1">SUM('Cash Flow'!AB24:AM24)</f>
        <v>162989.04829568518</v>
      </c>
    </row>
    <row r="50" spans="2:6">
      <c r="B50" s="429" t="s">
        <v>43</v>
      </c>
      <c r="C50" s="1018"/>
      <c r="D50" s="730">
        <f>SUM('Cash Flow'!D36:O36)</f>
        <v>-21530</v>
      </c>
      <c r="E50" s="730">
        <f>SUM('Cash Flow'!P36:AA36)</f>
        <v>-22391.200000000001</v>
      </c>
      <c r="F50" s="730">
        <f>SUM('Cash Flow'!AB36:AM36)</f>
        <v>0</v>
      </c>
    </row>
    <row r="51" spans="2:6">
      <c r="B51" s="412" t="s">
        <v>44</v>
      </c>
      <c r="C51" s="1030"/>
      <c r="D51" s="1031">
        <f>SUM('Cash Flow'!D52:O52)</f>
        <v>351509.81276481476</v>
      </c>
      <c r="E51" s="1031">
        <f>SUM('Cash Flow'!P52:AA52)</f>
        <v>182814.26122947637</v>
      </c>
      <c r="F51" s="1031">
        <f>SUM('Cash Flow'!AB52:AM52)</f>
        <v>-169938.27278750934</v>
      </c>
    </row>
    <row r="52" spans="2:6">
      <c r="B52" s="429" t="s">
        <v>8</v>
      </c>
      <c r="C52" s="1018"/>
      <c r="D52" s="730">
        <f>SUM(D49:D51)</f>
        <v>206014.17524615672</v>
      </c>
      <c r="E52" s="730">
        <f ca="1">SUM(E49:E51)</f>
        <v>197594.48110812416</v>
      </c>
      <c r="F52" s="730">
        <f ca="1">SUM(F49:F51)</f>
        <v>-6949.2244918241631</v>
      </c>
    </row>
    <row r="53" spans="2:6" ht="12" customHeight="1">
      <c r="B53" s="429"/>
      <c r="C53" s="1018"/>
      <c r="D53" s="730"/>
      <c r="E53" s="730"/>
      <c r="F53" s="730"/>
    </row>
    <row r="54" spans="2:6" s="720" customFormat="1" ht="20" customHeight="1" thickBot="1">
      <c r="B54" s="1047" t="s">
        <v>9</v>
      </c>
      <c r="C54" s="1052"/>
      <c r="D54" s="1049">
        <f>'Cash Flow'!O58</f>
        <v>206014.17524615675</v>
      </c>
      <c r="E54" s="1049">
        <f ca="1">'Cash Flow'!AA58</f>
        <v>403608.65635428095</v>
      </c>
      <c r="F54" s="1049">
        <f ca="1">'Cash Flow'!AM58</f>
        <v>396659.43186245678</v>
      </c>
    </row>
    <row r="55" spans="2:6" ht="17" thickTop="1">
      <c r="D55" s="458"/>
      <c r="E55" s="458"/>
      <c r="F55" s="458"/>
    </row>
    <row r="56" spans="2:6">
      <c r="D56" s="458"/>
      <c r="E56" s="458"/>
      <c r="F56" s="458"/>
    </row>
    <row r="57" spans="2:6" s="1022" customFormat="1" ht="19" thickBot="1">
      <c r="B57" s="1023" t="s">
        <v>157</v>
      </c>
      <c r="C57" s="1024"/>
      <c r="D57" s="1025">
        <f>D8</f>
        <v>2025</v>
      </c>
      <c r="E57" s="1025">
        <f>D57+1</f>
        <v>2026</v>
      </c>
      <c r="F57" s="1025">
        <f>E57+1</f>
        <v>2027</v>
      </c>
    </row>
    <row r="58" spans="2:6" ht="12" customHeight="1">
      <c r="D58" s="458"/>
      <c r="E58" s="458"/>
      <c r="F58" s="458"/>
    </row>
    <row r="59" spans="2:6">
      <c r="B59" s="466" t="str">
        <f>'Balance Sheet'!B8</f>
        <v>Non-current assets</v>
      </c>
      <c r="D59" s="458"/>
      <c r="E59" s="458"/>
      <c r="F59" s="458"/>
    </row>
    <row r="60" spans="2:6">
      <c r="B60" s="49" t="str">
        <f>'Balance Sheet'!B9</f>
        <v>Fast-Wearing Equipment</v>
      </c>
      <c r="D60" s="641">
        <f>'Balance Sheet'!O9</f>
        <v>9179.9999999999964</v>
      </c>
      <c r="E60" s="641">
        <f>'Balance Sheet'!AA9</f>
        <v>18032.399999999994</v>
      </c>
      <c r="F60" s="641">
        <f>'Balance Sheet'!AM9</f>
        <v>12622.679999999997</v>
      </c>
    </row>
    <row r="61" spans="2:6">
      <c r="B61" s="461" t="str">
        <f>'Balance Sheet'!B10</f>
        <v>Long-Lasting Equipment</v>
      </c>
      <c r="C61" s="461"/>
      <c r="D61" s="644">
        <f>'Balance Sheet'!O10</f>
        <v>7730.0000000000027</v>
      </c>
      <c r="E61" s="644">
        <f>'Balance Sheet'!AA10</f>
        <v>15452.20493827161</v>
      </c>
      <c r="F61" s="644">
        <f>'Balance Sheet'!AM10</f>
        <v>12826.553086419759</v>
      </c>
    </row>
    <row r="62" spans="2:6">
      <c r="D62" s="641">
        <f>'Balance Sheet'!O11</f>
        <v>16910</v>
      </c>
      <c r="E62" s="641">
        <f>'Balance Sheet'!AA11</f>
        <v>33484.604938271601</v>
      </c>
      <c r="F62" s="641">
        <f>'Balance Sheet'!AM11</f>
        <v>25449.233086419757</v>
      </c>
    </row>
    <row r="63" spans="2:6" ht="12" customHeight="1">
      <c r="D63" s="641"/>
      <c r="E63" s="641"/>
      <c r="F63" s="641"/>
    </row>
    <row r="64" spans="2:6">
      <c r="B64" s="466" t="str">
        <f>'Balance Sheet'!B13</f>
        <v>Current assets</v>
      </c>
      <c r="D64" s="641"/>
      <c r="E64" s="641"/>
      <c r="F64" s="641"/>
    </row>
    <row r="65" spans="2:6">
      <c r="B65" s="49" t="str">
        <f>'Balance Sheet'!B14</f>
        <v>Stocks (inventory)</v>
      </c>
      <c r="D65" s="641">
        <f>'Balance Sheet'!O14</f>
        <v>50000</v>
      </c>
      <c r="E65" s="641">
        <f>'Balance Sheet'!AA14</f>
        <v>60000</v>
      </c>
      <c r="F65" s="641">
        <f>'Balance Sheet'!AM14</f>
        <v>70000</v>
      </c>
    </row>
    <row r="66" spans="2:6">
      <c r="B66" s="49" t="str">
        <f>'Balance Sheet'!B15</f>
        <v>Debtors (receivables)</v>
      </c>
      <c r="D66" s="641">
        <f>'Balance Sheet'!O15</f>
        <v>46409.873199999995</v>
      </c>
      <c r="E66" s="641">
        <f>'Balance Sheet'!AA15</f>
        <v>104058.10239999997</v>
      </c>
      <c r="F66" s="641">
        <f>'Balance Sheet'!AM15</f>
        <v>148240.22806991995</v>
      </c>
    </row>
    <row r="67" spans="2:6">
      <c r="B67" s="49" t="str">
        <f>'Balance Sheet'!B16</f>
        <v>Prepayments</v>
      </c>
      <c r="D67" s="641">
        <f>'Balance Sheet'!O16</f>
        <v>0</v>
      </c>
      <c r="E67" s="641">
        <f>'Balance Sheet'!AA16</f>
        <v>0</v>
      </c>
      <c r="F67" s="641">
        <f>'Balance Sheet'!AM16</f>
        <v>0</v>
      </c>
    </row>
    <row r="68" spans="2:6">
      <c r="B68" s="461" t="str">
        <f>'Balance Sheet'!B17</f>
        <v>Cash</v>
      </c>
      <c r="C68" s="461"/>
      <c r="D68" s="644">
        <f>'Balance Sheet'!O17</f>
        <v>206014.17524615675</v>
      </c>
      <c r="E68" s="644">
        <f ca="1">'Balance Sheet'!AA17</f>
        <v>403608.65635428095</v>
      </c>
      <c r="F68" s="644">
        <f ca="1">'Balance Sheet'!AM17</f>
        <v>396659.43186245678</v>
      </c>
    </row>
    <row r="69" spans="2:6" s="466" customFormat="1">
      <c r="D69" s="641">
        <f>'Balance Sheet'!O18</f>
        <v>302424.04844615678</v>
      </c>
      <c r="E69" s="641">
        <f ca="1">'Balance Sheet'!AA18</f>
        <v>567666.75875428086</v>
      </c>
      <c r="F69" s="641">
        <f ca="1">'Balance Sheet'!AM18</f>
        <v>614899.6599323767</v>
      </c>
    </row>
    <row r="70" spans="2:6" ht="12" customHeight="1">
      <c r="D70" s="641"/>
      <c r="E70" s="641"/>
      <c r="F70" s="641"/>
    </row>
    <row r="71" spans="2:6">
      <c r="B71" s="466" t="str">
        <f>'Balance Sheet'!B20</f>
        <v>Current liabilities (&lt; 1 year)</v>
      </c>
      <c r="D71" s="641"/>
      <c r="E71" s="641"/>
      <c r="F71" s="641"/>
    </row>
    <row r="72" spans="2:6">
      <c r="B72" s="49" t="str">
        <f>'Balance Sheet'!B21</f>
        <v>Creditors (payables)</v>
      </c>
      <c r="D72" s="641">
        <f>'Balance Sheet'!O21</f>
        <v>-6328.75012484114</v>
      </c>
      <c r="E72" s="641">
        <f>'Balance Sheet'!AA21</f>
        <v>-14386.941600005483</v>
      </c>
      <c r="F72" s="641">
        <f>'Balance Sheet'!AM21</f>
        <v>-20836.209826197286</v>
      </c>
    </row>
    <row r="73" spans="2:6">
      <c r="B73" s="49" t="str">
        <f>'Balance Sheet'!B22</f>
        <v>Accruals</v>
      </c>
      <c r="D73" s="641">
        <f>'Balance Sheet'!O22</f>
        <v>0</v>
      </c>
      <c r="E73" s="641">
        <f>'Balance Sheet'!AA22</f>
        <v>0</v>
      </c>
      <c r="F73" s="641">
        <f>'Balance Sheet'!AM22</f>
        <v>0</v>
      </c>
    </row>
    <row r="74" spans="2:6">
      <c r="B74" s="49" t="str">
        <f>'Balance Sheet'!B23</f>
        <v>Bank loans (&lt; 1 year)</v>
      </c>
      <c r="D74" s="641">
        <f>'Balance Sheet'!O23</f>
        <v>-9185.7387705236033</v>
      </c>
      <c r="E74" s="641">
        <f>'Balance Sheet'!AA23</f>
        <v>-9938.2727875093442</v>
      </c>
      <c r="F74" s="641">
        <f>'Balance Sheet'!AM23</f>
        <v>-10752.457528608636</v>
      </c>
    </row>
    <row r="75" spans="2:6">
      <c r="B75" s="49" t="str">
        <f>'Balance Sheet'!B24</f>
        <v>VAT</v>
      </c>
      <c r="D75" s="641">
        <f>'Balance Sheet'!O24</f>
        <v>0</v>
      </c>
      <c r="E75" s="641">
        <f>'Balance Sheet'!AA24</f>
        <v>0</v>
      </c>
      <c r="F75" s="641">
        <f>'Balance Sheet'!AM24</f>
        <v>0</v>
      </c>
    </row>
    <row r="76" spans="2:6">
      <c r="B76" s="461" t="str">
        <f>'Balance Sheet'!B25</f>
        <v>Corporation Tax</v>
      </c>
      <c r="C76" s="461"/>
      <c r="D76" s="644">
        <f>'Balance Sheet'!O25</f>
        <v>0</v>
      </c>
      <c r="E76" s="644">
        <f ca="1">'Balance Sheet'!AA25</f>
        <v>-4241.6550888651727</v>
      </c>
      <c r="F76" s="644">
        <f ca="1">'Balance Sheet'!AM25</f>
        <v>-53069.724771750094</v>
      </c>
    </row>
    <row r="77" spans="2:6" s="466" customFormat="1">
      <c r="D77" s="641">
        <f>'Balance Sheet'!O26</f>
        <v>-15514.488895364742</v>
      </c>
      <c r="E77" s="641">
        <f ca="1">'Balance Sheet'!AA26</f>
        <v>-28566.869476379998</v>
      </c>
      <c r="F77" s="641">
        <f ca="1">'Balance Sheet'!AM26</f>
        <v>-84658.39212655602</v>
      </c>
    </row>
    <row r="78" spans="2:6">
      <c r="B78" s="461"/>
      <c r="C78" s="461"/>
      <c r="D78" s="644"/>
      <c r="E78" s="644"/>
      <c r="F78" s="644"/>
    </row>
    <row r="79" spans="2:6" s="466" customFormat="1">
      <c r="B79" s="49" t="str">
        <f>'Balance Sheet'!B28</f>
        <v>Net current liabilities</v>
      </c>
      <c r="C79" s="49"/>
      <c r="D79" s="641">
        <f>'Balance Sheet'!O28</f>
        <v>286909.55955079204</v>
      </c>
      <c r="E79" s="641">
        <f ca="1">'Balance Sheet'!AA28</f>
        <v>539099.88927790092</v>
      </c>
      <c r="F79" s="641">
        <f ca="1">'Balance Sheet'!AM28</f>
        <v>530241.26780582068</v>
      </c>
    </row>
    <row r="80" spans="2:6">
      <c r="D80" s="641"/>
      <c r="E80" s="641"/>
      <c r="F80" s="641"/>
    </row>
    <row r="81" spans="2:7">
      <c r="B81" s="466" t="str">
        <f>'Balance Sheet'!B30</f>
        <v>Long term liabilities (&gt; 1 year)</v>
      </c>
      <c r="D81" s="641"/>
      <c r="E81" s="641"/>
      <c r="F81" s="641"/>
    </row>
    <row r="82" spans="2:7">
      <c r="B82" s="49" t="str">
        <f>'Balance Sheet'!B31</f>
        <v>Bank loans (&gt; 1 year)</v>
      </c>
      <c r="D82" s="641">
        <f>'Balance Sheet'!O31</f>
        <v>-32324.073994291182</v>
      </c>
      <c r="E82" s="641">
        <f>'Balance Sheet'!AA31</f>
        <v>-22385.801206781838</v>
      </c>
      <c r="F82" s="641">
        <f>'Balance Sheet'!AM31</f>
        <v>-11633.343678173202</v>
      </c>
    </row>
    <row r="83" spans="2:7">
      <c r="B83" s="461" t="str">
        <f>'Balance Sheet'!B32</f>
        <v>Directors' loans</v>
      </c>
      <c r="C83" s="461"/>
      <c r="D83" s="644">
        <f>'Balance Sheet'!O32</f>
        <v>-250000</v>
      </c>
      <c r="E83" s="644">
        <f>'Balance Sheet'!AA32</f>
        <v>-200000</v>
      </c>
      <c r="F83" s="644">
        <f>'Balance Sheet'!AM32</f>
        <v>-50000</v>
      </c>
    </row>
    <row r="84" spans="2:7" s="466" customFormat="1">
      <c r="D84" s="641">
        <f>'Balance Sheet'!O33</f>
        <v>-282324.07399429119</v>
      </c>
      <c r="E84" s="641">
        <f>'Balance Sheet'!AA33</f>
        <v>-222385.80120678185</v>
      </c>
      <c r="F84" s="641">
        <f>'Balance Sheet'!AM33</f>
        <v>-61633.343678173202</v>
      </c>
      <c r="G84" s="49"/>
    </row>
    <row r="85" spans="2:7">
      <c r="D85" s="641"/>
      <c r="E85" s="641"/>
      <c r="F85" s="641"/>
    </row>
    <row r="86" spans="2:7" s="720" customFormat="1" ht="20" customHeight="1" thickBot="1">
      <c r="B86" s="714" t="str">
        <f>'Balance Sheet'!B35</f>
        <v>Net assets</v>
      </c>
      <c r="C86" s="714"/>
      <c r="D86" s="718">
        <f>'Balance Sheet'!O35</f>
        <v>21495.485556500847</v>
      </c>
      <c r="E86" s="718">
        <f ca="1">'Balance Sheet'!AA35</f>
        <v>350198.69300939061</v>
      </c>
      <c r="F86" s="718">
        <f ca="1">'Balance Sheet'!AM35</f>
        <v>494057.15721406724</v>
      </c>
    </row>
    <row r="87" spans="2:7" ht="17" thickTop="1">
      <c r="D87" s="641"/>
      <c r="E87" s="641"/>
      <c r="F87" s="641"/>
    </row>
    <row r="88" spans="2:7">
      <c r="B88" s="466" t="str">
        <f>'Balance Sheet'!B37</f>
        <v>Capital &amp; reserves</v>
      </c>
      <c r="D88" s="641"/>
      <c r="E88" s="641"/>
      <c r="F88" s="641"/>
    </row>
    <row r="89" spans="2:7">
      <c r="B89" s="49" t="str">
        <f>'Balance Sheet'!B38</f>
        <v xml:space="preserve">Called-up share capital </v>
      </c>
      <c r="D89" s="641">
        <f>'Balance Sheet'!O38</f>
        <v>60000</v>
      </c>
      <c r="E89" s="641">
        <f>'Balance Sheet'!AA38</f>
        <v>312000</v>
      </c>
      <c r="F89" s="641">
        <f>'Balance Sheet'!AM38</f>
        <v>312000</v>
      </c>
    </row>
    <row r="90" spans="2:7">
      <c r="B90" s="49" t="str">
        <f>'Balance Sheet'!B39</f>
        <v xml:space="preserve">Revaluation reserve </v>
      </c>
      <c r="D90" s="641">
        <f>'Balance Sheet'!O39</f>
        <v>0</v>
      </c>
      <c r="E90" s="641">
        <f>'Balance Sheet'!AA39</f>
        <v>0</v>
      </c>
      <c r="F90" s="641">
        <f>'Balance Sheet'!AM39</f>
        <v>0</v>
      </c>
    </row>
    <row r="91" spans="2:7">
      <c r="B91" s="49" t="str">
        <f>'Balance Sheet'!B40</f>
        <v>Retained earnings</v>
      </c>
      <c r="D91" s="641">
        <f>'Balance Sheet'!O40</f>
        <v>-38504.514443499174</v>
      </c>
      <c r="E91" s="641">
        <f>'Balance Sheet'!AA40</f>
        <v>38198.693009390714</v>
      </c>
      <c r="F91" s="641">
        <f>'Balance Sheet'!AM40</f>
        <v>182057.15721406738</v>
      </c>
    </row>
    <row r="92" spans="2:7" s="720" customFormat="1" ht="20" customHeight="1" thickBot="1">
      <c r="B92" s="714" t="str">
        <f>'Balance Sheet'!B41</f>
        <v>Shareholders' equity</v>
      </c>
      <c r="C92" s="714"/>
      <c r="D92" s="718">
        <f>'Balance Sheet'!O41</f>
        <v>21495.485556500826</v>
      </c>
      <c r="E92" s="718">
        <f>'Balance Sheet'!AA41</f>
        <v>350198.69300939073</v>
      </c>
      <c r="F92" s="718">
        <f>'Balance Sheet'!AM41</f>
        <v>494057.15721406741</v>
      </c>
    </row>
    <row r="93" spans="2:7" s="466" customFormat="1" ht="17" thickTop="1"/>
    <row r="94" spans="2:7" s="466" customFormat="1"/>
    <row r="95" spans="2:7" s="466" customFormat="1"/>
    <row r="96" spans="2:7" s="1053" customFormat="1" ht="4" customHeight="1"/>
    <row r="98" spans="2:14">
      <c r="B98" s="1054"/>
      <c r="C98" s="58"/>
      <c r="D98" s="56"/>
      <c r="E98" s="56"/>
      <c r="F98" s="56"/>
    </row>
    <row r="99" spans="2:14">
      <c r="B99" s="1054"/>
      <c r="C99" s="58"/>
      <c r="D99" s="56"/>
      <c r="E99" s="56"/>
      <c r="F99" s="56"/>
    </row>
    <row r="100" spans="2:14" ht="19" thickBot="1">
      <c r="B100" s="1055" t="s">
        <v>53</v>
      </c>
      <c r="C100" s="400"/>
      <c r="D100" s="1025">
        <f>D8</f>
        <v>2025</v>
      </c>
      <c r="E100" s="1025">
        <f>D100+1</f>
        <v>2026</v>
      </c>
      <c r="F100" s="1025">
        <f>E100+1</f>
        <v>2027</v>
      </c>
    </row>
    <row r="101" spans="2:14">
      <c r="B101" s="1054"/>
      <c r="C101" s="207"/>
      <c r="D101" s="1056"/>
      <c r="E101" s="1056"/>
      <c r="F101" s="1056"/>
    </row>
    <row r="102" spans="2:14">
      <c r="B102" s="56" t="s">
        <v>227</v>
      </c>
      <c r="C102" s="58"/>
      <c r="D102" s="49">
        <f>D92+(-D74)+(-D82)+(-D83)</f>
        <v>313005.29832131561</v>
      </c>
      <c r="E102" s="49">
        <f>E92+(-E74)+(-E82)+(-E83)</f>
        <v>582522.76700368198</v>
      </c>
      <c r="F102" s="49">
        <f>F92+(-F74)+(-F82)+(-F83)</f>
        <v>566442.95842084917</v>
      </c>
    </row>
    <row r="103" spans="2:14">
      <c r="B103" s="56"/>
      <c r="C103" s="58"/>
    </row>
    <row r="104" spans="2:14" ht="18">
      <c r="C104" s="704"/>
      <c r="D104" s="1057"/>
      <c r="E104" s="1057"/>
      <c r="F104" s="1057"/>
    </row>
    <row r="105" spans="2:14" ht="19" thickBot="1">
      <c r="B105" s="1055" t="s">
        <v>16</v>
      </c>
      <c r="C105" s="400"/>
      <c r="D105" s="1025">
        <f>D8</f>
        <v>2025</v>
      </c>
      <c r="E105" s="1025">
        <f>D105+1</f>
        <v>2026</v>
      </c>
      <c r="F105" s="1025">
        <f>E105+1</f>
        <v>2027</v>
      </c>
      <c r="H105" s="1055" t="s">
        <v>201</v>
      </c>
      <c r="I105" s="180"/>
      <c r="J105" s="180"/>
      <c r="K105" s="180"/>
      <c r="L105" s="180"/>
      <c r="M105" s="180"/>
      <c r="N105" s="180"/>
    </row>
    <row r="106" spans="2:14">
      <c r="B106" s="56"/>
      <c r="C106" s="58"/>
      <c r="D106" s="56"/>
      <c r="E106" s="56"/>
      <c r="F106" s="56"/>
    </row>
    <row r="107" spans="2:14" ht="16" customHeight="1">
      <c r="B107" s="56" t="s">
        <v>75</v>
      </c>
      <c r="D107" s="848">
        <f>D17/D10</f>
        <v>0.86791925710080808</v>
      </c>
      <c r="E107" s="848">
        <f>E17/E10</f>
        <v>0.86141745006345016</v>
      </c>
      <c r="F107" s="848">
        <f>F17/F10</f>
        <v>0.85893983392263829</v>
      </c>
      <c r="H107" s="1126" t="s">
        <v>468</v>
      </c>
      <c r="I107" s="1126"/>
      <c r="J107" s="1126"/>
      <c r="K107" s="1126"/>
      <c r="L107" s="1126"/>
      <c r="M107" s="1126"/>
      <c r="N107" s="1126"/>
    </row>
    <row r="108" spans="2:14">
      <c r="B108" s="56"/>
      <c r="D108" s="848"/>
      <c r="E108" s="848"/>
      <c r="F108" s="848"/>
      <c r="H108" s="1126"/>
      <c r="I108" s="1126"/>
      <c r="J108" s="1126"/>
      <c r="K108" s="1126"/>
      <c r="L108" s="1126"/>
      <c r="M108" s="1126"/>
      <c r="N108" s="1126"/>
    </row>
    <row r="109" spans="2:14">
      <c r="B109" s="56" t="s">
        <v>247</v>
      </c>
      <c r="D109" s="848">
        <f>D34/D10</f>
        <v>-8.6290763583136046E-2</v>
      </c>
      <c r="E109" s="848">
        <f>E34/E10</f>
        <v>0.13112591373046836</v>
      </c>
      <c r="F109" s="848">
        <f>F34/F10</f>
        <v>0.16748968548293006</v>
      </c>
      <c r="H109" s="1126"/>
      <c r="I109" s="1126"/>
      <c r="J109" s="1126"/>
      <c r="K109" s="1126"/>
      <c r="L109" s="1126"/>
      <c r="M109" s="1126"/>
      <c r="N109" s="1126"/>
    </row>
    <row r="110" spans="2:14">
      <c r="B110" s="56"/>
      <c r="D110" s="848"/>
      <c r="E110" s="848"/>
      <c r="F110" s="848"/>
      <c r="H110" s="1126"/>
      <c r="I110" s="1126"/>
      <c r="J110" s="1126"/>
      <c r="K110" s="1126"/>
      <c r="L110" s="1126"/>
      <c r="M110" s="1126"/>
      <c r="N110" s="1126"/>
    </row>
    <row r="111" spans="2:14">
      <c r="B111" s="56" t="s">
        <v>246</v>
      </c>
      <c r="D111" s="848">
        <f>D37/D10</f>
        <v>-9.9475138566881477E-2</v>
      </c>
      <c r="E111" s="848">
        <f>E37/E10</f>
        <v>0.12347688694229554</v>
      </c>
      <c r="F111" s="848">
        <f>F37/F10</f>
        <v>0.16129228796320125</v>
      </c>
      <c r="H111" s="1126"/>
      <c r="I111" s="1126"/>
      <c r="J111" s="1126"/>
      <c r="K111" s="1126"/>
      <c r="L111" s="1126"/>
      <c r="M111" s="1126"/>
      <c r="N111" s="1126"/>
    </row>
    <row r="112" spans="2:14">
      <c r="B112" s="56"/>
      <c r="D112" s="848"/>
      <c r="E112" s="848"/>
      <c r="F112" s="848"/>
      <c r="H112" s="1126"/>
      <c r="I112" s="1126"/>
      <c r="J112" s="1126"/>
      <c r="K112" s="1126"/>
      <c r="L112" s="1126"/>
      <c r="M112" s="1126"/>
      <c r="N112" s="1126"/>
    </row>
    <row r="113" spans="2:14">
      <c r="B113" s="56" t="s">
        <v>244</v>
      </c>
      <c r="D113" s="848">
        <f>D40/D10</f>
        <v>-0.1098826746731896</v>
      </c>
      <c r="E113" s="848">
        <f>E40/E10</f>
        <v>0.11959568827572331</v>
      </c>
      <c r="F113" s="848">
        <f>F40/F10</f>
        <v>0.1595963782097943</v>
      </c>
      <c r="H113" s="1126" t="s">
        <v>474</v>
      </c>
      <c r="I113" s="1126"/>
      <c r="J113" s="1126"/>
      <c r="K113" s="1126"/>
      <c r="L113" s="1126"/>
      <c r="M113" s="1126"/>
      <c r="N113" s="1126"/>
    </row>
    <row r="114" spans="2:14">
      <c r="B114" s="56"/>
      <c r="D114" s="848"/>
      <c r="E114" s="848"/>
      <c r="F114" s="848"/>
      <c r="H114" s="1126"/>
      <c r="I114" s="1126"/>
      <c r="J114" s="1126"/>
      <c r="K114" s="1126"/>
      <c r="L114" s="1126"/>
      <c r="M114" s="1126"/>
      <c r="N114" s="1126"/>
    </row>
    <row r="115" spans="2:14">
      <c r="B115" s="56" t="s">
        <v>245</v>
      </c>
      <c r="D115" s="848">
        <f>D43/D10</f>
        <v>-0.1098826746731896</v>
      </c>
      <c r="E115" s="848">
        <f>E43/E10</f>
        <v>0.11401776286461889</v>
      </c>
      <c r="F115" s="848">
        <f>F43/F10</f>
        <v>0.11866558039023387</v>
      </c>
      <c r="H115" s="1126"/>
      <c r="I115" s="1126"/>
      <c r="J115" s="1126"/>
      <c r="K115" s="1126"/>
      <c r="L115" s="1126"/>
      <c r="M115" s="1126"/>
      <c r="N115" s="1126"/>
    </row>
    <row r="116" spans="2:14" ht="17" thickBot="1">
      <c r="B116" s="56"/>
      <c r="D116" s="56"/>
      <c r="E116" s="56"/>
      <c r="F116" s="56"/>
      <c r="H116" s="1126"/>
      <c r="I116" s="1126"/>
      <c r="J116" s="1126"/>
      <c r="K116" s="1126"/>
      <c r="L116" s="1126"/>
      <c r="M116" s="1126"/>
      <c r="N116" s="1126"/>
    </row>
    <row r="117" spans="2:14" ht="17" thickBot="1">
      <c r="B117" s="56" t="s">
        <v>228</v>
      </c>
      <c r="D117" s="1069">
        <f>D37/D102</f>
        <v>-0.11136412081327904</v>
      </c>
      <c r="E117" s="1069">
        <f>E37/E102</f>
        <v>0.16118900566828992</v>
      </c>
      <c r="F117" s="1069">
        <f>F37/F102</f>
        <v>0.36919349936516571</v>
      </c>
      <c r="H117" s="1126"/>
      <c r="I117" s="1126"/>
      <c r="J117" s="1126"/>
      <c r="K117" s="1126"/>
      <c r="L117" s="1126"/>
      <c r="M117" s="1126"/>
      <c r="N117" s="1126"/>
    </row>
    <row r="118" spans="2:14" ht="17" thickBot="1">
      <c r="B118" s="56"/>
      <c r="C118" s="58"/>
      <c r="D118" s="848"/>
      <c r="E118" s="848"/>
      <c r="F118" s="848"/>
      <c r="H118" s="1126"/>
      <c r="I118" s="1126"/>
      <c r="J118" s="1126"/>
      <c r="K118" s="1126"/>
      <c r="L118" s="1126"/>
      <c r="M118" s="1126"/>
      <c r="N118" s="1126"/>
    </row>
    <row r="119" spans="2:14" ht="17" thickBot="1">
      <c r="B119" s="56" t="s">
        <v>229</v>
      </c>
      <c r="C119" s="58"/>
      <c r="D119" s="1069">
        <f>D43/D92</f>
        <v>-1.7912837717617573</v>
      </c>
      <c r="E119" s="1069">
        <f>E43/E92</f>
        <v>0.24758289846205939</v>
      </c>
      <c r="F119" s="1069">
        <f>F43/F92</f>
        <v>0.31141834898671883</v>
      </c>
      <c r="H119" s="1126"/>
      <c r="I119" s="1126"/>
      <c r="J119" s="1126"/>
      <c r="K119" s="1126"/>
      <c r="L119" s="1126"/>
      <c r="M119" s="1126"/>
      <c r="N119" s="1126"/>
    </row>
    <row r="120" spans="2:14">
      <c r="B120" s="56"/>
      <c r="C120" s="58"/>
      <c r="D120" s="56"/>
      <c r="E120" s="56"/>
      <c r="F120" s="56"/>
      <c r="H120" s="1126"/>
      <c r="I120" s="1126"/>
      <c r="J120" s="1126"/>
      <c r="K120" s="1126"/>
      <c r="L120" s="1126"/>
      <c r="M120" s="1126"/>
      <c r="N120" s="1126"/>
    </row>
    <row r="121" spans="2:14">
      <c r="B121" s="56"/>
      <c r="C121" s="58"/>
      <c r="D121" s="848"/>
      <c r="E121" s="848"/>
      <c r="F121" s="848"/>
      <c r="H121" s="1058"/>
      <c r="I121" s="1058"/>
      <c r="J121" s="1058"/>
      <c r="K121" s="1058"/>
      <c r="L121" s="1058"/>
      <c r="M121" s="1058"/>
      <c r="N121" s="1058"/>
    </row>
    <row r="122" spans="2:14" ht="18">
      <c r="B122" s="1057"/>
      <c r="C122" s="704"/>
      <c r="D122" s="1057"/>
      <c r="E122" s="1057"/>
      <c r="F122" s="1057"/>
    </row>
    <row r="123" spans="2:14" ht="19" thickBot="1">
      <c r="B123" s="1055" t="s">
        <v>17</v>
      </c>
      <c r="C123" s="1059"/>
      <c r="D123" s="1025">
        <f>D8</f>
        <v>2025</v>
      </c>
      <c r="E123" s="1025">
        <f>D123+1</f>
        <v>2026</v>
      </c>
      <c r="F123" s="1025">
        <f>E123+1</f>
        <v>2027</v>
      </c>
      <c r="H123" s="1055" t="s">
        <v>201</v>
      </c>
      <c r="I123" s="180"/>
      <c r="J123" s="180"/>
      <c r="K123" s="180"/>
      <c r="L123" s="180"/>
      <c r="M123" s="180"/>
      <c r="N123" s="180"/>
    </row>
    <row r="124" spans="2:14">
      <c r="B124" s="56"/>
      <c r="C124" s="58"/>
      <c r="D124" s="56"/>
      <c r="E124" s="56"/>
      <c r="F124" s="56"/>
    </row>
    <row r="125" spans="2:14">
      <c r="B125" s="56" t="s">
        <v>230</v>
      </c>
      <c r="D125" s="1060">
        <f>-(D74+D82+D83)/D92</f>
        <v>13.561443494662264</v>
      </c>
      <c r="E125" s="1060">
        <f>-(E74+E82+E83)/E92</f>
        <v>0.66340645648286678</v>
      </c>
      <c r="F125" s="1060">
        <f>-(F74+F82+F83)/F92</f>
        <v>0.14651300998240205</v>
      </c>
      <c r="H125" s="1126" t="s">
        <v>469</v>
      </c>
      <c r="I125" s="1126"/>
      <c r="J125" s="1126"/>
      <c r="K125" s="1126"/>
      <c r="L125" s="1126"/>
      <c r="M125" s="1126"/>
      <c r="N125" s="1126"/>
    </row>
    <row r="126" spans="2:14" ht="17" thickBot="1">
      <c r="B126" s="56"/>
      <c r="D126" s="56"/>
      <c r="E126" s="56"/>
      <c r="F126" s="56"/>
      <c r="H126" s="1126"/>
      <c r="I126" s="1126"/>
      <c r="J126" s="1126"/>
      <c r="K126" s="1126"/>
      <c r="L126" s="1126"/>
      <c r="M126" s="1126"/>
      <c r="N126" s="1126"/>
    </row>
    <row r="127" spans="2:14" ht="17" thickBot="1">
      <c r="B127" s="56" t="s">
        <v>231</v>
      </c>
      <c r="D127" s="1071">
        <f>D37/-D39</f>
        <v>-9.5579912047183591</v>
      </c>
      <c r="E127" s="1071">
        <f>E37/-E39</f>
        <v>31.814111451127403</v>
      </c>
      <c r="F127" s="1071">
        <f>F37/-F39</f>
        <v>95.106645645016556</v>
      </c>
      <c r="H127" s="1126" t="s">
        <v>470</v>
      </c>
      <c r="I127" s="1126"/>
      <c r="J127" s="1126"/>
      <c r="K127" s="1126"/>
      <c r="L127" s="1126"/>
      <c r="M127" s="1126"/>
      <c r="N127" s="1126"/>
    </row>
    <row r="128" spans="2:14">
      <c r="B128" s="56"/>
      <c r="C128" s="58"/>
      <c r="D128" s="56"/>
      <c r="E128" s="56"/>
      <c r="F128" s="56"/>
      <c r="H128" s="1126"/>
      <c r="I128" s="1126"/>
      <c r="J128" s="1126"/>
      <c r="K128" s="1126"/>
      <c r="L128" s="1126"/>
      <c r="M128" s="1126"/>
      <c r="N128" s="1126"/>
    </row>
    <row r="129" spans="1:14">
      <c r="B129" s="56"/>
      <c r="C129" s="58"/>
      <c r="D129" s="56"/>
      <c r="E129" s="56"/>
      <c r="F129" s="56"/>
    </row>
    <row r="130" spans="1:14">
      <c r="B130" s="56"/>
      <c r="C130" s="58"/>
      <c r="D130" s="56"/>
      <c r="E130" s="56"/>
      <c r="F130" s="56"/>
    </row>
    <row r="131" spans="1:14" ht="19" thickBot="1">
      <c r="A131" s="466"/>
      <c r="B131" s="1055" t="s">
        <v>18</v>
      </c>
      <c r="C131" s="1059"/>
      <c r="D131" s="1025">
        <f>D8</f>
        <v>2025</v>
      </c>
      <c r="E131" s="1025">
        <f>D131+1</f>
        <v>2026</v>
      </c>
      <c r="F131" s="1025">
        <f>E131+1</f>
        <v>2027</v>
      </c>
      <c r="H131" s="1055" t="s">
        <v>201</v>
      </c>
      <c r="I131" s="180"/>
      <c r="J131" s="180"/>
      <c r="K131" s="180"/>
      <c r="L131" s="180"/>
      <c r="M131" s="180"/>
      <c r="N131" s="180"/>
    </row>
    <row r="132" spans="1:14">
      <c r="B132" s="56"/>
      <c r="C132" s="58"/>
      <c r="D132" s="56"/>
      <c r="E132" s="56"/>
      <c r="F132" s="56"/>
    </row>
    <row r="133" spans="1:14" ht="16" customHeight="1">
      <c r="B133" s="56" t="s">
        <v>232</v>
      </c>
      <c r="D133" s="1060">
        <f>-D69/D77</f>
        <v>19.49300750323215</v>
      </c>
      <c r="E133" s="1060">
        <f ca="1">-E69/E77</f>
        <v>19.871507419587783</v>
      </c>
      <c r="F133" s="1060">
        <f ca="1">-F69/F77</f>
        <v>7.2633042571037949</v>
      </c>
      <c r="H133" s="1126" t="s">
        <v>471</v>
      </c>
      <c r="I133" s="1126"/>
      <c r="J133" s="1126"/>
      <c r="K133" s="1126"/>
      <c r="L133" s="1126"/>
      <c r="M133" s="1126"/>
      <c r="N133" s="1126"/>
    </row>
    <row r="134" spans="1:14" ht="17" thickBot="1">
      <c r="B134" s="56"/>
      <c r="D134" s="1060"/>
      <c r="E134" s="1060"/>
      <c r="F134" s="1060"/>
      <c r="H134" s="1126"/>
      <c r="I134" s="1126"/>
      <c r="J134" s="1126"/>
      <c r="K134" s="1126"/>
      <c r="L134" s="1126"/>
      <c r="M134" s="1126"/>
      <c r="N134" s="1126"/>
    </row>
    <row r="135" spans="1:14" ht="17" thickBot="1">
      <c r="B135" s="56" t="s">
        <v>233</v>
      </c>
      <c r="D135" s="1071">
        <f>(D69-D65)/-D77</f>
        <v>16.270213614421639</v>
      </c>
      <c r="E135" s="1071">
        <f ca="1">(E69-E65)/-E77</f>
        <v>17.77117227262287</v>
      </c>
      <c r="F135" s="1071">
        <f ca="1">(F69-F65)/-F77</f>
        <v>6.4364517946171835</v>
      </c>
      <c r="H135" s="1126"/>
      <c r="I135" s="1126"/>
      <c r="J135" s="1126"/>
      <c r="K135" s="1126"/>
      <c r="L135" s="1126"/>
      <c r="M135" s="1126"/>
      <c r="N135" s="1126"/>
    </row>
    <row r="136" spans="1:14">
      <c r="B136" s="56"/>
      <c r="C136" s="58"/>
      <c r="D136" s="56"/>
      <c r="E136" s="56"/>
      <c r="F136" s="56"/>
      <c r="H136" s="1126"/>
      <c r="I136" s="1126"/>
      <c r="J136" s="1126"/>
      <c r="K136" s="1126"/>
      <c r="L136" s="1126"/>
      <c r="M136" s="1126"/>
      <c r="N136" s="1126"/>
    </row>
    <row r="137" spans="1:14">
      <c r="B137" s="56"/>
      <c r="C137" s="58"/>
      <c r="D137" s="56"/>
      <c r="E137" s="56"/>
      <c r="F137" s="56"/>
    </row>
    <row r="138" spans="1:14" ht="18">
      <c r="C138" s="704"/>
      <c r="D138" s="1057"/>
      <c r="E138" s="1057"/>
      <c r="F138" s="1057"/>
    </row>
    <row r="139" spans="1:14" ht="19" thickBot="1">
      <c r="B139" s="1055" t="s">
        <v>19</v>
      </c>
      <c r="C139" s="400"/>
      <c r="D139" s="1061">
        <f>D8</f>
        <v>2025</v>
      </c>
      <c r="E139" s="1025">
        <f>D139+1</f>
        <v>2026</v>
      </c>
      <c r="F139" s="1025">
        <f>E139+1</f>
        <v>2027</v>
      </c>
      <c r="H139" s="1055" t="s">
        <v>201</v>
      </c>
      <c r="I139" s="180"/>
      <c r="J139" s="180"/>
      <c r="K139" s="180"/>
      <c r="L139" s="180"/>
      <c r="M139" s="180"/>
      <c r="N139" s="180"/>
    </row>
    <row r="140" spans="1:14">
      <c r="B140" s="56"/>
      <c r="C140" s="58"/>
      <c r="D140" s="56"/>
      <c r="E140" s="56"/>
      <c r="F140" s="56"/>
    </row>
    <row r="141" spans="1:14">
      <c r="B141" s="56" t="s">
        <v>205</v>
      </c>
      <c r="D141" s="1062">
        <f>-(SUM('Balance Sheet'!D14:O14)/12)/(D12/365)</f>
        <v>394.312855935127</v>
      </c>
      <c r="E141" s="1062">
        <f>-(SUM('Balance Sheet'!P14:AA14)/12)/(E12/365)</f>
        <v>207.81309878598822</v>
      </c>
      <c r="F141" s="1062">
        <f>-(SUM('Balance Sheet'!AB14:AM14)/12)/(F12/365)</f>
        <v>139.6979034196992</v>
      </c>
      <c r="H141" s="1126" t="s">
        <v>475</v>
      </c>
      <c r="I141" s="1126"/>
      <c r="J141" s="1126"/>
      <c r="K141" s="1126"/>
      <c r="L141" s="1126"/>
      <c r="M141" s="1126"/>
      <c r="N141" s="1126"/>
    </row>
    <row r="142" spans="1:14">
      <c r="B142" s="56"/>
      <c r="D142" s="56"/>
      <c r="E142" s="56"/>
      <c r="F142" s="56"/>
      <c r="H142" s="1126"/>
      <c r="I142" s="1126"/>
      <c r="J142" s="1126"/>
      <c r="K142" s="1126"/>
      <c r="L142" s="1126"/>
      <c r="M142" s="1126"/>
      <c r="N142" s="1126"/>
    </row>
    <row r="143" spans="1:14">
      <c r="B143" s="56" t="s">
        <v>206</v>
      </c>
      <c r="D143" s="1063">
        <f>365/D141</f>
        <v>0.92566091748236179</v>
      </c>
      <c r="E143" s="1063">
        <f>365/E141</f>
        <v>1.7563859166350591</v>
      </c>
      <c r="F143" s="1063">
        <f>365/F141</f>
        <v>2.6127808010362044</v>
      </c>
      <c r="H143" s="1126" t="s">
        <v>476</v>
      </c>
      <c r="I143" s="1126"/>
      <c r="J143" s="1126"/>
      <c r="K143" s="1126"/>
      <c r="L143" s="1126"/>
      <c r="M143" s="1126"/>
      <c r="N143" s="1126"/>
    </row>
    <row r="144" spans="1:14">
      <c r="B144" s="56"/>
      <c r="D144" s="56"/>
      <c r="E144" s="56"/>
      <c r="F144" s="56"/>
      <c r="H144" s="1126"/>
      <c r="I144" s="1126"/>
      <c r="J144" s="1126"/>
      <c r="K144" s="1126"/>
      <c r="L144" s="1126"/>
      <c r="M144" s="1126"/>
      <c r="N144" s="1126"/>
    </row>
    <row r="145" spans="2:14">
      <c r="B145" s="56" t="s">
        <v>207</v>
      </c>
      <c r="D145" s="1062">
        <f>(D66/1.2)/(D10/365)</f>
        <v>40.284647816407045</v>
      </c>
      <c r="E145" s="1062">
        <f>(E66/1.2)/(E10/365)</f>
        <v>41.62218468351427</v>
      </c>
      <c r="F145" s="1062">
        <f>(F66/1.2)/(F10/365)</f>
        <v>34.776115335884427</v>
      </c>
      <c r="H145" s="1126" t="s">
        <v>477</v>
      </c>
      <c r="I145" s="1126"/>
      <c r="J145" s="1126"/>
      <c r="K145" s="1126"/>
      <c r="L145" s="1126"/>
      <c r="M145" s="1126"/>
      <c r="N145" s="1126"/>
    </row>
    <row r="146" spans="2:14" ht="17" thickBot="1">
      <c r="B146" s="56"/>
      <c r="D146" s="1062"/>
      <c r="E146" s="1062"/>
      <c r="F146" s="1062"/>
      <c r="H146" s="1126"/>
      <c r="I146" s="1126"/>
      <c r="J146" s="1126"/>
      <c r="K146" s="1126"/>
      <c r="L146" s="1126"/>
      <c r="M146" s="1126"/>
      <c r="N146" s="1126"/>
    </row>
    <row r="147" spans="2:14" ht="17" thickBot="1">
      <c r="B147" s="56" t="s">
        <v>208</v>
      </c>
      <c r="D147" s="1071">
        <f>(-D72/1.2)/(D10/365)</f>
        <v>5.493474821587478</v>
      </c>
      <c r="E147" s="1071">
        <f>(-E72/1.2)/(E10/365)</f>
        <v>5.7546306005515104</v>
      </c>
      <c r="F147" s="1071">
        <f>(-F72/1.2)/(F10/365)</f>
        <v>4.8880283409760716</v>
      </c>
      <c r="H147" s="1126" t="s">
        <v>478</v>
      </c>
      <c r="I147" s="1126"/>
      <c r="J147" s="1126"/>
      <c r="K147" s="1126"/>
      <c r="L147" s="1126"/>
      <c r="M147" s="1126"/>
      <c r="N147" s="1126"/>
    </row>
    <row r="148" spans="2:14" ht="17" thickBot="1">
      <c r="B148" s="56"/>
      <c r="D148" s="1062"/>
      <c r="E148" s="1062"/>
      <c r="F148" s="1062"/>
      <c r="H148" s="1126"/>
      <c r="I148" s="1126"/>
      <c r="J148" s="1126"/>
      <c r="K148" s="1126"/>
      <c r="L148" s="1126"/>
      <c r="M148" s="1126"/>
      <c r="N148" s="1126"/>
    </row>
    <row r="149" spans="2:14" ht="17" thickBot="1">
      <c r="B149" s="56" t="s">
        <v>209</v>
      </c>
      <c r="D149" s="1070">
        <f>D10/D86</f>
        <v>16.301785309552649</v>
      </c>
      <c r="E149" s="1070">
        <f ca="1">E10/E86</f>
        <v>2.1714414687826462</v>
      </c>
      <c r="F149" s="1070">
        <f ca="1">F10/F86</f>
        <v>2.6243359528737327</v>
      </c>
      <c r="H149" s="1126"/>
      <c r="I149" s="1126"/>
      <c r="J149" s="1126"/>
      <c r="K149" s="1126"/>
      <c r="L149" s="1126"/>
      <c r="M149" s="1126"/>
      <c r="N149" s="1126"/>
    </row>
    <row r="150" spans="2:14">
      <c r="B150" s="56"/>
      <c r="C150" s="58"/>
      <c r="D150" s="1062"/>
      <c r="E150" s="56"/>
      <c r="F150" s="56"/>
      <c r="H150" s="1126"/>
      <c r="I150" s="1126"/>
      <c r="J150" s="1126"/>
      <c r="K150" s="1126"/>
      <c r="L150" s="1126"/>
      <c r="M150" s="1126"/>
      <c r="N150" s="1126"/>
    </row>
    <row r="151" spans="2:14">
      <c r="B151" s="56"/>
      <c r="C151" s="58"/>
      <c r="D151" s="56"/>
      <c r="E151" s="56"/>
      <c r="F151" s="56"/>
    </row>
    <row r="152" spans="2:14">
      <c r="B152" s="56"/>
      <c r="C152" s="58"/>
      <c r="D152" s="56"/>
      <c r="E152" s="56"/>
      <c r="F152" s="56"/>
    </row>
    <row r="153" spans="2:14" ht="19" thickBot="1">
      <c r="B153" s="1055" t="s">
        <v>20</v>
      </c>
      <c r="C153" s="400"/>
      <c r="D153" s="1061">
        <f>D8</f>
        <v>2025</v>
      </c>
      <c r="E153" s="1025">
        <f>D153+1</f>
        <v>2026</v>
      </c>
      <c r="F153" s="1025">
        <f>E153+1</f>
        <v>2027</v>
      </c>
      <c r="H153" s="1055" t="s">
        <v>201</v>
      </c>
      <c r="I153" s="180"/>
      <c r="J153" s="180"/>
      <c r="K153" s="180"/>
      <c r="L153" s="180"/>
      <c r="M153" s="180"/>
      <c r="N153" s="180"/>
    </row>
    <row r="154" spans="2:14">
      <c r="B154" s="56"/>
      <c r="C154" s="58"/>
      <c r="D154" s="56"/>
      <c r="E154" s="56"/>
      <c r="F154" s="56"/>
    </row>
    <row r="155" spans="2:14">
      <c r="B155" s="56" t="s">
        <v>196</v>
      </c>
      <c r="D155" s="390">
        <f>D10/D170</f>
        <v>38934.976740740742</v>
      </c>
      <c r="E155" s="390">
        <f>E10/E170</f>
        <v>47527.247769629634</v>
      </c>
      <c r="F155" s="390">
        <f>F10/F170</f>
        <v>54023.83168547778</v>
      </c>
      <c r="H155" s="1126" t="s">
        <v>472</v>
      </c>
      <c r="I155" s="1126"/>
      <c r="J155" s="1126"/>
      <c r="K155" s="1126"/>
      <c r="L155" s="1126"/>
      <c r="M155" s="1126"/>
      <c r="N155" s="1126"/>
    </row>
    <row r="156" spans="2:14">
      <c r="B156" s="56"/>
      <c r="D156" s="390"/>
      <c r="E156" s="390"/>
      <c r="F156" s="390"/>
      <c r="H156" s="1126"/>
      <c r="I156" s="1126"/>
      <c r="J156" s="1126"/>
      <c r="K156" s="1126"/>
      <c r="L156" s="1126"/>
      <c r="M156" s="1126"/>
      <c r="N156" s="1126"/>
    </row>
    <row r="157" spans="2:14">
      <c r="B157" s="56" t="s">
        <v>197</v>
      </c>
      <c r="D157" s="390">
        <f>D40/D170</f>
        <v>-4278.2793826110192</v>
      </c>
      <c r="E157" s="390">
        <f>E40/E170</f>
        <v>5684.0539088596915</v>
      </c>
      <c r="F157" s="390">
        <f>F40/F170</f>
        <v>8622.0078740177814</v>
      </c>
      <c r="H157" s="1126" t="s">
        <v>473</v>
      </c>
      <c r="I157" s="1126"/>
      <c r="J157" s="1126"/>
      <c r="K157" s="1126"/>
      <c r="L157" s="1126"/>
      <c r="M157" s="1126"/>
      <c r="N157" s="1126"/>
    </row>
    <row r="158" spans="2:14" ht="17" thickBot="1">
      <c r="B158" s="56"/>
      <c r="D158" s="56"/>
      <c r="E158" s="56"/>
      <c r="F158" s="56"/>
      <c r="H158" s="1126"/>
      <c r="I158" s="1126"/>
      <c r="J158" s="1126"/>
      <c r="K158" s="1126"/>
      <c r="L158" s="1126"/>
      <c r="M158" s="1126"/>
      <c r="N158" s="1126"/>
    </row>
    <row r="159" spans="2:14" ht="17" thickBot="1">
      <c r="B159" s="56" t="s">
        <v>198</v>
      </c>
      <c r="D159" s="1072">
        <f>D43/D167</f>
        <v>-38.504514443499176</v>
      </c>
      <c r="E159" s="1072">
        <f>E43/E167</f>
        <v>76.055445134113938</v>
      </c>
      <c r="F159" s="1072">
        <f>F43/F167</f>
        <v>134.96356509182164</v>
      </c>
      <c r="H159" s="1126"/>
      <c r="I159" s="1126"/>
      <c r="J159" s="1126"/>
      <c r="K159" s="1126"/>
      <c r="L159" s="1126"/>
      <c r="M159" s="1126"/>
      <c r="N159" s="1126"/>
    </row>
    <row r="160" spans="2:14">
      <c r="H160" s="1127"/>
      <c r="I160" s="1127"/>
      <c r="J160" s="1127"/>
      <c r="K160" s="1127"/>
      <c r="L160" s="1127"/>
      <c r="M160" s="1127"/>
      <c r="N160" s="1127"/>
    </row>
    <row r="161" spans="2:14" ht="17" thickBot="1">
      <c r="B161" s="56" t="s">
        <v>199</v>
      </c>
      <c r="C161" s="58"/>
      <c r="D161" s="1071">
        <f>D168/D159</f>
        <v>-1.5582588397015864</v>
      </c>
      <c r="E161" s="1071">
        <f t="shared" ref="E161:F161" si="2">E168/E159</f>
        <v>23.666944514307069</v>
      </c>
      <c r="F161" s="1071">
        <f t="shared" si="2"/>
        <v>13.336932814240503</v>
      </c>
      <c r="H161" s="1126"/>
      <c r="I161" s="1126"/>
      <c r="J161" s="1126"/>
      <c r="K161" s="1126"/>
      <c r="L161" s="1126"/>
      <c r="M161" s="1126"/>
      <c r="N161" s="1126"/>
    </row>
    <row r="162" spans="2:14">
      <c r="H162" s="1126"/>
      <c r="I162" s="1126"/>
      <c r="J162" s="1126"/>
      <c r="K162" s="1126"/>
      <c r="L162" s="1126"/>
      <c r="M162" s="1126"/>
      <c r="N162" s="1126"/>
    </row>
    <row r="163" spans="2:14">
      <c r="H163" s="1058"/>
      <c r="I163" s="1058"/>
      <c r="J163" s="1058"/>
      <c r="K163" s="1058"/>
      <c r="L163" s="1058"/>
      <c r="M163" s="1058"/>
      <c r="N163" s="1058"/>
    </row>
    <row r="167" spans="2:14">
      <c r="B167" s="49" t="s">
        <v>217</v>
      </c>
      <c r="D167" s="1073">
        <f>'Cash Flow'!O131</f>
        <v>1000</v>
      </c>
      <c r="E167" s="1073">
        <f>'Cash Flow'!AA131</f>
        <v>1140</v>
      </c>
      <c r="F167" s="1073">
        <f>'Cash Flow'!AM131</f>
        <v>1140</v>
      </c>
    </row>
    <row r="168" spans="2:14">
      <c r="B168" s="49" t="s">
        <v>200</v>
      </c>
      <c r="D168" s="1064">
        <v>60</v>
      </c>
      <c r="E168" s="1064">
        <v>1800</v>
      </c>
      <c r="F168" s="1064">
        <v>1800</v>
      </c>
    </row>
    <row r="170" spans="2:14">
      <c r="B170" s="49" t="s">
        <v>243</v>
      </c>
      <c r="D170" s="1074">
        <v>9</v>
      </c>
      <c r="E170" s="1074">
        <v>16</v>
      </c>
      <c r="F170" s="1074">
        <v>24</v>
      </c>
    </row>
  </sheetData>
  <sheetProtection formatCells="0" formatColumns="0" formatRows="0" insertColumns="0" insertRows="0" insertHyperlinks="0" deleteColumns="0" deleteRows="0" sort="0" autoFilter="0" pivotTables="0"/>
  <mergeCells count="18">
    <mergeCell ref="H107:N110"/>
    <mergeCell ref="H133:N136"/>
    <mergeCell ref="H125:N126"/>
    <mergeCell ref="H127:N128"/>
    <mergeCell ref="H111:N112"/>
    <mergeCell ref="H115:N116"/>
    <mergeCell ref="H117:N118"/>
    <mergeCell ref="H119:N120"/>
    <mergeCell ref="H113:N114"/>
    <mergeCell ref="H159:N160"/>
    <mergeCell ref="H161:N162"/>
    <mergeCell ref="H155:N156"/>
    <mergeCell ref="H157:N158"/>
    <mergeCell ref="H141:N142"/>
    <mergeCell ref="H143:N144"/>
    <mergeCell ref="H145:N146"/>
    <mergeCell ref="H147:N148"/>
    <mergeCell ref="H149:N150"/>
  </mergeCells>
  <phoneticPr fontId="10" type="noConversion"/>
  <conditionalFormatting sqref="D34:F34 D37:F37 D40:F40 D49:F52 D89:F91">
    <cfRule type="cellIs" dxfId="0" priority="1" operator="lessThan">
      <formula>0</formula>
    </cfRule>
  </conditionalFormatting>
  <pageMargins left="0.75" right="0.75" top="1" bottom="1" header="0.5" footer="0.5"/>
  <pageSetup paperSize="9" orientation="portrait" horizontalDpi="4294967292" verticalDpi="4294967292"/>
  <colBreaks count="1" manualBreakCount="1">
    <brk id="6" max="1048575" man="1"/>
  </colBreaks>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tint="0.39997558519241921"/>
  </sheetPr>
  <dimension ref="A1:L6"/>
  <sheetViews>
    <sheetView showGridLines="0" tabSelected="1" topLeftCell="A57" zoomScaleNormal="87" zoomScalePageLayoutView="125" workbookViewId="0">
      <selection activeCell="L10" sqref="L10"/>
    </sheetView>
  </sheetViews>
  <sheetFormatPr baseColWidth="10" defaultRowHeight="16"/>
  <cols>
    <col min="1" max="1" width="10" style="56" customWidth="1"/>
    <col min="2" max="10" width="10.83203125" style="56"/>
    <col min="11" max="11" width="8.6640625" style="56" customWidth="1"/>
    <col min="12" max="16384" width="10.83203125" style="56"/>
  </cols>
  <sheetData>
    <row r="1" spans="1:12" s="48" customFormat="1" ht="19" customHeight="1">
      <c r="B1" s="378" t="str">
        <f>"v"&amp;'COPYRIGHT PROTECTION'!C15&amp;"     "&amp;'COPYRIGHT PROTECTION'!C6</f>
        <v xml:space="preserve">v2025.1     © Simon Hulme and Chris Drew, 2011-2025     IF PART OF AN ACADEMIC ASSIGNMENT, PLEASE DO NOT DELETE THIS SINGLE LINE.  DELETING IT MAY INVALIDATE YOUR SUBMISSION. </v>
      </c>
    </row>
    <row r="2" spans="1:12" s="48" customFormat="1" ht="19" customHeight="1">
      <c r="A2" s="378"/>
    </row>
    <row r="3" spans="1:12" ht="29" customHeight="1">
      <c r="B3" s="380" t="s">
        <v>479</v>
      </c>
      <c r="C3" s="1082"/>
      <c r="D3" s="1082"/>
      <c r="E3" s="1082"/>
      <c r="F3" s="1083"/>
    </row>
    <row r="4" spans="1:12" ht="14" customHeight="1">
      <c r="B4" s="1082"/>
      <c r="C4" s="1082"/>
      <c r="D4" s="1082"/>
      <c r="E4" s="1082"/>
      <c r="F4" s="1083"/>
    </row>
    <row r="5" spans="1:12" ht="13" customHeight="1"/>
    <row r="6" spans="1:12" s="1084" customFormat="1" ht="23" customHeight="1" thickBot="1">
      <c r="B6" s="1085" t="s">
        <v>2</v>
      </c>
      <c r="C6" s="1086"/>
      <c r="D6" s="1087"/>
      <c r="E6" s="1088"/>
      <c r="F6" s="1087"/>
      <c r="G6" s="1089"/>
      <c r="H6" s="1089"/>
      <c r="I6" s="1089"/>
      <c r="J6" s="1089"/>
      <c r="K6" s="1089"/>
      <c r="L6" s="1090"/>
    </row>
  </sheetData>
  <sheetProtection formatCells="0" formatColumns="0" formatRows="0" insertColumns="0" insertRows="0" insertHyperlinks="0" deleteColumns="0" deleteRows="0" sort="0" autoFilter="0" pivotTables="0"/>
  <phoneticPr fontId="10" type="noConversion"/>
  <pageMargins left="0.75" right="0.75" top="1" bottom="1" header="0.5" footer="0.5"/>
  <pageSetup paperSize="9" orientation="portrait" horizontalDpi="4294967292" verticalDpi="4294967292"/>
  <rowBreaks count="1" manualBreakCount="1">
    <brk id="89" max="12" man="1"/>
  </rowBreak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750B4-24DB-9649-8C1F-B5FF5C6FA092}">
  <sheetPr codeName="Sheet10"/>
  <dimension ref="A2:P25"/>
  <sheetViews>
    <sheetView showGridLines="0" workbookViewId="0">
      <selection activeCell="D27" sqref="D27"/>
    </sheetView>
  </sheetViews>
  <sheetFormatPr baseColWidth="10" defaultRowHeight="16"/>
  <cols>
    <col min="2" max="2" width="17" customWidth="1"/>
    <col min="3" max="3" width="43.6640625" customWidth="1"/>
  </cols>
  <sheetData>
    <row r="2" spans="1:16" s="4" customFormat="1" ht="26">
      <c r="A2" s="4" t="s">
        <v>60</v>
      </c>
    </row>
    <row r="3" spans="1:16" s="4" customFormat="1" ht="26">
      <c r="A3" s="4" t="s">
        <v>54</v>
      </c>
    </row>
    <row r="6" spans="1:16" ht="19">
      <c r="B6" s="3" t="s">
        <v>47</v>
      </c>
      <c r="C6" s="2" t="s">
        <v>248</v>
      </c>
      <c r="D6" s="9"/>
      <c r="E6" s="9"/>
      <c r="F6" s="9"/>
      <c r="G6" s="9"/>
      <c r="H6" s="9"/>
      <c r="I6" s="9"/>
      <c r="J6" s="9"/>
      <c r="K6" s="9"/>
      <c r="L6" s="9"/>
      <c r="M6" s="9"/>
      <c r="N6" s="9"/>
      <c r="O6" s="9"/>
      <c r="P6" s="9"/>
    </row>
    <row r="7" spans="1:16" ht="19">
      <c r="B7" s="3"/>
      <c r="C7" s="3"/>
    </row>
    <row r="9" spans="1:16" s="5" customFormat="1" ht="19">
      <c r="B9" s="3" t="s">
        <v>55</v>
      </c>
      <c r="C9" s="3"/>
      <c r="F9" s="3" t="s">
        <v>56</v>
      </c>
    </row>
    <row r="10" spans="1:16" s="5" customFormat="1" ht="19">
      <c r="B10" s="6" t="s">
        <v>57</v>
      </c>
      <c r="C10" s="2">
        <v>2025</v>
      </c>
      <c r="F10" s="1128"/>
      <c r="G10" s="1129"/>
      <c r="H10" s="1129"/>
      <c r="I10" s="1129"/>
      <c r="J10" s="1129"/>
      <c r="K10" s="1129"/>
      <c r="L10" s="1129"/>
      <c r="M10" s="1129"/>
      <c r="N10" s="1129"/>
      <c r="O10" s="1129"/>
      <c r="P10" s="1129"/>
    </row>
    <row r="11" spans="1:16" s="5" customFormat="1" ht="19">
      <c r="B11" s="6" t="s">
        <v>58</v>
      </c>
      <c r="C11" s="2">
        <v>1</v>
      </c>
      <c r="F11" s="1129"/>
      <c r="G11" s="1129"/>
      <c r="H11" s="1129"/>
      <c r="I11" s="1129"/>
      <c r="J11" s="1129"/>
      <c r="K11" s="1129"/>
      <c r="L11" s="1129"/>
      <c r="M11" s="1129"/>
      <c r="N11" s="1129"/>
      <c r="O11" s="1129"/>
      <c r="P11" s="1129"/>
    </row>
    <row r="12" spans="1:16" ht="19">
      <c r="B12" s="6" t="s">
        <v>59</v>
      </c>
      <c r="C12" s="7">
        <v>45689</v>
      </c>
      <c r="F12" s="1129"/>
      <c r="G12" s="1129"/>
      <c r="H12" s="1129"/>
      <c r="I12" s="1129"/>
      <c r="J12" s="1129"/>
      <c r="K12" s="1129"/>
      <c r="L12" s="1129"/>
      <c r="M12" s="1129"/>
      <c r="N12" s="1129"/>
      <c r="O12" s="1129"/>
      <c r="P12" s="1129"/>
    </row>
    <row r="13" spans="1:16">
      <c r="B13" s="1"/>
      <c r="F13" s="1129"/>
      <c r="G13" s="1129"/>
      <c r="H13" s="1129"/>
      <c r="I13" s="1129"/>
      <c r="J13" s="1129"/>
      <c r="K13" s="1129"/>
      <c r="L13" s="1129"/>
      <c r="M13" s="1129"/>
      <c r="N13" s="1129"/>
      <c r="O13" s="1129"/>
      <c r="P13" s="1129"/>
    </row>
    <row r="14" spans="1:16">
      <c r="F14" s="1129"/>
      <c r="G14" s="1129"/>
      <c r="H14" s="1129"/>
      <c r="I14" s="1129"/>
      <c r="J14" s="1129"/>
      <c r="K14" s="1129"/>
      <c r="L14" s="1129"/>
      <c r="M14" s="1129"/>
      <c r="N14" s="1129"/>
      <c r="O14" s="1129"/>
      <c r="P14" s="1129"/>
    </row>
    <row r="15" spans="1:16" ht="21">
      <c r="C15" s="8">
        <f>--(C10&amp;"."&amp;C11)</f>
        <v>2025.1</v>
      </c>
      <c r="F15" s="1129"/>
      <c r="G15" s="1129"/>
      <c r="H15" s="1129"/>
      <c r="I15" s="1129"/>
      <c r="J15" s="1129"/>
      <c r="K15" s="1129"/>
      <c r="L15" s="1129"/>
      <c r="M15" s="1129"/>
      <c r="N15" s="1129"/>
      <c r="O15" s="1129"/>
      <c r="P15" s="1129"/>
    </row>
    <row r="16" spans="1:16">
      <c r="F16" s="1129"/>
      <c r="G16" s="1129"/>
      <c r="H16" s="1129"/>
      <c r="I16" s="1129"/>
      <c r="J16" s="1129"/>
      <c r="K16" s="1129"/>
      <c r="L16" s="1129"/>
      <c r="M16" s="1129"/>
      <c r="N16" s="1129"/>
      <c r="O16" s="1129"/>
      <c r="P16" s="1129"/>
    </row>
    <row r="17" spans="6:16">
      <c r="F17" s="1129"/>
      <c r="G17" s="1129"/>
      <c r="H17" s="1129"/>
      <c r="I17" s="1129"/>
      <c r="J17" s="1129"/>
      <c r="K17" s="1129"/>
      <c r="L17" s="1129"/>
      <c r="M17" s="1129"/>
      <c r="N17" s="1129"/>
      <c r="O17" s="1129"/>
      <c r="P17" s="1129"/>
    </row>
    <row r="18" spans="6:16">
      <c r="F18" s="1129"/>
      <c r="G18" s="1129"/>
      <c r="H18" s="1129"/>
      <c r="I18" s="1129"/>
      <c r="J18" s="1129"/>
      <c r="K18" s="1129"/>
      <c r="L18" s="1129"/>
      <c r="M18" s="1129"/>
      <c r="N18" s="1129"/>
      <c r="O18" s="1129"/>
      <c r="P18" s="1129"/>
    </row>
    <row r="19" spans="6:16">
      <c r="F19" s="1129"/>
      <c r="G19" s="1129"/>
      <c r="H19" s="1129"/>
      <c r="I19" s="1129"/>
      <c r="J19" s="1129"/>
      <c r="K19" s="1129"/>
      <c r="L19" s="1129"/>
      <c r="M19" s="1129"/>
      <c r="N19" s="1129"/>
      <c r="O19" s="1129"/>
      <c r="P19" s="1129"/>
    </row>
    <row r="20" spans="6:16">
      <c r="F20" s="1129"/>
      <c r="G20" s="1129"/>
      <c r="H20" s="1129"/>
      <c r="I20" s="1129"/>
      <c r="J20" s="1129"/>
      <c r="K20" s="1129"/>
      <c r="L20" s="1129"/>
      <c r="M20" s="1129"/>
      <c r="N20" s="1129"/>
      <c r="O20" s="1129"/>
      <c r="P20" s="1129"/>
    </row>
    <row r="21" spans="6:16">
      <c r="F21" s="1129"/>
      <c r="G21" s="1129"/>
      <c r="H21" s="1129"/>
      <c r="I21" s="1129"/>
      <c r="J21" s="1129"/>
      <c r="K21" s="1129"/>
      <c r="L21" s="1129"/>
      <c r="M21" s="1129"/>
      <c r="N21" s="1129"/>
      <c r="O21" s="1129"/>
      <c r="P21" s="1129"/>
    </row>
    <row r="22" spans="6:16">
      <c r="F22" s="1129"/>
      <c r="G22" s="1129"/>
      <c r="H22" s="1129"/>
      <c r="I22" s="1129"/>
      <c r="J22" s="1129"/>
      <c r="K22" s="1129"/>
      <c r="L22" s="1129"/>
      <c r="M22" s="1129"/>
      <c r="N22" s="1129"/>
      <c r="O22" s="1129"/>
      <c r="P22" s="1129"/>
    </row>
    <row r="23" spans="6:16">
      <c r="F23" s="1129"/>
      <c r="G23" s="1129"/>
      <c r="H23" s="1129"/>
      <c r="I23" s="1129"/>
      <c r="J23" s="1129"/>
      <c r="K23" s="1129"/>
      <c r="L23" s="1129"/>
      <c r="M23" s="1129"/>
      <c r="N23" s="1129"/>
      <c r="O23" s="1129"/>
      <c r="P23" s="1129"/>
    </row>
    <row r="24" spans="6:16">
      <c r="F24" s="1129"/>
      <c r="G24" s="1129"/>
      <c r="H24" s="1129"/>
      <c r="I24" s="1129"/>
      <c r="J24" s="1129"/>
      <c r="K24" s="1129"/>
      <c r="L24" s="1129"/>
      <c r="M24" s="1129"/>
      <c r="N24" s="1129"/>
      <c r="O24" s="1129"/>
      <c r="P24" s="1129"/>
    </row>
    <row r="25" spans="6:16">
      <c r="F25" s="1129"/>
      <c r="G25" s="1129"/>
      <c r="H25" s="1129"/>
      <c r="I25" s="1129"/>
      <c r="J25" s="1129"/>
      <c r="K25" s="1129"/>
      <c r="L25" s="1129"/>
      <c r="M25" s="1129"/>
      <c r="N25" s="1129"/>
      <c r="O25" s="1129"/>
      <c r="P25" s="1129"/>
    </row>
  </sheetData>
  <sheetProtection algorithmName="SHA-512" hashValue="Q0VfB6U8pWnFT0PqVMAg7u8R2QEfPgM6R3sfDy0+6NEPLg03snrT6e0nQ6gkXJhQetXZWA8SBWBCbszd7r6Mzw==" saltValue="G+lOZa6vUl1YDzdNSv6OBQ==" spinCount="100000" sheet="1" objects="1" scenarios="1" selectLockedCells="1" selectUnlockedCells="1"/>
  <mergeCells count="1">
    <mergeCell ref="F10:P2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F341E-EC18-D548-9523-5BB6FA0D0D6E}">
  <sheetPr codeName="Sheet9">
    <tabColor rgb="FFFF0000"/>
  </sheetPr>
  <dimension ref="A1:H54"/>
  <sheetViews>
    <sheetView showGridLines="0" topLeftCell="B1" workbookViewId="0">
      <selection sqref="A1:A1048576"/>
    </sheetView>
  </sheetViews>
  <sheetFormatPr baseColWidth="10" defaultRowHeight="16"/>
  <cols>
    <col min="1" max="1" width="10.83203125" hidden="1" customWidth="1"/>
    <col min="7" max="7" width="10.83203125" style="26"/>
    <col min="8" max="8" width="23.1640625" customWidth="1"/>
  </cols>
  <sheetData>
    <row r="1" spans="1:8">
      <c r="A1" s="37">
        <v>2025.1</v>
      </c>
      <c r="B1" s="37"/>
    </row>
    <row r="3" spans="1:8" ht="25" thickBot="1">
      <c r="C3" s="13" t="s">
        <v>211</v>
      </c>
      <c r="D3" s="19"/>
      <c r="E3" s="19"/>
      <c r="F3" s="19"/>
      <c r="G3" s="20"/>
      <c r="H3" s="19"/>
    </row>
    <row r="5" spans="1:8">
      <c r="C5" s="1130" t="s">
        <v>210</v>
      </c>
      <c r="D5" s="1130"/>
      <c r="E5" s="1130"/>
      <c r="F5" s="1130"/>
      <c r="G5" s="1130"/>
      <c r="H5" s="1130"/>
    </row>
    <row r="6" spans="1:8">
      <c r="C6" s="1130"/>
      <c r="D6" s="1130"/>
      <c r="E6" s="1130"/>
      <c r="F6" s="1130"/>
      <c r="G6" s="1130"/>
      <c r="H6" s="1130"/>
    </row>
    <row r="7" spans="1:8">
      <c r="C7" s="21"/>
      <c r="D7" s="21"/>
      <c r="E7" s="21"/>
      <c r="F7" s="21"/>
      <c r="G7" s="21"/>
      <c r="H7" s="21"/>
    </row>
    <row r="8" spans="1:8">
      <c r="C8" s="21"/>
      <c r="D8" s="21"/>
      <c r="E8" s="21"/>
      <c r="F8" s="21"/>
      <c r="G8" s="21"/>
      <c r="H8" s="21"/>
    </row>
    <row r="9" spans="1:8">
      <c r="C9" s="21"/>
      <c r="D9" s="21"/>
      <c r="E9" s="21"/>
      <c r="F9" s="21"/>
      <c r="G9" s="21"/>
      <c r="H9" s="21"/>
    </row>
    <row r="10" spans="1:8" s="24" customFormat="1" ht="25" thickBot="1">
      <c r="C10" s="22" t="s">
        <v>223</v>
      </c>
      <c r="D10" s="22"/>
      <c r="E10" s="22"/>
      <c r="F10" s="22"/>
      <c r="G10" s="23" t="s">
        <v>164</v>
      </c>
      <c r="H10" s="22"/>
    </row>
    <row r="11" spans="1:8">
      <c r="C11" s="21"/>
      <c r="D11" s="21"/>
      <c r="E11" s="21"/>
      <c r="F11" s="21"/>
      <c r="G11" s="21"/>
      <c r="H11" s="21"/>
    </row>
    <row r="12" spans="1:8">
      <c r="C12" s="35" t="s">
        <v>224</v>
      </c>
      <c r="D12" s="21"/>
      <c r="E12" s="21"/>
      <c r="F12" s="21"/>
      <c r="G12" s="36">
        <v>20</v>
      </c>
      <c r="H12" s="21"/>
    </row>
    <row r="13" spans="1:8">
      <c r="C13" s="35" t="s">
        <v>226</v>
      </c>
      <c r="D13" s="21"/>
      <c r="E13" s="21"/>
      <c r="F13" s="21"/>
      <c r="G13" s="36">
        <v>60</v>
      </c>
      <c r="H13" s="21"/>
    </row>
    <row r="14" spans="1:8">
      <c r="C14" s="35"/>
      <c r="D14" s="21"/>
      <c r="E14" s="21"/>
      <c r="F14" s="21"/>
      <c r="G14" s="36"/>
      <c r="H14" s="21"/>
    </row>
    <row r="15" spans="1:8">
      <c r="C15" s="21"/>
      <c r="D15" s="21"/>
      <c r="E15" s="21"/>
      <c r="F15" s="21"/>
      <c r="G15" s="21"/>
      <c r="H15" s="21"/>
    </row>
    <row r="16" spans="1:8" s="24" customFormat="1" ht="25" thickBot="1">
      <c r="C16" s="22" t="s">
        <v>121</v>
      </c>
      <c r="D16" s="22"/>
      <c r="E16" s="22"/>
      <c r="F16" s="22"/>
      <c r="G16" s="23" t="s">
        <v>164</v>
      </c>
      <c r="H16" s="22" t="s">
        <v>165</v>
      </c>
    </row>
    <row r="19" spans="3:8" ht="29">
      <c r="C19" s="12" t="s">
        <v>10</v>
      </c>
      <c r="G19" s="25">
        <v>22</v>
      </c>
      <c r="H19" t="s">
        <v>123</v>
      </c>
    </row>
    <row r="20" spans="3:8">
      <c r="C20" s="14"/>
    </row>
    <row r="21" spans="3:8" ht="24">
      <c r="C21" s="17" t="s">
        <v>62</v>
      </c>
      <c r="G21" s="27">
        <v>18</v>
      </c>
      <c r="H21" t="s">
        <v>123</v>
      </c>
    </row>
    <row r="22" spans="3:8">
      <c r="C22" s="14"/>
    </row>
    <row r="23" spans="3:8" ht="19">
      <c r="C23" s="18" t="s">
        <v>61</v>
      </c>
      <c r="G23" s="28">
        <v>14</v>
      </c>
      <c r="H23" t="s">
        <v>123</v>
      </c>
    </row>
    <row r="24" spans="3:8">
      <c r="C24" s="15"/>
    </row>
    <row r="25" spans="3:8">
      <c r="C25" s="29" t="s">
        <v>84</v>
      </c>
      <c r="G25" s="30">
        <v>12</v>
      </c>
      <c r="H25" t="s">
        <v>124</v>
      </c>
    </row>
    <row r="26" spans="3:8">
      <c r="G26" s="30"/>
    </row>
    <row r="27" spans="3:8">
      <c r="C27" t="s">
        <v>122</v>
      </c>
      <c r="G27" s="26">
        <v>12</v>
      </c>
      <c r="H27" t="s">
        <v>124</v>
      </c>
    </row>
    <row r="31" spans="3:8" s="24" customFormat="1" ht="25" thickBot="1">
      <c r="C31" s="22" t="s">
        <v>125</v>
      </c>
      <c r="D31" s="22"/>
      <c r="E31" s="22"/>
      <c r="F31" s="22"/>
      <c r="G31" s="23"/>
      <c r="H31" s="22"/>
    </row>
    <row r="33" spans="3:8">
      <c r="C33" t="s">
        <v>128</v>
      </c>
      <c r="G33" s="26">
        <v>16</v>
      </c>
      <c r="H33" t="s">
        <v>126</v>
      </c>
    </row>
    <row r="35" spans="3:8" s="11" customFormat="1" ht="20" customHeight="1" thickBot="1">
      <c r="C35" s="16" t="s">
        <v>82</v>
      </c>
      <c r="D35" s="31"/>
      <c r="G35" s="32">
        <v>20</v>
      </c>
      <c r="H35" s="11" t="s">
        <v>127</v>
      </c>
    </row>
    <row r="36" spans="3:8" ht="17" thickTop="1"/>
    <row r="37" spans="3:8">
      <c r="C37" t="s">
        <v>191</v>
      </c>
      <c r="G37" s="26">
        <v>24</v>
      </c>
    </row>
    <row r="38" spans="3:8">
      <c r="C38" t="s">
        <v>132</v>
      </c>
      <c r="G38" s="26">
        <v>20</v>
      </c>
    </row>
    <row r="39" spans="3:8">
      <c r="C39" t="s">
        <v>131</v>
      </c>
      <c r="G39" s="26">
        <v>16</v>
      </c>
    </row>
    <row r="40" spans="3:8">
      <c r="C40" t="s">
        <v>130</v>
      </c>
      <c r="G40" s="26">
        <v>12</v>
      </c>
    </row>
    <row r="41" spans="3:8">
      <c r="C41" t="s">
        <v>219</v>
      </c>
      <c r="G41" s="26">
        <v>4</v>
      </c>
      <c r="H41" t="s">
        <v>220</v>
      </c>
    </row>
    <row r="52" spans="3:7" s="33" customFormat="1" ht="4" customHeight="1">
      <c r="G52" s="34"/>
    </row>
    <row r="54" spans="3:7">
      <c r="C54" t="s">
        <v>225</v>
      </c>
      <c r="G54" s="26">
        <v>4</v>
      </c>
    </row>
  </sheetData>
  <mergeCells count="1">
    <mergeCell ref="C5:H6"/>
  </mergeCells>
  <pageMargins left="0.7" right="0.7" top="0.75" bottom="0.75" header="0.3" footer="0.3"/>
  <drawing r:id="rId1"/>
</worksheet>
</file>

<file path=docMetadata/LabelInfo.xml><?xml version="1.0" encoding="utf-8"?>
<clbl:labelList xmlns:clbl="http://schemas.microsoft.com/office/2020/mipLabelMetadata">
  <clbl:label id="{1faf88fe-a998-4c5b-93c9-210a11d9a5c2}" enabled="0" method="" siteId="{1faf88fe-a998-4c5b-93c9-210a11d9a5c2}"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Introduction</vt:lpstr>
      <vt:lpstr>Pricing Model</vt:lpstr>
      <vt:lpstr>Sales Forecast</vt:lpstr>
      <vt:lpstr>Profit &amp; Loss</vt:lpstr>
      <vt:lpstr>Cash Flow</vt:lpstr>
      <vt:lpstr>Balance Sheet</vt:lpstr>
      <vt:lpstr>Summary &amp; Ratios</vt:lpstr>
      <vt:lpstr>Graphs</vt:lpstr>
      <vt:lpstr>Style Guide</vt:lpstr>
      <vt:lpstr>'Cash Flow'!Print_Area</vt:lpstr>
      <vt:lpstr>Graphs!Print_Area</vt:lpstr>
      <vt:lpstr>'Profit &amp; Loss'!Print_Area</vt:lpstr>
      <vt:lpstr>'Summary &amp; Ratios'!Print_Area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Hulme</dc:creator>
  <cp:lastModifiedBy>Microsoft Office User</cp:lastModifiedBy>
  <cp:lastPrinted>2013-03-02T16:58:28Z</cp:lastPrinted>
  <dcterms:created xsi:type="dcterms:W3CDTF">2011-05-28T11:03:23Z</dcterms:created>
  <dcterms:modified xsi:type="dcterms:W3CDTF">2025-04-26T23:59:06Z</dcterms:modified>
</cp:coreProperties>
</file>